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NCES 2020 Nordic NER\WP4\"/>
    </mc:Choice>
  </mc:AlternateContent>
  <bookViews>
    <workbookView xWindow="0" yWindow="0" windowWidth="28800" windowHeight="13500" activeTab="3"/>
  </bookViews>
  <sheets>
    <sheet name="IND" sheetId="9" r:id="rId1"/>
    <sheet name="IND_AUX" sheetId="11" r:id="rId2"/>
    <sheet name="RES" sheetId="10" r:id="rId3"/>
    <sheet name="TRA" sheetId="1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BaseYear" localSheetId="2">RES!$G$3</definedName>
    <definedName name="BaseYear">IND!$J$1</definedName>
    <definedName name="Cars_12" localSheetId="2">'[1]TechRep-Doc'!#REF!</definedName>
    <definedName name="Cars_12">'[2]TechRep-Doc'!#REF!</definedName>
    <definedName name="ddddd" localSheetId="2">[3]AGR_Fuels!$A$2</definedName>
    <definedName name="ddddd">[4]AGR_Fuels!$A$2</definedName>
    <definedName name="DISCRATE" localSheetId="2">'[1]TechRep-Doc'!#REF!</definedName>
    <definedName name="DISCRATE">'[1]TechRep-Doc'!#REF!</definedName>
    <definedName name="FID_1">[5]AGR_Fuels!$A$2</definedName>
    <definedName name="GROWTH" localSheetId="2">'[1]TechRep-Doc'!#REF!</definedName>
    <definedName name="GROWTH">'[1]TechRep-Doc'!#REF!</definedName>
    <definedName name="GROWTH_TID" localSheetId="2">'[1]TechRep-Doc'!#REF!</definedName>
    <definedName name="GROWTH_TID">'[1]TechRep-Doc'!#REF!</definedName>
    <definedName name="Inflate">#REF!</definedName>
    <definedName name="INVCOST" localSheetId="2">'[1]TechRep-Doc'!#REF!</definedName>
    <definedName name="INVCOST">'[2]TechRep-Doc'!#REF!</definedName>
    <definedName name="LIFE" localSheetId="2">'[1]TechRep-Doc'!#REF!</definedName>
    <definedName name="LIFE">'[2]TechRep-Doc'!#REF!</definedName>
    <definedName name="NAs_CCAR" localSheetId="2">'[1]TechRep-Doc'!#REF!</definedName>
    <definedName name="NAs_CCAR">'[2]TechRep-Doc'!#REF!</definedName>
    <definedName name="_xlnm.Print_Area" localSheetId="2">RES!#REF!</definedName>
    <definedName name="SETS" localSheetId="2">'[1]TechRep-Doc'!#REF!</definedName>
    <definedName name="SETS">'[2]TechRep-Doc'!#REF!</definedName>
    <definedName name="TRTGAB005" localSheetId="2">'[1]TechRep-Doc'!#REF!</definedName>
    <definedName name="TRTGAB005">'[2]TechRep-Doc'!#REF!</definedName>
    <definedName name="TRTGAC005" localSheetId="2">'[1]TechRep-Doc'!#REF!</definedName>
    <definedName name="TRTGAC005">'[2]TechRep-Doc'!#REF!</definedName>
    <definedName name="Trucks_15" localSheetId="2">'[1]TechRep-Doc'!#REF!</definedName>
    <definedName name="Trucks_15">'[2]TechRep-Doc'!#REF!</definedName>
    <definedName name="TSUB_COST" localSheetId="2">'[1]TechRep-Doc'!#REF!</definedName>
    <definedName name="TSUB_COST">'[1]TechRep-Doc'!#REF!</definedName>
    <definedName name="x" localSheetId="2">[1]AGR_Fuels!$A$2</definedName>
    <definedName name="x">[2]AGR_Fuels!$A$2</definedName>
  </definedNames>
  <calcPr calcId="162913" calcMode="manual"/>
</workbook>
</file>

<file path=xl/calcChain.xml><?xml version="1.0" encoding="utf-8"?>
<calcChain xmlns="http://schemas.openxmlformats.org/spreadsheetml/2006/main">
  <c r="M100" i="11" l="1"/>
  <c r="J100" i="11"/>
  <c r="L100" i="11"/>
  <c r="K100" i="11" s="1"/>
  <c r="L94" i="11"/>
  <c r="L93" i="11" s="1"/>
  <c r="M93" i="11" s="1"/>
  <c r="K94" i="11"/>
  <c r="K93" i="11" s="1"/>
  <c r="J93" i="11"/>
  <c r="J94" i="11"/>
  <c r="J74" i="11"/>
  <c r="J86" i="11" s="1"/>
  <c r="Y41" i="9"/>
  <c r="Y48" i="9"/>
  <c r="O104" i="11"/>
  <c r="J77" i="11"/>
  <c r="M103" i="11" s="1"/>
  <c r="L103" i="11"/>
  <c r="K103" i="11"/>
  <c r="J103" i="11"/>
  <c r="L102" i="11"/>
  <c r="M102" i="11" s="1"/>
  <c r="K102" i="11"/>
  <c r="J102" i="11"/>
  <c r="AD80" i="11"/>
  <c r="O99" i="11" s="1"/>
  <c r="L97" i="11"/>
  <c r="K97" i="11"/>
  <c r="J97" i="11"/>
  <c r="L96" i="11"/>
  <c r="K96" i="11"/>
  <c r="J96" i="11"/>
  <c r="V92" i="11"/>
  <c r="U92" i="11"/>
  <c r="O92" i="11"/>
  <c r="O79" i="11"/>
  <c r="O91" i="11"/>
  <c r="AC90" i="11"/>
  <c r="L79" i="11" s="1"/>
  <c r="O78" i="11"/>
  <c r="O90" i="11"/>
  <c r="L78" i="11"/>
  <c r="K78" i="11" s="1"/>
  <c r="J78" i="11"/>
  <c r="J90" i="11" s="1"/>
  <c r="P89" i="11"/>
  <c r="J89" i="11"/>
  <c r="K89" i="11"/>
  <c r="L89" i="11"/>
  <c r="X88" i="11"/>
  <c r="J71" i="11"/>
  <c r="J73" i="11" s="1"/>
  <c r="J85" i="11" s="1"/>
  <c r="AC80" i="11"/>
  <c r="O68" i="11"/>
  <c r="O80" i="11"/>
  <c r="K77" i="11"/>
  <c r="L77" i="11" s="1"/>
  <c r="X76" i="11"/>
  <c r="K31" i="9"/>
  <c r="AA29" i="9" s="1"/>
  <c r="K29" i="9"/>
  <c r="R107" i="9"/>
  <c r="R96" i="9"/>
  <c r="R101" i="9"/>
  <c r="R118" i="9"/>
  <c r="K197" i="9"/>
  <c r="AB197" i="9"/>
  <c r="AG167" i="9"/>
  <c r="AG172" i="9" s="1"/>
  <c r="AH172" i="9"/>
  <c r="AH173" i="9" s="1"/>
  <c r="K193" i="9"/>
  <c r="AB193" i="9"/>
  <c r="AF85" i="11"/>
  <c r="AF84" i="11"/>
  <c r="K98" i="9"/>
  <c r="K103" i="9" s="1"/>
  <c r="AF98" i="9"/>
  <c r="AG98" i="9"/>
  <c r="M98" i="9" s="1"/>
  <c r="M103" i="9" s="1"/>
  <c r="AD98" i="9"/>
  <c r="X92" i="9"/>
  <c r="X98" i="9"/>
  <c r="K106" i="9"/>
  <c r="L106" i="9"/>
  <c r="M106" i="9"/>
  <c r="K100" i="9"/>
  <c r="L100" i="9"/>
  <c r="M100" i="9"/>
  <c r="K95" i="9"/>
  <c r="L95" i="9" s="1"/>
  <c r="M95" i="9" s="1"/>
  <c r="AG111" i="9"/>
  <c r="AD111" i="9"/>
  <c r="AE111" i="9" s="1"/>
  <c r="K121" i="11"/>
  <c r="J123" i="11" s="1"/>
  <c r="K125" i="11"/>
  <c r="U120" i="11"/>
  <c r="J109" i="11"/>
  <c r="K109" i="11" s="1"/>
  <c r="W111" i="11"/>
  <c r="J106" i="11"/>
  <c r="J120" i="11"/>
  <c r="L106" i="11"/>
  <c r="L120" i="11" s="1"/>
  <c r="M171" i="9"/>
  <c r="M176" i="9"/>
  <c r="M182" i="9"/>
  <c r="M187" i="9"/>
  <c r="M193" i="9" s="1"/>
  <c r="AG180" i="9"/>
  <c r="M181" i="9" s="1"/>
  <c r="N181" i="9" s="1"/>
  <c r="AH186" i="9"/>
  <c r="AH181" i="9"/>
  <c r="L193" i="9"/>
  <c r="M189" i="9" s="1"/>
  <c r="N189" i="9" s="1"/>
  <c r="AB171" i="9"/>
  <c r="AB176" i="9"/>
  <c r="AB187" i="9"/>
  <c r="AB182" i="9"/>
  <c r="AH183" i="9"/>
  <c r="AH184" i="9"/>
  <c r="AG178" i="9"/>
  <c r="AE178" i="9"/>
  <c r="AE183" i="9"/>
  <c r="P172" i="9"/>
  <c r="P183" i="9"/>
  <c r="P189" i="9"/>
  <c r="AG191" i="9"/>
  <c r="AG190" i="9"/>
  <c r="M190" i="9" s="1"/>
  <c r="N190" i="9" s="1"/>
  <c r="L190" i="9"/>
  <c r="AE190" i="9"/>
  <c r="K190" i="9" s="1"/>
  <c r="AH192" i="9"/>
  <c r="K192" i="9" s="1"/>
  <c r="K191" i="9"/>
  <c r="K189" i="9"/>
  <c r="AE185" i="9"/>
  <c r="K185" i="9"/>
  <c r="AE174" i="9"/>
  <c r="AH175" i="9"/>
  <c r="K175" i="9" s="1"/>
  <c r="AG169" i="9"/>
  <c r="AH168" i="9"/>
  <c r="Y76" i="1"/>
  <c r="Q76" i="1"/>
  <c r="N87" i="1"/>
  <c r="Y81" i="1"/>
  <c r="Y80" i="1"/>
  <c r="Y79" i="1"/>
  <c r="Y78" i="1"/>
  <c r="Y77" i="1"/>
  <c r="Y75" i="1"/>
  <c r="Y74" i="1"/>
  <c r="Q78" i="1"/>
  <c r="Q77" i="1"/>
  <c r="Q75" i="1"/>
  <c r="Q74" i="1"/>
  <c r="Q73" i="1"/>
  <c r="Q72" i="1"/>
  <c r="Q71" i="1"/>
  <c r="Q70" i="1"/>
  <c r="Q79" i="1"/>
  <c r="Q80" i="1"/>
  <c r="Q81" i="1"/>
  <c r="K119" i="11"/>
  <c r="W118" i="11"/>
  <c r="K118" i="11"/>
  <c r="X116" i="11"/>
  <c r="K114" i="11"/>
  <c r="J116" i="11"/>
  <c r="J113" i="11" s="1"/>
  <c r="T113" i="11" s="1"/>
  <c r="U113" i="11" s="1"/>
  <c r="L115" i="11"/>
  <c r="J115" i="11"/>
  <c r="K112" i="11"/>
  <c r="K111" i="11"/>
  <c r="X109" i="11"/>
  <c r="K107" i="11" s="1"/>
  <c r="T106" i="11" s="1"/>
  <c r="U106" i="11" s="1"/>
  <c r="J108" i="11"/>
  <c r="K511" i="9"/>
  <c r="L511" i="9" s="1"/>
  <c r="M511" i="9" s="1"/>
  <c r="N511" i="9" s="1"/>
  <c r="B87" i="10"/>
  <c r="B86" i="10"/>
  <c r="B85" i="10"/>
  <c r="B84" i="10"/>
  <c r="Z84" i="10" s="1"/>
  <c r="B83" i="10"/>
  <c r="Z83" i="10" s="1"/>
  <c r="B82" i="10"/>
  <c r="Z82" i="10" s="1"/>
  <c r="B81" i="10"/>
  <c r="Z81" i="10" s="1"/>
  <c r="B80" i="10"/>
  <c r="Z80" i="10" s="1"/>
  <c r="B79" i="10"/>
  <c r="Z79" i="10" s="1"/>
  <c r="B78" i="10"/>
  <c r="B77" i="10"/>
  <c r="B75" i="10"/>
  <c r="Z75" i="10" s="1"/>
  <c r="B74" i="10"/>
  <c r="Z74" i="10" s="1"/>
  <c r="B73" i="10"/>
  <c r="Z73" i="10" s="1"/>
  <c r="B72" i="10"/>
  <c r="Z72" i="10" s="1"/>
  <c r="B71" i="10"/>
  <c r="B70" i="10"/>
  <c r="B69" i="10"/>
  <c r="B68" i="10"/>
  <c r="B67" i="10"/>
  <c r="Z67" i="10" s="1"/>
  <c r="B66" i="10"/>
  <c r="Z66" i="10" s="1"/>
  <c r="B65" i="10"/>
  <c r="Z65" i="10" s="1"/>
  <c r="B63" i="10"/>
  <c r="Z63" i="10" s="1"/>
  <c r="B62" i="10"/>
  <c r="Z62" i="10" s="1"/>
  <c r="B61" i="10"/>
  <c r="Z61" i="10" s="1"/>
  <c r="B60" i="10"/>
  <c r="B59" i="10"/>
  <c r="B58" i="10"/>
  <c r="Z58" i="10" s="1"/>
  <c r="B57" i="10"/>
  <c r="Z57" i="10" s="1"/>
  <c r="B56" i="10"/>
  <c r="Z56" i="10" s="1"/>
  <c r="B55" i="10"/>
  <c r="Z55" i="10" s="1"/>
  <c r="B54" i="10"/>
  <c r="B53" i="10"/>
  <c r="B52" i="10"/>
  <c r="B51" i="10"/>
  <c r="F419" i="9"/>
  <c r="L419" i="9"/>
  <c r="M419" i="9" s="1"/>
  <c r="Z94" i="10"/>
  <c r="Z39" i="10"/>
  <c r="Z49" i="10"/>
  <c r="Z48" i="10"/>
  <c r="Z47" i="10"/>
  <c r="Z46" i="10"/>
  <c r="Z45" i="10"/>
  <c r="Z44" i="10"/>
  <c r="Z43" i="10"/>
  <c r="Z42" i="10"/>
  <c r="Z41" i="10"/>
  <c r="Z40" i="10"/>
  <c r="Z38" i="10"/>
  <c r="Z96" i="10"/>
  <c r="Z95" i="10"/>
  <c r="Z93" i="10"/>
  <c r="Z92" i="10"/>
  <c r="Z91" i="10"/>
  <c r="Z90" i="10"/>
  <c r="Z89" i="10"/>
  <c r="Z87" i="10"/>
  <c r="Z86" i="10"/>
  <c r="Z85" i="10"/>
  <c r="Z78" i="10"/>
  <c r="Z77" i="10"/>
  <c r="Z71" i="10"/>
  <c r="Z70" i="10"/>
  <c r="Z69" i="10"/>
  <c r="Z68" i="10"/>
  <c r="Z60" i="10"/>
  <c r="Z59" i="10"/>
  <c r="Z54" i="10"/>
  <c r="Z53" i="10"/>
  <c r="Z52" i="10"/>
  <c r="Z51" i="10"/>
  <c r="Z26" i="10"/>
  <c r="Z27" i="10"/>
  <c r="Z12" i="10"/>
  <c r="Z11" i="10"/>
  <c r="W87" i="10"/>
  <c r="W86" i="10"/>
  <c r="W85" i="10"/>
  <c r="W84" i="10"/>
  <c r="W83" i="10"/>
  <c r="W82" i="10"/>
  <c r="W81" i="10"/>
  <c r="W80" i="10"/>
  <c r="W79" i="10"/>
  <c r="W78" i="10"/>
  <c r="W77" i="10"/>
  <c r="W75" i="10"/>
  <c r="W74" i="10"/>
  <c r="W73" i="10"/>
  <c r="W72" i="10"/>
  <c r="W71" i="10"/>
  <c r="W70" i="10"/>
  <c r="W69" i="10"/>
  <c r="W68" i="10"/>
  <c r="W67" i="10"/>
  <c r="W66" i="10"/>
  <c r="W65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V87" i="10"/>
  <c r="V86" i="10"/>
  <c r="V85" i="10"/>
  <c r="V84" i="10"/>
  <c r="V83" i="10"/>
  <c r="V82" i="10"/>
  <c r="V81" i="10"/>
  <c r="V80" i="10"/>
  <c r="V79" i="10"/>
  <c r="V78" i="10"/>
  <c r="V77" i="10"/>
  <c r="V75" i="10"/>
  <c r="V74" i="10"/>
  <c r="V73" i="10"/>
  <c r="V72" i="10"/>
  <c r="V71" i="10"/>
  <c r="V70" i="10"/>
  <c r="V69" i="10"/>
  <c r="V68" i="10"/>
  <c r="V67" i="10"/>
  <c r="V66" i="10"/>
  <c r="V65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U87" i="10"/>
  <c r="U86" i="10"/>
  <c r="U85" i="10"/>
  <c r="U84" i="10"/>
  <c r="U83" i="10"/>
  <c r="U82" i="10"/>
  <c r="U81" i="10"/>
  <c r="U80" i="10"/>
  <c r="U79" i="10"/>
  <c r="U78" i="10"/>
  <c r="U77" i="10"/>
  <c r="U75" i="10"/>
  <c r="U74" i="10"/>
  <c r="U73" i="10"/>
  <c r="U72" i="10"/>
  <c r="U71" i="10"/>
  <c r="U70" i="10"/>
  <c r="U69" i="10"/>
  <c r="U68" i="10"/>
  <c r="U67" i="10"/>
  <c r="U66" i="10"/>
  <c r="U65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T87" i="10"/>
  <c r="T86" i="10"/>
  <c r="T85" i="10"/>
  <c r="T84" i="10"/>
  <c r="T83" i="10"/>
  <c r="T82" i="10"/>
  <c r="T81" i="10"/>
  <c r="T80" i="10"/>
  <c r="T79" i="10"/>
  <c r="T78" i="10"/>
  <c r="T77" i="10"/>
  <c r="T75" i="10"/>
  <c r="T74" i="10"/>
  <c r="T73" i="10"/>
  <c r="T72" i="10"/>
  <c r="T71" i="10"/>
  <c r="T70" i="10"/>
  <c r="T69" i="10"/>
  <c r="T68" i="10"/>
  <c r="T67" i="10"/>
  <c r="T66" i="10"/>
  <c r="T65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S87" i="10"/>
  <c r="S86" i="10"/>
  <c r="S85" i="10"/>
  <c r="S84" i="10"/>
  <c r="S83" i="10"/>
  <c r="S82" i="10"/>
  <c r="S81" i="10"/>
  <c r="S80" i="10"/>
  <c r="S79" i="10"/>
  <c r="S78" i="10"/>
  <c r="S77" i="10"/>
  <c r="S75" i="10"/>
  <c r="S74" i="10"/>
  <c r="S73" i="10"/>
  <c r="S72" i="10"/>
  <c r="S71" i="10"/>
  <c r="S70" i="10"/>
  <c r="S69" i="10"/>
  <c r="S68" i="10"/>
  <c r="S67" i="10"/>
  <c r="S66" i="10"/>
  <c r="S65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R87" i="10"/>
  <c r="R86" i="10"/>
  <c r="R85" i="10"/>
  <c r="R84" i="10"/>
  <c r="R83" i="10"/>
  <c r="R82" i="10"/>
  <c r="R81" i="10"/>
  <c r="R80" i="10"/>
  <c r="R79" i="10"/>
  <c r="R78" i="10"/>
  <c r="R77" i="10"/>
  <c r="R75" i="10"/>
  <c r="R74" i="10"/>
  <c r="R73" i="10"/>
  <c r="R72" i="10"/>
  <c r="R71" i="10"/>
  <c r="R70" i="10"/>
  <c r="R69" i="10"/>
  <c r="R68" i="10"/>
  <c r="R67" i="10"/>
  <c r="R66" i="10"/>
  <c r="R65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Q87" i="10"/>
  <c r="Q86" i="10"/>
  <c r="Q85" i="10"/>
  <c r="Q84" i="10"/>
  <c r="Q83" i="10"/>
  <c r="Q82" i="10"/>
  <c r="Q81" i="10"/>
  <c r="Q80" i="10"/>
  <c r="Q79" i="10"/>
  <c r="Q78" i="10"/>
  <c r="Q77" i="10"/>
  <c r="Q75" i="10"/>
  <c r="Q74" i="10"/>
  <c r="Q73" i="10"/>
  <c r="Q72" i="10"/>
  <c r="Q71" i="10"/>
  <c r="Q70" i="10"/>
  <c r="Q69" i="10"/>
  <c r="Q68" i="10"/>
  <c r="Q67" i="10"/>
  <c r="Q66" i="10"/>
  <c r="Q65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P87" i="10"/>
  <c r="P86" i="10"/>
  <c r="P85" i="10"/>
  <c r="P84" i="10"/>
  <c r="P83" i="10"/>
  <c r="P82" i="10"/>
  <c r="P81" i="10"/>
  <c r="P80" i="10"/>
  <c r="P79" i="10"/>
  <c r="P78" i="10"/>
  <c r="P77" i="10"/>
  <c r="P75" i="10"/>
  <c r="P74" i="10"/>
  <c r="P73" i="10"/>
  <c r="P72" i="10"/>
  <c r="P71" i="10"/>
  <c r="P70" i="10"/>
  <c r="P69" i="10"/>
  <c r="P68" i="10"/>
  <c r="P67" i="10"/>
  <c r="P66" i="10"/>
  <c r="P65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O87" i="10"/>
  <c r="O86" i="10"/>
  <c r="O85" i="10"/>
  <c r="O84" i="10"/>
  <c r="O83" i="10"/>
  <c r="O82" i="10"/>
  <c r="O81" i="10"/>
  <c r="O80" i="10"/>
  <c r="O79" i="10"/>
  <c r="O78" i="10"/>
  <c r="O77" i="10"/>
  <c r="O75" i="10"/>
  <c r="O74" i="10"/>
  <c r="O73" i="10"/>
  <c r="O72" i="10"/>
  <c r="O71" i="10"/>
  <c r="O70" i="10"/>
  <c r="O69" i="10"/>
  <c r="O68" i="10"/>
  <c r="O67" i="10"/>
  <c r="O66" i="10"/>
  <c r="O65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N87" i="10"/>
  <c r="N86" i="10"/>
  <c r="N85" i="10"/>
  <c r="N84" i="10"/>
  <c r="N83" i="10"/>
  <c r="N82" i="10"/>
  <c r="N81" i="10"/>
  <c r="N80" i="10"/>
  <c r="N79" i="10"/>
  <c r="N78" i="10"/>
  <c r="N77" i="10"/>
  <c r="N75" i="10"/>
  <c r="N74" i="10"/>
  <c r="N73" i="10"/>
  <c r="N72" i="10"/>
  <c r="N71" i="10"/>
  <c r="N70" i="10"/>
  <c r="N69" i="10"/>
  <c r="N68" i="10"/>
  <c r="N67" i="10"/>
  <c r="N66" i="10"/>
  <c r="N65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M87" i="10"/>
  <c r="M86" i="10"/>
  <c r="M85" i="10"/>
  <c r="M84" i="10"/>
  <c r="M83" i="10"/>
  <c r="M82" i="10"/>
  <c r="M81" i="10"/>
  <c r="M80" i="10"/>
  <c r="M79" i="10"/>
  <c r="M78" i="10"/>
  <c r="M77" i="10"/>
  <c r="M75" i="10"/>
  <c r="M74" i="10"/>
  <c r="M73" i="10"/>
  <c r="M72" i="10"/>
  <c r="M71" i="10"/>
  <c r="M70" i="10"/>
  <c r="M69" i="10"/>
  <c r="M68" i="10"/>
  <c r="M67" i="10"/>
  <c r="M66" i="10"/>
  <c r="M65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L87" i="10"/>
  <c r="L86" i="10"/>
  <c r="L85" i="10"/>
  <c r="L84" i="10"/>
  <c r="L83" i="10"/>
  <c r="L82" i="10"/>
  <c r="L81" i="10"/>
  <c r="L80" i="10"/>
  <c r="L79" i="10"/>
  <c r="L78" i="10"/>
  <c r="L77" i="10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K87" i="10"/>
  <c r="K86" i="10"/>
  <c r="K85" i="10"/>
  <c r="K84" i="10"/>
  <c r="K83" i="10"/>
  <c r="K82" i="10"/>
  <c r="K81" i="10"/>
  <c r="K80" i="10"/>
  <c r="K79" i="10"/>
  <c r="K78" i="10"/>
  <c r="K77" i="10"/>
  <c r="K75" i="10"/>
  <c r="K74" i="10"/>
  <c r="K73" i="10"/>
  <c r="K72" i="10"/>
  <c r="K71" i="10"/>
  <c r="K70" i="10"/>
  <c r="K69" i="10"/>
  <c r="K68" i="10"/>
  <c r="K67" i="10"/>
  <c r="K66" i="10"/>
  <c r="K65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J87" i="10"/>
  <c r="J86" i="10"/>
  <c r="J85" i="10"/>
  <c r="J84" i="10"/>
  <c r="J83" i="10"/>
  <c r="J82" i="10"/>
  <c r="J81" i="10"/>
  <c r="J80" i="10"/>
  <c r="J79" i="10"/>
  <c r="J78" i="10"/>
  <c r="J77" i="10"/>
  <c r="J75" i="10"/>
  <c r="J74" i="10"/>
  <c r="J73" i="10"/>
  <c r="J72" i="10"/>
  <c r="J71" i="10"/>
  <c r="J70" i="10"/>
  <c r="J69" i="10"/>
  <c r="J68" i="10"/>
  <c r="J67" i="10"/>
  <c r="J66" i="10"/>
  <c r="J65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I87" i="10"/>
  <c r="I86" i="10"/>
  <c r="I85" i="10"/>
  <c r="I84" i="10"/>
  <c r="I83" i="10"/>
  <c r="I82" i="10"/>
  <c r="I81" i="10"/>
  <c r="I80" i="10"/>
  <c r="I79" i="10"/>
  <c r="I78" i="10"/>
  <c r="I77" i="10"/>
  <c r="I75" i="10"/>
  <c r="I74" i="10"/>
  <c r="I73" i="10"/>
  <c r="I72" i="10"/>
  <c r="I71" i="10"/>
  <c r="I70" i="10"/>
  <c r="I69" i="10"/>
  <c r="I68" i="10"/>
  <c r="I67" i="10"/>
  <c r="I66" i="10"/>
  <c r="I65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F87" i="10"/>
  <c r="F86" i="10"/>
  <c r="F85" i="10"/>
  <c r="F84" i="10"/>
  <c r="F83" i="10"/>
  <c r="F82" i="10"/>
  <c r="F81" i="10"/>
  <c r="F80" i="10"/>
  <c r="F79" i="10"/>
  <c r="F78" i="10"/>
  <c r="F77" i="10"/>
  <c r="F75" i="10"/>
  <c r="F74" i="10"/>
  <c r="F73" i="10"/>
  <c r="F72" i="10"/>
  <c r="F71" i="10"/>
  <c r="F70" i="10"/>
  <c r="F69" i="10"/>
  <c r="F68" i="10"/>
  <c r="F67" i="10"/>
  <c r="F66" i="10"/>
  <c r="F65" i="10"/>
  <c r="E87" i="10"/>
  <c r="E86" i="10"/>
  <c r="E85" i="10"/>
  <c r="E84" i="10"/>
  <c r="E83" i="10"/>
  <c r="E82" i="10"/>
  <c r="E81" i="10"/>
  <c r="E80" i="10"/>
  <c r="E75" i="10"/>
  <c r="E74" i="10"/>
  <c r="E73" i="10"/>
  <c r="E72" i="10"/>
  <c r="E71" i="10"/>
  <c r="E70" i="10"/>
  <c r="E69" i="10"/>
  <c r="E68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E63" i="10"/>
  <c r="E62" i="10"/>
  <c r="E61" i="10"/>
  <c r="E60" i="10"/>
  <c r="E59" i="10"/>
  <c r="E58" i="10"/>
  <c r="E57" i="10"/>
  <c r="E56" i="10"/>
  <c r="E55" i="10"/>
  <c r="E54" i="10"/>
  <c r="C87" i="10"/>
  <c r="C86" i="10"/>
  <c r="C85" i="10"/>
  <c r="C84" i="10"/>
  <c r="C83" i="10"/>
  <c r="C82" i="10"/>
  <c r="C81" i="10"/>
  <c r="C80" i="10"/>
  <c r="C79" i="10"/>
  <c r="C78" i="10"/>
  <c r="C77" i="10"/>
  <c r="C75" i="10"/>
  <c r="C74" i="10"/>
  <c r="C73" i="10"/>
  <c r="C72" i="10"/>
  <c r="C71" i="10"/>
  <c r="C70" i="10"/>
  <c r="C69" i="10"/>
  <c r="C68" i="10"/>
  <c r="C67" i="10"/>
  <c r="C66" i="10"/>
  <c r="C65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V181" i="10"/>
  <c r="U181" i="10"/>
  <c r="U190" i="10" s="1"/>
  <c r="R61" i="9"/>
  <c r="L61" i="9"/>
  <c r="M61" i="9"/>
  <c r="K61" i="9"/>
  <c r="AA59" i="9"/>
  <c r="AG10" i="9"/>
  <c r="AG37" i="9"/>
  <c r="M37" i="9" s="1"/>
  <c r="AE10" i="9"/>
  <c r="N57" i="9"/>
  <c r="L56" i="9"/>
  <c r="M56" i="9"/>
  <c r="N56" i="9" s="1"/>
  <c r="K56" i="9"/>
  <c r="M55" i="9"/>
  <c r="N55" i="9"/>
  <c r="R54" i="9"/>
  <c r="L54" i="9"/>
  <c r="M54" i="9"/>
  <c r="K54" i="9"/>
  <c r="AA52" i="9"/>
  <c r="N50" i="9"/>
  <c r="M49" i="9"/>
  <c r="N49" i="9"/>
  <c r="M48" i="9"/>
  <c r="N48" i="9"/>
  <c r="AA46" i="9"/>
  <c r="AG45" i="9"/>
  <c r="M45" i="9" s="1"/>
  <c r="AE45" i="9"/>
  <c r="K44" i="9"/>
  <c r="M43" i="9"/>
  <c r="N43" i="9"/>
  <c r="AF43" i="9"/>
  <c r="L43" i="9"/>
  <c r="K43" i="9"/>
  <c r="AG34" i="9"/>
  <c r="M34" i="9" s="1"/>
  <c r="M42" i="9" s="1"/>
  <c r="AE34" i="9"/>
  <c r="W41" i="9"/>
  <c r="AF41" i="9"/>
  <c r="L41" i="9" s="1"/>
  <c r="K41" i="9"/>
  <c r="O8" i="11"/>
  <c r="O7" i="11"/>
  <c r="P6" i="11"/>
  <c r="O6" i="11"/>
  <c r="F525" i="9"/>
  <c r="AA516" i="9"/>
  <c r="K515" i="9"/>
  <c r="L515" i="9"/>
  <c r="M515" i="9" s="1"/>
  <c r="L514" i="9"/>
  <c r="M514" i="9" s="1"/>
  <c r="P511" i="9"/>
  <c r="P430" i="9"/>
  <c r="L430" i="9"/>
  <c r="M430" i="9" s="1"/>
  <c r="P428" i="9"/>
  <c r="L428" i="9"/>
  <c r="M428" i="9"/>
  <c r="P426" i="9"/>
  <c r="L426" i="9"/>
  <c r="M426" i="9"/>
  <c r="P424" i="9"/>
  <c r="P422" i="9"/>
  <c r="P420" i="9"/>
  <c r="P418" i="9"/>
  <c r="E418" i="9"/>
  <c r="L417" i="9"/>
  <c r="M417" i="9"/>
  <c r="F417" i="9"/>
  <c r="P416" i="9"/>
  <c r="E416" i="9"/>
  <c r="F415" i="9"/>
  <c r="P414" i="9"/>
  <c r="F413" i="9"/>
  <c r="P412" i="9"/>
  <c r="F411" i="9"/>
  <c r="F412" i="9"/>
  <c r="P410" i="9"/>
  <c r="L409" i="9"/>
  <c r="M409" i="9"/>
  <c r="F409" i="9"/>
  <c r="P408" i="9"/>
  <c r="E408" i="9"/>
  <c r="L407" i="9"/>
  <c r="M407" i="9"/>
  <c r="F407" i="9"/>
  <c r="P406" i="9"/>
  <c r="E406" i="9"/>
  <c r="F405" i="9"/>
  <c r="P404" i="9"/>
  <c r="F403" i="9"/>
  <c r="P402" i="9"/>
  <c r="F401" i="9"/>
  <c r="P400" i="9"/>
  <c r="L399" i="9"/>
  <c r="M399" i="9"/>
  <c r="F399" i="9"/>
  <c r="P398" i="9"/>
  <c r="E398" i="9"/>
  <c r="L397" i="9"/>
  <c r="M397" i="9"/>
  <c r="F397" i="9"/>
  <c r="P396" i="9"/>
  <c r="E396" i="9"/>
  <c r="F395" i="9"/>
  <c r="P394" i="9"/>
  <c r="F393" i="9"/>
  <c r="P392" i="9"/>
  <c r="F391" i="9"/>
  <c r="P390" i="9"/>
  <c r="L389" i="9"/>
  <c r="M389" i="9"/>
  <c r="F389" i="9"/>
  <c r="P388" i="9"/>
  <c r="E388" i="9"/>
  <c r="L387" i="9"/>
  <c r="M387" i="9"/>
  <c r="F387" i="9"/>
  <c r="P386" i="9"/>
  <c r="E386" i="9"/>
  <c r="F385" i="9"/>
  <c r="P384" i="9"/>
  <c r="F383" i="9"/>
  <c r="P382" i="9"/>
  <c r="F381" i="9"/>
  <c r="P380" i="9"/>
  <c r="L379" i="9"/>
  <c r="M379" i="9"/>
  <c r="F379" i="9"/>
  <c r="L377" i="9"/>
  <c r="M377" i="9" s="1"/>
  <c r="P378" i="9"/>
  <c r="E378" i="9"/>
  <c r="F377" i="9"/>
  <c r="P376" i="9"/>
  <c r="E376" i="9"/>
  <c r="L375" i="9"/>
  <c r="M375" i="9"/>
  <c r="F375" i="9"/>
  <c r="P374" i="9"/>
  <c r="E374" i="9"/>
  <c r="F373" i="9"/>
  <c r="P372" i="9"/>
  <c r="F371" i="9"/>
  <c r="P370" i="9"/>
  <c r="P368" i="9"/>
  <c r="P366" i="9"/>
  <c r="P364" i="9"/>
  <c r="P362" i="9"/>
  <c r="P360" i="9"/>
  <c r="P358" i="9"/>
  <c r="P356" i="9"/>
  <c r="P354" i="9"/>
  <c r="P352" i="9"/>
  <c r="H352" i="9"/>
  <c r="P350" i="9"/>
  <c r="H350" i="9"/>
  <c r="P348" i="9"/>
  <c r="H348" i="9"/>
  <c r="K114" i="9"/>
  <c r="P346" i="9"/>
  <c r="AG114" i="9"/>
  <c r="H346" i="9"/>
  <c r="P344" i="9"/>
  <c r="H344" i="9"/>
  <c r="P342" i="9"/>
  <c r="H342" i="9"/>
  <c r="P330" i="9"/>
  <c r="H330" i="9"/>
  <c r="P328" i="9"/>
  <c r="H328" i="9"/>
  <c r="P326" i="9"/>
  <c r="H326" i="9"/>
  <c r="P324" i="9"/>
  <c r="H324" i="9"/>
  <c r="P322" i="9"/>
  <c r="H322" i="9"/>
  <c r="P320" i="9"/>
  <c r="H320" i="9"/>
  <c r="P318" i="9"/>
  <c r="H318" i="9"/>
  <c r="P316" i="9"/>
  <c r="H316" i="9"/>
  <c r="K305" i="9"/>
  <c r="K311" i="9" s="1"/>
  <c r="K304" i="9"/>
  <c r="K310" i="9"/>
  <c r="K303" i="9"/>
  <c r="M303" i="9" s="1"/>
  <c r="L297" i="9"/>
  <c r="L308" i="9" s="1"/>
  <c r="K308" i="9"/>
  <c r="M301" i="9"/>
  <c r="N301" i="9" s="1"/>
  <c r="N307" i="9" s="1"/>
  <c r="L301" i="9"/>
  <c r="L307" i="9" s="1"/>
  <c r="K301" i="9"/>
  <c r="K307" i="9" s="1"/>
  <c r="K306" i="9"/>
  <c r="L302" i="9"/>
  <c r="K302" i="9"/>
  <c r="P296" i="9"/>
  <c r="L296" i="9"/>
  <c r="M296" i="9" s="1"/>
  <c r="N296" i="9"/>
  <c r="K295" i="9"/>
  <c r="L294" i="9"/>
  <c r="M294" i="9" s="1"/>
  <c r="N294" i="9" s="1"/>
  <c r="L293" i="9"/>
  <c r="M293" i="9" s="1"/>
  <c r="N293" i="9" s="1"/>
  <c r="P292" i="9"/>
  <c r="L292" i="9"/>
  <c r="M292" i="9"/>
  <c r="N292" i="9" s="1"/>
  <c r="AF273" i="9"/>
  <c r="K268" i="9"/>
  <c r="L268" i="9" s="1"/>
  <c r="M268" i="9" s="1"/>
  <c r="AF270" i="9"/>
  <c r="K280" i="9" s="1"/>
  <c r="L280" i="9"/>
  <c r="L282" i="9" s="1"/>
  <c r="P280" i="9"/>
  <c r="AF271" i="9"/>
  <c r="K276" i="9" s="1"/>
  <c r="L276" i="9" s="1"/>
  <c r="M276" i="9" s="1"/>
  <c r="P276" i="9"/>
  <c r="AF272" i="9"/>
  <c r="K272" i="9" s="1"/>
  <c r="L272" i="9" s="1"/>
  <c r="P272" i="9"/>
  <c r="P268" i="9"/>
  <c r="L264" i="9"/>
  <c r="M264" i="9" s="1"/>
  <c r="N264" i="9" s="1"/>
  <c r="P263" i="9"/>
  <c r="L263" i="9"/>
  <c r="M263" i="9"/>
  <c r="N263" i="9" s="1"/>
  <c r="L260" i="9"/>
  <c r="M260" i="9" s="1"/>
  <c r="N260" i="9" s="1"/>
  <c r="L259" i="9"/>
  <c r="M259" i="9" s="1"/>
  <c r="N259" i="9" s="1"/>
  <c r="P258" i="9"/>
  <c r="L258" i="9"/>
  <c r="M258" i="9"/>
  <c r="N258" i="9" s="1"/>
  <c r="L255" i="9"/>
  <c r="M255" i="9"/>
  <c r="N255" i="9" s="1"/>
  <c r="L254" i="9"/>
  <c r="M254" i="9"/>
  <c r="N254" i="9" s="1"/>
  <c r="P253" i="9"/>
  <c r="L253" i="9"/>
  <c r="M253" i="9" s="1"/>
  <c r="N253" i="9" s="1"/>
  <c r="N250" i="9"/>
  <c r="L249" i="9"/>
  <c r="M249" i="9"/>
  <c r="N249" i="9" s="1"/>
  <c r="P248" i="9"/>
  <c r="L248" i="9"/>
  <c r="M248" i="9" s="1"/>
  <c r="N248" i="9" s="1"/>
  <c r="AF242" i="9"/>
  <c r="AG242" i="9" s="1"/>
  <c r="M242" i="9" s="1"/>
  <c r="AE245" i="9"/>
  <c r="M244" i="9"/>
  <c r="L244" i="9"/>
  <c r="K244" i="9"/>
  <c r="AF243" i="9"/>
  <c r="L243" i="9"/>
  <c r="K243" i="9"/>
  <c r="K242" i="9"/>
  <c r="AF236" i="9"/>
  <c r="L236" i="9"/>
  <c r="M238" i="9"/>
  <c r="L238" i="9"/>
  <c r="K238" i="9"/>
  <c r="AE237" i="9"/>
  <c r="AF237" i="9" s="1"/>
  <c r="L237" i="9" s="1"/>
  <c r="AD236" i="9"/>
  <c r="P236" i="9"/>
  <c r="K236" i="9"/>
  <c r="AF233" i="9"/>
  <c r="AG233" i="9" s="1"/>
  <c r="AG230" i="9" s="1"/>
  <c r="M230" i="9" s="1"/>
  <c r="N230" i="9" s="1"/>
  <c r="M232" i="9"/>
  <c r="L232" i="9"/>
  <c r="K232" i="9"/>
  <c r="AE231" i="9"/>
  <c r="K231" i="9" s="1"/>
  <c r="AE230" i="9"/>
  <c r="K230" i="9" s="1"/>
  <c r="AD230" i="9"/>
  <c r="P230" i="9"/>
  <c r="AG221" i="9"/>
  <c r="AF221" i="9"/>
  <c r="L221" i="9" s="1"/>
  <c r="L225" i="9" s="1"/>
  <c r="L228" i="9" s="1"/>
  <c r="AB227" i="9"/>
  <c r="K221" i="9"/>
  <c r="K225" i="9" s="1"/>
  <c r="M222" i="9"/>
  <c r="M226" i="9" s="1"/>
  <c r="AF222" i="9"/>
  <c r="L222" i="9" s="1"/>
  <c r="L226" i="9" s="1"/>
  <c r="K222" i="9"/>
  <c r="K226" i="9" s="1"/>
  <c r="AB223" i="9"/>
  <c r="AD222" i="9"/>
  <c r="AD221" i="9"/>
  <c r="P221" i="9"/>
  <c r="AB219" i="9"/>
  <c r="AF218" i="9"/>
  <c r="L218" i="9"/>
  <c r="AD218" i="9"/>
  <c r="M218" i="9"/>
  <c r="K218" i="9"/>
  <c r="AG217" i="9"/>
  <c r="M217" i="9"/>
  <c r="N217" i="9" s="1"/>
  <c r="AF217" i="9"/>
  <c r="L217" i="9"/>
  <c r="AE217" i="9"/>
  <c r="K217" i="9" s="1"/>
  <c r="P217" i="9"/>
  <c r="K215" i="9"/>
  <c r="AA215" i="9"/>
  <c r="L215" i="9"/>
  <c r="AG213" i="9"/>
  <c r="M214" i="9"/>
  <c r="K214" i="9"/>
  <c r="K213" i="9"/>
  <c r="AF199" i="9"/>
  <c r="L200" i="9" s="1"/>
  <c r="AE199" i="9"/>
  <c r="P211" i="9"/>
  <c r="K209" i="9"/>
  <c r="AA209" i="9" s="1"/>
  <c r="L209" i="9"/>
  <c r="AG207" i="9"/>
  <c r="AF207" i="9" s="1"/>
  <c r="K208" i="9"/>
  <c r="K207" i="9"/>
  <c r="P205" i="9"/>
  <c r="AA203" i="9"/>
  <c r="AG201" i="9"/>
  <c r="M201" i="9" s="1"/>
  <c r="N201" i="9" s="1"/>
  <c r="K202" i="9"/>
  <c r="K201" i="9"/>
  <c r="P199" i="9"/>
  <c r="AH196" i="9"/>
  <c r="K196" i="9"/>
  <c r="AG195" i="9"/>
  <c r="AF195" i="9" s="1"/>
  <c r="K195" i="9"/>
  <c r="AG194" i="9"/>
  <c r="AF194" i="9"/>
  <c r="L194" i="9" s="1"/>
  <c r="AD194" i="9"/>
  <c r="P194" i="9"/>
  <c r="K194" i="9"/>
  <c r="K181" i="9"/>
  <c r="AF180" i="9"/>
  <c r="K180" i="9"/>
  <c r="AH178" i="9"/>
  <c r="AH179" i="9" s="1"/>
  <c r="P178" i="9"/>
  <c r="AH170" i="9"/>
  <c r="K170" i="9" s="1"/>
  <c r="K169" i="9"/>
  <c r="AE167" i="9"/>
  <c r="P167" i="9"/>
  <c r="AD161" i="9"/>
  <c r="AD165" i="9" s="1"/>
  <c r="AE162" i="9"/>
  <c r="AE163" i="9"/>
  <c r="AF163" i="9"/>
  <c r="AE164" i="9"/>
  <c r="K164" i="9"/>
  <c r="AD156" i="9"/>
  <c r="AD157" i="9"/>
  <c r="AD159" i="9"/>
  <c r="AE157" i="9"/>
  <c r="AE158" i="9"/>
  <c r="K158" i="9"/>
  <c r="P156" i="9"/>
  <c r="AD149" i="9"/>
  <c r="AD151" i="9"/>
  <c r="AE151" i="9" s="1"/>
  <c r="K151" i="9" s="1"/>
  <c r="AD152" i="9"/>
  <c r="AE152" i="9" s="1"/>
  <c r="AD153" i="9"/>
  <c r="AE153" i="9" s="1"/>
  <c r="K153" i="9" s="1"/>
  <c r="P149" i="9"/>
  <c r="AF146" i="9"/>
  <c r="AG146" i="9" s="1"/>
  <c r="M146" i="9" s="1"/>
  <c r="AF145" i="9"/>
  <c r="AF139" i="9"/>
  <c r="AG139" i="9" s="1"/>
  <c r="AG140" i="9"/>
  <c r="M140" i="9" s="1"/>
  <c r="N140" i="9" s="1"/>
  <c r="AF141" i="9"/>
  <c r="AG142" i="9"/>
  <c r="M142" i="9"/>
  <c r="AE139" i="9"/>
  <c r="K139" i="9"/>
  <c r="AE141" i="9"/>
  <c r="AD141" i="9" s="1"/>
  <c r="AD140" i="9"/>
  <c r="AD143" i="9" s="1"/>
  <c r="AD142" i="9"/>
  <c r="L142" i="9"/>
  <c r="K142" i="9"/>
  <c r="L140" i="9"/>
  <c r="K140" i="9"/>
  <c r="P139" i="9"/>
  <c r="AE136" i="9"/>
  <c r="K136" i="9" s="1"/>
  <c r="AH134" i="9"/>
  <c r="AD134" i="9"/>
  <c r="AG126" i="9"/>
  <c r="AG132" i="9" s="1"/>
  <c r="AG131" i="9"/>
  <c r="M131" i="9" s="1"/>
  <c r="AE126" i="9"/>
  <c r="AE131" i="9"/>
  <c r="K131" i="9" s="1"/>
  <c r="AF131" i="9"/>
  <c r="L131" i="9" s="1"/>
  <c r="AD131" i="9"/>
  <c r="AF130" i="9"/>
  <c r="L130" i="9"/>
  <c r="AD130" i="9"/>
  <c r="M130" i="9"/>
  <c r="N130" i="9"/>
  <c r="K130" i="9"/>
  <c r="AH126" i="9"/>
  <c r="P126" i="9"/>
  <c r="AG120" i="9"/>
  <c r="AE120" i="9"/>
  <c r="M123" i="9"/>
  <c r="L123" i="9"/>
  <c r="K123" i="9"/>
  <c r="AF122" i="9"/>
  <c r="L122" i="9" s="1"/>
  <c r="AD122" i="9"/>
  <c r="M122" i="9"/>
  <c r="N122" i="9" s="1"/>
  <c r="K122" i="9"/>
  <c r="AH120" i="9"/>
  <c r="P120" i="9"/>
  <c r="AA119" i="9"/>
  <c r="AD117" i="9"/>
  <c r="AE117" i="9"/>
  <c r="K117" i="9" s="1"/>
  <c r="AH114" i="9"/>
  <c r="P114" i="9"/>
  <c r="N114" i="9"/>
  <c r="AA107" i="9"/>
  <c r="AA108" i="9" s="1"/>
  <c r="K108" i="9"/>
  <c r="K110" i="9"/>
  <c r="K112" i="9"/>
  <c r="P110" i="9"/>
  <c r="K109" i="9"/>
  <c r="K105" i="9"/>
  <c r="AA102" i="9"/>
  <c r="P98" i="9"/>
  <c r="AA97" i="9"/>
  <c r="AG92" i="9"/>
  <c r="M92" i="9" s="1"/>
  <c r="N92" i="9" s="1"/>
  <c r="AF92" i="9"/>
  <c r="L92" i="9" s="1"/>
  <c r="AD92" i="9"/>
  <c r="P92" i="9"/>
  <c r="K92" i="9"/>
  <c r="AG88" i="9"/>
  <c r="AH88" i="9" s="1"/>
  <c r="AE87" i="9"/>
  <c r="AG87" i="9"/>
  <c r="M87" i="9" s="1"/>
  <c r="K88" i="9"/>
  <c r="AE85" i="9"/>
  <c r="K85" i="9" s="1"/>
  <c r="AD85" i="9"/>
  <c r="AD87" i="9" s="1"/>
  <c r="AF86" i="9"/>
  <c r="L86" i="9"/>
  <c r="M86" i="9"/>
  <c r="K86" i="9"/>
  <c r="P85" i="9"/>
  <c r="M83" i="9"/>
  <c r="M79" i="9"/>
  <c r="N79" i="9" s="1"/>
  <c r="N83" i="9" s="1"/>
  <c r="K83" i="9"/>
  <c r="AG76" i="9"/>
  <c r="M76" i="9" s="1"/>
  <c r="AG77" i="9"/>
  <c r="AG82" i="9" s="1"/>
  <c r="AG81" i="9"/>
  <c r="M81" i="9" s="1"/>
  <c r="AE77" i="9"/>
  <c r="K77" i="9" s="1"/>
  <c r="AE79" i="9"/>
  <c r="K79" i="9"/>
  <c r="AE81" i="9"/>
  <c r="K81" i="9"/>
  <c r="AA81" i="9"/>
  <c r="K80" i="9"/>
  <c r="K76" i="9"/>
  <c r="AG70" i="9"/>
  <c r="M70" i="9"/>
  <c r="N70" i="9" s="1"/>
  <c r="AE70" i="9"/>
  <c r="AD72" i="9"/>
  <c r="AD73" i="9"/>
  <c r="AF73" i="9"/>
  <c r="L73" i="9" s="1"/>
  <c r="M73" i="9"/>
  <c r="K73" i="9"/>
  <c r="K72" i="9"/>
  <c r="AF69" i="9"/>
  <c r="L69" i="9"/>
  <c r="P69" i="9"/>
  <c r="M69" i="9"/>
  <c r="K69" i="9"/>
  <c r="AG63" i="9"/>
  <c r="AE63" i="9"/>
  <c r="AD62" i="9"/>
  <c r="AD65" i="9"/>
  <c r="AD66" i="9"/>
  <c r="AF66" i="9"/>
  <c r="L66" i="9" s="1"/>
  <c r="M66" i="9"/>
  <c r="K66" i="9"/>
  <c r="K65" i="9"/>
  <c r="AF62" i="9"/>
  <c r="L62" i="9" s="1"/>
  <c r="P62" i="9"/>
  <c r="M62" i="9"/>
  <c r="K62" i="9"/>
  <c r="AG38" i="9"/>
  <c r="AE38" i="9"/>
  <c r="AD38" i="9"/>
  <c r="AD33" i="9"/>
  <c r="AD36" i="9"/>
  <c r="AD37" i="9"/>
  <c r="AD41" i="9"/>
  <c r="AD43" i="9"/>
  <c r="AD44" i="9"/>
  <c r="AA39" i="9"/>
  <c r="M38" i="9"/>
  <c r="K37" i="9"/>
  <c r="AF36" i="9"/>
  <c r="L36" i="9"/>
  <c r="M36" i="9"/>
  <c r="N36" i="9" s="1"/>
  <c r="K36" i="9"/>
  <c r="AF33" i="9"/>
  <c r="L33" i="9"/>
  <c r="P33" i="9"/>
  <c r="K33" i="9"/>
  <c r="AG12" i="9"/>
  <c r="M12" i="9" s="1"/>
  <c r="AE12" i="9"/>
  <c r="K12" i="9"/>
  <c r="L12" i="9" s="1"/>
  <c r="L32" i="9" s="1"/>
  <c r="S31" i="9"/>
  <c r="M30" i="9"/>
  <c r="L30" i="9"/>
  <c r="K30" i="9"/>
  <c r="AG17" i="9"/>
  <c r="AG23" i="9"/>
  <c r="AG29" i="9" s="1"/>
  <c r="AG25" i="9"/>
  <c r="M25" i="9" s="1"/>
  <c r="N25" i="9" s="1"/>
  <c r="AG26" i="9"/>
  <c r="M26" i="9" s="1"/>
  <c r="AE17" i="9"/>
  <c r="AD17" i="9" s="1"/>
  <c r="AE23" i="9"/>
  <c r="AF23" i="9" s="1"/>
  <c r="AE25" i="9"/>
  <c r="AD25" i="9" s="1"/>
  <c r="AE26" i="9"/>
  <c r="K26" i="9" s="1"/>
  <c r="AD18" i="9"/>
  <c r="AG27" i="9"/>
  <c r="AE27" i="9"/>
  <c r="AG9" i="9"/>
  <c r="M9" i="9" s="1"/>
  <c r="N9" i="9" s="1"/>
  <c r="AE9" i="9"/>
  <c r="AE13" i="9" s="1"/>
  <c r="L21" i="9"/>
  <c r="L20" i="9"/>
  <c r="AG5" i="9"/>
  <c r="M5" i="9" s="1"/>
  <c r="M17" i="9"/>
  <c r="N17" i="9" s="1"/>
  <c r="AE5" i="9"/>
  <c r="AD5" i="9"/>
  <c r="AG11" i="9"/>
  <c r="AE11" i="9"/>
  <c r="AD11" i="9"/>
  <c r="AD6" i="9"/>
  <c r="AA13" i="9"/>
  <c r="M11" i="9"/>
  <c r="P5" i="9"/>
  <c r="T155" i="10"/>
  <c r="U155" i="10" s="1"/>
  <c r="V155" i="10" s="1"/>
  <c r="T156" i="10"/>
  <c r="U156" i="10" s="1"/>
  <c r="V156" i="10" s="1"/>
  <c r="G224" i="10"/>
  <c r="G262" i="10"/>
  <c r="G261" i="10"/>
  <c r="G252" i="10"/>
  <c r="G257" i="10"/>
  <c r="G256" i="10"/>
  <c r="G255" i="10"/>
  <c r="G254" i="10"/>
  <c r="G253" i="10"/>
  <c r="G250" i="10"/>
  <c r="G249" i="10"/>
  <c r="G248" i="10"/>
  <c r="G244" i="10"/>
  <c r="G230" i="10"/>
  <c r="G217" i="10"/>
  <c r="G207" i="10"/>
  <c r="G163" i="10"/>
  <c r="G156" i="10"/>
  <c r="G155" i="10"/>
  <c r="G160" i="10"/>
  <c r="G159" i="10"/>
  <c r="G167" i="10"/>
  <c r="G166" i="10"/>
  <c r="G198" i="10"/>
  <c r="G197" i="10"/>
  <c r="G196" i="10"/>
  <c r="G195" i="10"/>
  <c r="G194" i="10"/>
  <c r="G193" i="10"/>
  <c r="G200" i="10"/>
  <c r="G186" i="10"/>
  <c r="G177" i="10"/>
  <c r="G171" i="10"/>
  <c r="G165" i="10"/>
  <c r="G162" i="10"/>
  <c r="G158" i="10"/>
  <c r="G154" i="10"/>
  <c r="G147" i="10"/>
  <c r="V254" i="10"/>
  <c r="U254" i="10" s="1"/>
  <c r="V253" i="10"/>
  <c r="V261" i="10"/>
  <c r="U261" i="10" s="1"/>
  <c r="V262" i="10"/>
  <c r="U262" i="10" s="1"/>
  <c r="V259" i="10"/>
  <c r="U259" i="10"/>
  <c r="G259" i="10"/>
  <c r="V258" i="10"/>
  <c r="U258" i="10"/>
  <c r="G258" i="10"/>
  <c r="U252" i="10"/>
  <c r="V257" i="10"/>
  <c r="U257" i="10" s="1"/>
  <c r="V256" i="10"/>
  <c r="U256" i="10" s="1"/>
  <c r="V255" i="10"/>
  <c r="U255" i="10"/>
  <c r="U253" i="10"/>
  <c r="V250" i="10"/>
  <c r="U250" i="10" s="1"/>
  <c r="V249" i="10"/>
  <c r="U249" i="10" s="1"/>
  <c r="G246" i="10"/>
  <c r="G245" i="10"/>
  <c r="G243" i="10"/>
  <c r="G242" i="10"/>
  <c r="G241" i="10"/>
  <c r="G240" i="10"/>
  <c r="G238" i="10"/>
  <c r="G237" i="10"/>
  <c r="G236" i="10"/>
  <c r="G235" i="10"/>
  <c r="G234" i="10"/>
  <c r="G233" i="10"/>
  <c r="G232" i="10"/>
  <c r="G231" i="10"/>
  <c r="G229" i="10"/>
  <c r="G228" i="10"/>
  <c r="G227" i="10"/>
  <c r="G225" i="10"/>
  <c r="G223" i="10"/>
  <c r="G222" i="10"/>
  <c r="G221" i="10"/>
  <c r="G220" i="10"/>
  <c r="G219" i="10"/>
  <c r="G218" i="10"/>
  <c r="G216" i="10"/>
  <c r="G215" i="10"/>
  <c r="G214" i="10"/>
  <c r="X212" i="10"/>
  <c r="Y212" i="10" s="1"/>
  <c r="J212" i="10"/>
  <c r="H212" i="10"/>
  <c r="G212" i="10"/>
  <c r="X211" i="10"/>
  <c r="Y211" i="10"/>
  <c r="J211" i="10"/>
  <c r="H211" i="10"/>
  <c r="G211" i="10"/>
  <c r="X210" i="10"/>
  <c r="Y210" i="10"/>
  <c r="J210" i="10"/>
  <c r="H210" i="10"/>
  <c r="G210" i="10"/>
  <c r="X209" i="10"/>
  <c r="Y209" i="10"/>
  <c r="J209" i="10"/>
  <c r="H209" i="10"/>
  <c r="G209" i="10"/>
  <c r="X208" i="10"/>
  <c r="Y208" i="10" s="1"/>
  <c r="J208" i="10"/>
  <c r="H208" i="10"/>
  <c r="G208" i="10"/>
  <c r="X207" i="10"/>
  <c r="Y207" i="10" s="1"/>
  <c r="J207" i="10"/>
  <c r="H207" i="10"/>
  <c r="G205" i="10"/>
  <c r="G204" i="10"/>
  <c r="G203" i="10"/>
  <c r="G202" i="10"/>
  <c r="G201" i="10"/>
  <c r="U193" i="10"/>
  <c r="V198" i="10"/>
  <c r="U198" i="10"/>
  <c r="V197" i="10"/>
  <c r="U197" i="10"/>
  <c r="V196" i="10"/>
  <c r="U196" i="10"/>
  <c r="V195" i="10"/>
  <c r="U195" i="10" s="1"/>
  <c r="V194" i="10"/>
  <c r="U194" i="10" s="1"/>
  <c r="V182" i="10"/>
  <c r="V191" i="10"/>
  <c r="U182" i="10"/>
  <c r="U191" i="10"/>
  <c r="T191" i="10"/>
  <c r="G191" i="10"/>
  <c r="T190" i="10"/>
  <c r="V177" i="10"/>
  <c r="V186" i="10" s="1"/>
  <c r="G190" i="10"/>
  <c r="V180" i="10"/>
  <c r="U180" i="10"/>
  <c r="U189" i="10" s="1"/>
  <c r="T189" i="10"/>
  <c r="G189" i="10"/>
  <c r="V179" i="10"/>
  <c r="T188" i="10"/>
  <c r="G188" i="10"/>
  <c r="V178" i="10"/>
  <c r="T187" i="10"/>
  <c r="G187" i="10"/>
  <c r="T186" i="10"/>
  <c r="V176" i="10"/>
  <c r="V185" i="10" s="1"/>
  <c r="T185" i="10"/>
  <c r="G185" i="10"/>
  <c r="V175" i="10"/>
  <c r="U175" i="10" s="1"/>
  <c r="U184" i="10" s="1"/>
  <c r="V184" i="10"/>
  <c r="T184" i="10"/>
  <c r="G184" i="10"/>
  <c r="G182" i="10"/>
  <c r="G181" i="10"/>
  <c r="G180" i="10"/>
  <c r="G179" i="10"/>
  <c r="G178" i="10"/>
  <c r="G176" i="10"/>
  <c r="G175" i="10"/>
  <c r="G173" i="10"/>
  <c r="G172" i="10"/>
  <c r="G170" i="10"/>
  <c r="G169" i="10"/>
  <c r="U165" i="10" a="1"/>
  <c r="U163" i="10"/>
  <c r="T163" i="10"/>
  <c r="V162" i="10"/>
  <c r="U158" i="10"/>
  <c r="V159" i="10" a="1"/>
  <c r="V160" i="10" s="1"/>
  <c r="U160" i="10" s="1"/>
  <c r="V159" i="10"/>
  <c r="U159" i="10"/>
  <c r="U154" i="10"/>
  <c r="V154" i="10"/>
  <c r="Y152" i="10"/>
  <c r="H152" i="10"/>
  <c r="G152" i="10"/>
  <c r="Y151" i="10"/>
  <c r="H151" i="10"/>
  <c r="G151" i="10"/>
  <c r="Y150" i="10"/>
  <c r="H150" i="10"/>
  <c r="G150" i="10"/>
  <c r="Y149" i="10"/>
  <c r="H149" i="10"/>
  <c r="G149" i="10"/>
  <c r="Y148" i="10"/>
  <c r="H148" i="10"/>
  <c r="G148" i="10"/>
  <c r="Y147" i="10"/>
  <c r="H147" i="10"/>
  <c r="X145" i="10"/>
  <c r="M208" i="9"/>
  <c r="AD34" i="9"/>
  <c r="AD39" i="9" s="1"/>
  <c r="K186" i="9"/>
  <c r="U177" i="10"/>
  <c r="U186" i="10" s="1"/>
  <c r="AF239" i="9"/>
  <c r="V189" i="10"/>
  <c r="V190" i="10"/>
  <c r="AG236" i="9"/>
  <c r="M236" i="9"/>
  <c r="N236" i="9" s="1"/>
  <c r="AF169" i="9"/>
  <c r="AF191" i="9"/>
  <c r="L191" i="9"/>
  <c r="M169" i="9"/>
  <c r="N169" i="9"/>
  <c r="M120" i="9"/>
  <c r="AD199" i="9"/>
  <c r="K25" i="9"/>
  <c r="K120" i="9"/>
  <c r="M126" i="9"/>
  <c r="M194" i="9"/>
  <c r="N194" i="9" s="1"/>
  <c r="M196" i="9"/>
  <c r="AF10" i="9"/>
  <c r="L10" i="9"/>
  <c r="L59" i="9" s="1"/>
  <c r="AF245" i="9"/>
  <c r="AF143" i="9"/>
  <c r="L196" i="9"/>
  <c r="AF38" i="9"/>
  <c r="L38" i="9" s="1"/>
  <c r="K38" i="9"/>
  <c r="AF167" i="9"/>
  <c r="L167" i="9" s="1"/>
  <c r="K228" i="9"/>
  <c r="M170" i="9"/>
  <c r="L192" i="9"/>
  <c r="AG44" i="9"/>
  <c r="M192" i="9"/>
  <c r="K179" i="9"/>
  <c r="K184" i="9"/>
  <c r="K157" i="9"/>
  <c r="K237" i="9"/>
  <c r="L303" i="9"/>
  <c r="K174" i="9"/>
  <c r="K5" i="9"/>
  <c r="K17" i="9"/>
  <c r="AE132" i="9"/>
  <c r="AD139" i="9"/>
  <c r="L146" i="9"/>
  <c r="AE156" i="9"/>
  <c r="M195" i="9"/>
  <c r="AF230" i="9"/>
  <c r="L230" i="9" s="1"/>
  <c r="AG174" i="9"/>
  <c r="M174" i="9" s="1"/>
  <c r="N174" i="9" s="1"/>
  <c r="M178" i="9"/>
  <c r="N178" i="9"/>
  <c r="K9" i="9"/>
  <c r="K23" i="9" s="1"/>
  <c r="AF88" i="9"/>
  <c r="L88" i="9"/>
  <c r="M167" i="9"/>
  <c r="N167" i="9"/>
  <c r="K178" i="9"/>
  <c r="M307" i="9"/>
  <c r="AE143" i="9"/>
  <c r="N5" i="9"/>
  <c r="M88" i="9"/>
  <c r="M90" i="9"/>
  <c r="AD63" i="9"/>
  <c r="AD67" i="9" s="1"/>
  <c r="AE39" i="9"/>
  <c r="AE46" i="9" s="1"/>
  <c r="AE124" i="9"/>
  <c r="AF25" i="9"/>
  <c r="L25" i="9"/>
  <c r="AE74" i="9"/>
  <c r="AG243" i="9"/>
  <c r="M243" i="9"/>
  <c r="N243" i="9" s="1"/>
  <c r="AF231" i="9"/>
  <c r="L231" i="9" s="1"/>
  <c r="AG231" i="9"/>
  <c r="M231" i="9" s="1"/>
  <c r="N231" i="9" s="1"/>
  <c r="K200" i="9"/>
  <c r="K183" i="9"/>
  <c r="K188" i="9" s="1"/>
  <c r="AF70" i="9"/>
  <c r="L70" i="9" s="1"/>
  <c r="L207" i="9"/>
  <c r="L208" i="9"/>
  <c r="K288" i="9"/>
  <c r="K290" i="9"/>
  <c r="K284" i="9"/>
  <c r="K286" i="9" s="1"/>
  <c r="AF153" i="9"/>
  <c r="L153" i="9" s="1"/>
  <c r="M280" i="9"/>
  <c r="L180" i="9"/>
  <c r="L181" i="9"/>
  <c r="AG163" i="9"/>
  <c r="M163" i="9" s="1"/>
  <c r="N163" i="9" s="1"/>
  <c r="L163" i="9"/>
  <c r="AG245" i="9"/>
  <c r="N242" i="9"/>
  <c r="N37" i="9"/>
  <c r="AF37" i="9"/>
  <c r="L37" i="9" s="1"/>
  <c r="AG237" i="9"/>
  <c r="M237" i="9" s="1"/>
  <c r="N237" i="9" s="1"/>
  <c r="N88" i="9"/>
  <c r="AH87" i="9"/>
  <c r="N87" i="9" s="1"/>
  <c r="N90" i="9" s="1"/>
  <c r="L17" i="9"/>
  <c r="N34" i="9"/>
  <c r="N42" i="9"/>
  <c r="AG65" i="9"/>
  <c r="AG67" i="9"/>
  <c r="M63" i="9"/>
  <c r="N63" i="9" s="1"/>
  <c r="AG85" i="9"/>
  <c r="AF85" i="9"/>
  <c r="L85" i="9" s="1"/>
  <c r="M10" i="9"/>
  <c r="AG183" i="9"/>
  <c r="M183" i="9" s="1"/>
  <c r="M188" i="9" s="1"/>
  <c r="L195" i="9"/>
  <c r="AH122" i="9"/>
  <c r="AH121" i="9" s="1"/>
  <c r="K121" i="9" s="1"/>
  <c r="AG199" i="9"/>
  <c r="AE161" i="9"/>
  <c r="AE165" i="9" s="1"/>
  <c r="M191" i="9"/>
  <c r="N191" i="9"/>
  <c r="AD120" i="9"/>
  <c r="AE89" i="9"/>
  <c r="AF120" i="9"/>
  <c r="L120" i="9" s="1"/>
  <c r="AD89" i="9"/>
  <c r="AD136" i="9"/>
  <c r="AF151" i="9"/>
  <c r="K163" i="9"/>
  <c r="AF213" i="9"/>
  <c r="L214" i="9" s="1"/>
  <c r="AD217" i="9"/>
  <c r="M297" i="9"/>
  <c r="N297" i="9" s="1"/>
  <c r="K10" i="9"/>
  <c r="K59" i="9" s="1"/>
  <c r="AF164" i="9"/>
  <c r="AF87" i="9"/>
  <c r="L87" i="9" s="1"/>
  <c r="L90" i="9" s="1"/>
  <c r="AG136" i="9"/>
  <c r="AF136" i="9"/>
  <c r="L141" i="9"/>
  <c r="AF158" i="9"/>
  <c r="M207" i="9"/>
  <c r="N207" i="9"/>
  <c r="AG141" i="9"/>
  <c r="M141" i="9" s="1"/>
  <c r="N141" i="9" s="1"/>
  <c r="AG13" i="9"/>
  <c r="M168" i="9"/>
  <c r="N168" i="9" s="1"/>
  <c r="AD10" i="9"/>
  <c r="AF178" i="9"/>
  <c r="L178" i="9" s="1"/>
  <c r="M180" i="9"/>
  <c r="N180" i="9"/>
  <c r="AG39" i="9"/>
  <c r="AG46" i="9"/>
  <c r="AG72" i="9"/>
  <c r="K87" i="9"/>
  <c r="K90" i="9" s="1"/>
  <c r="K134" i="9"/>
  <c r="M221" i="9"/>
  <c r="AF45" i="9"/>
  <c r="L45" i="9" s="1"/>
  <c r="AF201" i="9"/>
  <c r="AE82" i="9"/>
  <c r="L199" i="9"/>
  <c r="M202" i="9"/>
  <c r="AF11" i="9"/>
  <c r="L11" i="9" s="1"/>
  <c r="K11" i="9"/>
  <c r="K126" i="9"/>
  <c r="M179" i="9"/>
  <c r="N179" i="9" s="1"/>
  <c r="M213" i="9"/>
  <c r="N213" i="9"/>
  <c r="K309" i="9"/>
  <c r="L309" i="9" s="1"/>
  <c r="L306" i="9"/>
  <c r="AF157" i="9"/>
  <c r="L157" i="9" s="1"/>
  <c r="L139" i="9"/>
  <c r="K141" i="9"/>
  <c r="M44" i="9"/>
  <c r="N44" i="9" s="1"/>
  <c r="AF44" i="9"/>
  <c r="L44" i="9" s="1"/>
  <c r="K156" i="9"/>
  <c r="M136" i="9"/>
  <c r="M134" i="9"/>
  <c r="N134" i="9"/>
  <c r="K161" i="9"/>
  <c r="N221" i="9"/>
  <c r="M225" i="9"/>
  <c r="N225" i="9" s="1"/>
  <c r="N228" i="9" s="1"/>
  <c r="L158" i="9"/>
  <c r="AG158" i="9"/>
  <c r="M158" i="9" s="1"/>
  <c r="L288" i="9"/>
  <c r="L290" i="9" s="1"/>
  <c r="L284" i="9"/>
  <c r="L286" i="9" s="1"/>
  <c r="L270" i="9"/>
  <c r="L179" i="9"/>
  <c r="M172" i="9"/>
  <c r="M177" i="9" s="1"/>
  <c r="L164" i="9"/>
  <c r="AG164" i="9"/>
  <c r="M164" i="9"/>
  <c r="AG151" i="9"/>
  <c r="M151" i="9" s="1"/>
  <c r="N151" i="9" s="1"/>
  <c r="L151" i="9"/>
  <c r="AF65" i="9"/>
  <c r="L65" i="9" s="1"/>
  <c r="AG80" i="9"/>
  <c r="M65" i="9"/>
  <c r="N65" i="9" s="1"/>
  <c r="AF72" i="9"/>
  <c r="L72" i="9" s="1"/>
  <c r="AG74" i="9"/>
  <c r="M72" i="9"/>
  <c r="N72" i="9"/>
  <c r="L213" i="9"/>
  <c r="N10" i="9"/>
  <c r="M59" i="9"/>
  <c r="M282" i="9"/>
  <c r="N280" i="9"/>
  <c r="N282" i="9" s="1"/>
  <c r="L136" i="9"/>
  <c r="L134" i="9"/>
  <c r="AG157" i="9"/>
  <c r="M157" i="9" s="1"/>
  <c r="N157" i="9" s="1"/>
  <c r="M308" i="9"/>
  <c r="M306" i="9"/>
  <c r="M302" i="9"/>
  <c r="N302" i="9" s="1"/>
  <c r="L201" i="9"/>
  <c r="L202" i="9"/>
  <c r="M199" i="9"/>
  <c r="N199" i="9" s="1"/>
  <c r="M200" i="9"/>
  <c r="N200" i="9"/>
  <c r="AG89" i="9"/>
  <c r="AF89" i="9"/>
  <c r="M85" i="9"/>
  <c r="N172" i="9"/>
  <c r="N177" i="9" s="1"/>
  <c r="M80" i="9"/>
  <c r="N80" i="9" s="1"/>
  <c r="M288" i="9"/>
  <c r="M290" i="9" s="1"/>
  <c r="M284" i="9"/>
  <c r="N268" i="9"/>
  <c r="N288" i="9" s="1"/>
  <c r="N290" i="9" s="1"/>
  <c r="M270" i="9"/>
  <c r="M228" i="9"/>
  <c r="N308" i="9"/>
  <c r="N306" i="9"/>
  <c r="M286" i="9"/>
  <c r="N284" i="9"/>
  <c r="N286" i="9" s="1"/>
  <c r="N270" i="9"/>
  <c r="M111" i="9"/>
  <c r="L98" i="9"/>
  <c r="L103" i="9" s="1"/>
  <c r="W103" i="9"/>
  <c r="X103" i="9"/>
  <c r="N98" i="9"/>
  <c r="N103" i="9" s="1"/>
  <c r="L109" i="11"/>
  <c r="L116" i="11" s="1"/>
  <c r="L113" i="11" s="1"/>
  <c r="K116" i="11"/>
  <c r="K106" i="11"/>
  <c r="K120" i="11"/>
  <c r="M106" i="11"/>
  <c r="M120" i="11"/>
  <c r="M278" i="9" l="1"/>
  <c r="N276" i="9"/>
  <c r="N278" i="9" s="1"/>
  <c r="K113" i="11"/>
  <c r="M113" i="11"/>
  <c r="L274" i="9"/>
  <c r="M272" i="9"/>
  <c r="AG153" i="9"/>
  <c r="M153" i="9" s="1"/>
  <c r="AF183" i="9"/>
  <c r="V163" i="10"/>
  <c r="M23" i="9"/>
  <c r="N23" i="9" s="1"/>
  <c r="M77" i="9"/>
  <c r="AG124" i="9"/>
  <c r="M121" i="9"/>
  <c r="N121" i="9" s="1"/>
  <c r="K168" i="9"/>
  <c r="AD167" i="9"/>
  <c r="AE172" i="9"/>
  <c r="K167" i="9"/>
  <c r="AF114" i="9"/>
  <c r="L114" i="9" s="1"/>
  <c r="L342" i="9" s="1"/>
  <c r="M114" i="9"/>
  <c r="M342" i="9" s="1"/>
  <c r="U165" i="10"/>
  <c r="V165" i="10" s="1"/>
  <c r="U166" i="10"/>
  <c r="V166" i="10" s="1"/>
  <c r="K34" i="9"/>
  <c r="K42" i="9" s="1"/>
  <c r="AF34" i="9"/>
  <c r="L34" i="9" s="1"/>
  <c r="L42" i="9" s="1"/>
  <c r="AD45" i="9"/>
  <c r="AD46" i="9" s="1"/>
  <c r="K45" i="9"/>
  <c r="AD150" i="9"/>
  <c r="AE149" i="9"/>
  <c r="AF111" i="9"/>
  <c r="L111" i="9" s="1"/>
  <c r="K111" i="9"/>
  <c r="M309" i="9"/>
  <c r="AF161" i="9"/>
  <c r="L168" i="9"/>
  <c r="U167" i="10"/>
  <c r="V167" i="10" s="1"/>
  <c r="V187" i="10"/>
  <c r="U178" i="10"/>
  <c r="U187" i="10" s="1"/>
  <c r="L145" i="9"/>
  <c r="AG145" i="9"/>
  <c r="M145" i="9" s="1"/>
  <c r="AE159" i="9"/>
  <c r="AF156" i="9"/>
  <c r="L5" i="9"/>
  <c r="AD70" i="9"/>
  <c r="AD74" i="9" s="1"/>
  <c r="K70" i="9"/>
  <c r="AH130" i="9"/>
  <c r="AH127" i="9" s="1"/>
  <c r="AD126" i="9"/>
  <c r="AF126" i="9"/>
  <c r="L121" i="9"/>
  <c r="AD23" i="9"/>
  <c r="K162" i="9"/>
  <c r="AF162" i="9"/>
  <c r="M173" i="9"/>
  <c r="N173" i="9" s="1"/>
  <c r="K79" i="11"/>
  <c r="L91" i="11"/>
  <c r="AG143" i="9"/>
  <c r="N183" i="9"/>
  <c r="N188" i="9" s="1"/>
  <c r="M184" i="9"/>
  <c r="N184" i="9" s="1"/>
  <c r="M175" i="9"/>
  <c r="L278" i="9"/>
  <c r="M139" i="9"/>
  <c r="N139" i="9" s="1"/>
  <c r="U176" i="10"/>
  <c r="U185" i="10" s="1"/>
  <c r="V188" i="10"/>
  <c r="U179" i="10"/>
  <c r="U188" i="10" s="1"/>
  <c r="AE205" i="9"/>
  <c r="AE211" i="9"/>
  <c r="K199" i="9"/>
  <c r="AF174" i="9"/>
  <c r="AE29" i="9"/>
  <c r="L169" i="9"/>
  <c r="L170" i="9"/>
  <c r="AD9" i="9"/>
  <c r="AD13" i="9" s="1"/>
  <c r="AF9" i="9"/>
  <c r="L9" i="9" s="1"/>
  <c r="L23" i="9" s="1"/>
  <c r="AD26" i="9"/>
  <c r="AF26" i="9"/>
  <c r="L26" i="9" s="1"/>
  <c r="N12" i="9"/>
  <c r="N32" i="9" s="1"/>
  <c r="M32" i="9"/>
  <c r="AF63" i="9"/>
  <c r="L63" i="9" s="1"/>
  <c r="AE67" i="9"/>
  <c r="K63" i="9"/>
  <c r="AF152" i="9"/>
  <c r="K152" i="9"/>
  <c r="J83" i="11"/>
  <c r="J87" i="11" s="1"/>
  <c r="L71" i="11"/>
  <c r="J79" i="11"/>
  <c r="J91" i="11" s="1"/>
  <c r="M94" i="11"/>
  <c r="L189" i="9"/>
  <c r="AG185" i="9"/>
  <c r="L90" i="11"/>
  <c r="K90" i="11" s="1"/>
  <c r="L242" i="9"/>
  <c r="M127" i="9" l="1"/>
  <c r="N127" i="9" s="1"/>
  <c r="K127" i="9"/>
  <c r="K149" i="9"/>
  <c r="AF149" i="9"/>
  <c r="AE154" i="9"/>
  <c r="M186" i="9"/>
  <c r="N186" i="9" s="1"/>
  <c r="M185" i="9"/>
  <c r="N185" i="9" s="1"/>
  <c r="AF185" i="9"/>
  <c r="K91" i="11"/>
  <c r="AE150" i="9"/>
  <c r="AH153" i="9"/>
  <c r="AH150" i="9" s="1"/>
  <c r="N342" i="9"/>
  <c r="M344" i="9"/>
  <c r="L73" i="11"/>
  <c r="K71" i="11"/>
  <c r="L83" i="11"/>
  <c r="M71" i="11"/>
  <c r="L174" i="9"/>
  <c r="L175" i="9"/>
  <c r="L162" i="9"/>
  <c r="AG162" i="9"/>
  <c r="M162" i="9" s="1"/>
  <c r="N162" i="9" s="1"/>
  <c r="L344" i="9"/>
  <c r="L346" i="9"/>
  <c r="M346" i="9" s="1"/>
  <c r="AD154" i="9"/>
  <c r="AF159" i="9"/>
  <c r="AG156" i="9"/>
  <c r="L156" i="9"/>
  <c r="AF165" i="9"/>
  <c r="L161" i="9"/>
  <c r="AG161" i="9"/>
  <c r="K173" i="9"/>
  <c r="K172" i="9"/>
  <c r="K177" i="9" s="1"/>
  <c r="AF172" i="9"/>
  <c r="L184" i="9"/>
  <c r="L183" i="9"/>
  <c r="L188" i="9" s="1"/>
  <c r="K212" i="9"/>
  <c r="K211" i="9"/>
  <c r="AG211" i="9"/>
  <c r="AD211" i="9"/>
  <c r="AD29" i="9"/>
  <c r="AG152" i="9"/>
  <c r="M152" i="9" s="1"/>
  <c r="N152" i="9" s="1"/>
  <c r="L152" i="9"/>
  <c r="K206" i="9"/>
  <c r="AD205" i="9"/>
  <c r="K205" i="9"/>
  <c r="AG205" i="9"/>
  <c r="L126" i="9"/>
  <c r="L127" i="9"/>
  <c r="M274" i="9"/>
  <c r="N272" i="9"/>
  <c r="N274" i="9" s="1"/>
  <c r="L185" i="9" l="1"/>
  <c r="L186" i="9"/>
  <c r="AF211" i="9"/>
  <c r="M212" i="9"/>
  <c r="N212" i="9" s="1"/>
  <c r="M211" i="9"/>
  <c r="N211" i="9" s="1"/>
  <c r="L85" i="11"/>
  <c r="M73" i="11"/>
  <c r="K73" i="11"/>
  <c r="N344" i="9"/>
  <c r="N346" i="9"/>
  <c r="L149" i="9"/>
  <c r="AG149" i="9"/>
  <c r="AG159" i="9"/>
  <c r="M156" i="9"/>
  <c r="N156" i="9" s="1"/>
  <c r="AF205" i="9"/>
  <c r="M206" i="9"/>
  <c r="N206" i="9" s="1"/>
  <c r="M205" i="9"/>
  <c r="N205" i="9" s="1"/>
  <c r="L172" i="9"/>
  <c r="L177" i="9" s="1"/>
  <c r="L173" i="9"/>
  <c r="AF150" i="9"/>
  <c r="AF154" i="9" s="1"/>
  <c r="K150" i="9"/>
  <c r="M161" i="9"/>
  <c r="N161" i="9" s="1"/>
  <c r="AG165" i="9"/>
  <c r="M83" i="11"/>
  <c r="K83" i="11"/>
  <c r="L206" i="9" l="1"/>
  <c r="L205" i="9"/>
  <c r="M85" i="11"/>
  <c r="K85" i="11"/>
  <c r="AG154" i="9"/>
  <c r="M149" i="9"/>
  <c r="N149" i="9" s="1"/>
  <c r="K87" i="11"/>
  <c r="L212" i="9"/>
  <c r="L211" i="9"/>
  <c r="L150" i="9"/>
  <c r="AG150" i="9"/>
  <c r="M150" i="9" s="1"/>
  <c r="N150" i="9" s="1"/>
  <c r="M87" i="11"/>
  <c r="L87" i="11"/>
</calcChain>
</file>

<file path=xl/comments1.xml><?xml version="1.0" encoding="utf-8"?>
<comments xmlns="http://schemas.openxmlformats.org/spreadsheetml/2006/main">
  <authors>
    <author>-</author>
    <author>Tommi Ekholm</author>
    <author>Antti L</author>
    <author>Antti Lehtilä</author>
    <author>Antti-L</author>
  </authors>
  <commentList>
    <comment ref="W5" authorId="0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BOF
(BF only as a transformation process in UPS)</t>
        </r>
      </text>
    </comment>
    <comment ref="Y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de Beer 1998</t>
        </r>
      </text>
    </comment>
    <comment ref="AE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G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E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G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E1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G1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E1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AG1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AE12" authorId="0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Industry mimimum
Assuming 60%/40% ratio between reductant and BFG</t>
        </r>
      </text>
    </comment>
    <comment ref="AG1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Thermodynamic minimum plus 10% efficiency loss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BOF
(BF only as a transformation process in UPS)</t>
        </r>
      </text>
    </comment>
    <comment ref="Y1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de Beer 1998</t>
        </r>
      </text>
    </comment>
    <comment ref="AE1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G1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E2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G2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E2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G2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AG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AE27" authorId="0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Industry mimimum
Assuming 60%/40% ratio between reductant and BFG</t>
        </r>
      </text>
    </comment>
    <comment ref="AG2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Thermodynamic minimum plus 10% efficiency loss</t>
        </r>
      </text>
    </comment>
    <comment ref="AE3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DRI
Source:
Tracking Industrial Energy Efficiency and CO2 Emissions, IEA 2007</t>
        </r>
      </text>
    </comment>
    <comment ref="AG3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DRI
Source:
Tracking Industrial Energy Efficiency and CO2 Emissions, IEA 2007</t>
        </r>
      </text>
    </comment>
    <comment ref="AE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NGA use for MIDREX or HYL III -processes + NGA use for EAF
Source:
Tracking Industrial Energy Efficiency and CO2 Emissions, IEA 2007</t>
        </r>
      </text>
    </comment>
    <comment ref="AG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NGA use for MIDREX or HYL III -processes + NGA use for EAF
Source:
Tracking Industrial Energy Efficiency and CO2 Emissions, IEA 2007</t>
        </r>
      </text>
    </comment>
    <comment ref="AE3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
</t>
        </r>
      </text>
    </comment>
    <comment ref="AG3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38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Pelletizing, Ladle and rolling</t>
        </r>
      </text>
    </comment>
    <comment ref="AG38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4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DRI
Source:
Tracking Industrial Energy Efficiency and CO2 Emissions, IEA 2007</t>
        </r>
      </text>
    </comment>
    <comment ref="AG4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DRI
Source:
Tracking Industrial Energy Efficiency and CO2 Emissions, IEA 2007</t>
        </r>
      </text>
    </comment>
    <comment ref="AE4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
</t>
        </r>
      </text>
    </comment>
    <comment ref="AG4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4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Pelletizing, Ladle and rolling</t>
        </r>
      </text>
    </comment>
    <comment ref="AG4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R54" authorId="2" shapeId="0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Total energy for Rolling &amp; milling 2.2 GJ/tonne</t>
        </r>
      </text>
    </comment>
    <comment ref="R61" authorId="2" shapeId="0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Total energy for Rolling &amp; milling 2.2 GJ/tonne</t>
        </r>
      </text>
    </comment>
    <comment ref="AE6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full scrap
Source:
Tracking Industrial Energy Efficiency and CO2 Emissions, IEA 2007</t>
        </r>
      </text>
    </comment>
    <comment ref="AE6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NGA use for EAF and rolling
</t>
        </r>
      </text>
    </comment>
    <comment ref="AG6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6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
</t>
        </r>
      </text>
    </comment>
    <comment ref="AG6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6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</t>
        </r>
      </text>
    </comment>
    <comment ref="AG6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6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EAF electricity use for full scrap
Source:
Tracking Industrial Energy Efficiency and CO2 Emissions, IEA 2007</t>
        </r>
      </text>
    </comment>
    <comment ref="AE7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NGA use for EAF and rolling
</t>
        </r>
      </text>
    </comment>
    <comment ref="AG7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
</t>
        </r>
      </text>
    </comment>
    <comment ref="AG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AE7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</t>
        </r>
      </text>
    </comment>
    <comment ref="AG7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Practical minimum energy for rolling at 1 GJ/t
Source: 
Theoretical Minimum Energies To Produce Steel, Fruehan et al, 2000</t>
        </r>
      </text>
    </comment>
    <comment ref="W7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250$/t capacity for SR should be around 20% lower than for BF</t>
        </r>
      </text>
    </comment>
    <comment ref="AE7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BOF
</t>
        </r>
      </text>
    </comment>
    <comment ref="AE7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Iron and Steel Industry BREF, IPPC 2001</t>
        </r>
      </text>
    </comment>
    <comment ref="AE8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Rolling
</t>
        </r>
      </text>
    </comment>
    <comment ref="AE8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Ladle and rolling</t>
        </r>
      </text>
    </comment>
    <comment ref="AG8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Ladle and rolling</t>
        </r>
      </text>
    </comment>
    <comment ref="S82" authorId="2" shapeId="0">
      <text>
        <r>
          <rPr>
            <b/>
            <sz val="9"/>
            <color indexed="81"/>
            <rFont val="Tahoma"/>
            <family val="2"/>
          </rPr>
          <t>Antti L:</t>
        </r>
        <r>
          <rPr>
            <sz val="9"/>
            <color indexed="81"/>
            <rFont val="Tahoma"/>
            <family val="2"/>
          </rPr>
          <t xml:space="preserve">
ETSAP Brief</t>
        </r>
      </text>
    </comment>
    <comment ref="AE8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BOF
</t>
        </r>
      </text>
    </comment>
    <comment ref="AG8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BOF
</t>
        </r>
      </text>
    </comment>
    <comment ref="K83" authorId="1" shapeId="0">
      <text>
        <r>
          <rPr>
            <b/>
            <sz val="8"/>
            <color indexed="81"/>
            <rFont val="Tahoma"/>
            <family val="2"/>
          </rPr>
          <t>Tommi Ekholm:
BFG+OXY</t>
        </r>
        <r>
          <rPr>
            <sz val="8"/>
            <color indexed="81"/>
            <rFont val="Tahoma"/>
            <family val="2"/>
          </rPr>
          <t xml:space="preserve">
Source:
Iron and Steel Industry BREF, IPPC 2001</t>
        </r>
      </text>
    </comment>
    <comment ref="M83" authorId="1" shapeId="0">
      <text>
        <r>
          <rPr>
            <b/>
            <sz val="8"/>
            <color indexed="81"/>
            <rFont val="Tahoma"/>
            <family val="2"/>
          </rPr>
          <t>Tommi Ekholm:
BFG+OXY</t>
        </r>
        <r>
          <rPr>
            <sz val="8"/>
            <color indexed="81"/>
            <rFont val="Tahoma"/>
            <family val="2"/>
          </rPr>
          <t xml:space="preserve">
Source:
Iron and Steel Industry BREF, IPPC 2001</t>
        </r>
      </text>
    </comment>
    <comment ref="AE85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Average BAT consumption in 2000 about 4400 kWh/t. Assume 4300 as the average in 2010.</t>
        </r>
      </text>
    </comment>
    <comment ref="AE87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Total reductant consumption 0.55-0.7 t/t. Source: BREFs. 
Assume that the current best level is the average in 2010: 0.55*29 GJ/ = 16 GJ/t.</t>
        </r>
      </text>
    </comment>
    <comment ref="AH87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Minumun energy requirement is about 12 GJ/tonne.
Source: Fruehan et al. 2000.</t>
        </r>
      </text>
    </comment>
    <comment ref="M90" authorId="1" shapeId="0">
      <text>
        <r>
          <rPr>
            <b/>
            <sz val="8"/>
            <color indexed="81"/>
            <rFont val="Tahoma"/>
            <family val="2"/>
          </rPr>
          <t xml:space="preserve">Tommi Ekholm:
</t>
        </r>
        <r>
          <rPr>
            <sz val="8"/>
            <color indexed="81"/>
            <rFont val="Tahoma"/>
            <family val="2"/>
          </rPr>
          <t>Enhanced CO gas recovery, exceeding own use of the gas.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9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 IEA ETP model</t>
        </r>
      </text>
    </comment>
    <comment ref="AF9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20% reduction
Source: Energy Technology Perspectives, IEA 2006</t>
        </r>
      </text>
    </comment>
    <comment ref="AG9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Theoretical minimum about 1.8 GJ/tonne</t>
        </r>
      </text>
    </comment>
    <comment ref="K95" authorId="4" shape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IEAGHG Ref. </t>
        </r>
      </text>
    </comment>
    <comment ref="AA9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0.785  kt CO2/t CaO, 
65% CaO content</t>
        </r>
      </text>
    </comment>
    <comment ref="W98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 MATTER database</t>
        </r>
      </text>
    </comment>
    <comment ref="AF98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20% reduction
Source: Energy Technology Perspectives, IEA 2006</t>
        </r>
      </text>
    </comment>
    <comment ref="K100" authorId="4" shape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IEAGHG Ref. </t>
        </r>
      </text>
    </comment>
    <comment ref="AA10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0.785  kt CO2/t CaO, 
65% CaO content</t>
        </r>
      </text>
    </comment>
    <comment ref="W10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200 $/tCO2 cost increase
Source: 
Gielen; ETP 2006
x 0.5  (moved to FLO_COST)
+ 38 for gasification</t>
        </r>
      </text>
    </comment>
    <comment ref="K106" authorId="4" shape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IEAGHG Ref. </t>
        </r>
      </text>
    </comment>
    <comment ref="AA10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0.785  kt CO2/t CaO, 
65% CaO content</t>
        </r>
      </text>
    </comment>
    <comment ref="N11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Other clinker substitutes gradually raise clinker efficiency.</t>
        </r>
      </text>
    </comment>
    <comment ref="W11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MARKAL Matter Database.
10 $/t cost increase
Source: 
Tracking Industrial Energy Efficiency and CO2 Emissions, IEA 2007</t>
        </r>
      </text>
    </comment>
    <comment ref="W11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MATTER
</t>
        </r>
      </text>
    </comment>
    <comment ref="AG11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Minimum energy requirement 3.2
Source: IEA Tracking, 2007</t>
        </r>
      </text>
    </comment>
    <comment ref="K11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10% lower efficiency with coal.</t>
        </r>
      </text>
    </comment>
    <comment ref="W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X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Y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AE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Furnace + shaping and annealing
Source: Tracking Industrial
Energy Efficiency and
CO2 Emissions, IEA 2007</t>
        </r>
      </text>
    </comment>
    <comment ref="AF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Theoretical minimum for furnace:  2.8 GJ/t, theoretical maximum efficiency 80% 
Source:
Tracking Industrial Energy Efficiency and CO2 Emissions, IEA 2007
Glass industry BREF, IPPC 2001</t>
        </r>
      </text>
    </comment>
    <comment ref="AG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Theoretical minimum for furnace:  2.8 GJ/t, theoretical maximum efficiency 80% 
Source:
Tracking Industrial Energy Efficiency and CO2 Emissions, IEA 2007
Glass industry BREF, IPPC 2001</t>
        </r>
      </text>
    </comment>
    <comment ref="AH12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Electric boosting 10% of furnace enrgy use</t>
        </r>
      </text>
    </comment>
    <comment ref="W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X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Y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AE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Furnace + shaping and annealing
Source: Tracking Industrial
Energy Efficiency and
CO2 Emissions, IEA 2007</t>
        </r>
      </text>
    </comment>
    <comment ref="AF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Theoretical minimum for furnace:  2.8 GJ/t, theoretical maximum efficiency 80% 
Source:
Tracking Industrial Energy Efficiency and CO2 Emissions, IEA 2007
Glass industry BREF, IPPC 2001</t>
        </r>
      </text>
    </comment>
    <comment ref="AG12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Theoretical minimum for furnace:  2.8 GJ/t, theoretical maximum efficiency 80% 
Source: Tracking Industrial
Energy Efficiency and
CO2 Emissions, IEA 2007
Glass industry BREF, IPPC 2001</t>
        </r>
      </text>
    </comment>
    <comment ref="W1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Y1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
Markal MATTER database
</t>
        </r>
      </text>
    </comment>
    <comment ref="AE1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Current modern tunnel kiln
Source: Tracking Industrial
Energy Efficiency and
CO2 Emissions, IEA 2007</t>
        </r>
      </text>
    </comment>
    <comment ref="AF1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Technically feasible level
Source: Tracking Industrial
Energy Efficiency and
CO2 Emissions, IEA 2007</t>
        </r>
      </text>
    </comment>
    <comment ref="AG13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Technically feasible level
Source: Tracking Industrial
Energy Efficiency and
CO2 Emissions, IEA 2007</t>
        </r>
      </text>
    </comment>
    <comment ref="AE13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0.2 GJ/t of electricity for electron production
</t>
        </r>
      </text>
    </comment>
    <comment ref="AF13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0.2 GJ/t of electricity for electron production
</t>
        </r>
      </text>
    </comment>
    <comment ref="AE14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Pre-baked anode material</t>
        </r>
      </text>
    </comment>
    <comment ref="AF14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Pre-baked anode material</t>
        </r>
      </text>
    </comment>
    <comment ref="AE14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7,4 GJ/t for e.g. casting and rolling
1 GJ of NGA for electron production
Source: Tracking Industrial
Energy Efficiency and
CO2 Emissions, IEA 2007</t>
        </r>
      </text>
    </comment>
    <comment ref="AF14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7,4 GJ/t for e.g. casting and rolling
1 GJ of NGA for electron production
Source: Tracking Industrial
Energy Efficiency and
CO2 Emissions, IEA 2007</t>
        </r>
      </text>
    </comment>
    <comment ref="W14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Cost savings are expected with inert anodes, here estimated as 5%
Source: Tracking Industrial Energy Efficiency and CO2 Emissions, IEA 2007</t>
        </r>
      </text>
    </comment>
    <comment ref="AG15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25% fuel reduction potential.
Source: IEA Tracking</t>
        </r>
      </text>
    </comment>
    <comment ref="AE16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Current state-of-the-art plants are approx. 20% more (fuel) efficient than the average in 2000. Assume 75% reach that level by 2010
Source:
Tracking Industrial Energy Efficiency and
CO2 Emissions, IEA 2007;</t>
        </r>
      </text>
    </comment>
    <comment ref="AG16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40% reduction potential from current practices
Source: Feedstock Substitutes, Energy Efficient Technology and CO2 Reduction for Petrochemical Products; IEA, 2007</t>
        </r>
      </text>
    </comment>
    <comment ref="AE16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1 GJ/t electricity use based  on a Swedish olefing processing plant
Source:
Large Volume Organic Chemicals BREF
</t>
        </r>
      </text>
    </comment>
    <comment ref="AG16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15% savings in compression and separation
Source:
Tracking Industrial Energy Efficiency and
CO2 Emissions, IEA 2007;</t>
        </r>
      </text>
    </comment>
    <comment ref="AB17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AE1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Current state-of-the-art plants are approx. 20% more (fuel) efficient than the average in 2000. Assume 75% reach that level by 2010
Source:
Tracking Industrial Energy Efficiency and
CO2 Emissions, IEA 2007;</t>
        </r>
      </text>
    </comment>
    <comment ref="AG1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40% reduction potential from current practices
Source: Feedstock Substitutes, Energy Efficient Technology and CO2 Reduction for Petrochemical Products; IEA, 2007</t>
        </r>
      </text>
    </comment>
    <comment ref="AE17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1 GJ/t electricity use based  on a Swedish olefing processing plant
Source:
Large Volume Organic Chemicals BREF
</t>
        </r>
      </text>
    </comment>
    <comment ref="AG17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15% savings in compression and separation
Source:
Tracking Industrial Energy Efficiency and
CO2 Emissions, IEA 2007;</t>
        </r>
      </text>
    </comment>
    <comment ref="AB17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AE18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1 GJ/t electricity use based  on a Swedish olefing processing plant
Source:
Large Volume Organic Chemicals BREF
</t>
        </r>
      </text>
    </comment>
    <comment ref="AG180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15% savings in compression and separation
Source:
Tracking Industrial Energy Efficiency and
CO2 Emissions, IEA 2007;</t>
        </r>
      </text>
    </comment>
    <comment ref="AB18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AE18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Assumed 1 GJ/t electricity use based  on a Swedish olefing processing plant
Source:
Large Volume Organic Chemicals BREF
</t>
        </r>
      </text>
    </comment>
    <comment ref="AG18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15% savings in compression and separation
Source:
Tracking Industrial Energy Efficiency and
CO2 Emissions, IEA 2007;</t>
        </r>
      </text>
    </comment>
    <comment ref="AB18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AE191" authorId="1" shapeId="0">
      <text>
        <r>
          <rPr>
            <b/>
            <sz val="9"/>
            <color indexed="81"/>
            <rFont val="Tahoma"/>
            <family val="2"/>
          </rPr>
          <t>Process integration reduces net electricity close to zero</t>
        </r>
      </text>
    </comment>
    <comment ref="AG19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15% savings in compression and separation
Source:
Tracking Industrial Energy Efficiency and
CO2 Emissions, IEA 2007;</t>
        </r>
      </text>
    </comment>
    <comment ref="AB19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AB197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W19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 Rafiqul et al: Energy efficiency improvements in ammonia production—perspectives and uncertainties</t>
        </r>
      </text>
    </comment>
    <comment ref="AE19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Heat exchange autothermal reforming
31.8 GJ/t, of which 21 as feedstocks
Source:
Tracking Industrial Energy Efficiency and
CO2 Emissions, IEA 2007;
Large Volume Inorganic Chemicals BREF
</t>
        </r>
      </text>
    </comment>
    <comment ref="AF19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BAT level 28 GJ/t, of which 21 as feedstocks
Source:
Tracking Industrial Energy Efficiency and
CO2 Emissions, IEA 2007;
Rafiqul etl al., Energy, vol 30 Iss. 13; 2005
</t>
        </r>
      </text>
    </comment>
    <comment ref="AG199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Theretical efficency currently about 60%</t>
        </r>
      </text>
    </comment>
    <comment ref="AA20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W20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 Rafiqul et al: Energy efficiency improvements in ammonia production—perspectives and uncertainties</t>
        </r>
      </text>
    </comment>
    <comment ref="AA20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W211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Source: Rafiqul et al: Energy efficiency improvements in ammonia production—perspectives and uncertainties</t>
        </r>
      </text>
    </comment>
    <comment ref="AA21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Source:  Large volume inorganic chemicals BREF</t>
        </r>
      </text>
    </comment>
    <comment ref="W217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 ETP model, MATTER model</t>
        </r>
      </text>
    </comment>
    <comment ref="AB21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CO2 from feedstocks
For methanol, 5% of feedstock carbon assumed</t>
        </r>
      </text>
    </comment>
    <comment ref="W221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 ETP model, MATTER model</t>
        </r>
      </text>
    </comment>
    <comment ref="W225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ECN-C--095-039; MATTER</t>
        </r>
      </text>
    </comment>
    <comment ref="AD233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 Tracking 2007.</t>
        </r>
      </text>
    </comment>
    <comment ref="K23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Hydrogen byproduct.
Sources: MATTER database, Finnish references</t>
        </r>
      </text>
    </comment>
    <comment ref="K247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NEEDS Database</t>
        </r>
      </text>
    </comment>
    <comment ref="M268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IEA-ETP model</t>
        </r>
      </text>
    </comment>
    <comment ref="M27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IEA-ETP model</t>
        </r>
      </text>
    </comment>
    <comment ref="M27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IEA-ETP model</t>
        </r>
      </text>
    </comment>
    <comment ref="M28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IEA-ETP model</t>
        </r>
      </text>
    </comment>
    <comment ref="N34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These are a Lime kilns, efficiencies are relative to Base year only.</t>
        </r>
      </text>
    </comment>
    <comment ref="N34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These are a Lime kilns, efficiencies are relative to Base year only.</t>
        </r>
      </text>
    </comment>
    <comment ref="N34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These are a Lime kilns, efficiencies are relative to Base year only.</t>
        </r>
      </text>
    </comment>
    <comment ref="W34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Finnish data on biomass gasifier inveestment.</t>
        </r>
      </text>
    </comment>
    <comment ref="W37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7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7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8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8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8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9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9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39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0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0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0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10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12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W414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Source: IEA/ETP model</t>
        </r>
      </text>
    </comment>
    <comment ref="K51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200 USD/tCO2; same as for clinker CCS; in agreement with MATTER database</t>
        </r>
      </text>
    </comment>
    <comment ref="L516" authorId="3" shapeId="0">
      <text>
        <r>
          <rPr>
            <b/>
            <sz val="8"/>
            <color indexed="81"/>
            <rFont val="Tahoma"/>
            <family val="2"/>
          </rPr>
          <t>Antti Lehtilä:</t>
        </r>
        <r>
          <rPr>
            <sz val="8"/>
            <color indexed="81"/>
            <rFont val="Tahoma"/>
            <family val="2"/>
          </rPr>
          <t xml:space="preserve">
200 USD/tCO2; same as for clinker CCS; in agreement with MATTER database</t>
        </r>
      </text>
    </comment>
  </commentList>
</comments>
</file>

<file path=xl/comments2.xml><?xml version="1.0" encoding="utf-8"?>
<comments xmlns="http://schemas.openxmlformats.org/spreadsheetml/2006/main">
  <authors>
    <author>-</author>
    <author>Tommi Ekholm</author>
    <author>Antti-L</author>
  </authors>
  <commentList>
    <comment ref="AB69" authorId="0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Industry mimimum
Assuming 60%/40% ratio between reductant and BFG</t>
        </r>
      </text>
    </comment>
    <comment ref="AD6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Thermodynamic minimum plus 10% efficiency loss</t>
        </r>
      </text>
    </comment>
    <comment ref="AB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D72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 (hot stoves), and BOF</t>
        </r>
      </text>
    </comment>
    <comment ref="AB7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D7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(hot stoves), Rolling</t>
        </r>
      </text>
    </comment>
    <comment ref="AB7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D74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BF and Rolling
</t>
        </r>
      </text>
    </comment>
    <comment ref="AB7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AD75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Sintering, BF, BOF and rolling</t>
        </r>
      </text>
    </comment>
    <comment ref="T10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200 $/tCO2 cost increase
Oxyfuel with CCS 50% increase to reference (IEA GHG)</t>
        </r>
      </text>
    </comment>
    <comment ref="J109" authorId="2" shape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Ref. + ASU</t>
        </r>
      </text>
    </comment>
    <comment ref="X109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0.785  kt CO2/t CaO, 
70% CaO content</t>
        </r>
      </text>
    </comment>
    <comment ref="T113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200 $/tCO2 cost increase
Source: 
Gielen; ETP 2006
x 0.5  (moved to FLO_COST)
+ 38 for gasification</t>
        </r>
      </text>
    </comment>
    <comment ref="X116" authorId="1" shapeId="0">
      <text>
        <r>
          <rPr>
            <b/>
            <sz val="8"/>
            <color indexed="81"/>
            <rFont val="Tahoma"/>
            <family val="2"/>
          </rPr>
          <t>Tommi Ekholm:</t>
        </r>
        <r>
          <rPr>
            <sz val="8"/>
            <color indexed="81"/>
            <rFont val="Tahoma"/>
            <family val="2"/>
          </rPr>
          <t xml:space="preserve">
0.785  kt CO2/t CaO, 
70% CaO content</t>
        </r>
      </text>
    </comment>
    <comment ref="J120" authorId="2" shapeId="0">
      <text>
        <r>
          <rPr>
            <b/>
            <sz val="8"/>
            <color indexed="81"/>
            <rFont val="Tahoma"/>
            <family val="2"/>
          </rPr>
          <t>Antti-L:</t>
        </r>
        <r>
          <rPr>
            <sz val="8"/>
            <color indexed="81"/>
            <rFont val="Tahoma"/>
            <family val="2"/>
          </rPr>
          <t xml:space="preserve">
Fuel for preheating</t>
        </r>
      </text>
    </comment>
  </commentList>
</comments>
</file>

<file path=xl/comments3.xml><?xml version="1.0" encoding="utf-8"?>
<comments xmlns="http://schemas.openxmlformats.org/spreadsheetml/2006/main">
  <authors>
    <author>Maryse Labriet</author>
    <author>Administrador</author>
  </authors>
  <commentList>
    <comment ref="K169" authorId="0" shapeId="0">
      <text>
        <r>
          <rPr>
            <b/>
            <sz val="8"/>
            <color indexed="81"/>
            <rFont val="Tahoma"/>
            <family val="2"/>
          </rPr>
          <t>Maryse Labriet:</t>
        </r>
        <r>
          <rPr>
            <sz val="8"/>
            <color indexed="81"/>
            <rFont val="Tahoma"/>
            <family val="2"/>
          </rPr>
          <t xml:space="preserve">
Was = to ELC</t>
        </r>
      </text>
    </comment>
    <comment ref="N169" authorId="0" shapeId="0">
      <text>
        <r>
          <rPr>
            <b/>
            <sz val="8"/>
            <color indexed="81"/>
            <rFont val="Tahoma"/>
            <family val="2"/>
          </rPr>
          <t>Maryse Labriet: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Maryse Labriet:</t>
        </r>
        <r>
          <rPr>
            <sz val="8"/>
            <color indexed="81"/>
            <rFont val="Tahoma"/>
            <family val="2"/>
          </rPr>
          <t xml:space="preserve">
Was = to ELC</t>
        </r>
      </text>
    </comment>
    <comment ref="N170" authorId="0" shapeId="0">
      <text>
        <r>
          <rPr>
            <b/>
            <sz val="8"/>
            <color indexed="81"/>
            <rFont val="Tahoma"/>
            <family val="2"/>
          </rPr>
          <t>Maryse Labriet: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81" authorId="0" shapeId="0">
      <text>
        <r>
          <rPr>
            <b/>
            <sz val="8"/>
            <color indexed="81"/>
            <rFont val="Tahoma"/>
            <family val="2"/>
          </rPr>
          <t>Maryse Labriet:</t>
        </r>
        <r>
          <rPr>
            <sz val="8"/>
            <color indexed="81"/>
            <rFont val="Tahoma"/>
            <family val="2"/>
          </rPr>
          <t xml:space="preserve">
4 equipments are required for one house</t>
        </r>
      </text>
    </comment>
    <comment ref="K182" authorId="1" shapeId="0">
      <text>
        <r>
          <rPr>
            <b/>
            <sz val="8"/>
            <color indexed="81"/>
            <rFont val="Tahoma"/>
            <family val="2"/>
          </rPr>
          <t>Administrador:</t>
        </r>
        <r>
          <rPr>
            <sz val="8"/>
            <color indexed="81"/>
            <rFont val="Tahoma"/>
            <family val="2"/>
          </rPr>
          <t xml:space="preserve">
increased to reduce penetration</t>
        </r>
      </text>
    </comment>
  </commentList>
</comments>
</file>

<file path=xl/sharedStrings.xml><?xml version="1.0" encoding="utf-8"?>
<sst xmlns="http://schemas.openxmlformats.org/spreadsheetml/2006/main" count="7424" uniqueCount="1409">
  <si>
    <t>RK1BIO005</t>
  </si>
  <si>
    <t>COMLPG</t>
  </si>
  <si>
    <t>COMNGA</t>
  </si>
  <si>
    <t>RESDST</t>
  </si>
  <si>
    <t>RESLPG</t>
  </si>
  <si>
    <t>RESNGA</t>
  </si>
  <si>
    <t>RESBIO</t>
  </si>
  <si>
    <t>RCW</t>
  </si>
  <si>
    <t>RCDELC005</t>
  </si>
  <si>
    <t>RES: .05.ELC.CLOTH DRIERS.STD.</t>
  </si>
  <si>
    <t>RCD</t>
  </si>
  <si>
    <t>RDW</t>
  </si>
  <si>
    <t>RDWELC005</t>
  </si>
  <si>
    <t>RES: .05.ELC.DISH WASHER.STD.</t>
  </si>
  <si>
    <t>COM.COOL.R1: .05.ELC.CHILLER.CENTRIFUGAL.NEW.</t>
  </si>
  <si>
    <t>COM.COOL.R2: .05.ELC.CHILLER.CENTRIFUGAL.NEW.</t>
  </si>
  <si>
    <t>COM: .05.NGA.COOKING.</t>
  </si>
  <si>
    <t>COM: .05.KER.COOKING.</t>
  </si>
  <si>
    <t>COM: .05.LPG.COOKING.</t>
  </si>
  <si>
    <t>IPLPNGA105</t>
  </si>
  <si>
    <t xml:space="preserve">RES: .05.ELC.WATER HEATER.RESISTANCE.IMP.   </t>
  </si>
  <si>
    <t xml:space="preserve">RES: .05.ELC.WATER HEATER.HPUMP.AIR.            </t>
  </si>
  <si>
    <t xml:space="preserve">RES: .05.ELC.WATER HEATER.SOLAR.                </t>
  </si>
  <si>
    <t xml:space="preserve">RES: .05.LPG.WATER HEATER.STD.                  </t>
  </si>
  <si>
    <t xml:space="preserve">RES: .05.LPG.WATER HEATER.CONDENSING.STD.       </t>
  </si>
  <si>
    <t xml:space="preserve">RES: .05.LPG.WATER HEATER.SOLAR.                </t>
  </si>
  <si>
    <t xml:space="preserve">RES: .05.NGA.WATER HEATER.STD.                  </t>
  </si>
  <si>
    <t>INVCOST~2025</t>
  </si>
  <si>
    <t>INVCOST~2035</t>
  </si>
  <si>
    <t>FIXOM~2025</t>
  </si>
  <si>
    <t>FIXOM~2035</t>
  </si>
  <si>
    <t>EFF~2025</t>
  </si>
  <si>
    <t>EFF~2035</t>
  </si>
  <si>
    <t>*</t>
  </si>
  <si>
    <t>RES.HEAT.R1: .05.NGA.INS-REG.PUMP.STD.</t>
  </si>
  <si>
    <t>RES.HEAT.R1: .05.BIO.INS-REG.WOOD.BOI.</t>
  </si>
  <si>
    <t xml:space="preserve">RES.HEAT.R2: .05.NGA.INS-REG.PUMP.STD.       </t>
  </si>
  <si>
    <t>RES.HEAT.R2: .05.BIO.WOOD BOILER</t>
  </si>
  <si>
    <t xml:space="preserve">RES.HEAT.R2: .05.BIO.WOODPELLET.STD.       </t>
  </si>
  <si>
    <t>CH1EHA007</t>
  </si>
  <si>
    <t>COM.HEAT.COOL.R1: .05.ELC.HPUMP.AIR.</t>
  </si>
  <si>
    <t>COM.HEAT.R1: .05.NGA.INS-REG.PUMP.STD.</t>
  </si>
  <si>
    <t>RESBFO</t>
  </si>
  <si>
    <t>COMBFO</t>
  </si>
  <si>
    <t>Input~2020</t>
  </si>
  <si>
    <t>Input~2035</t>
  </si>
  <si>
    <t>Input~2050</t>
  </si>
  <si>
    <t>AGHEHP105</t>
  </si>
  <si>
    <t xml:space="preserve">RES: .05.NGA.WATER HEATER.CONDENSING.STD.       </t>
  </si>
  <si>
    <t xml:space="preserve">RES: .05.NGA.WATER HEATER.SOLAR.                </t>
  </si>
  <si>
    <t>DMD,NST</t>
  </si>
  <si>
    <t xml:space="preserve">RES: .05.SOL.WATER HEATER.STD.                  </t>
  </si>
  <si>
    <t>RCDELC105</t>
  </si>
  <si>
    <t>Cooking RK1</t>
  </si>
  <si>
    <t>Lighting RL1</t>
  </si>
  <si>
    <t>RL1IMS005</t>
  </si>
  <si>
    <t xml:space="preserve">RES.LIGH.R1: .05.ELC.INCANDESCENT.MEDIUM.STANDARD                  </t>
  </si>
  <si>
    <t>Kampke</t>
  </si>
  <si>
    <t>RL1HSS005</t>
  </si>
  <si>
    <t xml:space="preserve">RES.LIGH.R1: .05.ELC.HALOGEN.SMALL.STANDARD                        </t>
  </si>
  <si>
    <t>RL1HSI005</t>
  </si>
  <si>
    <t xml:space="preserve">RES.LIGH.R1: .05.ELC.HALOGEN.SMALL.IRC                             </t>
  </si>
  <si>
    <t>RL1FSS005</t>
  </si>
  <si>
    <t xml:space="preserve">RES.LIGH.R1: .05.ELC.FLUORESCENT.SMALL                             </t>
  </si>
  <si>
    <t>RL1FES005</t>
  </si>
  <si>
    <t>RES.LIGH.R1: .05.ELC.FLUORESCENT.COMPACT.ENERGYSAVER.SMALL.STANDARD</t>
  </si>
  <si>
    <t>RH1ELC005</t>
  </si>
  <si>
    <t>RES.HEAT.R1: .05.ELC.INS-REG.RESISTANCE.STD.</t>
  </si>
  <si>
    <t>RH1EHA005</t>
  </si>
  <si>
    <t xml:space="preserve">RES.HEAT.R1: .05.ELC.INS-REG.HPUMP.AIR.            </t>
  </si>
  <si>
    <t>RH1EHN005</t>
  </si>
  <si>
    <t xml:space="preserve">RES.HEAT.R1: .05.ELC.INS-REG.HPUMP.NEARSURFACE.    </t>
  </si>
  <si>
    <t xml:space="preserve">RES.HEAT.R1: .05.ELC.INS-REG.HPUMP.PROBE.          </t>
  </si>
  <si>
    <t xml:space="preserve">RES.HEAT.R1: .05.ELC.INS-REG.SOLAR.                </t>
  </si>
  <si>
    <t xml:space="preserve">RES.HEAT.R1: .05.DST.INS-REG.STD.                  </t>
  </si>
  <si>
    <t>RH1DSC005</t>
  </si>
  <si>
    <t xml:space="preserve">RES.HEAT.R1: .05.DST.INS-REG.CONDENSING.STD.       </t>
  </si>
  <si>
    <t>RH1LPB005</t>
  </si>
  <si>
    <t xml:space="preserve">RES.HEAT.R1: .05.LPG.INS-REG.STD.                  </t>
  </si>
  <si>
    <t>RH1NGB005</t>
  </si>
  <si>
    <t xml:space="preserve">RES.HEAT.R1: .05.NGA.INS-REG.STD.                  </t>
  </si>
  <si>
    <t xml:space="preserve">RES.HEAT.R1: .05.HET.INS-REG.EXCHANGER.            </t>
  </si>
  <si>
    <t>~FI_T: EUR10</t>
  </si>
  <si>
    <t>RES.HEAT.R1: .05.BIO.INS-REG.WOODSTOVES.STD.</t>
  </si>
  <si>
    <t>RH1WPL005</t>
  </si>
  <si>
    <t xml:space="preserve">RES.HEAT.R1: .05.BIO.INS-REG.WOODPELLET.STD.       </t>
  </si>
  <si>
    <t>RH2ELC005</t>
  </si>
  <si>
    <t>RES.HEAT.R2: .05.ELC.INS-REG.RESISTANCE.STD.</t>
  </si>
  <si>
    <t>RH2EHA005</t>
  </si>
  <si>
    <t xml:space="preserve">RES.HEAT.R2: .05.ELC.INS-REG.HPUMP.AIR.            </t>
  </si>
  <si>
    <t xml:space="preserve">RES.HEAT.R2: .05.ELC.INS-REG.HPUMP.PROBE.          </t>
  </si>
  <si>
    <t xml:space="preserve">RES.HEAT.R2: .05.DST.INS-REG.STD.                  </t>
  </si>
  <si>
    <t xml:space="preserve">RES.HEAT.R2: .05.DST.INS-REG.CONDENSING.STD.       </t>
  </si>
  <si>
    <t xml:space="preserve">RES.HEAT.R2: .05.LPG.INS-REG.STD.                  </t>
  </si>
  <si>
    <t>RH2NGB005</t>
  </si>
  <si>
    <t xml:space="preserve">RES.HEAT.R2: .05.NGA.INS-REG.STD.                  </t>
  </si>
  <si>
    <t xml:space="preserve">RES.HEAT.R2: .05.HET.INS-REG.EXCHANGER.            </t>
  </si>
  <si>
    <t>RH2WPL005</t>
  </si>
  <si>
    <t>Space cooling RC1</t>
  </si>
  <si>
    <t>Space cooling RC2</t>
  </si>
  <si>
    <t>CLAIBS005</t>
  </si>
  <si>
    <t xml:space="preserve">COM.LIGH: .05.ELC.INCANDESCENT.BIG.STANDARD                     </t>
  </si>
  <si>
    <t>CLAFSS005</t>
  </si>
  <si>
    <t xml:space="preserve">COM.LIGH: .05.ELC.FLUORESCENT.SMALL.STANDARD                    </t>
  </si>
  <si>
    <t>CLAFEB005</t>
  </si>
  <si>
    <t xml:space="preserve">COM.LIGH: .05.ELC.FLUORESCENT.COMPACT.ENERGYSAVER.BIG.STANDARD  </t>
  </si>
  <si>
    <t>CLANAL005</t>
  </si>
  <si>
    <t xml:space="preserve">COM.LIGH: .05.ELC.SODIUM.LOWPRESSURE.SMALL.STANDARD                   </t>
  </si>
  <si>
    <t xml:space="preserve">COM: .05.ELC.WATER HEATER.RESISTANCE.    </t>
  </si>
  <si>
    <t>CHWELN005</t>
  </si>
  <si>
    <t>CHWEHA005</t>
  </si>
  <si>
    <t xml:space="preserve">COM: .05.ELC.WATER HEATER.HPUMP.AIR.     </t>
  </si>
  <si>
    <t>CHWLPB005</t>
  </si>
  <si>
    <t xml:space="preserve">COM: .05.LPG.WATER HEATER.STD.           </t>
  </si>
  <si>
    <t>CHWLPC005</t>
  </si>
  <si>
    <t>COM: .05.LPG.WATER HEATER.CONDENSING.STD.</t>
  </si>
  <si>
    <t xml:space="preserve">COM: .05.NGA.WATER HEATER.STD.           </t>
  </si>
  <si>
    <t>CHWNGC005</t>
  </si>
  <si>
    <t>COM: .05.NGA.WATER HEATER.CONDENSING.STD.</t>
  </si>
  <si>
    <t xml:space="preserve">COM: .05.SOL.WATER HEATER.STD.           </t>
  </si>
  <si>
    <t>CH1ELC005</t>
  </si>
  <si>
    <t>COM.HEAT.R1: .05.ELC.RESISTANCE.STD.</t>
  </si>
  <si>
    <t>CH1EHA005</t>
  </si>
  <si>
    <t xml:space="preserve">COM.HEAT.R1: .05.ELC.HPUMP.AIR.     </t>
  </si>
  <si>
    <t xml:space="preserve">COM.HEAT.R1: .05.ELC.HPUMP.PROBE.   </t>
  </si>
  <si>
    <t>CH1DSB005</t>
  </si>
  <si>
    <t xml:space="preserve">COM.HEAT.R1: .05.DST.STD.           </t>
  </si>
  <si>
    <t>CH1DSC005</t>
  </si>
  <si>
    <t>COM.HEAT.R1: .05.DST.CONDENSING.STD.</t>
  </si>
  <si>
    <t>CH1LPB005</t>
  </si>
  <si>
    <t xml:space="preserve">COM.HEAT.R1: .05.LPG.STD.           </t>
  </si>
  <si>
    <t xml:space="preserve">COM.HEAT.R1: .05.NGA.STD.           </t>
  </si>
  <si>
    <t xml:space="preserve">COM.HEAT.R1: .05.HET.EXCHANGER.     </t>
  </si>
  <si>
    <t>COM.HEAT.R1: .05.BIO.WOOD BOILER</t>
  </si>
  <si>
    <t>CH1WPL005</t>
  </si>
  <si>
    <t>COM.HEAT.R1: .05.BIO.WOODPELLET.STD.</t>
  </si>
  <si>
    <t>ILPNFB070</t>
  </si>
  <si>
    <t>Process New Fibre Pulp</t>
  </si>
  <si>
    <t>ILPNFR</t>
  </si>
  <si>
    <t>ILPMIX370</t>
  </si>
  <si>
    <t>Mix pulps for paper and board 3</t>
  </si>
  <si>
    <t>ILPPEX010</t>
  </si>
  <si>
    <t>Export Mechanical Pulp</t>
  </si>
  <si>
    <t>ILPPUC115</t>
  </si>
  <si>
    <t xml:space="preserve">New Chemical SB Pulp - Conv. </t>
  </si>
  <si>
    <t>ILPPUC215</t>
  </si>
  <si>
    <t xml:space="preserve">New Chemical HB Pulp - Conv. </t>
  </si>
  <si>
    <t>ILPPUC315</t>
  </si>
  <si>
    <t>New Chemical SB Pulp - Lignoboost</t>
  </si>
  <si>
    <t>ILPLGN</t>
  </si>
  <si>
    <t>ILPPUC415</t>
  </si>
  <si>
    <t>New Chemical HB Pulp - Lignoboost</t>
  </si>
  <si>
    <t>ILPPUC515</t>
  </si>
  <si>
    <t>New Chemical SB Pulp - Dissolve</t>
  </si>
  <si>
    <t>ILPLHD</t>
  </si>
  <si>
    <t>ILPPUC615</t>
  </si>
  <si>
    <t>New Chemical HB Pulp - Dissolve</t>
  </si>
  <si>
    <t>ILPLGN115</t>
  </si>
  <si>
    <t>Lignine processing</t>
  </si>
  <si>
    <t>ILPLHD115</t>
  </si>
  <si>
    <t>Hydrolysate processing</t>
  </si>
  <si>
    <t xml:space="preserve"> </t>
  </si>
  <si>
    <t>New fiber pulp</t>
  </si>
  <si>
    <t>Pulp for paper and paperboard</t>
  </si>
  <si>
    <t>Lignine from pulping</t>
  </si>
  <si>
    <t>Hydrolysate from pulping</t>
  </si>
  <si>
    <t>FIN</t>
  </si>
  <si>
    <t>G-IISTEEL</t>
  </si>
  <si>
    <t>All steel</t>
  </si>
  <si>
    <t>Mechanical refiner pulp - fine</t>
  </si>
  <si>
    <t>Mechanical groundwood pulp - fine</t>
  </si>
  <si>
    <t>Semi-chemical pulp</t>
  </si>
  <si>
    <t>Mechanical refiner pulp - coarse</t>
  </si>
  <si>
    <t>Mechanical groundwood pulp - coarse</t>
  </si>
  <si>
    <t>Chemical hardwood sulphate pulp</t>
  </si>
  <si>
    <t>Chemical softwood sulphate pulp - bleached</t>
  </si>
  <si>
    <t>Chemical softwood sulphate pulp</t>
  </si>
  <si>
    <t>BWENET</t>
  </si>
  <si>
    <t>Wood biomass for energy transformation</t>
  </si>
  <si>
    <t>RWHELC</t>
  </si>
  <si>
    <t>Electricity (RWH)</t>
  </si>
  <si>
    <t>Commercial space cooling CC1</t>
  </si>
  <si>
    <t>Commercial space cooling CC2</t>
  </si>
  <si>
    <t>COMBPL</t>
  </si>
  <si>
    <t>RESBPL</t>
  </si>
  <si>
    <t>RH2DSC705</t>
  </si>
  <si>
    <t>RH2LPB705</t>
  </si>
  <si>
    <t>Agriculture Heat New NGA</t>
  </si>
  <si>
    <t>Agriculture Heat New DST</t>
  </si>
  <si>
    <t>Agriculture Heat New BIO</t>
  </si>
  <si>
    <t>G-RSOLSEA</t>
  </si>
  <si>
    <t>Group for seasonal solar</t>
  </si>
  <si>
    <t>Agriculture Heat New ELC</t>
  </si>
  <si>
    <t>Agriculture Heat New HET</t>
  </si>
  <si>
    <t>Agriculture Heat New SOL</t>
  </si>
  <si>
    <t>AGRNGA</t>
  </si>
  <si>
    <t>AGRDST</t>
  </si>
  <si>
    <t>AGRBIO</t>
  </si>
  <si>
    <t>AGRELC</t>
  </si>
  <si>
    <t>AGRHET</t>
  </si>
  <si>
    <t>AGRSOL</t>
  </si>
  <si>
    <t>AGRLTH</t>
  </si>
  <si>
    <t>AGHNGA005</t>
  </si>
  <si>
    <t>AGHDST005</t>
  </si>
  <si>
    <t>AGHBIO005</t>
  </si>
  <si>
    <t>AGHELC005</t>
  </si>
  <si>
    <t>AGHHET005</t>
  </si>
  <si>
    <t>AGHSOL005</t>
  </si>
  <si>
    <t>Agriculture HeatPump New ELC</t>
  </si>
  <si>
    <t>Electricity (AGR)</t>
  </si>
  <si>
    <t>Heat (AGR)</t>
  </si>
  <si>
    <t>Low temp heat (AGR)</t>
  </si>
  <si>
    <t>COM: .05.ELC.COOKING.</t>
  </si>
  <si>
    <t>COM: .05.ELC.EQUIPMENT.MISCELLANEOUS.</t>
  </si>
  <si>
    <t>COM: .05.DST.EQUIPMENT.OTHERS.</t>
  </si>
  <si>
    <t>COM: .05.NGA.EQUIPMENT.OTHERS.</t>
  </si>
  <si>
    <t>kWh/Ton</t>
  </si>
  <si>
    <t>GJ/Ton</t>
  </si>
  <si>
    <t>MGR</t>
  </si>
  <si>
    <t>MGRF</t>
  </si>
  <si>
    <t>MTH</t>
  </si>
  <si>
    <t>MTHF</t>
  </si>
  <si>
    <t>COM: .05.ELC.REFRIGERATORS.</t>
  </si>
  <si>
    <t>COM.COOL.R1: .05.GEO.HEAT PUMP.IMP.</t>
  </si>
  <si>
    <t>COM.COOL.R2: .05.GEO.HEAT PUMP.IMP.</t>
  </si>
  <si>
    <t>COM.COOL.R1: .05.ELC.CENTRAL.</t>
  </si>
  <si>
    <t>COM.COOL.R2: .05.ELC.CENTRAL.</t>
  </si>
  <si>
    <t>COM: .05.SOL.COOKING.</t>
  </si>
  <si>
    <t>CCKSOL005</t>
  </si>
  <si>
    <t>CCKELC</t>
  </si>
  <si>
    <t>COM: .05.DST.COOKING.</t>
  </si>
  <si>
    <t>CCKDST005</t>
  </si>
  <si>
    <t>CCKDST</t>
  </si>
  <si>
    <t>CC2</t>
  </si>
  <si>
    <t>CC1ELA005</t>
  </si>
  <si>
    <t>CC2ELA005</t>
  </si>
  <si>
    <t>CC1ELB005</t>
  </si>
  <si>
    <t>CC2ELB005</t>
  </si>
  <si>
    <t>CC1ELE010</t>
  </si>
  <si>
    <t>CC2ELE010</t>
  </si>
  <si>
    <t>CC1ELF005</t>
  </si>
  <si>
    <t>CC2ELF005</t>
  </si>
  <si>
    <t>Ref A, D</t>
  </si>
  <si>
    <t>CC1ELI005</t>
  </si>
  <si>
    <t>CC2ELI005</t>
  </si>
  <si>
    <t>CC1ELJ005</t>
  </si>
  <si>
    <t>CC2ELJ005</t>
  </si>
  <si>
    <t>CC1DST015</t>
  </si>
  <si>
    <t>CC2DST015</t>
  </si>
  <si>
    <t>ELCC</t>
  </si>
  <si>
    <t>RCWELC305</t>
  </si>
  <si>
    <t>RES: .05.ELC.CLOTH WASHING.REDUCED WATER.</t>
  </si>
  <si>
    <t>RCWELC405</t>
  </si>
  <si>
    <t>RES: .05.ELC.CLOTH WASHING.ULTRA SOUND.</t>
  </si>
  <si>
    <t>Curr</t>
  </si>
  <si>
    <t>CC1NGA005</t>
  </si>
  <si>
    <t>CC2NGA005</t>
  </si>
  <si>
    <t>CC1NGB005</t>
  </si>
  <si>
    <t>INDDST</t>
  </si>
  <si>
    <t>PJ-a</t>
  </si>
  <si>
    <t>MOTOR CYCLE: .05.CFV.GAS.MCG.</t>
  </si>
  <si>
    <t>IOCHCOA005</t>
  </si>
  <si>
    <t>Other Chemicals Coal New</t>
  </si>
  <si>
    <t>IOCHCOK005</t>
  </si>
  <si>
    <t>Other Chemicals Coke New</t>
  </si>
  <si>
    <t>IOCHETH005</t>
  </si>
  <si>
    <t>Other Chemicals Ethane New</t>
  </si>
  <si>
    <t>INDCOG</t>
  </si>
  <si>
    <t>INDBFG</t>
  </si>
  <si>
    <t>~FI_Comm</t>
  </si>
  <si>
    <t>CSet</t>
  </si>
  <si>
    <t>CommName</t>
  </si>
  <si>
    <t>CommDesc</t>
  </si>
  <si>
    <t>Unit</t>
  </si>
  <si>
    <t>PJ</t>
  </si>
  <si>
    <t>Electricity (Centralized)</t>
  </si>
  <si>
    <t>ENV</t>
  </si>
  <si>
    <t>IMOILPG005</t>
  </si>
  <si>
    <t>ISCH</t>
  </si>
  <si>
    <t>Electricity-Season (IND)</t>
  </si>
  <si>
    <t>IMCH</t>
  </si>
  <si>
    <t>IECH</t>
  </si>
  <si>
    <t>IOCH</t>
  </si>
  <si>
    <t>COM.COOL.R1: .05.ELC.CHILLER.ROOFTOP.NEW.</t>
  </si>
  <si>
    <t>COM.COOL.R2: .05.ELC.CHILLER.ROOFTOP.NEW.</t>
  </si>
  <si>
    <t>RES: .05.ELC.CLOTH DRIERS.IMP.</t>
  </si>
  <si>
    <t>RL1</t>
  </si>
  <si>
    <t>RL2</t>
  </si>
  <si>
    <t>RH1NGC005</t>
  </si>
  <si>
    <t>Comm-OUT</t>
  </si>
  <si>
    <t>Electricity (RHA)</t>
  </si>
  <si>
    <t>Commercial Other</t>
  </si>
  <si>
    <t>Residential Cooling - Region 1</t>
  </si>
  <si>
    <t>Residential Clothes Drying</t>
  </si>
  <si>
    <t>Residential Clothes Washing</t>
  </si>
  <si>
    <t>Residential Dishwashing</t>
  </si>
  <si>
    <t>Residential Other  Electric</t>
  </si>
  <si>
    <t>Electricity (RES)</t>
  </si>
  <si>
    <t>Heat (RES)</t>
  </si>
  <si>
    <t>Residential Space Heat - Region 1</t>
  </si>
  <si>
    <t>Residential Cooking - Region 1</t>
  </si>
  <si>
    <t>Residential Lighting - Region 1</t>
  </si>
  <si>
    <t>Residential Other</t>
  </si>
  <si>
    <t>Residential Refrigeration</t>
  </si>
  <si>
    <t>Other All Other Industry Heavy Oil New</t>
  </si>
  <si>
    <t>IOOIDST005</t>
  </si>
  <si>
    <t>Other All Other Industry Distillate Oil New</t>
  </si>
  <si>
    <t>IOOINGA005</t>
  </si>
  <si>
    <t>Other All Other Industry Natural Gas New</t>
  </si>
  <si>
    <t>IOOIELC005</t>
  </si>
  <si>
    <t>IOOIGEO005</t>
  </si>
  <si>
    <t>IOOILPG005</t>
  </si>
  <si>
    <t>Other All Other Industry LPG New</t>
  </si>
  <si>
    <t>IEOIELC005</t>
  </si>
  <si>
    <t>IOOIBIO005</t>
  </si>
  <si>
    <t>Other All Other Industry BIO New</t>
  </si>
  <si>
    <t>Sets</t>
  </si>
  <si>
    <t>CAPUNIT</t>
  </si>
  <si>
    <t>START</t>
  </si>
  <si>
    <t>INVCOST</t>
  </si>
  <si>
    <t>FIXOM</t>
  </si>
  <si>
    <t>VAROM</t>
  </si>
  <si>
    <t>CF</t>
  </si>
  <si>
    <t>EFF</t>
  </si>
  <si>
    <t>RH1-NET</t>
  </si>
  <si>
    <t>RH2-NET</t>
  </si>
  <si>
    <t>CH1-NET</t>
  </si>
  <si>
    <t>Residential net heat production</t>
  </si>
  <si>
    <t>Commercial net heat production</t>
  </si>
  <si>
    <t>AF</t>
  </si>
  <si>
    <t>\I:</t>
  </si>
  <si>
    <t>SAIC</t>
  </si>
  <si>
    <t>TRAGSL</t>
  </si>
  <si>
    <t>TRT</t>
  </si>
  <si>
    <t>INDBFO</t>
  </si>
  <si>
    <t>Bio-fuel oil (IND)</t>
  </si>
  <si>
    <t>TRADST</t>
  </si>
  <si>
    <t>TRALPG</t>
  </si>
  <si>
    <t>TRANGA</t>
  </si>
  <si>
    <t>TRAMET</t>
  </si>
  <si>
    <t>TRAETH</t>
  </si>
  <si>
    <t>TRL</t>
  </si>
  <si>
    <t>RH1</t>
  </si>
  <si>
    <t>RH2</t>
  </si>
  <si>
    <t>RH1EHP005</t>
  </si>
  <si>
    <t>RH2EHP005</t>
  </si>
  <si>
    <t>Cloth washing machines</t>
  </si>
  <si>
    <t>Cloth driers</t>
  </si>
  <si>
    <t>Dish washers</t>
  </si>
  <si>
    <t xml:space="preserve">Commercial Lighting </t>
  </si>
  <si>
    <t>Miscellaneous all electric equipment, REA</t>
  </si>
  <si>
    <t xml:space="preserve">Residential Other </t>
  </si>
  <si>
    <t>Commercial Cooking</t>
  </si>
  <si>
    <t>Commercial Elecric Office Equipment</t>
  </si>
  <si>
    <t xml:space="preserve">Commercial Other </t>
  </si>
  <si>
    <t>Commercial Refrigeration</t>
  </si>
  <si>
    <t>RH1ELS005</t>
  </si>
  <si>
    <t>Process Heat Other Industry Natural Gas New</t>
  </si>
  <si>
    <t>IPOICOA005</t>
  </si>
  <si>
    <t>Process Heat Other Industry Coal New</t>
  </si>
  <si>
    <t>IPOIELC005</t>
  </si>
  <si>
    <t>Process Heat Other Industry Electric New</t>
  </si>
  <si>
    <t>IPOILPG005</t>
  </si>
  <si>
    <t>Process Heat Other Industry LPG New</t>
  </si>
  <si>
    <t>IMOIDST005</t>
  </si>
  <si>
    <t>Machine Drive Other Industry Distillate Oil New</t>
  </si>
  <si>
    <t>IMOINGA005</t>
  </si>
  <si>
    <t>Machine Drive Other Industry Natural Gas New</t>
  </si>
  <si>
    <t>IMOIELC005</t>
  </si>
  <si>
    <t>Machine Drive Other Industry Electric New</t>
  </si>
  <si>
    <t>IMOIELI005</t>
  </si>
  <si>
    <t>IMOIELH005</t>
  </si>
  <si>
    <t>Machine Drive Other Industry Electric High eff.</t>
  </si>
  <si>
    <t>IOOIHFO005</t>
  </si>
  <si>
    <t>RLAELC</t>
  </si>
  <si>
    <t>RRFELC</t>
  </si>
  <si>
    <t>RWPELC</t>
  </si>
  <si>
    <t>~FI_T: EFF</t>
  </si>
  <si>
    <t>UnitCost</t>
  </si>
  <si>
    <t>Passanger Cars</t>
  </si>
  <si>
    <t>TRTGCA01</t>
  </si>
  <si>
    <t>CAR: .CFV.GSL.CAFE.STD.</t>
  </si>
  <si>
    <t/>
  </si>
  <si>
    <t>TRTGCC01</t>
  </si>
  <si>
    <t>CAR: .CFV.GSL.CAFE.IMP.</t>
  </si>
  <si>
    <t>IOIELC</t>
  </si>
  <si>
    <t>IOOELC</t>
  </si>
  <si>
    <t>FLO_SHAR</t>
  </si>
  <si>
    <t>TRTGHY01</t>
  </si>
  <si>
    <t>CAR: .AFV.HYB.GSL.</t>
  </si>
  <si>
    <t>TRTGHE01</t>
  </si>
  <si>
    <t>CAR: .AFV.HYB.GSL/ELC.</t>
  </si>
  <si>
    <t>TRDELC</t>
  </si>
  <si>
    <t>TRTDCA01</t>
  </si>
  <si>
    <t>CAR: .CFV.DST.CAFE.STD.</t>
  </si>
  <si>
    <t>TRTDCC01</t>
  </si>
  <si>
    <t>CAR: .CFV.DST.CAFE.IMP.</t>
  </si>
  <si>
    <t>TRTDHY01</t>
  </si>
  <si>
    <t>CAR: .AFV.HYB.DST.</t>
  </si>
  <si>
    <t>TRTDHE01</t>
  </si>
  <si>
    <t>CAR: .AFV.HYB.DST/ELC.</t>
  </si>
  <si>
    <t>TRTELC01</t>
  </si>
  <si>
    <t>CAR: .AFV.HYB.ELC.</t>
  </si>
  <si>
    <t>TRTLPG01</t>
  </si>
  <si>
    <t>CAR: .AFV.LPG.CAFE.STD.</t>
  </si>
  <si>
    <t>TRTNGA01</t>
  </si>
  <si>
    <t>CAR: .AFV.NGA.CAFE.STD.</t>
  </si>
  <si>
    <t>TRTETH01</t>
  </si>
  <si>
    <t>CAR: .AFV.ETH.CAFE.STD.</t>
  </si>
  <si>
    <t>TRTMET01</t>
  </si>
  <si>
    <t>CAR: .AFV.MET.CAFE.STD.</t>
  </si>
  <si>
    <t>TRTMFC01</t>
  </si>
  <si>
    <t>CAR: .AFV.FCV.MET.</t>
  </si>
  <si>
    <t>TRTHFC01</t>
  </si>
  <si>
    <t>CAR: .AFV.FCV.HYD.</t>
  </si>
  <si>
    <t>Light trucks</t>
  </si>
  <si>
    <t>TRLGCC01</t>
  </si>
  <si>
    <t>VAN: .CFV.GSL.CAFE.IMP.</t>
  </si>
  <si>
    <t>TRLGHY01</t>
  </si>
  <si>
    <t>VAN: .AFV.HYB.GSL.</t>
  </si>
  <si>
    <t>TRLGHE01</t>
  </si>
  <si>
    <t>VAN: .AFV.HYB.GSL/ELC.</t>
  </si>
  <si>
    <t>TRLDCC01</t>
  </si>
  <si>
    <t>VAN: .CFV.DST.CAFE.IMP.</t>
  </si>
  <si>
    <t>TRLDHY01</t>
  </si>
  <si>
    <t>VAN: .AFV.HYB.DST.</t>
  </si>
  <si>
    <t>TRLDHE01</t>
  </si>
  <si>
    <t>VAN: .AFV.HYB.DST/ELC.</t>
  </si>
  <si>
    <t>TRLELC01</t>
  </si>
  <si>
    <t>VAN: .AFV.HYB.ELC.</t>
  </si>
  <si>
    <t>TRLLPG01</t>
  </si>
  <si>
    <t>VAN: .AFV.LPG.CAFE.STD.</t>
  </si>
  <si>
    <t>TRLNGA01</t>
  </si>
  <si>
    <t>VAN: .AFV.NGA.CAFE.STD.</t>
  </si>
  <si>
    <t>TRLETH01</t>
  </si>
  <si>
    <t>VAN: .AFV.ETH.CAFE.STD.</t>
  </si>
  <si>
    <t>TRLMET01</t>
  </si>
  <si>
    <t>VAN: .AFV.MET.CAFE.STD.</t>
  </si>
  <si>
    <t>TRLMFC01</t>
  </si>
  <si>
    <t>VAN: .AFV.FCV.MET.</t>
  </si>
  <si>
    <t>TRLHFC01</t>
  </si>
  <si>
    <t>VAN: .AFV.FCV.HYD.</t>
  </si>
  <si>
    <t>Medium truks</t>
  </si>
  <si>
    <t>TRMDST01</t>
  </si>
  <si>
    <t>MTR: .CFV.DST.STD.</t>
  </si>
  <si>
    <t>TRMDHY01</t>
  </si>
  <si>
    <t>MTR: .AFV.HYB.DST.</t>
  </si>
  <si>
    <t>TRMDHE01</t>
  </si>
  <si>
    <t>MTR: .AFV.HYB.DST/ELC.</t>
  </si>
  <si>
    <t>TRMLPG01</t>
  </si>
  <si>
    <t>MTR: .AFV.LPG.STD.</t>
  </si>
  <si>
    <t>TRMNGA01</t>
  </si>
  <si>
    <t>MTR: .AFV.NGA.STD.</t>
  </si>
  <si>
    <t>TRMETH01</t>
  </si>
  <si>
    <t>MTR: .AFV.ETH.STD.</t>
  </si>
  <si>
    <t>TRMMET01</t>
  </si>
  <si>
    <t>MTR: .AFV.MET.STD.</t>
  </si>
  <si>
    <t>TRMMFC01</t>
  </si>
  <si>
    <t>MTR: .AFV.FCV.MET.</t>
  </si>
  <si>
    <t>TRMHFC01</t>
  </si>
  <si>
    <t>MTR: .AFV.FCV.HYD.</t>
  </si>
  <si>
    <t>Heavy trucks</t>
  </si>
  <si>
    <t>TRHDST01</t>
  </si>
  <si>
    <t>HTR: .CFV.DST.STD.</t>
  </si>
  <si>
    <t>TRHDHY01</t>
  </si>
  <si>
    <t>HTR: .AFV.HYB.DST.</t>
  </si>
  <si>
    <t>TRHDHE01</t>
  </si>
  <si>
    <t>HTR: .AFV.HYB.DST/ELC.</t>
  </si>
  <si>
    <t>TRHLPG01</t>
  </si>
  <si>
    <t>HTR: .AFV.LPG.STD.</t>
  </si>
  <si>
    <t>TRHNGA01</t>
  </si>
  <si>
    <t>HTR: .AFV.NGA.STD.</t>
  </si>
  <si>
    <t>TRHETH01</t>
  </si>
  <si>
    <t>HTR: .AFV.ETH.STD.</t>
  </si>
  <si>
    <t>TRHMET01</t>
  </si>
  <si>
    <t>HTR: .AFV.MET.STD.</t>
  </si>
  <si>
    <t>TRHMFC01</t>
  </si>
  <si>
    <t>HTR: .AFV.FCV.MET.</t>
  </si>
  <si>
    <t>TRHHFC01</t>
  </si>
  <si>
    <t>HTR: .AFV.FCV.HYD.</t>
  </si>
  <si>
    <t>Buses</t>
  </si>
  <si>
    <t>TRBDST01</t>
  </si>
  <si>
    <t>BUS: .CFV.DST.STD.</t>
  </si>
  <si>
    <t>TRBDHY01</t>
  </si>
  <si>
    <t>BUS: .AFV.HYB.DST.</t>
  </si>
  <si>
    <t>TRBDHE01</t>
  </si>
  <si>
    <t>BUS: .AFV.HYB.DST/ELC.</t>
  </si>
  <si>
    <t>TRBLPG01</t>
  </si>
  <si>
    <t>BUS: .AFV.LPG.STD.</t>
  </si>
  <si>
    <t>TRBNGA01</t>
  </si>
  <si>
    <t>BUS: .AFV.NGA.STD.</t>
  </si>
  <si>
    <t>TRBETH01</t>
  </si>
  <si>
    <t>BUS: .AFV.ETH.STD.</t>
  </si>
  <si>
    <t>TRBMET01</t>
  </si>
  <si>
    <t>BUS: .AFV.MET.STD.</t>
  </si>
  <si>
    <t>TRBMFC01</t>
  </si>
  <si>
    <t>BUS: .AFV.FCV.MET.</t>
  </si>
  <si>
    <t>TRBHFC01</t>
  </si>
  <si>
    <t>BUS: .AFV.FCV.HYD.</t>
  </si>
  <si>
    <t>Alternate generic plane long dist</t>
  </si>
  <si>
    <t>DEM</t>
  </si>
  <si>
    <t>YES</t>
  </si>
  <si>
    <t>RHTELC</t>
  </si>
  <si>
    <t>RHPELC</t>
  </si>
  <si>
    <t>RCLELC</t>
  </si>
  <si>
    <t>Electricity (RCL)</t>
  </si>
  <si>
    <t>Electricity (RLA)</t>
  </si>
  <si>
    <t>Electricity (RRF)</t>
  </si>
  <si>
    <t>Electricity (ROT)</t>
  </si>
  <si>
    <t>Electricity (RHT)</t>
  </si>
  <si>
    <t>Electricity (RHP)</t>
  </si>
  <si>
    <t>Electricity (RWP)</t>
  </si>
  <si>
    <t>CCLELC</t>
  </si>
  <si>
    <t>Electricity (CCL)</t>
  </si>
  <si>
    <t>CLAELC</t>
  </si>
  <si>
    <t>Electricity (CLA)</t>
  </si>
  <si>
    <t>COEELC</t>
  </si>
  <si>
    <t>Electricity (COE)</t>
  </si>
  <si>
    <t>COTELC</t>
  </si>
  <si>
    <t>Electricity (COT)</t>
  </si>
  <si>
    <t>CHTELC</t>
  </si>
  <si>
    <t>Electricity (CHT)</t>
  </si>
  <si>
    <t>CHPELC</t>
  </si>
  <si>
    <t>Electricity (CHP)</t>
  </si>
  <si>
    <t>CWHELC</t>
  </si>
  <si>
    <t>Electricity (CWH)</t>
  </si>
  <si>
    <t>CCLHET</t>
  </si>
  <si>
    <t>Heat cool (COM)</t>
  </si>
  <si>
    <t>TREGSL005</t>
  </si>
  <si>
    <t>THREE WHEELS: .05.CFV.GAS.</t>
  </si>
  <si>
    <t>TRE</t>
  </si>
  <si>
    <t>TREDST005</t>
  </si>
  <si>
    <t>INDBCO</t>
  </si>
  <si>
    <t>Brown coal (IND)</t>
  </si>
  <si>
    <t>RH1HET005</t>
  </si>
  <si>
    <t>RH2BIO005</t>
  </si>
  <si>
    <t>RC1ELC005</t>
  </si>
  <si>
    <t>RES.COOL.R1: .05.ELC.INS-REG.CENTRAL.STD.</t>
  </si>
  <si>
    <t>RC1</t>
  </si>
  <si>
    <t>RC2ELC005</t>
  </si>
  <si>
    <t>\I:Source</t>
  </si>
  <si>
    <t>LIFE</t>
  </si>
  <si>
    <t>RRFEXS005</t>
  </si>
  <si>
    <t>ILPPPW</t>
  </si>
  <si>
    <t>ILPPOT</t>
  </si>
  <si>
    <t>BIOBLQ</t>
  </si>
  <si>
    <t>ILPPUC105</t>
  </si>
  <si>
    <t>ILPCSB</t>
  </si>
  <si>
    <t>ILPCHB</t>
  </si>
  <si>
    <t>ILPPUC205</t>
  </si>
  <si>
    <t>ILPCSN</t>
  </si>
  <si>
    <t>ILPSCN</t>
  </si>
  <si>
    <t>ILPMRF</t>
  </si>
  <si>
    <t>ILPPUM007</t>
  </si>
  <si>
    <t>ILPMRN</t>
  </si>
  <si>
    <t>ILPPUM205</t>
  </si>
  <si>
    <t>ILPPUM305</t>
  </si>
  <si>
    <t>ILPMGF</t>
  </si>
  <si>
    <t>ILPMGN</t>
  </si>
  <si>
    <t>CEFF</t>
  </si>
  <si>
    <t>ILPPUC305</t>
  </si>
  <si>
    <t>ROTLPG005</t>
  </si>
  <si>
    <t>Other Residential LPG equipment New</t>
  </si>
  <si>
    <t>ROTNGA005</t>
  </si>
  <si>
    <t>Other Residential Natural Gas equipment New</t>
  </si>
  <si>
    <t>CCKNGA005</t>
  </si>
  <si>
    <t>CCK</t>
  </si>
  <si>
    <t>CCKKER005</t>
  </si>
  <si>
    <t>CCKLPG005</t>
  </si>
  <si>
    <t>CCKELC005</t>
  </si>
  <si>
    <t>RES: .10.ELC.DISH WASHER.ADV.</t>
  </si>
  <si>
    <t>RK1NGA005</t>
  </si>
  <si>
    <t>RES.COOK.R1: .05.NGA.</t>
  </si>
  <si>
    <t>RK1</t>
  </si>
  <si>
    <t>INSELC100</t>
  </si>
  <si>
    <t>Load Tech - Seasonal (IND)</t>
  </si>
  <si>
    <t>Hydrogen (TRA)</t>
  </si>
  <si>
    <t>Captured CO2 (IND)</t>
  </si>
  <si>
    <t>Captured CO2 (Negem)</t>
  </si>
  <si>
    <t>RESKER</t>
  </si>
  <si>
    <t>COM.COOL.R1: .15.ELC.CHILLER.CENTRIFUGAL.IMP.</t>
  </si>
  <si>
    <t>COM.COOL.R2: .15.ELC.CHILLER.CENTRIFUGAL.IMP.</t>
  </si>
  <si>
    <t>RES.COOK.R1: .05.BIO.</t>
  </si>
  <si>
    <t>RK1SOL005</t>
  </si>
  <si>
    <t>RES.COOK.R1: .05.SOL.</t>
  </si>
  <si>
    <t>Refs A, J</t>
  </si>
  <si>
    <t>RK2</t>
  </si>
  <si>
    <t>COMELC</t>
  </si>
  <si>
    <t>CLA</t>
  </si>
  <si>
    <t>CHW</t>
  </si>
  <si>
    <t>CHWELC005</t>
  </si>
  <si>
    <t>COMDST</t>
  </si>
  <si>
    <t>COMKER</t>
  </si>
  <si>
    <t>COM.COOL.R2: .05.NGA.CHILLER.ENGINE.STD.</t>
  </si>
  <si>
    <t>RDWELC105</t>
  </si>
  <si>
    <t>RES: .05.ELC.DISH WASHER.IMP.</t>
  </si>
  <si>
    <t>RDWELC210</t>
  </si>
  <si>
    <t>CHWNGB005</t>
  </si>
  <si>
    <t>CHWSOL005</t>
  </si>
  <si>
    <t>COMSOL</t>
  </si>
  <si>
    <t>CH1</t>
  </si>
  <si>
    <t>CH2</t>
  </si>
  <si>
    <t>CH1EHP005</t>
  </si>
  <si>
    <t>Refrigerators</t>
  </si>
  <si>
    <t>RC1NGA005</t>
  </si>
  <si>
    <t>RES.COOL.R1: .05.NGA.INS-REG.HEAT PUMP.AIR.STD.</t>
  </si>
  <si>
    <t>RC2NGA005</t>
  </si>
  <si>
    <t>RES.COOL.R2: .05.NGA.INS-REG.HEAT PUMP.AIR.STD.</t>
  </si>
  <si>
    <t>RC1NGB005</t>
  </si>
  <si>
    <t>RES.COOL.R1: .05.NGA.INS-REG.CENTRAL.NEW.</t>
  </si>
  <si>
    <t>RC2NGB005</t>
  </si>
  <si>
    <t>RES.COOL.R2: .05.NGA.INS-REG.CENTRAL.NEW.</t>
  </si>
  <si>
    <t>CONOVC</t>
  </si>
  <si>
    <t>OINHFO</t>
  </si>
  <si>
    <t>INDCO2N</t>
  </si>
  <si>
    <t>New Oxygen Blast and Oxygen Furnaces</t>
  </si>
  <si>
    <t>RC1ELG005</t>
  </si>
  <si>
    <t>CH1NGB005</t>
  </si>
  <si>
    <t>CH1NGC005</t>
  </si>
  <si>
    <t>CH1HET005</t>
  </si>
  <si>
    <t>COMHET</t>
  </si>
  <si>
    <t>CC1</t>
  </si>
  <si>
    <t>ILPPAP009</t>
  </si>
  <si>
    <t>New Paper Mill - HTTP</t>
  </si>
  <si>
    <t>New Paper Mill - enhanced HTTP</t>
  </si>
  <si>
    <t>RH1BIO005</t>
  </si>
  <si>
    <t>TRH</t>
  </si>
  <si>
    <t>TRB</t>
  </si>
  <si>
    <t>TRW</t>
  </si>
  <si>
    <t>TRWMCG005</t>
  </si>
  <si>
    <t>PRC_MARK</t>
  </si>
  <si>
    <t>ISIS</t>
  </si>
  <si>
    <t>IMIS</t>
  </si>
  <si>
    <t>IEIS</t>
  </si>
  <si>
    <t>COM.COOL.R2: .15.DST.CHILLER.</t>
  </si>
  <si>
    <t>COM.COOL.R1: .05.NGA.CHILLER.ABSORPTION.</t>
  </si>
  <si>
    <t>COM.COOL.R2: .05.NGA.CHILLER.ABSORPTION.</t>
  </si>
  <si>
    <t>COM.COOL.R1: .05.NGA.CHILLER.ENGINE.STD.</t>
  </si>
  <si>
    <t>Residential Cooling - Region 2</t>
  </si>
  <si>
    <t>Residential Space Heat - Region 2</t>
  </si>
  <si>
    <t>Residential Cooking - Region 2</t>
  </si>
  <si>
    <t>Residential Lighting - Region 2</t>
  </si>
  <si>
    <t>IOCHHFO005</t>
  </si>
  <si>
    <t>IOCHDST005</t>
  </si>
  <si>
    <t>IOCHNGA005</t>
  </si>
  <si>
    <t>Other Chemicals Natural Gas New</t>
  </si>
  <si>
    <t>IOCHELC005</t>
  </si>
  <si>
    <t>IOCHLPG005</t>
  </si>
  <si>
    <t>Other Chemicals LPG New</t>
  </si>
  <si>
    <t>IFCHNGA005</t>
  </si>
  <si>
    <t>IFCHCOA005</t>
  </si>
  <si>
    <t>Legend</t>
  </si>
  <si>
    <t>From IPP</t>
  </si>
  <si>
    <t>RW2ELC005</t>
  </si>
  <si>
    <t>RW2EHA005</t>
  </si>
  <si>
    <t>RW2ELS005</t>
  </si>
  <si>
    <t>RW2LPC005</t>
  </si>
  <si>
    <t>RW2NGC005</t>
  </si>
  <si>
    <t>RHAELC</t>
  </si>
  <si>
    <t>Default TIMES data not modified</t>
  </si>
  <si>
    <t>Other</t>
  </si>
  <si>
    <t>RES.COOL.R1: .05.GEO.INS-REG.HEAT PUMP.IMP.</t>
  </si>
  <si>
    <t>RES.COOL.R2: .05.GEO.INS-REG.HEAT PUMP.IMP.</t>
  </si>
  <si>
    <t>COM: .05.BIO.COOKING.</t>
  </si>
  <si>
    <t>COEELC005</t>
  </si>
  <si>
    <t>COE</t>
  </si>
  <si>
    <t>COTELC005</t>
  </si>
  <si>
    <t>COT</t>
  </si>
  <si>
    <t>COTDST005</t>
  </si>
  <si>
    <t>COTNGA005</t>
  </si>
  <si>
    <t>CRFELC005</t>
  </si>
  <si>
    <t>CRF</t>
  </si>
  <si>
    <t>CC1GEO005</t>
  </si>
  <si>
    <t>COMGEO</t>
  </si>
  <si>
    <t>CC2GEO005</t>
  </si>
  <si>
    <t>CC1ELK005</t>
  </si>
  <si>
    <t>CC2ELK005</t>
  </si>
  <si>
    <t>CH1BIO005</t>
  </si>
  <si>
    <t>COMBIO</t>
  </si>
  <si>
    <t>RC1GEO005</t>
  </si>
  <si>
    <t>RC2GEO005</t>
  </si>
  <si>
    <t>CCKBIO005</t>
  </si>
  <si>
    <t>Source</t>
  </si>
  <si>
    <t>ISNF</t>
  </si>
  <si>
    <t>IMNF</t>
  </si>
  <si>
    <t>IISDRI007</t>
  </si>
  <si>
    <t>New DRI-Steel with EAF - hydrogen reduction</t>
  </si>
  <si>
    <t>IENF</t>
  </si>
  <si>
    <t>INDHFO</t>
  </si>
  <si>
    <t>INDOIL</t>
  </si>
  <si>
    <t>INDNGA</t>
  </si>
  <si>
    <t>INDCOA</t>
  </si>
  <si>
    <t>INDELC</t>
  </si>
  <si>
    <t>INDLPG</t>
  </si>
  <si>
    <t>GASNGA</t>
  </si>
  <si>
    <t>COAHCO</t>
  </si>
  <si>
    <t>GASETH</t>
  </si>
  <si>
    <t>OILNAP</t>
  </si>
  <si>
    <t>Cap2Act</t>
  </si>
  <si>
    <t>RW1ELC005</t>
  </si>
  <si>
    <t>RW1ELN005</t>
  </si>
  <si>
    <t>RW1EHA005</t>
  </si>
  <si>
    <t>RW1ELS005</t>
  </si>
  <si>
    <t>RW1LPB005</t>
  </si>
  <si>
    <t>RW1LPC005</t>
  </si>
  <si>
    <t>RW1LPS005</t>
  </si>
  <si>
    <t>RW1NGB005</t>
  </si>
  <si>
    <t>RW1NGC005</t>
  </si>
  <si>
    <t>RW1NGS005</t>
  </si>
  <si>
    <t>RW1S1L005</t>
  </si>
  <si>
    <t>INMLMS</t>
  </si>
  <si>
    <t>ENV_ACT</t>
  </si>
  <si>
    <t>Limestone</t>
  </si>
  <si>
    <t>IISWIN009</t>
  </si>
  <si>
    <t>New DRI steel with EAF - Electrowinning</t>
  </si>
  <si>
    <t>INSELC</t>
  </si>
  <si>
    <t>Wuppertal</t>
  </si>
  <si>
    <t>IISDRI009</t>
  </si>
  <si>
    <t>New DRI-Steel with EAF - Integrated hydrogen+STG reduction</t>
  </si>
  <si>
    <t>New DRI-Steel with EAF - Integrated hydrogen reduction</t>
  </si>
  <si>
    <t>RW1</t>
  </si>
  <si>
    <t>RW2</t>
  </si>
  <si>
    <t>Residential Hot Water RH2</t>
  </si>
  <si>
    <t>Residential Hot Water RH1</t>
  </si>
  <si>
    <t>DELIV~2010</t>
  </si>
  <si>
    <t>ENV_ACT~INDCO2N</t>
  </si>
  <si>
    <t>0</t>
  </si>
  <si>
    <t>\I: Consumption 2000</t>
  </si>
  <si>
    <t>\I: Consumption 2010</t>
  </si>
  <si>
    <t>\I: Consumption 2030</t>
  </si>
  <si>
    <t>\I: Consumption 2050</t>
  </si>
  <si>
    <t>\I: Energy form fractions</t>
  </si>
  <si>
    <t>IISBOF005</t>
  </si>
  <si>
    <t>New Blast and Basic Oxygen Furnaces</t>
  </si>
  <si>
    <t>G-IISGAS</t>
  </si>
  <si>
    <t>ACT_EFF</t>
  </si>
  <si>
    <t>INPUT</t>
  </si>
  <si>
    <t>IISRED</t>
  </si>
  <si>
    <t>MANRAW</t>
  </si>
  <si>
    <t>MANBFS</t>
  </si>
  <si>
    <t>GASOXY</t>
  </si>
  <si>
    <t>OUTPUT</t>
  </si>
  <si>
    <t>IISBOF</t>
  </si>
  <si>
    <t>IISDRI005</t>
  </si>
  <si>
    <t>New DRI-Steel with EAF</t>
  </si>
  <si>
    <t>IISDRI</t>
  </si>
  <si>
    <t>IISSCR005</t>
  </si>
  <si>
    <t>New Steel with Scrap and EAF</t>
  </si>
  <si>
    <t>IISSCR</t>
  </si>
  <si>
    <t>IISSRD005</t>
  </si>
  <si>
    <t>New Steel with Smelting Reduction (eg. COREX) and BOF</t>
  </si>
  <si>
    <t>GASBFG</t>
  </si>
  <si>
    <t>IISFEA005</t>
  </si>
  <si>
    <t>New Ferroalloys</t>
  </si>
  <si>
    <t>IISFEA</t>
  </si>
  <si>
    <t>INMCMTDRY005</t>
  </si>
  <si>
    <t>New Dry Clinker Kilns with NGA / OIL</t>
  </si>
  <si>
    <t>G-INDFUEL</t>
  </si>
  <si>
    <t>INMCLK</t>
  </si>
  <si>
    <t>INDCO2P</t>
  </si>
  <si>
    <t>INMCMTDRY105</t>
  </si>
  <si>
    <t>New Dry Clinker Kilns with Coal / BIO</t>
  </si>
  <si>
    <t>INMCMTDRY705</t>
  </si>
  <si>
    <t>New Dry Clinker Kilns with Coal / BIO CCS</t>
  </si>
  <si>
    <t>SNKINDCO2</t>
  </si>
  <si>
    <t>FLO_EMIS</t>
  </si>
  <si>
    <t>INMCMTBLD005</t>
  </si>
  <si>
    <t>New blended cement with clinker / slag</t>
  </si>
  <si>
    <t>MAT</t>
  </si>
  <si>
    <t>INMCMT</t>
  </si>
  <si>
    <t>INMLIM005</t>
  </si>
  <si>
    <t>New Lime Kilns with oil/gas</t>
  </si>
  <si>
    <t>INMLIM</t>
  </si>
  <si>
    <t>INMGLS005</t>
  </si>
  <si>
    <t>New Glass with direct electric heating</t>
  </si>
  <si>
    <t>INMGLS</t>
  </si>
  <si>
    <t>INMGLS105</t>
  </si>
  <si>
    <t>New Glass with NGA / oil</t>
  </si>
  <si>
    <t>INMCRM005</t>
  </si>
  <si>
    <t>New Ceramics with tunnel kiln</t>
  </si>
  <si>
    <t>INMCRM</t>
  </si>
  <si>
    <t>INFALU005</t>
  </si>
  <si>
    <t>New Aluminium</t>
  </si>
  <si>
    <t>INFALU</t>
  </si>
  <si>
    <t>INFALU105</t>
  </si>
  <si>
    <t>New Aluminium with inert anodes</t>
  </si>
  <si>
    <t>INFCOP005</t>
  </si>
  <si>
    <t>New Copper</t>
  </si>
  <si>
    <t>INFCOP</t>
  </si>
  <si>
    <t>INFZNC005</t>
  </si>
  <si>
    <t>New Zinc</t>
  </si>
  <si>
    <t>INFZNC</t>
  </si>
  <si>
    <t>INFAMN005</t>
  </si>
  <si>
    <t>New Alumina</t>
  </si>
  <si>
    <t>INFAMN</t>
  </si>
  <si>
    <t>ICHOLFETH005</t>
  </si>
  <si>
    <t>New Olefins with Ethane</t>
  </si>
  <si>
    <t>IFCHET</t>
  </si>
  <si>
    <t>ICHOLF</t>
  </si>
  <si>
    <t>ICHOLFNAP005</t>
  </si>
  <si>
    <t>New Olefins with Naphta</t>
  </si>
  <si>
    <t>IFCHNP</t>
  </si>
  <si>
    <t>ICHBTX005</t>
  </si>
  <si>
    <t>New Aromatics</t>
  </si>
  <si>
    <t>ICHBTX</t>
  </si>
  <si>
    <t>ICHAMMNGA005</t>
  </si>
  <si>
    <t>New Ammonia with NGA</t>
  </si>
  <si>
    <t>IFCHNG</t>
  </si>
  <si>
    <t>ICHAMM</t>
  </si>
  <si>
    <t>ICHAMMNAP005</t>
  </si>
  <si>
    <t>New Ammonia with Naphta</t>
  </si>
  <si>
    <t>ICHAMMCOA005</t>
  </si>
  <si>
    <t>New Ammonia with Coal</t>
  </si>
  <si>
    <t>IFCHHC</t>
  </si>
  <si>
    <t>ICHMTHNGA005</t>
  </si>
  <si>
    <t>New Methanol with NGA</t>
  </si>
  <si>
    <t>ICHMTH</t>
  </si>
  <si>
    <t>ICHMTHCOA005</t>
  </si>
  <si>
    <t>New Methanol with Coal</t>
  </si>
  <si>
    <t>ICHMTHCOA705</t>
  </si>
  <si>
    <t>New Methanol with Coal - CCS</t>
  </si>
  <si>
    <t>ACT</t>
  </si>
  <si>
    <t>ICHCHLDIA005</t>
  </si>
  <si>
    <t>New Chlorine Diagram</t>
  </si>
  <si>
    <t>ICHCHL</t>
  </si>
  <si>
    <t>ICHCHLMEM005</t>
  </si>
  <si>
    <t>New Chlorine Membrane</t>
  </si>
  <si>
    <t>ICHCHLMEM105</t>
  </si>
  <si>
    <t>New Chlorine Membrane Advanced</t>
  </si>
  <si>
    <t>ILPPUC005</t>
  </si>
  <si>
    <t>New Chemical Pulping - Conv.</t>
  </si>
  <si>
    <t>MANWOD</t>
  </si>
  <si>
    <t>BIOISW</t>
  </si>
  <si>
    <t>ILPPUL</t>
  </si>
  <si>
    <t>ILPPUM005</t>
  </si>
  <si>
    <t>New Mechanical Pulping - Conv.</t>
  </si>
  <si>
    <t>ILPPUM105</t>
  </si>
  <si>
    <t>New Mechanical Pulping - Bio</t>
  </si>
  <si>
    <t>ILPPUR005</t>
  </si>
  <si>
    <t>New Recycled Fibre Pulping</t>
  </si>
  <si>
    <t>IDLP</t>
  </si>
  <si>
    <t>MANRCP</t>
  </si>
  <si>
    <t>ILPPAP005</t>
  </si>
  <si>
    <t>ICHELC</t>
  </si>
  <si>
    <t>ILPELC</t>
  </si>
  <si>
    <t>IISELC</t>
  </si>
  <si>
    <t>IMISOIL005</t>
  </si>
  <si>
    <t>IMISLPG005</t>
  </si>
  <si>
    <t>IMISELI005</t>
  </si>
  <si>
    <t>IMISELH005</t>
  </si>
  <si>
    <t>IMISELC005</t>
  </si>
  <si>
    <t>IMNFOIL005</t>
  </si>
  <si>
    <t>IMNFNGA005</t>
  </si>
  <si>
    <t>IMNFLPG005</t>
  </si>
  <si>
    <t>IMNFELI005</t>
  </si>
  <si>
    <t>IMNFELH005</t>
  </si>
  <si>
    <t>IMCHOIL005</t>
  </si>
  <si>
    <t>IMCHNGA005</t>
  </si>
  <si>
    <t>IMCHLPG005</t>
  </si>
  <si>
    <t>IMCHELI005</t>
  </si>
  <si>
    <t>IMCHELH005</t>
  </si>
  <si>
    <t>IMNMOIL005</t>
  </si>
  <si>
    <t>IMNMNGA005</t>
  </si>
  <si>
    <t>IMNMLPG005</t>
  </si>
  <si>
    <t>IMNMELI005</t>
  </si>
  <si>
    <t>IMNMELH005</t>
  </si>
  <si>
    <t>IMLPOIL005</t>
  </si>
  <si>
    <t>IMLPNGA005</t>
  </si>
  <si>
    <t>IMLPLPG005</t>
  </si>
  <si>
    <t>IMLPELI005</t>
  </si>
  <si>
    <t>IMLPELH005</t>
  </si>
  <si>
    <t>NRGI</t>
  </si>
  <si>
    <t>New Paper Mill</t>
  </si>
  <si>
    <t>ILPPAP</t>
  </si>
  <si>
    <t>\I: Assump-tion</t>
  </si>
  <si>
    <t>Other Chemicals Heavy Fuel New</t>
  </si>
  <si>
    <t>ETP</t>
  </si>
  <si>
    <t>Other Chemicals Distillate Fuel New</t>
  </si>
  <si>
    <t>Other Chemicals Electricity New</t>
  </si>
  <si>
    <t>ETP+VTT</t>
  </si>
  <si>
    <t>Feedstock chemicals ETH New</t>
  </si>
  <si>
    <t>n/a</t>
  </si>
  <si>
    <t>Feedstock chemicals NGA New</t>
  </si>
  <si>
    <t>Feedstock chemicals NAP New</t>
  </si>
  <si>
    <t>Feedstock chemicals COA New</t>
  </si>
  <si>
    <t>Lime kiln</t>
  </si>
  <si>
    <t>IPLPELC105</t>
  </si>
  <si>
    <t>IPLPLPG105</t>
  </si>
  <si>
    <t>Machine Drive Heavy Distillate Oil New</t>
  </si>
  <si>
    <t>Machine Drive Heavy Natural Gas New</t>
  </si>
  <si>
    <t>FLO_MARK~UP</t>
  </si>
  <si>
    <t>Machine Drive Heavy LPG  New</t>
  </si>
  <si>
    <t>Machine Drive Heavy Electric New</t>
  </si>
  <si>
    <t>Machine Drive Heavy Electric Imp eff.</t>
  </si>
  <si>
    <t>Machine Drive Heavy Electric High eff.</t>
  </si>
  <si>
    <t>ISTMNGA005</t>
  </si>
  <si>
    <t>Steam Heavy Natural Gas New</t>
  </si>
  <si>
    <t>ISTMCOA005</t>
  </si>
  <si>
    <t>Steam Heavy Coal New</t>
  </si>
  <si>
    <t>ISTMCOG005</t>
  </si>
  <si>
    <t>Steam Heavy Cokeoven Gas New</t>
  </si>
  <si>
    <t>ISTMBFG005</t>
  </si>
  <si>
    <t>Steam Heavy Blast Furnace Gas New</t>
  </si>
  <si>
    <t>ISTMHFO005</t>
  </si>
  <si>
    <t>Steam Heavy Heavy Oil New</t>
  </si>
  <si>
    <t>ISTMOIL005</t>
  </si>
  <si>
    <t>Steam Heavy Distillate Oil New</t>
  </si>
  <si>
    <t>ISTMETH005</t>
  </si>
  <si>
    <t>Steam Heavy Ethane New</t>
  </si>
  <si>
    <t>ISTMBIO005</t>
  </si>
  <si>
    <t>Steam Heavy Biomass New</t>
  </si>
  <si>
    <t>Steam Other Industry BIO New</t>
  </si>
  <si>
    <t>IPOICOG005</t>
  </si>
  <si>
    <t>Process Heat Other Industry Cokeoven Gas New</t>
  </si>
  <si>
    <t>Machine Drive Other Industry LPG  New</t>
  </si>
  <si>
    <t>IOOILTH005</t>
  </si>
  <si>
    <t>Other All Other Industry District Heat New</t>
  </si>
  <si>
    <t>INDLTH</t>
  </si>
  <si>
    <t>Specific Electricity Other Industry Electric New</t>
  </si>
  <si>
    <t>Fuel Tech - Blast+Oxygen Furnace Gas - CCS</t>
  </si>
  <si>
    <t>INDBSL</t>
  </si>
  <si>
    <t>INDHYN</t>
  </si>
  <si>
    <t>Hydrogen for IND</t>
  </si>
  <si>
    <t>Total number of new technologies per region:</t>
  </si>
  <si>
    <t>Tracking Industrial Energy Efficiency and CO2 Emissions, IEA 2007</t>
  </si>
  <si>
    <t>EUROPEAN COMMISSION, Integrated Pollution Prevention and Control (IPPC), BREF reports</t>
  </si>
  <si>
    <t>FX</t>
  </si>
  <si>
    <t>HTHEAT</t>
  </si>
  <si>
    <t>District heat</t>
  </si>
  <si>
    <t>ANNUAL</t>
  </si>
  <si>
    <t>Clinker</t>
  </si>
  <si>
    <t>Ethane feedstock</t>
  </si>
  <si>
    <t>Natural gas feedstock</t>
  </si>
  <si>
    <t>IISBOF007</t>
  </si>
  <si>
    <t>New Oxygen Blast and Oxygen Steel Furnaces</t>
  </si>
  <si>
    <t>Naphtha feedstock</t>
  </si>
  <si>
    <t>Hard coal feedstock</t>
  </si>
  <si>
    <t>Hydrogen before distribution</t>
  </si>
  <si>
    <t>Wood raw material</t>
  </si>
  <si>
    <t>TRADSO</t>
  </si>
  <si>
    <t>Alternate generic domestic ship DSL</t>
  </si>
  <si>
    <t>Alternate generic international ship DSL</t>
  </si>
  <si>
    <t>Attribute</t>
  </si>
  <si>
    <t>BD</t>
  </si>
  <si>
    <t>Energy Technology Perspectives, IEA 2006-2018</t>
  </si>
  <si>
    <t>Tracking Clean Energy Progress, IEA 2014-2018</t>
  </si>
  <si>
    <t xml:space="preserve">Pan-European TIMES Database </t>
  </si>
  <si>
    <t>Data Sources for industrial processes:</t>
  </si>
  <si>
    <t>ISOIBIO005</t>
  </si>
  <si>
    <t>ISOWBIO005</t>
  </si>
  <si>
    <t>Steam Wood Industry BIO New</t>
  </si>
  <si>
    <t>IOWSTM</t>
  </si>
  <si>
    <t>ISOWHET005</t>
  </si>
  <si>
    <t>Steam Wood Industry ISLP New</t>
  </si>
  <si>
    <t>Gvkm</t>
  </si>
  <si>
    <t>kvehicles</t>
  </si>
  <si>
    <t>PRE</t>
  </si>
  <si>
    <t>PRW</t>
  </si>
  <si>
    <t>FLO_MARK</t>
  </si>
  <si>
    <t>SNKTOTCO2</t>
  </si>
  <si>
    <t>N</t>
  </si>
  <si>
    <t>kt</t>
  </si>
  <si>
    <t>ISTMBLQ005</t>
  </si>
  <si>
    <t>Steam Black Liquor New</t>
  </si>
  <si>
    <t>HPL</t>
  </si>
  <si>
    <t>Recycled paper for pulping</t>
  </si>
  <si>
    <t>LO</t>
  </si>
  <si>
    <t>Blast furnace slag</t>
  </si>
  <si>
    <t>Dummy manufacturing raw material</t>
  </si>
  <si>
    <t>UP</t>
  </si>
  <si>
    <t>TRAOIL</t>
  </si>
  <si>
    <t>Mt_a</t>
  </si>
  <si>
    <t>New blended cement with clinker _ slag</t>
  </si>
  <si>
    <t>New Dry Clinker Kilns with NGA _ OIL</t>
  </si>
  <si>
    <t>New Dry Clinker Kilns with Coal _ BIO</t>
  </si>
  <si>
    <t>New Dry Clinker Kilns with Coal _ BIO CCS</t>
  </si>
  <si>
    <t>New Glass with NGA _ oil</t>
  </si>
  <si>
    <t>New Lime Kilns with oil_gas</t>
  </si>
  <si>
    <t>BaseYear</t>
  </si>
  <si>
    <t>IFCHETH005</t>
  </si>
  <si>
    <t>INDETH</t>
  </si>
  <si>
    <t>IFCHNAP005</t>
  </si>
  <si>
    <t>INDNAP</t>
  </si>
  <si>
    <t>ISNM</t>
  </si>
  <si>
    <t>IMNM</t>
  </si>
  <si>
    <t>IENM</t>
  </si>
  <si>
    <t>COM: .05.ELC.WATER HEATER.RESISTANCE.IMP.</t>
  </si>
  <si>
    <t>Electricity (IND)</t>
  </si>
  <si>
    <t>Heat (IND)</t>
  </si>
  <si>
    <t>Commercial Cooling - Region 1</t>
  </si>
  <si>
    <t>Commercial Cooling - Region 2</t>
  </si>
  <si>
    <t>Commercial Space Heat - Region 1</t>
  </si>
  <si>
    <t>Commercial Space Heat - Region 2</t>
  </si>
  <si>
    <t>Commercial Hot Water</t>
  </si>
  <si>
    <t>Commercial Lighting</t>
  </si>
  <si>
    <t>Commercial Office Equipment</t>
  </si>
  <si>
    <t>Electricity (COM)</t>
  </si>
  <si>
    <t>Heat (COM)</t>
  </si>
  <si>
    <t>TRAHH2</t>
  </si>
  <si>
    <t>IPLPBIO005</t>
  </si>
  <si>
    <t>Process Heat Pulp and Paper Biomass New</t>
  </si>
  <si>
    <t>IOLPBIO005</t>
  </si>
  <si>
    <t>Other Pulp and Paper Biomass New</t>
  </si>
  <si>
    <t>Process Heat Other Industry Coke New</t>
  </si>
  <si>
    <t>IPOICOK005</t>
  </si>
  <si>
    <t>Machine Drive Other Industry Electric Imp eff.</t>
  </si>
  <si>
    <t>INDCOK</t>
  </si>
  <si>
    <t>COM.COOL.R1: .05.ELC.HEAT PUMP.AIR.STD.</t>
  </si>
  <si>
    <t>COM.COOL.R2: .05.ELC.HEAT PUMP.AIR.STD.</t>
  </si>
  <si>
    <t>COM.COOL.R1: .05.ELC.HEAT PUMP.AIR.IMP.</t>
  </si>
  <si>
    <t>INVCOST~2030</t>
  </si>
  <si>
    <t>INVCOST~2050</t>
  </si>
  <si>
    <t>FIXOM~2030</t>
  </si>
  <si>
    <t>FIXOM~2050</t>
  </si>
  <si>
    <t>VAROM~2030</t>
  </si>
  <si>
    <t>VAROM~2050</t>
  </si>
  <si>
    <t>EFF~2030</t>
  </si>
  <si>
    <t>EFF~2050</t>
  </si>
  <si>
    <t>ACTFLO~2050</t>
  </si>
  <si>
    <t>Eur/kW</t>
  </si>
  <si>
    <t>Year-2020:</t>
  </si>
  <si>
    <t>ILPPAP007</t>
  </si>
  <si>
    <t>New Paper Mill - enhanced</t>
  </si>
  <si>
    <t>RCWELC105</t>
  </si>
  <si>
    <t>RES: .05.ELC.CLOTH WASHING.STD.</t>
  </si>
  <si>
    <t>REAELA005</t>
  </si>
  <si>
    <t>RES: .05.ELC.EQUIPMENT.MISCELLANEOUS.A.</t>
  </si>
  <si>
    <t>REAELB005</t>
  </si>
  <si>
    <t>RES: .05.ELC.EQUIPMENT.MISCELLANEOUS.B.</t>
  </si>
  <si>
    <t>RES: .05.ELC.EQUIPMENT.MISCELLANEOUS.C.</t>
  </si>
  <si>
    <t>REAELD005</t>
  </si>
  <si>
    <t>RES: .05.ELC.EQUIPMENT.MISCELLANEOUS.D.</t>
  </si>
  <si>
    <t>REAELE005</t>
  </si>
  <si>
    <t>RES: .05.ELC.EQUIPMENT.MISCELLANEOUS.E.</t>
  </si>
  <si>
    <t>REAELF005</t>
  </si>
  <si>
    <t>RES: .05.ELC.EQUIPMENT.MISCELLANEOUS.F.</t>
  </si>
  <si>
    <t>COM.COOL.R1: .05.NGA.CHILLER.ENGINE.</t>
  </si>
  <si>
    <t>CC1HET005</t>
  </si>
  <si>
    <t>COM.COOL.R1: .05.HET.HEAT PUMP</t>
  </si>
  <si>
    <t>COM.COOL.R2: .05.NGA.CHILLER.ENGINE.</t>
  </si>
  <si>
    <t>CC2HET005</t>
  </si>
  <si>
    <t>COM.COOL.R2: .05.HET.HEAT PUMP</t>
  </si>
  <si>
    <t>COM: .05.ELC.EQUIPMENT.MISC.BASE.</t>
  </si>
  <si>
    <t>COEELD005</t>
  </si>
  <si>
    <t>COM: .05.ELC.EQUIPMENT.MISC.IMP.</t>
  </si>
  <si>
    <t>COEELE005</t>
  </si>
  <si>
    <t>COM: .05.ELC.EQUIPMENT.MISC.ADV.</t>
  </si>
  <si>
    <t>COTELA005</t>
  </si>
  <si>
    <t>COM: .05.ELC.EQUIPMENT.OTHERS.A.</t>
  </si>
  <si>
    <t>COTELB005</t>
  </si>
  <si>
    <t>COM: .05.ELC.EQUIPMENT.OTHERS.B.</t>
  </si>
  <si>
    <t>COM: .05.ELC.EQUIPMENT.OTHERS.C.</t>
  </si>
  <si>
    <t>COTELD005</t>
  </si>
  <si>
    <t>COM: .05.ELC.EQUIPMENT.OTHERS.D.</t>
  </si>
  <si>
    <t>COTELE005</t>
  </si>
  <si>
    <t>COM: .05.ELC.EQUIPMENT.OTHERS.E.</t>
  </si>
  <si>
    <t>COTELF005</t>
  </si>
  <si>
    <t>COM: .05.ELC.EQUIPMENT.OTHERS.F.</t>
  </si>
  <si>
    <t>COM: .05.ELC.REFRIGERATORS.BASE.</t>
  </si>
  <si>
    <t>CRFELD005</t>
  </si>
  <si>
    <t>COM: .05.ELC.REFRIGERATORS.IMP.</t>
  </si>
  <si>
    <t>COM.COOL.R2: .05.ELC.HEAT PUMP.AIR.IMP.</t>
  </si>
  <si>
    <t>~FI_T</t>
  </si>
  <si>
    <t>COM.COOL.R1: .10.GEO.HEAT PUMP.GROUND.ADV.</t>
  </si>
  <si>
    <t>COM.COOL.R2: .10.GEO.HEAT PUMP.GROUND.ADV.</t>
  </si>
  <si>
    <t>INDHET</t>
  </si>
  <si>
    <t>ISLP</t>
  </si>
  <si>
    <t>IPLP</t>
  </si>
  <si>
    <t>IMLP</t>
  </si>
  <si>
    <t>IOLP</t>
  </si>
  <si>
    <t>INDBIO</t>
  </si>
  <si>
    <t>IPLPHFO005</t>
  </si>
  <si>
    <t>Process Heat Pulp and Paper Heavy Fuel New</t>
  </si>
  <si>
    <t>IPLPNGA005</t>
  </si>
  <si>
    <t>Process Heat Pulp and Paper Natural Gas New</t>
  </si>
  <si>
    <t>Process Heat Pulp and Paper Electric New</t>
  </si>
  <si>
    <t>Biopellets (RES)</t>
  </si>
  <si>
    <t>Biopellets (COM)</t>
  </si>
  <si>
    <t>Process Heat Pulp and Paper LPG New</t>
  </si>
  <si>
    <t>IOLPHFO005</t>
  </si>
  <si>
    <t>Other Pulp and Paper Heavy Oil New</t>
  </si>
  <si>
    <t>IOLPDST005</t>
  </si>
  <si>
    <t>Other Pulp and Paper Distillate Oil New</t>
  </si>
  <si>
    <t>IOLPNGA005</t>
  </si>
  <si>
    <t>Other Pulp and Paper Natural Gas New</t>
  </si>
  <si>
    <t>IOLPELC005</t>
  </si>
  <si>
    <t>Other Pulp and Paper Electric New</t>
  </si>
  <si>
    <t>IOLPLPG005</t>
  </si>
  <si>
    <t>Other Pulp and Paper LPG New</t>
  </si>
  <si>
    <t>IOLPCOA005</t>
  </si>
  <si>
    <t>Other Pulp and Paper Coal New</t>
  </si>
  <si>
    <t>IOLPCOK005</t>
  </si>
  <si>
    <t>Other Pulp and Paper Coke New</t>
  </si>
  <si>
    <t>ISOI</t>
  </si>
  <si>
    <t>IPOI</t>
  </si>
  <si>
    <t>IMOI</t>
  </si>
  <si>
    <t>IEOI</t>
  </si>
  <si>
    <t>IOOI</t>
  </si>
  <si>
    <t>ISOIHFO005</t>
  </si>
  <si>
    <t>Steam Other Industry Heavy Oil New</t>
  </si>
  <si>
    <t>ISOIDST005</t>
  </si>
  <si>
    <t>Steam Other Industry Distillate Oil New</t>
  </si>
  <si>
    <t>ISOINGA005</t>
  </si>
  <si>
    <t>Steam Other Industry Natural Gas New</t>
  </si>
  <si>
    <t>ISOICOA005</t>
  </si>
  <si>
    <t>Steam Other Industry Coal New</t>
  </si>
  <si>
    <t>ISOIELC005</t>
  </si>
  <si>
    <t>FT-INDBFG7</t>
  </si>
  <si>
    <t>Steam Other Industry Electric New</t>
  </si>
  <si>
    <t>IPOIHFO005</t>
  </si>
  <si>
    <t>Process Heat Other Industry Heavy Fuel New</t>
  </si>
  <si>
    <t>IPOIDST005</t>
  </si>
  <si>
    <t>Process Heat Other Industry Distillate Fuel New</t>
  </si>
  <si>
    <t>IPOINGA005</t>
  </si>
  <si>
    <t>~FI_Process</t>
  </si>
  <si>
    <t>Tact</t>
  </si>
  <si>
    <t>Tcap</t>
  </si>
  <si>
    <t>Tslvl</t>
  </si>
  <si>
    <t>PrimaryCG</t>
  </si>
  <si>
    <t>Vintage</t>
  </si>
  <si>
    <t>NO</t>
  </si>
  <si>
    <t>PJ_a</t>
  </si>
  <si>
    <t>RESSOL</t>
  </si>
  <si>
    <t>RH2NGC005</t>
  </si>
  <si>
    <t>RESHET</t>
  </si>
  <si>
    <t>RH2HET005</t>
  </si>
  <si>
    <t>TechName</t>
  </si>
  <si>
    <t>TechDesc</t>
  </si>
  <si>
    <t>Comm-IN</t>
  </si>
  <si>
    <t>Output</t>
  </si>
  <si>
    <t>Input</t>
  </si>
  <si>
    <t>RC1ELE005</t>
  </si>
  <si>
    <t>RES.COOL.R1: .05.ELC.INS-REG.HEAT PUMP.AIR.ADV.</t>
  </si>
  <si>
    <t>RC2ELE005</t>
  </si>
  <si>
    <t>RES.COOL.R2: .05.ELC.INS-REG.HEAT PUMP.AIR.ADV.</t>
  </si>
  <si>
    <t>RC1ELF005</t>
  </si>
  <si>
    <t>RES.COOL.R1: .05.GEO.INS-REG.HEAT PUMP.GROUND.STD.</t>
  </si>
  <si>
    <t>RC2ELF005</t>
  </si>
  <si>
    <t>RES.COOL.R2: .05.GEO.INS-REG.HEAT PUMP.GROUND.STD.</t>
  </si>
  <si>
    <t>LimType</t>
  </si>
  <si>
    <t>CTSLvl</t>
  </si>
  <si>
    <t>PeakTS</t>
  </si>
  <si>
    <t>Ctype</t>
  </si>
  <si>
    <t>DAYNITE</t>
  </si>
  <si>
    <t>ELC</t>
  </si>
  <si>
    <t>SEASON</t>
  </si>
  <si>
    <t>LTHEAT</t>
  </si>
  <si>
    <t>RH1DSB005</t>
  </si>
  <si>
    <t>RH2DSB005</t>
  </si>
  <si>
    <t>SYNHY0</t>
  </si>
  <si>
    <t>RHW</t>
  </si>
  <si>
    <t>Residential Hot Water</t>
  </si>
  <si>
    <t>Mt</t>
  </si>
  <si>
    <t>NRG</t>
  </si>
  <si>
    <t>CommGrp</t>
  </si>
  <si>
    <t>ROTELC</t>
  </si>
  <si>
    <t>IISAOD005</t>
  </si>
  <si>
    <t>New Steel with Scrap and AOD</t>
  </si>
  <si>
    <t>IISAOD</t>
  </si>
  <si>
    <t>RES.COOL.R2: .05.ELC.INS-REG.CENTRAL.STD.</t>
  </si>
  <si>
    <t>RC2</t>
  </si>
  <si>
    <t>RC1ELA005</t>
  </si>
  <si>
    <t>RES.COOL.R1: .05.ELC.INS-REG.HEAT PUMP.AIR.STD.</t>
  </si>
  <si>
    <t>RC2ELA005</t>
  </si>
  <si>
    <t>RES.COOL.R2: .05.ELC.INS-REG.HEAT PUMP.AIR.STD.</t>
  </si>
  <si>
    <t>ISOWHET000</t>
  </si>
  <si>
    <t>THREE WHEELS: .05.CFV.DST.</t>
  </si>
  <si>
    <t>TRM</t>
  </si>
  <si>
    <t>RES: .05.ELC.REFRIGERATORS.STD.</t>
  </si>
  <si>
    <t>Refs A, B</t>
  </si>
  <si>
    <t>RESELC</t>
  </si>
  <si>
    <t>RRF</t>
  </si>
  <si>
    <t>RRFIMP005</t>
  </si>
  <si>
    <t>RES: .05.ELC.REFRIGERATORS.IMP.</t>
  </si>
  <si>
    <t>RRFGLD005</t>
  </si>
  <si>
    <t>RES: .05.ELC.REFRIGERATORS.GOLDEN CARROT.</t>
  </si>
  <si>
    <t>Ref A</t>
  </si>
  <si>
    <t>RES: .05.ELC.WATER HEATER.RESISTANCE.STD.</t>
  </si>
  <si>
    <t>Refs A, F</t>
  </si>
  <si>
    <t>CC2NGB005</t>
  </si>
  <si>
    <t>EUR10</t>
  </si>
  <si>
    <t>INDBLQ</t>
  </si>
  <si>
    <t>Bioliquor (IND)</t>
  </si>
  <si>
    <t>WEEKLY</t>
  </si>
  <si>
    <t>REAELC005</t>
  </si>
  <si>
    <t>REA</t>
  </si>
  <si>
    <t>ROTDST005</t>
  </si>
  <si>
    <t>RH1BIOS05</t>
  </si>
  <si>
    <t>Combined RH1 heat+water</t>
  </si>
  <si>
    <t>Combined RH2 heat+water</t>
  </si>
  <si>
    <t>Combined CH1 heat+water</t>
  </si>
  <si>
    <t>Other Residential Distillate equipment New</t>
  </si>
  <si>
    <t>ROT</t>
  </si>
  <si>
    <t>ROTHFO005</t>
  </si>
  <si>
    <t>Other Residential Heavy Fuel Oil equipment New</t>
  </si>
  <si>
    <t>RESHFO</t>
  </si>
  <si>
    <t>ROTKER005</t>
  </si>
  <si>
    <t>Other Residential Kerosene equipment New</t>
  </si>
  <si>
    <t>RESGEO</t>
  </si>
  <si>
    <t>ROTSOL005</t>
  </si>
  <si>
    <t>Other Residential Solar equipment New</t>
  </si>
  <si>
    <t>COM.COOL.R1: .15.DST.CHILLER.</t>
  </si>
  <si>
    <t>ILPPUM008</t>
  </si>
  <si>
    <t>New Mechanical Pulping - Level2</t>
  </si>
  <si>
    <t>RES.COOL.R1: .05.ELC.INS-REG.ROOM.NEW.</t>
  </si>
  <si>
    <t>RC2ELG005</t>
  </si>
  <si>
    <t>CHC1</t>
  </si>
  <si>
    <t>RHC1</t>
  </si>
  <si>
    <t>RHC2</t>
  </si>
  <si>
    <t>Heat to hot water</t>
  </si>
  <si>
    <t>RH1HETWAT</t>
  </si>
  <si>
    <t>TFSI</t>
  </si>
  <si>
    <t>TFSN</t>
  </si>
  <si>
    <t>TPAN</t>
  </si>
  <si>
    <t>TPAI</t>
  </si>
  <si>
    <t>TPAI005</t>
  </si>
  <si>
    <t>TPAN005</t>
  </si>
  <si>
    <t>TFSN005</t>
  </si>
  <si>
    <t>TFSI005</t>
  </si>
  <si>
    <t>TFSI007</t>
  </si>
  <si>
    <t>DMD</t>
  </si>
  <si>
    <t>RH1 Heat to Hot water</t>
  </si>
  <si>
    <t>RH2HETWAT</t>
  </si>
  <si>
    <t>RH2 Heat to Hot water</t>
  </si>
  <si>
    <t>CH1HETWAT</t>
  </si>
  <si>
    <t>CH1 Heat to Hot water</t>
  </si>
  <si>
    <t>RES.COOL.R2: .05.ELC.INS-REG.ROOM.NEW.</t>
  </si>
  <si>
    <t>COM.LIGH: .05.ELC.FLUORESCENT.BASELINE</t>
  </si>
  <si>
    <t>CLAFBS005</t>
  </si>
  <si>
    <t>CLALED005</t>
  </si>
  <si>
    <t>COM.LIGH: .05.ELC.BIG.LED.</t>
  </si>
  <si>
    <t>RL1LED005</t>
  </si>
  <si>
    <t>RES.LIGH.R1: .05.ELC.LED.SMALL</t>
  </si>
  <si>
    <t>Refs A</t>
  </si>
  <si>
    <t>RK1LPG005</t>
  </si>
  <si>
    <t>RES.COOK.R1: .05.LPG.</t>
  </si>
  <si>
    <t>RK1ELC005</t>
  </si>
  <si>
    <t>RES.COOK.R1: .05.ELC.</t>
  </si>
  <si>
    <t>RH1ELC705</t>
  </si>
  <si>
    <t>RH1EHA705</t>
  </si>
  <si>
    <t>RH1EHN705</t>
  </si>
  <si>
    <t>RH1EHP705</t>
  </si>
  <si>
    <t>RH1ELS705</t>
  </si>
  <si>
    <t>RH1DSB705</t>
  </si>
  <si>
    <t>RH1DSC705</t>
  </si>
  <si>
    <t>RH1LPB705</t>
  </si>
  <si>
    <t>RH1NGB705</t>
  </si>
  <si>
    <t>RH1NGC705</t>
  </si>
  <si>
    <t>RH1HET705</t>
  </si>
  <si>
    <t>RH1BIO705</t>
  </si>
  <si>
    <t>RH1WPL705</t>
  </si>
  <si>
    <t>RH2ELC705</t>
  </si>
  <si>
    <t>RH2EHA705</t>
  </si>
  <si>
    <t>RH2EHP705</t>
  </si>
  <si>
    <t>RH2DSB705</t>
  </si>
  <si>
    <t>RH2NGB705</t>
  </si>
  <si>
    <t>RH2NGC705</t>
  </si>
  <si>
    <t>RH2HET705</t>
  </si>
  <si>
    <t>RH2BIO705</t>
  </si>
  <si>
    <t>RH2WPL705</t>
  </si>
  <si>
    <t>CH1ELC705</t>
  </si>
  <si>
    <t>CH1EHA705</t>
  </si>
  <si>
    <t>CH1EHP705</t>
  </si>
  <si>
    <t>CH1DSB705</t>
  </si>
  <si>
    <t>CH1DSC705</t>
  </si>
  <si>
    <t>CH1LPB705</t>
  </si>
  <si>
    <t>CH1NGB705</t>
  </si>
  <si>
    <t>CH1NGC705</t>
  </si>
  <si>
    <t>CH1HET705</t>
  </si>
  <si>
    <t>CH1BIO705</t>
  </si>
  <si>
    <t>CH1WPL705</t>
  </si>
  <si>
    <t>Agriculture Heat New STR</t>
  </si>
  <si>
    <t>AGRSTR</t>
  </si>
  <si>
    <t>AGHBIOS05</t>
  </si>
  <si>
    <t>Other All Other Industry Electric New</t>
  </si>
  <si>
    <t>IOOIEHA005</t>
  </si>
  <si>
    <t>Other All Other Industry Electric HTPA New</t>
  </si>
  <si>
    <t>Other All Other Industry Electric HTPG New</t>
  </si>
  <si>
    <t>ISTMELC005</t>
  </si>
  <si>
    <t>Steam Heavy Industry Electric New</t>
  </si>
  <si>
    <t>FLO_COST</t>
  </si>
  <si>
    <t>INMCMTDRY905</t>
  </si>
  <si>
    <t>INDMET</t>
  </si>
  <si>
    <t>INMCMTDRY505</t>
  </si>
  <si>
    <t>New Dry Clinker Kilns with BIO+PTC</t>
  </si>
  <si>
    <t>INDPTC</t>
  </si>
  <si>
    <t>INMELC</t>
  </si>
  <si>
    <t>INMCLKSUB105</t>
  </si>
  <si>
    <t>Clinker substitute</t>
  </si>
  <si>
    <t>Supplementary process technologies</t>
  </si>
  <si>
    <t>New Dry Clinker Kilns with methanol</t>
  </si>
  <si>
    <t>FT-INDELC11</t>
  </si>
  <si>
    <t>ELCE</t>
  </si>
  <si>
    <t>Fuel Tech - HTP profiling</t>
  </si>
  <si>
    <t>INDHPE</t>
  </si>
  <si>
    <t>Heat pump profile adjustment</t>
  </si>
  <si>
    <t>ISOIEHP007</t>
  </si>
  <si>
    <t>ISTMEHP007</t>
  </si>
  <si>
    <t>Steam Heavy Industry Electric HTP New</t>
  </si>
  <si>
    <t>Steam Other Industry Electric HTP New</t>
  </si>
  <si>
    <t>ELE,PKNO</t>
  </si>
  <si>
    <t>\I: Source</t>
  </si>
  <si>
    <t>MATTER, IEA</t>
  </si>
  <si>
    <t>DEA-adapt</t>
  </si>
  <si>
    <t>VTT</t>
  </si>
  <si>
    <t>IEA, BREF, Fruehan et al.</t>
  </si>
  <si>
    <t>BREF, de Beer</t>
  </si>
  <si>
    <t>IEA, USGS</t>
  </si>
  <si>
    <t>IEA ETP+Tracking</t>
  </si>
  <si>
    <t>IEA ETP+Tracking, BREF</t>
  </si>
  <si>
    <t>Fugleberg</t>
  </si>
  <si>
    <t>IEA ETP, BREF, Fruehan et al.</t>
  </si>
  <si>
    <t>IEA, ECN</t>
  </si>
  <si>
    <t>ECN, IEA Tracking</t>
  </si>
  <si>
    <t>BREF, Carlson &amp; Heikkinen</t>
  </si>
  <si>
    <t>Kallioinen et al.</t>
  </si>
  <si>
    <t>Ybema et al.</t>
  </si>
  <si>
    <t>IEA ETP, Raficul et al.</t>
  </si>
  <si>
    <t>IEA ETP, BREF</t>
  </si>
  <si>
    <t>BREF</t>
  </si>
  <si>
    <t>(Powertechnics)</t>
  </si>
  <si>
    <t>FLO_MARK~UP~2030</t>
  </si>
  <si>
    <t>FLO_MARK~UP~2050</t>
  </si>
  <si>
    <t>~FI_T: FLO_SHAR</t>
  </si>
  <si>
    <t>TRTNHY01</t>
  </si>
  <si>
    <t>CAR: .AFV.HYB.NGA.</t>
  </si>
  <si>
    <t>TRWMCE005</t>
  </si>
  <si>
    <t>MOTOR CYCLE: .05.AFV.ELC.MCG.</t>
  </si>
  <si>
    <t>Space Heating</t>
  </si>
  <si>
    <t>Water Heating</t>
  </si>
  <si>
    <t>Cooling, Lighting and Appliances</t>
  </si>
  <si>
    <t>Industrial Processes</t>
  </si>
  <si>
    <t>Generic Industrial Energy Services</t>
  </si>
  <si>
    <t>Industrial Process Steam &amp; Heat and Space heat</t>
  </si>
  <si>
    <t>New technologies</t>
  </si>
  <si>
    <t>New Dry Clinker Kilns with DAC fuels</t>
  </si>
  <si>
    <t>~FI_T: NCAP_COST~EUR10</t>
  </si>
  <si>
    <t>~FI_T: NCAP_FOM~EUR10</t>
  </si>
  <si>
    <t>TRACO2B</t>
  </si>
  <si>
    <t>International Bunker CO2</t>
  </si>
  <si>
    <t>TFSI009</t>
  </si>
  <si>
    <t>Alternate generic international ship LNG</t>
  </si>
  <si>
    <t>Alternate generic international ship MET</t>
  </si>
  <si>
    <t>TRALNG</t>
  </si>
  <si>
    <t>TFSN009</t>
  </si>
  <si>
    <t>Alternate generic domestic ship MET</t>
  </si>
  <si>
    <t>ELCD</t>
  </si>
  <si>
    <t>FT-TRDELC9</t>
  </si>
  <si>
    <t>STG_SIFT</t>
  </si>
  <si>
    <t>Load shifting by fexible charging</t>
  </si>
  <si>
    <t>Bunker LNG (TRA)</t>
  </si>
  <si>
    <t>ACT_COST</t>
  </si>
  <si>
    <t>FLO_DELIV</t>
  </si>
  <si>
    <t>STG,ELE</t>
  </si>
  <si>
    <t>Load shifting by flexible charging</t>
  </si>
  <si>
    <t>TPAN009</t>
  </si>
  <si>
    <t>TTRELC</t>
  </si>
  <si>
    <t>Alternate generic plane domestic ELC</t>
  </si>
  <si>
    <t>Alternate generic plane domestic H2</t>
  </si>
  <si>
    <t>ICHOLFETH007</t>
  </si>
  <si>
    <t>New Olefins with Ethane CCS</t>
  </si>
  <si>
    <t>IFCHMET005</t>
  </si>
  <si>
    <t>Feedstock chemicals MET New</t>
  </si>
  <si>
    <t>SYNMET</t>
  </si>
  <si>
    <t>IFCHMH</t>
  </si>
  <si>
    <t>ICHOLFNAP007</t>
  </si>
  <si>
    <t>New Olefins with Naphta CCS</t>
  </si>
  <si>
    <t>ICHOLFMET005</t>
  </si>
  <si>
    <t>New Olefins with Methanol</t>
  </si>
  <si>
    <t>IEA ETP+Tracking+NCES</t>
  </si>
  <si>
    <t>NCES</t>
  </si>
  <si>
    <t>INMCMTDRY915</t>
  </si>
  <si>
    <t>New Dry Clinker Kilns with plasma CCS</t>
  </si>
  <si>
    <t>IISBLAFBFG-1</t>
  </si>
  <si>
    <t>Blast furnace conv.</t>
  </si>
  <si>
    <t>MISORE</t>
  </si>
  <si>
    <t>MISHME</t>
  </si>
  <si>
    <t>IRACOK</t>
  </si>
  <si>
    <t>FLO_EFF</t>
  </si>
  <si>
    <t>IRACOA</t>
  </si>
  <si>
    <t>MLIMST</t>
  </si>
  <si>
    <t>INPUTS</t>
  </si>
  <si>
    <t>BLF</t>
  </si>
  <si>
    <t>BOF</t>
  </si>
  <si>
    <t>MILL</t>
  </si>
  <si>
    <t>IISBLAFBFG+1</t>
  </si>
  <si>
    <t>Blast furnace conv. w. CCS (PCC MEA)</t>
  </si>
  <si>
    <t>METS</t>
  </si>
  <si>
    <t>CG_IRA_COK</t>
  </si>
  <si>
    <t>FUECOK</t>
  </si>
  <si>
    <t>CG_IND_GBF</t>
  </si>
  <si>
    <t>OUTPUTS</t>
  </si>
  <si>
    <t>IISSDRH2ELC-1</t>
  </si>
  <si>
    <t>DRI - Shaft kiln hydrogen (Elc heating)</t>
  </si>
  <si>
    <t>Basic Oxygen Furnace + Milling</t>
  </si>
  <si>
    <t>EUR15</t>
  </si>
  <si>
    <t>Methanol feedstock</t>
  </si>
  <si>
    <t>G-IRACOX</t>
  </si>
  <si>
    <t>VDA_FLOP</t>
  </si>
  <si>
    <t>IISBOFUR-1</t>
  </si>
  <si>
    <t>AGRELA</t>
  </si>
  <si>
    <t>Electricity A (AGR)</t>
  </si>
  <si>
    <t>TRMELC01</t>
  </si>
  <si>
    <t>MTR: .AFV.HYB.ELC.</t>
  </si>
  <si>
    <t>TRHELC01</t>
  </si>
  <si>
    <t>HTR: .AFV.HYB.ELC.</t>
  </si>
  <si>
    <t>TRBELC01</t>
  </si>
  <si>
    <t>BUS: .AFV.HYB.ELC.</t>
  </si>
  <si>
    <t>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</si>
</sst>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"/>
    <numFmt numFmtId="166" formatCode="&quot;$&quot;#,##0"/>
    <numFmt numFmtId="167" formatCode="_ * #,##0.00_ ;_ * \-#,##0.00_ ;_ * &quot;-&quot;??_ ;_ @_ "/>
    <numFmt numFmtId="168" formatCode="_([$€]* #,##0.00_);_([$€]* \(#,##0.00\);_([$€]* &quot;-&quot;??_);_(@_)"/>
    <numFmt numFmtId="169" formatCode="_-* #,##0.00\ _m_k_-;\-* #,##0.00\ _m_k_-;_-* &quot;-&quot;??\ _m_k_-;_-@_-"/>
    <numFmt numFmtId="170" formatCode="_-* #,##0\ _m_k_-;\-* #,##0\ _m_k_-;_-* &quot;-&quot;\ _m_k_-;_-@_-"/>
    <numFmt numFmtId="171" formatCode="_-* #,##0\ &quot;mk&quot;_-;\-* #,##0\ &quot;mk&quot;_-;_-* &quot;-&quot;\ &quot;mk&quot;_-;_-@_-"/>
    <numFmt numFmtId="172" formatCode="_-* #,##0.00\ &quot;mk&quot;_-;\-* #,##0.00\ &quot;mk&quot;_-;_-* &quot;-&quot;??\ &quot;mk&quot;_-;_-@_-"/>
  </numFmts>
  <fonts count="4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23"/>
      <name val="Arial"/>
      <family val="2"/>
    </font>
    <font>
      <b/>
      <sz val="10"/>
      <color indexed="55"/>
      <name val="Arial"/>
      <family val="2"/>
    </font>
    <font>
      <sz val="7.5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4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14"/>
      <color indexed="9"/>
      <name val="Arial"/>
      <family val="2"/>
    </font>
    <font>
      <sz val="10"/>
      <color indexed="20"/>
      <name val="Calibri"/>
      <family val="2"/>
    </font>
    <font>
      <sz val="10"/>
      <color indexed="8"/>
      <name val="Calibri"/>
      <family val="2"/>
    </font>
    <font>
      <sz val="9"/>
      <name val="Times New Roman"/>
      <family val="1"/>
    </font>
    <font>
      <sz val="8"/>
      <name val="Arial"/>
    </font>
    <font>
      <sz val="9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5"/>
    </xf>
    <xf numFmtId="0" fontId="39" fillId="2" borderId="0" applyNumberFormat="0" applyBorder="0" applyAlignment="0" applyProtection="0"/>
    <xf numFmtId="0" fontId="17" fillId="4" borderId="0" applyNumberFormat="0" applyBorder="0" applyAlignment="0" applyProtection="0"/>
    <xf numFmtId="167" fontId="16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1"/>
    <xf numFmtId="0" fontId="7" fillId="0" borderId="0"/>
    <xf numFmtId="0" fontId="7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40" fillId="0" borderId="0"/>
    <xf numFmtId="0" fontId="1" fillId="0" borderId="0"/>
    <xf numFmtId="0" fontId="16" fillId="0" borderId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8" fillId="3" borderId="0" applyNumberFormat="0" applyBorder="0" applyAlignment="0" applyProtection="0"/>
    <xf numFmtId="172" fontId="7" fillId="0" borderId="0" applyFont="0" applyFill="0" applyBorder="0" applyAlignment="0" applyProtection="0"/>
    <xf numFmtId="0" fontId="41" fillId="0" borderId="0"/>
  </cellStyleXfs>
  <cellXfs count="464">
    <xf numFmtId="0" fontId="0" fillId="0" borderId="0" xfId="0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2" fontId="2" fillId="0" borderId="0" xfId="0" applyNumberFormat="1" applyFont="1"/>
    <xf numFmtId="0" fontId="2" fillId="0" borderId="0" xfId="0" applyFont="1" applyFill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4" fillId="0" borderId="0" xfId="0" applyFont="1" applyFill="1"/>
    <xf numFmtId="0" fontId="7" fillId="0" borderId="0" xfId="0" applyFont="1" applyBorder="1"/>
    <xf numFmtId="0" fontId="8" fillId="0" borderId="0" xfId="0" applyFont="1"/>
    <xf numFmtId="2" fontId="7" fillId="0" borderId="0" xfId="0" applyNumberFormat="1" applyFont="1" applyFill="1"/>
    <xf numFmtId="0" fontId="10" fillId="0" borderId="0" xfId="0" applyNumberFormat="1" applyFont="1" applyFill="1" applyBorder="1" applyAlignment="1"/>
    <xf numFmtId="0" fontId="7" fillId="0" borderId="2" xfId="0" applyFont="1" applyBorder="1"/>
    <xf numFmtId="0" fontId="0" fillId="0" borderId="2" xfId="0" applyFill="1" applyBorder="1"/>
    <xf numFmtId="0" fontId="0" fillId="0" borderId="2" xfId="0" applyBorder="1"/>
    <xf numFmtId="0" fontId="10" fillId="0" borderId="2" xfId="0" applyNumberFormat="1" applyFont="1" applyFill="1" applyBorder="1" applyAlignment="1"/>
    <xf numFmtId="0" fontId="7" fillId="0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11" fillId="0" borderId="0" xfId="0" applyFont="1"/>
    <xf numFmtId="0" fontId="11" fillId="0" borderId="0" xfId="0" applyFont="1" applyFill="1"/>
    <xf numFmtId="0" fontId="2" fillId="5" borderId="3" xfId="0" applyFont="1" applyFill="1" applyBorder="1" applyAlignment="1">
      <alignment horizontal="center" wrapText="1"/>
    </xf>
    <xf numFmtId="166" fontId="7" fillId="0" borderId="0" xfId="0" applyNumberFormat="1" applyFont="1"/>
    <xf numFmtId="0" fontId="4" fillId="6" borderId="0" xfId="0" applyFont="1" applyFill="1"/>
    <xf numFmtId="0" fontId="0" fillId="5" borderId="0" xfId="0" applyFill="1"/>
    <xf numFmtId="1" fontId="0" fillId="0" borderId="2" xfId="0" applyNumberFormat="1" applyFill="1" applyBorder="1"/>
    <xf numFmtId="0" fontId="7" fillId="5" borderId="0" xfId="0" applyFont="1" applyFill="1"/>
    <xf numFmtId="0" fontId="0" fillId="7" borderId="0" xfId="0" applyFill="1"/>
    <xf numFmtId="0" fontId="11" fillId="0" borderId="0" xfId="0" applyFont="1" applyBorder="1"/>
    <xf numFmtId="2" fontId="0" fillId="0" borderId="0" xfId="0" applyNumberFormat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8" borderId="0" xfId="0" applyFill="1"/>
    <xf numFmtId="0" fontId="15" fillId="0" borderId="0" xfId="0" applyFont="1"/>
    <xf numFmtId="0" fontId="8" fillId="8" borderId="0" xfId="0" applyFont="1" applyFill="1"/>
    <xf numFmtId="0" fontId="7" fillId="8" borderId="0" xfId="0" applyFont="1" applyFill="1"/>
    <xf numFmtId="0" fontId="12" fillId="9" borderId="0" xfId="0" applyFont="1" applyFill="1"/>
    <xf numFmtId="0" fontId="9" fillId="5" borderId="3" xfId="0" applyFont="1" applyFill="1" applyBorder="1" applyAlignment="1">
      <alignment horizontal="center" wrapText="1"/>
    </xf>
    <xf numFmtId="0" fontId="4" fillId="5" borderId="0" xfId="0" applyFont="1" applyFill="1"/>
    <xf numFmtId="0" fontId="7" fillId="5" borderId="0" xfId="0" applyFont="1" applyFill="1" applyBorder="1"/>
    <xf numFmtId="0" fontId="0" fillId="5" borderId="7" xfId="0" applyFill="1" applyBorder="1"/>
    <xf numFmtId="1" fontId="4" fillId="5" borderId="3" xfId="0" applyNumberFormat="1" applyFont="1" applyFill="1" applyBorder="1" applyAlignment="1">
      <alignment horizontal="center" wrapText="1"/>
    </xf>
    <xf numFmtId="1" fontId="4" fillId="5" borderId="8" xfId="0" applyNumberFormat="1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8" fillId="0" borderId="0" xfId="0" applyFont="1" applyBorder="1"/>
    <xf numFmtId="0" fontId="8" fillId="0" borderId="10" xfId="0" applyFont="1" applyBorder="1"/>
    <xf numFmtId="0" fontId="11" fillId="0" borderId="11" xfId="0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25" fillId="0" borderId="11" xfId="0" applyFont="1" applyBorder="1"/>
    <xf numFmtId="0" fontId="26" fillId="0" borderId="0" xfId="0" applyFont="1"/>
    <xf numFmtId="0" fontId="0" fillId="0" borderId="7" xfId="0" applyBorder="1"/>
    <xf numFmtId="165" fontId="7" fillId="0" borderId="0" xfId="0" applyNumberFormat="1" applyFont="1" applyFill="1"/>
    <xf numFmtId="0" fontId="7" fillId="0" borderId="12" xfId="0" applyFont="1" applyFill="1" applyBorder="1"/>
    <xf numFmtId="0" fontId="7" fillId="0" borderId="12" xfId="0" applyFont="1" applyBorder="1"/>
    <xf numFmtId="165" fontId="7" fillId="0" borderId="0" xfId="0" applyNumberFormat="1" applyFont="1" applyBorder="1"/>
    <xf numFmtId="0" fontId="0" fillId="0" borderId="12" xfId="0" applyFill="1" applyBorder="1"/>
    <xf numFmtId="0" fontId="8" fillId="0" borderId="2" xfId="0" applyFont="1" applyBorder="1"/>
    <xf numFmtId="0" fontId="8" fillId="0" borderId="13" xfId="0" applyFont="1" applyBorder="1"/>
    <xf numFmtId="0" fontId="0" fillId="0" borderId="13" xfId="0" applyBorder="1"/>
    <xf numFmtId="0" fontId="11" fillId="10" borderId="5" xfId="0" applyFont="1" applyFill="1" applyBorder="1"/>
    <xf numFmtId="0" fontId="7" fillId="10" borderId="5" xfId="0" applyFont="1" applyFill="1" applyBorder="1"/>
    <xf numFmtId="0" fontId="0" fillId="10" borderId="5" xfId="0" applyFill="1" applyBorder="1"/>
    <xf numFmtId="0" fontId="10" fillId="10" borderId="5" xfId="0" applyNumberFormat="1" applyFont="1" applyFill="1" applyBorder="1" applyAlignment="1"/>
    <xf numFmtId="0" fontId="11" fillId="0" borderId="0" xfId="0" applyFont="1" applyAlignment="1">
      <alignment horizontal="center"/>
    </xf>
    <xf numFmtId="0" fontId="14" fillId="5" borderId="4" xfId="0" applyFont="1" applyFill="1" applyBorder="1"/>
    <xf numFmtId="0" fontId="14" fillId="5" borderId="5" xfId="0" applyFont="1" applyFill="1" applyBorder="1"/>
    <xf numFmtId="0" fontId="3" fillId="0" borderId="0" xfId="0" applyFont="1" applyBorder="1"/>
    <xf numFmtId="0" fontId="2" fillId="11" borderId="0" xfId="0" applyFont="1" applyFill="1" applyBorder="1"/>
    <xf numFmtId="0" fontId="2" fillId="11" borderId="0" xfId="0" applyFont="1" applyFill="1"/>
    <xf numFmtId="2" fontId="2" fillId="11" borderId="0" xfId="0" applyNumberFormat="1" applyFont="1" applyFill="1"/>
    <xf numFmtId="0" fontId="6" fillId="5" borderId="0" xfId="0" applyFont="1" applyFill="1"/>
    <xf numFmtId="0" fontId="2" fillId="5" borderId="0" xfId="0" applyFont="1" applyFill="1"/>
    <xf numFmtId="0" fontId="6" fillId="5" borderId="5" xfId="0" applyFont="1" applyFill="1" applyBorder="1"/>
    <xf numFmtId="0" fontId="6" fillId="5" borderId="6" xfId="0" applyFont="1" applyFill="1" applyBorder="1"/>
    <xf numFmtId="0" fontId="2" fillId="8" borderId="0" xfId="0" applyFont="1" applyFill="1"/>
    <xf numFmtId="165" fontId="2" fillId="0" borderId="0" xfId="0" applyNumberFormat="1" applyFont="1"/>
    <xf numFmtId="0" fontId="5" fillId="8" borderId="0" xfId="0" applyFont="1" applyFill="1"/>
    <xf numFmtId="0" fontId="11" fillId="0" borderId="0" xfId="0" applyFont="1" applyAlignment="1">
      <alignment horizontal="right"/>
    </xf>
    <xf numFmtId="0" fontId="9" fillId="5" borderId="9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center" wrapText="1"/>
    </xf>
    <xf numFmtId="0" fontId="20" fillId="7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right" wrapText="1"/>
    </xf>
    <xf numFmtId="0" fontId="31" fillId="0" borderId="0" xfId="0" applyFont="1"/>
    <xf numFmtId="1" fontId="2" fillId="7" borderId="0" xfId="0" applyNumberFormat="1" applyFont="1" applyFill="1" applyBorder="1" applyAlignment="1">
      <alignment horizontal="center" wrapText="1"/>
    </xf>
    <xf numFmtId="0" fontId="9" fillId="5" borderId="0" xfId="0" applyFont="1" applyFill="1"/>
    <xf numFmtId="165" fontId="9" fillId="5" borderId="0" xfId="0" applyNumberFormat="1" applyFont="1" applyFill="1"/>
    <xf numFmtId="0" fontId="0" fillId="7" borderId="11" xfId="0" applyFill="1" applyBorder="1"/>
    <xf numFmtId="0" fontId="0" fillId="7" borderId="0" xfId="0" applyFill="1" applyBorder="1"/>
    <xf numFmtId="0" fontId="7" fillId="7" borderId="0" xfId="0" applyFont="1" applyFill="1" applyBorder="1"/>
    <xf numFmtId="165" fontId="0" fillId="7" borderId="0" xfId="0" applyNumberFormat="1" applyFill="1" applyBorder="1"/>
    <xf numFmtId="2" fontId="0" fillId="7" borderId="0" xfId="0" applyNumberFormat="1" applyFill="1" applyBorder="1"/>
    <xf numFmtId="2" fontId="7" fillId="7" borderId="10" xfId="0" applyNumberFormat="1" applyFont="1" applyFill="1" applyBorder="1"/>
    <xf numFmtId="0" fontId="7" fillId="7" borderId="10" xfId="0" applyFont="1" applyFill="1" applyBorder="1"/>
    <xf numFmtId="0" fontId="8" fillId="7" borderId="0" xfId="0" applyFont="1" applyFill="1" applyBorder="1"/>
    <xf numFmtId="0" fontId="2" fillId="8" borderId="0" xfId="0" applyFont="1" applyFill="1" applyAlignment="1">
      <alignment horizontal="center"/>
    </xf>
    <xf numFmtId="0" fontId="7" fillId="7" borderId="0" xfId="0" applyFont="1" applyFill="1"/>
    <xf numFmtId="0" fontId="9" fillId="5" borderId="0" xfId="0" applyFont="1" applyFill="1" applyAlignment="1">
      <alignment horizontal="center"/>
    </xf>
    <xf numFmtId="0" fontId="7" fillId="10" borderId="0" xfId="0" applyFont="1" applyFill="1"/>
    <xf numFmtId="2" fontId="7" fillId="12" borderId="0" xfId="0" applyNumberFormat="1" applyFont="1" applyFill="1" applyBorder="1"/>
    <xf numFmtId="0" fontId="7" fillId="0" borderId="0" xfId="0" applyFont="1" applyBorder="1" applyAlignment="1">
      <alignment horizontal="center"/>
    </xf>
    <xf numFmtId="0" fontId="7" fillId="0" borderId="2" xfId="0" applyNumberFormat="1" applyFont="1" applyFill="1" applyBorder="1" applyAlignment="1"/>
    <xf numFmtId="0" fontId="7" fillId="0" borderId="2" xfId="0" applyNumberFormat="1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165" fontId="7" fillId="7" borderId="10" xfId="0" applyNumberFormat="1" applyFont="1" applyFill="1" applyBorder="1"/>
    <xf numFmtId="0" fontId="0" fillId="10" borderId="0" xfId="0" applyFill="1"/>
    <xf numFmtId="0" fontId="32" fillId="10" borderId="0" xfId="0" applyFont="1" applyFill="1"/>
    <xf numFmtId="0" fontId="2" fillId="10" borderId="0" xfId="0" applyFont="1" applyFill="1"/>
    <xf numFmtId="0" fontId="32" fillId="5" borderId="0" xfId="0" applyFont="1" applyFill="1"/>
    <xf numFmtId="0" fontId="2" fillId="5" borderId="0" xfId="0" applyFont="1" applyFill="1" applyAlignment="1">
      <alignment horizontal="center"/>
    </xf>
    <xf numFmtId="0" fontId="9" fillId="7" borderId="0" xfId="0" applyFont="1" applyFill="1"/>
    <xf numFmtId="0" fontId="8" fillId="5" borderId="0" xfId="0" applyFont="1" applyFill="1"/>
    <xf numFmtId="0" fontId="7" fillId="5" borderId="7" xfId="0" applyFont="1" applyFill="1" applyBorder="1"/>
    <xf numFmtId="0" fontId="8" fillId="7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4" fillId="0" borderId="0" xfId="0" applyFont="1" applyBorder="1"/>
    <xf numFmtId="0" fontId="4" fillId="5" borderId="14" xfId="0" quotePrefix="1" applyFont="1" applyFill="1" applyBorder="1" applyAlignment="1">
      <alignment horizontal="center" wrapText="1"/>
    </xf>
    <xf numFmtId="0" fontId="7" fillId="0" borderId="13" xfId="0" applyFont="1" applyBorder="1"/>
    <xf numFmtId="0" fontId="4" fillId="6" borderId="5" xfId="0" applyFont="1" applyFill="1" applyBorder="1"/>
    <xf numFmtId="0" fontId="7" fillId="12" borderId="0" xfId="0" applyFont="1" applyFill="1"/>
    <xf numFmtId="0" fontId="33" fillId="13" borderId="0" xfId="0" applyFont="1" applyFill="1"/>
    <xf numFmtId="0" fontId="24" fillId="13" borderId="0" xfId="0" applyFont="1" applyFill="1"/>
    <xf numFmtId="0" fontId="34" fillId="13" borderId="0" xfId="0" applyFont="1" applyFill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165" fontId="0" fillId="14" borderId="15" xfId="0" applyNumberFormat="1" applyFill="1" applyBorder="1"/>
    <xf numFmtId="0" fontId="0" fillId="5" borderId="16" xfId="0" applyFill="1" applyBorder="1" applyAlignment="1">
      <alignment wrapText="1"/>
    </xf>
    <xf numFmtId="165" fontId="0" fillId="5" borderId="11" xfId="0" applyNumberFormat="1" applyFill="1" applyBorder="1" applyAlignment="1">
      <alignment wrapText="1"/>
    </xf>
    <xf numFmtId="165" fontId="0" fillId="5" borderId="0" xfId="0" applyNumberFormat="1" applyFill="1" applyAlignment="1">
      <alignment wrapText="1"/>
    </xf>
    <xf numFmtId="0" fontId="0" fillId="5" borderId="17" xfId="0" applyFill="1" applyBorder="1"/>
    <xf numFmtId="0" fontId="0" fillId="5" borderId="0" xfId="0" applyFill="1" applyAlignment="1">
      <alignment wrapText="1"/>
    </xf>
    <xf numFmtId="165" fontId="0" fillId="14" borderId="10" xfId="0" applyNumberFormat="1" applyFill="1" applyBorder="1"/>
    <xf numFmtId="0" fontId="0" fillId="5" borderId="18" xfId="0" applyFill="1" applyBorder="1" applyAlignment="1">
      <alignment wrapText="1"/>
    </xf>
    <xf numFmtId="0" fontId="0" fillId="5" borderId="0" xfId="0" applyFill="1" applyBorder="1"/>
    <xf numFmtId="0" fontId="0" fillId="5" borderId="19" xfId="0" applyFill="1" applyBorder="1"/>
    <xf numFmtId="2" fontId="0" fillId="5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0" fontId="0" fillId="5" borderId="7" xfId="0" applyFill="1" applyBorder="1" applyAlignment="1">
      <alignment wrapText="1"/>
    </xf>
    <xf numFmtId="165" fontId="0" fillId="14" borderId="19" xfId="0" applyNumberFormat="1" applyFill="1" applyBorder="1"/>
    <xf numFmtId="0" fontId="0" fillId="5" borderId="20" xfId="0" applyFill="1" applyBorder="1" applyAlignment="1">
      <alignment wrapText="1"/>
    </xf>
    <xf numFmtId="2" fontId="0" fillId="5" borderId="7" xfId="0" applyNumberFormat="1" applyFill="1" applyBorder="1" applyAlignment="1">
      <alignment wrapText="1"/>
    </xf>
    <xf numFmtId="164" fontId="0" fillId="5" borderId="7" xfId="0" applyNumberFormat="1" applyFill="1" applyBorder="1" applyAlignment="1">
      <alignment wrapText="1"/>
    </xf>
    <xf numFmtId="165" fontId="0" fillId="5" borderId="0" xfId="0" applyNumberFormat="1" applyFill="1"/>
    <xf numFmtId="165" fontId="0" fillId="8" borderId="0" xfId="0" applyNumberFormat="1" applyFill="1"/>
    <xf numFmtId="0" fontId="2" fillId="10" borderId="5" xfId="0" applyFont="1" applyFill="1" applyBorder="1"/>
    <xf numFmtId="2" fontId="0" fillId="10" borderId="6" xfId="0" applyNumberFormat="1" applyFill="1" applyBorder="1"/>
    <xf numFmtId="2" fontId="0" fillId="10" borderId="4" xfId="0" applyNumberFormat="1" applyFill="1" applyBorder="1"/>
    <xf numFmtId="2" fontId="0" fillId="10" borderId="5" xfId="0" applyNumberFormat="1" applyFill="1" applyBorder="1"/>
    <xf numFmtId="164" fontId="0" fillId="10" borderId="5" xfId="0" applyNumberFormat="1" applyFill="1" applyBorder="1"/>
    <xf numFmtId="0" fontId="35" fillId="0" borderId="0" xfId="0" applyFont="1" applyFill="1"/>
    <xf numFmtId="0" fontId="1" fillId="0" borderId="0" xfId="0" applyFont="1" applyFill="1"/>
    <xf numFmtId="0" fontId="4" fillId="6" borderId="5" xfId="0" applyFont="1" applyFill="1" applyBorder="1" applyAlignment="1">
      <alignment horizontal="center"/>
    </xf>
    <xf numFmtId="0" fontId="36" fillId="5" borderId="0" xfId="0" applyFont="1" applyFill="1"/>
    <xf numFmtId="0" fontId="10" fillId="5" borderId="0" xfId="0" applyFont="1" applyFill="1" applyBorder="1"/>
    <xf numFmtId="0" fontId="10" fillId="5" borderId="0" xfId="0" applyFont="1" applyFill="1"/>
    <xf numFmtId="0" fontId="0" fillId="7" borderId="0" xfId="0" applyFill="1" applyAlignment="1">
      <alignment horizontal="center"/>
    </xf>
    <xf numFmtId="0" fontId="36" fillId="12" borderId="0" xfId="0" applyFont="1" applyFill="1"/>
    <xf numFmtId="0" fontId="10" fillId="12" borderId="0" xfId="0" applyFont="1" applyFill="1"/>
    <xf numFmtId="0" fontId="10" fillId="12" borderId="0" xfId="0" applyFont="1" applyFill="1" applyAlignment="1">
      <alignment horizontal="center"/>
    </xf>
    <xf numFmtId="0" fontId="37" fillId="5" borderId="0" xfId="0" applyFont="1" applyFill="1" applyAlignment="1">
      <alignment wrapText="1"/>
    </xf>
    <xf numFmtId="0" fontId="0" fillId="12" borderId="0" xfId="0" applyFill="1"/>
    <xf numFmtId="0" fontId="4" fillId="12" borderId="0" xfId="0" applyFont="1" applyFill="1"/>
    <xf numFmtId="0" fontId="0" fillId="12" borderId="18" xfId="0" applyFill="1" applyBorder="1"/>
    <xf numFmtId="0" fontId="0" fillId="12" borderId="0" xfId="0" applyFill="1" applyBorder="1"/>
    <xf numFmtId="0" fontId="0" fillId="12" borderId="10" xfId="0" applyFill="1" applyBorder="1"/>
    <xf numFmtId="165" fontId="0" fillId="12" borderId="0" xfId="0" applyNumberFormat="1" applyFill="1" applyBorder="1"/>
    <xf numFmtId="165" fontId="0" fillId="12" borderId="10" xfId="0" applyNumberFormat="1" applyFill="1" applyBorder="1"/>
    <xf numFmtId="1" fontId="0" fillId="12" borderId="0" xfId="0" applyNumberFormat="1" applyFill="1" applyBorder="1"/>
    <xf numFmtId="1" fontId="0" fillId="12" borderId="18" xfId="0" applyNumberFormat="1" applyFill="1" applyBorder="1"/>
    <xf numFmtId="165" fontId="0" fillId="12" borderId="18" xfId="0" applyNumberFormat="1" applyFill="1" applyBorder="1"/>
    <xf numFmtId="2" fontId="0" fillId="12" borderId="0" xfId="0" applyNumberFormat="1" applyFill="1" applyBorder="1"/>
    <xf numFmtId="2" fontId="0" fillId="12" borderId="10" xfId="0" applyNumberFormat="1" applyFill="1" applyBorder="1"/>
    <xf numFmtId="0" fontId="19" fillId="12" borderId="18" xfId="0" applyFont="1" applyFill="1" applyBorder="1"/>
    <xf numFmtId="2" fontId="19" fillId="12" borderId="0" xfId="0" applyNumberFormat="1" applyFont="1" applyFill="1" applyBorder="1"/>
    <xf numFmtId="2" fontId="19" fillId="12" borderId="10" xfId="0" applyNumberFormat="1" applyFont="1" applyFill="1" applyBorder="1"/>
    <xf numFmtId="2" fontId="0" fillId="12" borderId="18" xfId="0" applyNumberFormat="1" applyFill="1" applyBorder="1"/>
    <xf numFmtId="2" fontId="19" fillId="12" borderId="18" xfId="0" applyNumberFormat="1" applyFont="1" applyFill="1" applyBorder="1"/>
    <xf numFmtId="2" fontId="0" fillId="12" borderId="0" xfId="0" applyNumberFormat="1" applyFill="1"/>
    <xf numFmtId="0" fontId="19" fillId="12" borderId="0" xfId="0" applyFont="1" applyFill="1" applyBorder="1"/>
    <xf numFmtId="0" fontId="19" fillId="12" borderId="10" xfId="0" applyFont="1" applyFill="1" applyBorder="1"/>
    <xf numFmtId="165" fontId="2" fillId="12" borderId="0" xfId="0" applyNumberFormat="1" applyFont="1" applyFill="1"/>
    <xf numFmtId="165" fontId="19" fillId="12" borderId="0" xfId="0" applyNumberFormat="1" applyFont="1" applyFill="1" applyBorder="1"/>
    <xf numFmtId="2" fontId="2" fillId="12" borderId="0" xfId="0" applyNumberFormat="1" applyFont="1" applyFill="1"/>
    <xf numFmtId="2" fontId="9" fillId="12" borderId="0" xfId="0" applyNumberFormat="1" applyFont="1" applyFill="1"/>
    <xf numFmtId="2" fontId="9" fillId="12" borderId="0" xfId="0" applyNumberFormat="1" applyFont="1" applyFill="1" applyBorder="1"/>
    <xf numFmtId="2" fontId="9" fillId="12" borderId="10" xfId="0" applyNumberFormat="1" applyFont="1" applyFill="1" applyBorder="1"/>
    <xf numFmtId="165" fontId="19" fillId="12" borderId="0" xfId="0" applyNumberFormat="1" applyFont="1" applyFill="1"/>
    <xf numFmtId="165" fontId="19" fillId="12" borderId="10" xfId="0" applyNumberFormat="1" applyFont="1" applyFill="1" applyBorder="1"/>
    <xf numFmtId="0" fontId="2" fillId="12" borderId="0" xfId="0" applyFont="1" applyFill="1"/>
    <xf numFmtId="0" fontId="19" fillId="12" borderId="0" xfId="0" applyFont="1" applyFill="1"/>
    <xf numFmtId="2" fontId="19" fillId="12" borderId="0" xfId="0" applyNumberFormat="1" applyFont="1" applyFill="1"/>
    <xf numFmtId="0" fontId="9" fillId="12" borderId="0" xfId="0" applyFont="1" applyFill="1"/>
    <xf numFmtId="0" fontId="6" fillId="12" borderId="0" xfId="0" applyFont="1" applyFill="1"/>
    <xf numFmtId="0" fontId="29" fillId="12" borderId="0" xfId="0" applyFont="1" applyFill="1"/>
    <xf numFmtId="0" fontId="4" fillId="12" borderId="0" xfId="0" applyFont="1" applyFill="1" applyAlignment="1"/>
    <xf numFmtId="0" fontId="2" fillId="12" borderId="0" xfId="0" applyFont="1" applyFill="1" applyBorder="1" applyAlignment="1">
      <alignment horizontal="right"/>
    </xf>
    <xf numFmtId="165" fontId="0" fillId="12" borderId="0" xfId="0" applyNumberFormat="1" applyFill="1"/>
    <xf numFmtId="2" fontId="30" fillId="12" borderId="10" xfId="0" applyNumberFormat="1" applyFont="1" applyFill="1" applyBorder="1"/>
    <xf numFmtId="0" fontId="2" fillId="12" borderId="0" xfId="0" applyFont="1" applyFill="1" applyBorder="1"/>
    <xf numFmtId="1" fontId="2" fillId="12" borderId="0" xfId="0" applyNumberFormat="1" applyFont="1" applyFill="1"/>
    <xf numFmtId="0" fontId="7" fillId="5" borderId="3" xfId="15" applyFont="1" applyFill="1" applyBorder="1" applyAlignment="1">
      <alignment horizontal="center" wrapText="1"/>
    </xf>
    <xf numFmtId="0" fontId="9" fillId="5" borderId="3" xfId="15" applyFont="1" applyFill="1" applyBorder="1" applyAlignment="1">
      <alignment horizontal="center" wrapText="1"/>
    </xf>
    <xf numFmtId="0" fontId="9" fillId="5" borderId="9" xfId="15" applyFont="1" applyFill="1" applyBorder="1" applyAlignment="1">
      <alignment horizontal="right" wrapText="1"/>
    </xf>
    <xf numFmtId="0" fontId="9" fillId="5" borderId="8" xfId="15" applyFont="1" applyFill="1" applyBorder="1" applyAlignment="1">
      <alignment horizontal="center" wrapText="1"/>
    </xf>
    <xf numFmtId="0" fontId="9" fillId="5" borderId="9" xfId="15" applyFont="1" applyFill="1" applyBorder="1" applyAlignment="1">
      <alignment horizontal="center" wrapText="1"/>
    </xf>
    <xf numFmtId="0" fontId="7" fillId="5" borderId="0" xfId="15" applyFont="1" applyFill="1"/>
    <xf numFmtId="0" fontId="7" fillId="5" borderId="0" xfId="15" applyFont="1" applyFill="1" applyAlignment="1">
      <alignment horizontal="center"/>
    </xf>
    <xf numFmtId="1" fontId="7" fillId="5" borderId="0" xfId="15" applyNumberFormat="1" applyFont="1" applyFill="1"/>
    <xf numFmtId="2" fontId="7" fillId="5" borderId="0" xfId="15" applyNumberFormat="1" applyFont="1" applyFill="1"/>
    <xf numFmtId="1" fontId="0" fillId="5" borderId="0" xfId="0" applyNumberFormat="1" applyFill="1"/>
    <xf numFmtId="0" fontId="0" fillId="5" borderId="0" xfId="0" applyFill="1" applyAlignment="1">
      <alignment horizontal="center"/>
    </xf>
    <xf numFmtId="0" fontId="4" fillId="10" borderId="5" xfId="0" applyFont="1" applyFill="1" applyBorder="1"/>
    <xf numFmtId="165" fontId="2" fillId="10" borderId="5" xfId="0" applyNumberFormat="1" applyFont="1" applyFill="1" applyBorder="1"/>
    <xf numFmtId="165" fontId="0" fillId="15" borderId="0" xfId="0" applyNumberFormat="1" applyFill="1" applyAlignment="1">
      <alignment horizontal="center"/>
    </xf>
    <xf numFmtId="0" fontId="0" fillId="10" borderId="5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5" borderId="0" xfId="0" applyFont="1" applyFill="1"/>
    <xf numFmtId="0" fontId="0" fillId="5" borderId="21" xfId="0" applyFill="1" applyBorder="1"/>
    <xf numFmtId="1" fontId="0" fillId="5" borderId="2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18" xfId="0" applyFill="1" applyBorder="1"/>
    <xf numFmtId="1" fontId="0" fillId="5" borderId="18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0" fontId="1" fillId="5" borderId="0" xfId="15" applyFill="1"/>
    <xf numFmtId="0" fontId="1" fillId="15" borderId="0" xfId="0" applyFont="1" applyFill="1" applyAlignment="1">
      <alignment horizontal="center"/>
    </xf>
    <xf numFmtId="0" fontId="11" fillId="7" borderId="11" xfId="0" applyFont="1" applyFill="1" applyBorder="1"/>
    <xf numFmtId="0" fontId="1" fillId="7" borderId="0" xfId="0" applyFont="1" applyFill="1"/>
    <xf numFmtId="164" fontId="7" fillId="7" borderId="0" xfId="0" applyNumberFormat="1" applyFont="1" applyFill="1" applyBorder="1"/>
    <xf numFmtId="0" fontId="0" fillId="7" borderId="12" xfId="0" applyFill="1" applyBorder="1" applyAlignment="1">
      <alignment horizontal="center"/>
    </xf>
    <xf numFmtId="0" fontId="11" fillId="7" borderId="0" xfId="0" applyFont="1" applyFill="1"/>
    <xf numFmtId="0" fontId="8" fillId="7" borderId="10" xfId="0" applyFont="1" applyFill="1" applyBorder="1"/>
    <xf numFmtId="2" fontId="7" fillId="7" borderId="0" xfId="0" applyNumberFormat="1" applyFont="1" applyFill="1" applyBorder="1"/>
    <xf numFmtId="1" fontId="7" fillId="7" borderId="0" xfId="0" applyNumberFormat="1" applyFont="1" applyFill="1" applyBorder="1"/>
    <xf numFmtId="165" fontId="0" fillId="7" borderId="0" xfId="0" applyNumberFormat="1" applyFill="1"/>
    <xf numFmtId="2" fontId="0" fillId="7" borderId="0" xfId="0" applyNumberFormat="1" applyFill="1"/>
    <xf numFmtId="165" fontId="7" fillId="7" borderId="0" xfId="0" applyNumberFormat="1" applyFont="1" applyFill="1" applyBorder="1"/>
    <xf numFmtId="0" fontId="7" fillId="7" borderId="10" xfId="0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7" fillId="7" borderId="11" xfId="0" applyFont="1" applyFill="1" applyBorder="1"/>
    <xf numFmtId="0" fontId="7" fillId="7" borderId="15" xfId="0" applyFont="1" applyFill="1" applyBorder="1"/>
    <xf numFmtId="165" fontId="1" fillId="7" borderId="11" xfId="0" applyNumberFormat="1" applyFont="1" applyFill="1" applyBorder="1"/>
    <xf numFmtId="165" fontId="7" fillId="7" borderId="15" xfId="0" applyNumberFormat="1" applyFont="1" applyFill="1" applyBorder="1"/>
    <xf numFmtId="0" fontId="7" fillId="7" borderId="0" xfId="0" applyFont="1" applyFill="1" applyBorder="1" applyAlignment="1">
      <alignment horizontal="center"/>
    </xf>
    <xf numFmtId="2" fontId="7" fillId="7" borderId="0" xfId="0" applyNumberFormat="1" applyFont="1" applyFill="1"/>
    <xf numFmtId="1" fontId="0" fillId="7" borderId="0" xfId="0" applyNumberFormat="1" applyFill="1" applyBorder="1"/>
    <xf numFmtId="1" fontId="1" fillId="7" borderId="0" xfId="0" applyNumberFormat="1" applyFont="1" applyFill="1" applyBorder="1"/>
    <xf numFmtId="0" fontId="0" fillId="7" borderId="22" xfId="0" applyFill="1" applyBorder="1" applyAlignment="1">
      <alignment horizontal="center"/>
    </xf>
    <xf numFmtId="0" fontId="11" fillId="7" borderId="0" xfId="0" applyFont="1" applyFill="1" applyBorder="1"/>
    <xf numFmtId="1" fontId="0" fillId="7" borderId="0" xfId="0" applyNumberFormat="1" applyFill="1"/>
    <xf numFmtId="0" fontId="1" fillId="7" borderId="0" xfId="0" applyFont="1" applyFill="1" applyBorder="1"/>
    <xf numFmtId="0" fontId="1" fillId="7" borderId="12" xfId="0" applyFont="1" applyFill="1" applyBorder="1" applyAlignment="1">
      <alignment horizontal="center"/>
    </xf>
    <xf numFmtId="164" fontId="1" fillId="7" borderId="0" xfId="0" applyNumberFormat="1" applyFont="1" applyFill="1" applyBorder="1"/>
    <xf numFmtId="1" fontId="1" fillId="7" borderId="0" xfId="0" applyNumberFormat="1" applyFont="1" applyFill="1"/>
    <xf numFmtId="164" fontId="0" fillId="7" borderId="0" xfId="0" applyNumberFormat="1" applyFill="1" applyBorder="1"/>
    <xf numFmtId="0" fontId="25" fillId="7" borderId="11" xfId="0" applyFont="1" applyFill="1" applyBorder="1"/>
    <xf numFmtId="0" fontId="26" fillId="7" borderId="0" xfId="0" applyFont="1" applyFill="1"/>
    <xf numFmtId="0" fontId="27" fillId="7" borderId="0" xfId="0" applyFont="1" applyFill="1"/>
    <xf numFmtId="0" fontId="0" fillId="7" borderId="7" xfId="0" applyFill="1" applyBorder="1"/>
    <xf numFmtId="1" fontId="7" fillId="7" borderId="10" xfId="0" applyNumberFormat="1" applyFont="1" applyFill="1" applyBorder="1"/>
    <xf numFmtId="0" fontId="1" fillId="7" borderId="11" xfId="0" applyFont="1" applyFill="1" applyBorder="1"/>
    <xf numFmtId="164" fontId="7" fillId="7" borderId="11" xfId="0" applyNumberFormat="1" applyFont="1" applyFill="1" applyBorder="1"/>
    <xf numFmtId="2" fontId="7" fillId="7" borderId="15" xfId="0" applyNumberFormat="1" applyFont="1" applyFill="1" applyBorder="1"/>
    <xf numFmtId="2" fontId="0" fillId="7" borderId="11" xfId="0" applyNumberFormat="1" applyFill="1" applyBorder="1"/>
    <xf numFmtId="0" fontId="8" fillId="7" borderId="11" xfId="0" applyFont="1" applyFill="1" applyBorder="1"/>
    <xf numFmtId="0" fontId="8" fillId="7" borderId="15" xfId="0" applyFont="1" applyFill="1" applyBorder="1"/>
    <xf numFmtId="165" fontId="0" fillId="7" borderId="11" xfId="0" applyNumberFormat="1" applyFill="1" applyBorder="1"/>
    <xf numFmtId="0" fontId="7" fillId="7" borderId="15" xfId="0" applyFont="1" applyFill="1" applyBorder="1" applyAlignment="1">
      <alignment horizontal="center"/>
    </xf>
    <xf numFmtId="2" fontId="1" fillId="7" borderId="11" xfId="0" applyNumberFormat="1" applyFont="1" applyFill="1" applyBorder="1"/>
    <xf numFmtId="0" fontId="1" fillId="7" borderId="22" xfId="0" applyFont="1" applyFill="1" applyBorder="1" applyAlignment="1">
      <alignment horizontal="center"/>
    </xf>
    <xf numFmtId="164" fontId="0" fillId="7" borderId="11" xfId="0" applyNumberFormat="1" applyFill="1" applyBorder="1"/>
    <xf numFmtId="164" fontId="7" fillId="7" borderId="15" xfId="0" applyNumberFormat="1" applyFont="1" applyFill="1" applyBorder="1"/>
    <xf numFmtId="0" fontId="11" fillId="12" borderId="0" xfId="0" applyFont="1" applyFill="1"/>
    <xf numFmtId="0" fontId="7" fillId="12" borderId="10" xfId="0" applyFont="1" applyFill="1" applyBorder="1"/>
    <xf numFmtId="2" fontId="7" fillId="12" borderId="10" xfId="0" applyNumberFormat="1" applyFont="1" applyFill="1" applyBorder="1"/>
    <xf numFmtId="165" fontId="7" fillId="12" borderId="0" xfId="0" applyNumberFormat="1" applyFont="1" applyFill="1"/>
    <xf numFmtId="0" fontId="7" fillId="12" borderId="23" xfId="0" applyFont="1" applyFill="1" applyBorder="1"/>
    <xf numFmtId="0" fontId="7" fillId="12" borderId="24" xfId="0" applyFont="1" applyFill="1" applyBorder="1"/>
    <xf numFmtId="0" fontId="7" fillId="12" borderId="12" xfId="0" applyFont="1" applyFill="1" applyBorder="1"/>
    <xf numFmtId="0" fontId="11" fillId="12" borderId="11" xfId="0" applyFont="1" applyFill="1" applyBorder="1"/>
    <xf numFmtId="0" fontId="0" fillId="12" borderId="11" xfId="0" applyFill="1" applyBorder="1"/>
    <xf numFmtId="0" fontId="7" fillId="12" borderId="11" xfId="0" applyFont="1" applyFill="1" applyBorder="1"/>
    <xf numFmtId="0" fontId="7" fillId="12" borderId="15" xfId="0" applyFont="1" applyFill="1" applyBorder="1"/>
    <xf numFmtId="0" fontId="7" fillId="12" borderId="0" xfId="0" applyFont="1" applyFill="1" applyBorder="1"/>
    <xf numFmtId="2" fontId="7" fillId="12" borderId="11" xfId="0" applyNumberFormat="1" applyFont="1" applyFill="1" applyBorder="1"/>
    <xf numFmtId="2" fontId="7" fillId="12" borderId="15" xfId="0" applyNumberFormat="1" applyFont="1" applyFill="1" applyBorder="1"/>
    <xf numFmtId="2" fontId="7" fillId="12" borderId="0" xfId="0" applyNumberFormat="1" applyFont="1" applyFill="1"/>
    <xf numFmtId="164" fontId="7" fillId="12" borderId="0" xfId="0" applyNumberFormat="1" applyFont="1" applyFill="1" applyBorder="1"/>
    <xf numFmtId="165" fontId="7" fillId="12" borderId="12" xfId="0" applyNumberFormat="1" applyFont="1" applyFill="1" applyBorder="1"/>
    <xf numFmtId="164" fontId="7" fillId="12" borderId="11" xfId="0" applyNumberFormat="1" applyFont="1" applyFill="1" applyBorder="1"/>
    <xf numFmtId="0" fontId="7" fillId="12" borderId="10" xfId="0" applyFont="1" applyFill="1" applyBorder="1" applyAlignment="1">
      <alignment horizontal="center"/>
    </xf>
    <xf numFmtId="0" fontId="0" fillId="10" borderId="4" xfId="0" applyFill="1" applyBorder="1"/>
    <xf numFmtId="165" fontId="0" fillId="15" borderId="18" xfId="0" applyNumberForma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left" wrapText="1"/>
    </xf>
    <xf numFmtId="1" fontId="4" fillId="5" borderId="5" xfId="0" applyNumberFormat="1" applyFont="1" applyFill="1" applyBorder="1" applyAlignment="1">
      <alignment horizontal="center" wrapText="1"/>
    </xf>
    <xf numFmtId="0" fontId="4" fillId="5" borderId="25" xfId="0" quotePrefix="1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right" wrapText="1"/>
    </xf>
    <xf numFmtId="0" fontId="0" fillId="12" borderId="12" xfId="0" applyFill="1" applyBorder="1"/>
    <xf numFmtId="0" fontId="0" fillId="12" borderId="0" xfId="0" applyFill="1" applyBorder="1" applyAlignment="1">
      <alignment horizontal="center"/>
    </xf>
    <xf numFmtId="0" fontId="7" fillId="12" borderId="7" xfId="0" applyFont="1" applyFill="1" applyBorder="1"/>
    <xf numFmtId="0" fontId="0" fillId="12" borderId="7" xfId="0" applyFill="1" applyBorder="1"/>
    <xf numFmtId="0" fontId="0" fillId="12" borderId="26" xfId="0" applyFill="1" applyBorder="1"/>
    <xf numFmtId="0" fontId="0" fillId="12" borderId="7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7" fillId="5" borderId="10" xfId="0" applyFont="1" applyFill="1" applyBorder="1"/>
    <xf numFmtId="2" fontId="7" fillId="5" borderId="0" xfId="0" applyNumberFormat="1" applyFont="1" applyFill="1" applyBorder="1"/>
    <xf numFmtId="2" fontId="7" fillId="5" borderId="0" xfId="0" applyNumberFormat="1" applyFont="1" applyFill="1"/>
    <xf numFmtId="164" fontId="7" fillId="5" borderId="0" xfId="0" applyNumberFormat="1" applyFont="1" applyFill="1" applyBorder="1"/>
    <xf numFmtId="0" fontId="7" fillId="5" borderId="11" xfId="0" applyFont="1" applyFill="1" applyBorder="1"/>
    <xf numFmtId="0" fontId="11" fillId="5" borderId="11" xfId="0" applyFont="1" applyFill="1" applyBorder="1"/>
    <xf numFmtId="0" fontId="7" fillId="5" borderId="15" xfId="0" applyFont="1" applyFill="1" applyBorder="1"/>
    <xf numFmtId="164" fontId="7" fillId="5" borderId="11" xfId="0" applyNumberFormat="1" applyFont="1" applyFill="1" applyBorder="1"/>
    <xf numFmtId="2" fontId="7" fillId="5" borderId="10" xfId="0" applyNumberFormat="1" applyFont="1" applyFill="1" applyBorder="1"/>
    <xf numFmtId="165" fontId="7" fillId="5" borderId="0" xfId="0" applyNumberFormat="1" applyFont="1" applyFill="1" applyBorder="1"/>
    <xf numFmtId="165" fontId="7" fillId="5" borderId="0" xfId="0" applyNumberFormat="1" applyFont="1" applyFill="1"/>
    <xf numFmtId="1" fontId="7" fillId="5" borderId="0" xfId="0" applyNumberFormat="1" applyFont="1" applyFill="1"/>
    <xf numFmtId="0" fontId="7" fillId="5" borderId="11" xfId="0" applyFont="1" applyFill="1" applyBorder="1" applyAlignment="1">
      <alignment horizontal="center"/>
    </xf>
    <xf numFmtId="164" fontId="0" fillId="12" borderId="0" xfId="0" applyNumberFormat="1" applyFill="1" applyBorder="1"/>
    <xf numFmtId="164" fontId="0" fillId="12" borderId="7" xfId="0" applyNumberFormat="1" applyFill="1" applyBorder="1"/>
    <xf numFmtId="0" fontId="1" fillId="10" borderId="21" xfId="0" applyFont="1" applyFill="1" applyBorder="1"/>
    <xf numFmtId="0" fontId="1" fillId="10" borderId="17" xfId="0" applyFont="1" applyFill="1" applyBorder="1"/>
    <xf numFmtId="0" fontId="1" fillId="10" borderId="23" xfId="0" applyFont="1" applyFill="1" applyBorder="1"/>
    <xf numFmtId="0" fontId="1" fillId="10" borderId="18" xfId="0" applyFont="1" applyFill="1" applyBorder="1"/>
    <xf numFmtId="0" fontId="1" fillId="10" borderId="0" xfId="0" applyFont="1" applyFill="1" applyBorder="1"/>
    <xf numFmtId="0" fontId="1" fillId="10" borderId="10" xfId="0" applyFont="1" applyFill="1" applyBorder="1"/>
    <xf numFmtId="165" fontId="1" fillId="10" borderId="18" xfId="0" applyNumberFormat="1" applyFont="1" applyFill="1" applyBorder="1"/>
    <xf numFmtId="2" fontId="1" fillId="10" borderId="0" xfId="0" applyNumberFormat="1" applyFont="1" applyFill="1" applyBorder="1"/>
    <xf numFmtId="0" fontId="7" fillId="10" borderId="10" xfId="0" applyFont="1" applyFill="1" applyBorder="1"/>
    <xf numFmtId="2" fontId="1" fillId="10" borderId="18" xfId="0" applyNumberFormat="1" applyFont="1" applyFill="1" applyBorder="1"/>
    <xf numFmtId="165" fontId="1" fillId="10" borderId="0" xfId="0" applyNumberFormat="1" applyFont="1" applyFill="1" applyBorder="1"/>
    <xf numFmtId="164" fontId="7" fillId="10" borderId="0" xfId="0" applyNumberFormat="1" applyFont="1" applyFill="1" applyBorder="1"/>
    <xf numFmtId="2" fontId="1" fillId="10" borderId="10" xfId="0" applyNumberFormat="1" applyFont="1" applyFill="1" applyBorder="1"/>
    <xf numFmtId="2" fontId="1" fillId="10" borderId="16" xfId="0" applyNumberFormat="1" applyFont="1" applyFill="1" applyBorder="1"/>
    <xf numFmtId="2" fontId="1" fillId="10" borderId="11" xfId="0" applyNumberFormat="1" applyFont="1" applyFill="1" applyBorder="1"/>
    <xf numFmtId="0" fontId="1" fillId="10" borderId="11" xfId="0" applyFont="1" applyFill="1" applyBorder="1"/>
    <xf numFmtId="2" fontId="1" fillId="10" borderId="15" xfId="0" applyNumberFormat="1" applyFon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2" fontId="7" fillId="10" borderId="0" xfId="0" applyNumberFormat="1" applyFont="1" applyFill="1" applyBorder="1"/>
    <xf numFmtId="165" fontId="7" fillId="10" borderId="0" xfId="0" applyNumberFormat="1" applyFont="1" applyFill="1" applyBorder="1"/>
    <xf numFmtId="0" fontId="0" fillId="10" borderId="0" xfId="0" applyFill="1" applyBorder="1"/>
    <xf numFmtId="1" fontId="1" fillId="10" borderId="0" xfId="0" applyNumberFormat="1" applyFont="1" applyFill="1" applyBorder="1"/>
    <xf numFmtId="0" fontId="7" fillId="5" borderId="6" xfId="0" applyFont="1" applyFill="1" applyBorder="1" applyAlignment="1">
      <alignment horizontal="center" wrapText="1"/>
    </xf>
    <xf numFmtId="0" fontId="0" fillId="12" borderId="19" xfId="0" applyFill="1" applyBorder="1"/>
    <xf numFmtId="0" fontId="0" fillId="12" borderId="10" xfId="0" applyFill="1" applyBorder="1" applyAlignment="1">
      <alignment horizontal="center"/>
    </xf>
    <xf numFmtId="0" fontId="7" fillId="5" borderId="9" xfId="0" applyFont="1" applyFill="1" applyBorder="1" applyAlignment="1">
      <alignment horizontal="right" wrapText="1"/>
    </xf>
    <xf numFmtId="0" fontId="0" fillId="7" borderId="18" xfId="0" applyFill="1" applyBorder="1"/>
    <xf numFmtId="0" fontId="1" fillId="7" borderId="7" xfId="0" applyFont="1" applyFill="1" applyBorder="1"/>
    <xf numFmtId="164" fontId="0" fillId="7" borderId="0" xfId="0" applyNumberFormat="1" applyFill="1"/>
    <xf numFmtId="165" fontId="0" fillId="10" borderId="0" xfId="0" applyNumberFormat="1" applyFill="1"/>
    <xf numFmtId="0" fontId="3" fillId="0" borderId="0" xfId="0" applyFont="1"/>
    <xf numFmtId="0" fontId="11" fillId="7" borderId="0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7" xfId="0" applyFill="1" applyBorder="1" applyAlignment="1">
      <alignment horizontal="left"/>
    </xf>
    <xf numFmtId="2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0" fontId="10" fillId="5" borderId="0" xfId="0" applyNumberFormat="1" applyFont="1" applyFill="1" applyBorder="1" applyAlignment="1"/>
    <xf numFmtId="0" fontId="0" fillId="5" borderId="0" xfId="0" applyFill="1" applyBorder="1" applyAlignment="1">
      <alignment wrapText="1"/>
    </xf>
    <xf numFmtId="2" fontId="28" fillId="5" borderId="0" xfId="0" applyNumberFormat="1" applyFont="1" applyFill="1" applyBorder="1"/>
    <xf numFmtId="0" fontId="8" fillId="5" borderId="0" xfId="0" applyFont="1" applyFill="1" applyBorder="1"/>
    <xf numFmtId="0" fontId="8" fillId="5" borderId="10" xfId="0" applyFont="1" applyFill="1" applyBorder="1"/>
    <xf numFmtId="0" fontId="0" fillId="5" borderId="10" xfId="0" applyFill="1" applyBorder="1"/>
    <xf numFmtId="0" fontId="0" fillId="5" borderId="0" xfId="0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8" fillId="8" borderId="0" xfId="0" applyFont="1" applyFill="1"/>
    <xf numFmtId="2" fontId="0" fillId="12" borderId="0" xfId="0" applyNumberFormat="1" applyFill="1" applyBorder="1" applyAlignment="1">
      <alignment horizontal="center"/>
    </xf>
    <xf numFmtId="1" fontId="7" fillId="5" borderId="0" xfId="0" applyNumberFormat="1" applyFont="1" applyFill="1" applyAlignment="1">
      <alignment horizontal="center"/>
    </xf>
    <xf numFmtId="164" fontId="0" fillId="5" borderId="0" xfId="0" applyNumberFormat="1" applyFill="1"/>
    <xf numFmtId="2" fontId="0" fillId="5" borderId="0" xfId="0" applyNumberFormat="1" applyFill="1"/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24" fillId="13" borderId="0" xfId="0" applyFont="1" applyFill="1" applyBorder="1"/>
    <xf numFmtId="0" fontId="24" fillId="13" borderId="0" xfId="0" applyFont="1" applyFill="1" applyBorder="1" applyAlignment="1">
      <alignment horizontal="left"/>
    </xf>
    <xf numFmtId="0" fontId="38" fillId="13" borderId="0" xfId="0" applyFont="1" applyFill="1" applyBorder="1"/>
    <xf numFmtId="0" fontId="9" fillId="5" borderId="14" xfId="0" applyFont="1" applyFill="1" applyBorder="1" applyAlignment="1">
      <alignment horizontal="center" wrapText="1"/>
    </xf>
    <xf numFmtId="0" fontId="2" fillId="5" borderId="18" xfId="0" applyFont="1" applyFill="1" applyBorder="1"/>
    <xf numFmtId="0" fontId="2" fillId="5" borderId="20" xfId="0" applyFont="1" applyFill="1" applyBorder="1"/>
    <xf numFmtId="1" fontId="7" fillId="5" borderId="24" xfId="15" applyNumberFormat="1" applyFont="1" applyFill="1" applyBorder="1"/>
    <xf numFmtId="2" fontId="7" fillId="5" borderId="12" xfId="15" applyNumberFormat="1" applyFont="1" applyFill="1" applyBorder="1"/>
    <xf numFmtId="0" fontId="0" fillId="5" borderId="12" xfId="0" applyFill="1" applyBorder="1"/>
    <xf numFmtId="2" fontId="7" fillId="5" borderId="26" xfId="15" applyNumberFormat="1" applyFont="1" applyFill="1" applyBorder="1"/>
    <xf numFmtId="1" fontId="7" fillId="5" borderId="21" xfId="15" applyNumberFormat="1" applyFont="1" applyFill="1" applyBorder="1"/>
    <xf numFmtId="1" fontId="7" fillId="5" borderId="18" xfId="15" applyNumberFormat="1" applyFont="1" applyFill="1" applyBorder="1"/>
    <xf numFmtId="1" fontId="7" fillId="5" borderId="20" xfId="15" applyNumberFormat="1" applyFont="1" applyFill="1" applyBorder="1"/>
    <xf numFmtId="0" fontId="7" fillId="5" borderId="21" xfId="15" applyFont="1" applyFill="1" applyBorder="1"/>
    <xf numFmtId="0" fontId="7" fillId="5" borderId="18" xfId="15" applyFont="1" applyFill="1" applyBorder="1"/>
    <xf numFmtId="0" fontId="7" fillId="5" borderId="20" xfId="15" applyFont="1" applyFill="1" applyBorder="1"/>
    <xf numFmtId="0" fontId="2" fillId="7" borderId="18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4" fillId="7" borderId="0" xfId="0" applyFont="1" applyFill="1"/>
    <xf numFmtId="0" fontId="11" fillId="5" borderId="0" xfId="0" applyFont="1" applyFill="1"/>
    <xf numFmtId="0" fontId="0" fillId="5" borderId="0" xfId="0" applyFill="1" applyAlignment="1"/>
    <xf numFmtId="165" fontId="1" fillId="10" borderId="10" xfId="0" applyNumberFormat="1" applyFont="1" applyFill="1" applyBorder="1"/>
    <xf numFmtId="165" fontId="7" fillId="10" borderId="10" xfId="0" applyNumberFormat="1" applyFont="1" applyFill="1" applyBorder="1"/>
    <xf numFmtId="165" fontId="0" fillId="7" borderId="0" xfId="0" applyNumberFormat="1" applyFill="1" applyAlignment="1">
      <alignment horizontal="center"/>
    </xf>
    <xf numFmtId="2" fontId="1" fillId="7" borderId="0" xfId="0" applyNumberFormat="1" applyFont="1" applyFill="1" applyBorder="1" applyAlignment="1"/>
    <xf numFmtId="1" fontId="0" fillId="7" borderId="0" xfId="0" applyNumberFormat="1" applyFill="1" applyAlignment="1"/>
    <xf numFmtId="0" fontId="7" fillId="5" borderId="0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165" fontId="0" fillId="5" borderId="0" xfId="0" applyNumberFormat="1" applyFill="1" applyBorder="1" applyAlignment="1">
      <alignment horizontal="center" wrapText="1"/>
    </xf>
    <xf numFmtId="165" fontId="0" fillId="5" borderId="0" xfId="0" applyNumberFormat="1" applyFill="1" applyBorder="1" applyAlignment="1">
      <alignment wrapText="1"/>
    </xf>
    <xf numFmtId="165" fontId="0" fillId="5" borderId="0" xfId="0" applyNumberFormat="1" applyFill="1" applyBorder="1"/>
    <xf numFmtId="0" fontId="7" fillId="10" borderId="0" xfId="0" applyFont="1" applyFill="1" applyBorder="1"/>
    <xf numFmtId="0" fontId="7" fillId="10" borderId="17" xfId="0" applyFont="1" applyFill="1" applyBorder="1"/>
    <xf numFmtId="0" fontId="7" fillId="10" borderId="23" xfId="0" applyFont="1" applyFill="1" applyBorder="1"/>
    <xf numFmtId="1" fontId="0" fillId="5" borderId="0" xfId="0" applyNumberFormat="1" applyFill="1" applyAlignment="1">
      <alignment wrapText="1"/>
    </xf>
    <xf numFmtId="2" fontId="0" fillId="0" borderId="0" xfId="0" applyNumberFormat="1" applyAlignment="1">
      <alignment horizontal="center"/>
    </xf>
    <xf numFmtId="0" fontId="7" fillId="7" borderId="5" xfId="0" applyFont="1" applyFill="1" applyBorder="1"/>
    <xf numFmtId="0" fontId="7" fillId="1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right"/>
    </xf>
    <xf numFmtId="0" fontId="7" fillId="5" borderId="14" xfId="0" applyFont="1" applyFill="1" applyBorder="1" applyAlignment="1">
      <alignment horizontal="center" wrapText="1"/>
    </xf>
    <xf numFmtId="165" fontId="0" fillId="14" borderId="12" xfId="0" applyNumberFormat="1" applyFill="1" applyBorder="1"/>
    <xf numFmtId="165" fontId="0" fillId="14" borderId="26" xfId="0" applyNumberFormat="1" applyFill="1" applyBorder="1"/>
    <xf numFmtId="2" fontId="0" fillId="10" borderId="25" xfId="0" applyNumberFormat="1" applyFill="1" applyBorder="1"/>
    <xf numFmtId="2" fontId="7" fillId="10" borderId="0" xfId="0" applyNumberFormat="1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right" wrapText="1"/>
    </xf>
    <xf numFmtId="0" fontId="7" fillId="7" borderId="5" xfId="0" applyFont="1" applyFill="1" applyBorder="1" applyAlignment="1">
      <alignment horizontal="center"/>
    </xf>
    <xf numFmtId="0" fontId="0" fillId="5" borderId="0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165" fontId="0" fillId="5" borderId="0" xfId="0" applyNumberFormat="1" applyFill="1" applyBorder="1" applyAlignment="1">
      <alignment horizontal="center"/>
    </xf>
    <xf numFmtId="0" fontId="4" fillId="5" borderId="9" xfId="0" quotePrefix="1" applyFont="1" applyFill="1" applyBorder="1" applyAlignment="1">
      <alignment horizontal="center" wrapText="1"/>
    </xf>
    <xf numFmtId="165" fontId="0" fillId="5" borderId="18" xfId="0" applyNumberFormat="1" applyFill="1" applyBorder="1" applyAlignment="1">
      <alignment wrapText="1"/>
    </xf>
    <xf numFmtId="165" fontId="0" fillId="5" borderId="18" xfId="0" applyNumberFormat="1" applyFill="1" applyBorder="1"/>
    <xf numFmtId="0" fontId="4" fillId="5" borderId="4" xfId="0" quotePrefix="1" applyFont="1" applyFill="1" applyBorder="1" applyAlignment="1">
      <alignment horizontal="center" wrapText="1"/>
    </xf>
    <xf numFmtId="0" fontId="0" fillId="7" borderId="18" xfId="0" applyFill="1" applyBorder="1" applyAlignment="1">
      <alignment horizontal="center"/>
    </xf>
    <xf numFmtId="0" fontId="11" fillId="7" borderId="11" xfId="0" applyFont="1" applyFill="1" applyBorder="1" applyAlignment="1">
      <alignment horizontal="left"/>
    </xf>
    <xf numFmtId="165" fontId="0" fillId="14" borderId="15" xfId="0" applyNumberFormat="1" applyFill="1" applyBorder="1"/>
    <xf numFmtId="165" fontId="0" fillId="14" borderId="12" xfId="0" applyNumberFormat="1" applyFill="1" applyBorder="1" applyAlignment="1">
      <alignment horizontal="center"/>
    </xf>
    <xf numFmtId="165" fontId="0" fillId="14" borderId="10" xfId="0" applyNumberFormat="1" applyFill="1" applyBorder="1"/>
    <xf numFmtId="0" fontId="7" fillId="14" borderId="10" xfId="0" applyFont="1" applyFill="1" applyBorder="1"/>
    <xf numFmtId="0" fontId="7" fillId="14" borderId="12" xfId="0" applyFont="1" applyFill="1" applyBorder="1" applyAlignment="1">
      <alignment horizontal="center"/>
    </xf>
    <xf numFmtId="0" fontId="7" fillId="14" borderId="19" xfId="0" applyFont="1" applyFill="1" applyBorder="1"/>
    <xf numFmtId="165" fontId="7" fillId="7" borderId="0" xfId="0" applyNumberFormat="1" applyFont="1" applyFill="1"/>
    <xf numFmtId="1" fontId="0" fillId="5" borderId="0" xfId="0" applyNumberFormat="1" applyFill="1" applyBorder="1" applyAlignment="1">
      <alignment horizontal="center" wrapText="1"/>
    </xf>
    <xf numFmtId="1" fontId="0" fillId="5" borderId="0" xfId="0" applyNumberFormat="1" applyFill="1" applyAlignment="1">
      <alignment horizontal="center" wrapText="1"/>
    </xf>
    <xf numFmtId="0" fontId="42" fillId="12" borderId="0" xfId="0" applyFont="1" applyFill="1"/>
    <xf numFmtId="0" fontId="42" fillId="12" borderId="10" xfId="0" applyFont="1" applyFill="1" applyBorder="1"/>
    <xf numFmtId="1" fontId="0" fillId="12" borderId="0" xfId="0" applyNumberFormat="1" applyFill="1"/>
    <xf numFmtId="1" fontId="43" fillId="5" borderId="0" xfId="0" applyNumberFormat="1" applyFont="1" applyFill="1"/>
  </cellXfs>
  <cellStyles count="26">
    <cellStyle name="2x indented GHG Textfiels" xfId="1"/>
    <cellStyle name="5x indented GHG Textfiels" xfId="2"/>
    <cellStyle name="Bad 2" xfId="3"/>
    <cellStyle name="Colore 2" xfId="4"/>
    <cellStyle name="Comma 2" xfId="5"/>
    <cellStyle name="Euro" xfId="6"/>
    <cellStyle name="Normaali_Baseline050902" xfId="7"/>
    <cellStyle name="Normal" xfId="0" builtinId="0"/>
    <cellStyle name="Normal 10" xfId="8"/>
    <cellStyle name="Normal 13" xfId="9"/>
    <cellStyle name="Normal 2" xfId="10"/>
    <cellStyle name="Normal 3" xfId="11"/>
    <cellStyle name="Normal 3 2" xfId="12"/>
    <cellStyle name="Normal 4" xfId="13"/>
    <cellStyle name="Normal 5" xfId="14"/>
    <cellStyle name="Normal_Subres_BalTechs.new4" xfId="15"/>
    <cellStyle name="Normale_Scen_UC_IND-StrucConst" xfId="16"/>
    <cellStyle name="Percent 2" xfId="17"/>
    <cellStyle name="Percent 3" xfId="18"/>
    <cellStyle name="Pilkku_BL4R2" xfId="19"/>
    <cellStyle name="Prosentti_BL4R2" xfId="20"/>
    <cellStyle name="Pyör. luku_BL4R2" xfId="21"/>
    <cellStyle name="Pyör. valuutta_BL4R2" xfId="22"/>
    <cellStyle name="Valore valido" xfId="23"/>
    <cellStyle name="Valuutta_BL4R2" xfId="24"/>
    <cellStyle name="Обычный_CRF2002 (1)" xf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dat\u5439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nte%20und%20Einstellungen\Baumann\Eigene%20Dateien\01_2007-EFDA\01_Tasks\3000%20Revision\0240%20-%20VTT%20Industry%20Sector%20Draft%20Report\Update-IND-VTT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EP\PACK\UpFeb\Backu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dat\u5439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24"/>
  <sheetViews>
    <sheetView zoomScale="75" workbookViewId="0">
      <pane xSplit="6" ySplit="4" topLeftCell="G5" activePane="bottomRight" state="frozen"/>
      <selection pane="topRight" activeCell="G1" sqref="G1"/>
      <selection pane="bottomLeft" activeCell="A4" sqref="A4"/>
      <selection pane="bottomRight" activeCell="E47" sqref="E47"/>
    </sheetView>
  </sheetViews>
  <sheetFormatPr defaultRowHeight="18" x14ac:dyDescent="0.25"/>
  <cols>
    <col min="1" max="1" width="9.85546875" style="12" customWidth="1"/>
    <col min="2" max="2" width="10" style="12" customWidth="1"/>
    <col min="3" max="3" width="15.5703125" style="12" customWidth="1"/>
    <col min="4" max="4" width="40.28515625" style="12" customWidth="1"/>
    <col min="5" max="5" width="11.85546875" style="12" customWidth="1"/>
    <col min="6" max="6" width="9.42578125" style="12" customWidth="1"/>
    <col min="7" max="7" width="16.5703125" style="12" customWidth="1"/>
    <col min="8" max="8" width="11.5703125" style="12" customWidth="1"/>
    <col min="9" max="9" width="12.85546875" style="7" customWidth="1"/>
    <col min="10" max="10" width="6" style="7" customWidth="1"/>
    <col min="11" max="14" width="9.28515625" style="12" bestFit="1" customWidth="1"/>
    <col min="15" max="15" width="7.7109375" style="12" customWidth="1"/>
    <col min="16" max="16" width="8.42578125" style="12" customWidth="1"/>
    <col min="17" max="17" width="9.28515625" style="12" bestFit="1" customWidth="1"/>
    <col min="18" max="18" width="8.7109375" style="12" customWidth="1"/>
    <col min="19" max="19" width="8.5703125" style="12" customWidth="1"/>
    <col min="20" max="20" width="8.7109375" style="12" customWidth="1"/>
    <col min="21" max="21" width="6.42578125" style="12" customWidth="1"/>
    <col min="22" max="22" width="8.7109375" style="12" customWidth="1"/>
    <col min="23" max="23" width="10.42578125" style="12" bestFit="1" customWidth="1"/>
    <col min="24" max="24" width="10.140625" style="12" customWidth="1"/>
    <col min="25" max="25" width="9.28515625" style="12" bestFit="1" customWidth="1"/>
    <col min="26" max="26" width="8.42578125" style="12" customWidth="1"/>
    <col min="27" max="27" width="11" style="12" customWidth="1"/>
    <col min="28" max="28" width="11.85546875" style="12" customWidth="1"/>
    <col min="29" max="35" width="9.140625" style="12"/>
    <col min="36" max="36" width="10.85546875" style="12" bestFit="1" customWidth="1"/>
    <col min="37" max="40" width="9.140625" style="12"/>
    <col min="41" max="41" width="11" style="12" bestFit="1" customWidth="1"/>
    <col min="42" max="16384" width="9.140625" style="12"/>
  </cols>
  <sheetData>
    <row r="1" spans="1:45" s="7" customFormat="1" ht="12.75" x14ac:dyDescent="0.2">
      <c r="C1" s="23"/>
      <c r="D1" s="23"/>
      <c r="I1" s="23" t="s">
        <v>978</v>
      </c>
      <c r="J1" s="130">
        <v>2010</v>
      </c>
      <c r="L1" s="11"/>
      <c r="M1" s="11"/>
      <c r="N1" s="11"/>
      <c r="O1" s="1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1">
        <v>0.8</v>
      </c>
      <c r="AB1" s="11"/>
      <c r="AC1" s="11"/>
      <c r="AD1" s="11"/>
      <c r="AE1" s="11"/>
      <c r="AF1" s="11"/>
      <c r="AG1" s="11"/>
      <c r="AH1" s="11"/>
      <c r="AI1" s="11"/>
      <c r="AJ1" s="11"/>
      <c r="AP1" s="11"/>
      <c r="AQ1" s="11"/>
      <c r="AR1" s="11"/>
      <c r="AS1" s="11"/>
    </row>
    <row r="2" spans="1:45" s="7" customFormat="1" ht="12.75" x14ac:dyDescent="0.2">
      <c r="C2" s="23"/>
      <c r="D2" s="23"/>
      <c r="I2" s="23"/>
      <c r="J2" s="23"/>
      <c r="K2" s="11"/>
      <c r="L2" s="11"/>
      <c r="M2" s="11"/>
      <c r="N2" s="11"/>
      <c r="O2" s="1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P2" s="11"/>
      <c r="AQ2" s="11"/>
      <c r="AR2" s="11"/>
      <c r="AS2" s="11"/>
    </row>
    <row r="3" spans="1:45" s="7" customFormat="1" x14ac:dyDescent="0.25">
      <c r="B3" s="397" t="s">
        <v>1331</v>
      </c>
      <c r="C3" s="395"/>
      <c r="D3" s="396"/>
      <c r="J3" s="23" t="s">
        <v>82</v>
      </c>
    </row>
    <row r="4" spans="1:45" s="7" customFormat="1" ht="40.5" customHeight="1" thickBot="1" x14ac:dyDescent="0.25">
      <c r="A4" s="23"/>
      <c r="B4" s="116" t="s">
        <v>254</v>
      </c>
      <c r="C4" s="20" t="s">
        <v>1126</v>
      </c>
      <c r="D4" s="20" t="s">
        <v>1127</v>
      </c>
      <c r="E4" s="21" t="s">
        <v>1128</v>
      </c>
      <c r="F4" s="21" t="s">
        <v>289</v>
      </c>
      <c r="G4" s="20" t="s">
        <v>1301</v>
      </c>
      <c r="H4" s="21" t="s">
        <v>1154</v>
      </c>
      <c r="I4" s="21" t="s">
        <v>942</v>
      </c>
      <c r="J4" s="49" t="s">
        <v>943</v>
      </c>
      <c r="K4" s="46">
        <v>2010</v>
      </c>
      <c r="L4" s="46">
        <v>2030</v>
      </c>
      <c r="M4" s="46">
        <v>2050</v>
      </c>
      <c r="N4" s="47">
        <v>2100</v>
      </c>
      <c r="O4" s="131" t="s">
        <v>726</v>
      </c>
      <c r="P4" s="22" t="s">
        <v>318</v>
      </c>
      <c r="Q4" s="20" t="s">
        <v>323</v>
      </c>
      <c r="R4" s="20" t="s">
        <v>736</v>
      </c>
      <c r="S4" s="20" t="s">
        <v>1129</v>
      </c>
      <c r="T4" s="20" t="s">
        <v>698</v>
      </c>
      <c r="U4" s="20" t="s">
        <v>329</v>
      </c>
      <c r="V4" s="20" t="s">
        <v>541</v>
      </c>
      <c r="W4" s="20" t="s">
        <v>319</v>
      </c>
      <c r="X4" s="20" t="s">
        <v>320</v>
      </c>
      <c r="Y4" s="20" t="s">
        <v>321</v>
      </c>
      <c r="Z4" s="20" t="s">
        <v>724</v>
      </c>
      <c r="AA4" s="20" t="s">
        <v>711</v>
      </c>
      <c r="AB4" s="20" t="s">
        <v>725</v>
      </c>
      <c r="AD4" s="48" t="s">
        <v>727</v>
      </c>
      <c r="AE4" s="20" t="s">
        <v>728</v>
      </c>
      <c r="AF4" s="20" t="s">
        <v>729</v>
      </c>
      <c r="AG4" s="20" t="s">
        <v>730</v>
      </c>
      <c r="AH4" s="49" t="s">
        <v>731</v>
      </c>
    </row>
    <row r="5" spans="1:45" customFormat="1" ht="12.95" customHeight="1" x14ac:dyDescent="0.25">
      <c r="A5" s="23"/>
      <c r="B5" s="246" t="s">
        <v>1180</v>
      </c>
      <c r="C5" s="31" t="s">
        <v>732</v>
      </c>
      <c r="D5" s="31" t="s">
        <v>733</v>
      </c>
      <c r="E5" s="247" t="s">
        <v>268</v>
      </c>
      <c r="F5" s="31"/>
      <c r="G5" s="98" t="s">
        <v>1306</v>
      </c>
      <c r="H5" s="247" t="s">
        <v>734</v>
      </c>
      <c r="I5" s="107" t="s">
        <v>735</v>
      </c>
      <c r="J5" s="104"/>
      <c r="K5" s="248">
        <f>1/AE5</f>
        <v>0.25</v>
      </c>
      <c r="L5" s="248">
        <f>SQRT(M5*K5)</f>
        <v>0.3042903097250923</v>
      </c>
      <c r="M5" s="248">
        <f>1/AG5</f>
        <v>0.37037037037037035</v>
      </c>
      <c r="N5" s="103">
        <f>M5/0.998^50</f>
        <v>0.40936355121695289</v>
      </c>
      <c r="O5" s="249"/>
      <c r="P5" s="31">
        <f>BaseYear+1</f>
        <v>2011</v>
      </c>
      <c r="Q5" s="31"/>
      <c r="R5" s="126"/>
      <c r="S5" s="31"/>
      <c r="T5" s="99">
        <v>1</v>
      </c>
      <c r="U5" s="99">
        <v>0.9</v>
      </c>
      <c r="V5" s="31">
        <v>30</v>
      </c>
      <c r="W5" s="270">
        <v>468</v>
      </c>
      <c r="X5" s="31"/>
      <c r="Y5" s="31">
        <v>63.6</v>
      </c>
      <c r="Z5" s="31"/>
      <c r="AA5" s="31"/>
      <c r="AB5" s="31"/>
      <c r="AD5" s="341">
        <f>AE5*1.05</f>
        <v>4.2</v>
      </c>
      <c r="AE5" s="342">
        <f>3+1</f>
        <v>4</v>
      </c>
      <c r="AF5" s="342"/>
      <c r="AG5" s="342">
        <f>2.2+0.5</f>
        <v>2.7</v>
      </c>
      <c r="AH5" s="343"/>
      <c r="AI5" s="12"/>
      <c r="AJ5" s="12"/>
      <c r="AK5" s="12"/>
      <c r="AL5" s="12"/>
      <c r="AM5" s="12"/>
      <c r="AN5" s="12"/>
      <c r="AO5" s="12"/>
      <c r="AP5" s="12"/>
    </row>
    <row r="6" spans="1:45" customFormat="1" ht="12.95" customHeight="1" x14ac:dyDescent="0.25">
      <c r="A6" s="23"/>
      <c r="B6" s="250"/>
      <c r="C6" s="31"/>
      <c r="D6" s="31"/>
      <c r="E6" s="247" t="s">
        <v>267</v>
      </c>
      <c r="F6" s="31"/>
      <c r="G6" s="31"/>
      <c r="H6" s="247"/>
      <c r="I6" s="107"/>
      <c r="J6" s="104"/>
      <c r="K6" s="248"/>
      <c r="L6" s="248"/>
      <c r="M6" s="105"/>
      <c r="N6" s="251"/>
      <c r="O6" s="249"/>
      <c r="P6" s="31"/>
      <c r="Q6" s="31"/>
      <c r="R6" s="126"/>
      <c r="S6" s="31"/>
      <c r="T6" s="31"/>
      <c r="U6" s="31"/>
      <c r="V6" s="31"/>
      <c r="W6" s="270"/>
      <c r="X6" s="31"/>
      <c r="Y6" s="31"/>
      <c r="Z6" s="31"/>
      <c r="AA6" s="31"/>
      <c r="AB6" s="31"/>
      <c r="AD6" s="344">
        <f>AE6*1.05</f>
        <v>0</v>
      </c>
      <c r="AE6" s="345"/>
      <c r="AF6" s="345"/>
      <c r="AG6" s="345"/>
      <c r="AH6" s="346"/>
      <c r="AI6" s="12"/>
      <c r="AJ6" s="12"/>
      <c r="AK6" s="12"/>
      <c r="AL6" s="12"/>
      <c r="AM6" s="12"/>
      <c r="AN6" s="12"/>
      <c r="AO6" s="12"/>
      <c r="AP6" s="12"/>
    </row>
    <row r="7" spans="1:45" customFormat="1" ht="12.95" customHeight="1" x14ac:dyDescent="0.25">
      <c r="A7" s="23"/>
      <c r="B7" s="250"/>
      <c r="C7" s="31"/>
      <c r="D7" s="31"/>
      <c r="E7" s="247" t="s">
        <v>690</v>
      </c>
      <c r="F7" s="31"/>
      <c r="G7" s="31"/>
      <c r="H7" s="247"/>
      <c r="I7" s="107"/>
      <c r="J7" s="104"/>
      <c r="K7" s="248"/>
      <c r="L7" s="248"/>
      <c r="M7" s="105"/>
      <c r="N7" s="251"/>
      <c r="O7" s="249"/>
      <c r="P7" s="31"/>
      <c r="Q7" s="31"/>
      <c r="R7" s="126"/>
      <c r="S7" s="31"/>
      <c r="T7" s="31"/>
      <c r="U7" s="31"/>
      <c r="V7" s="31"/>
      <c r="W7" s="270"/>
      <c r="X7" s="31"/>
      <c r="Y7" s="31"/>
      <c r="Z7" s="31"/>
      <c r="AA7" s="31"/>
      <c r="AB7" s="31"/>
      <c r="AD7" s="344"/>
      <c r="AE7" s="345"/>
      <c r="AF7" s="345"/>
      <c r="AG7" s="345"/>
      <c r="AH7" s="346"/>
      <c r="AI7" s="12"/>
      <c r="AJ7" s="12"/>
      <c r="AK7" s="12"/>
      <c r="AL7" s="12"/>
      <c r="AM7" s="12"/>
      <c r="AN7" s="12"/>
      <c r="AO7" s="12"/>
      <c r="AP7" s="12"/>
    </row>
    <row r="8" spans="1:45" customFormat="1" ht="12.95" customHeight="1" x14ac:dyDescent="0.25">
      <c r="A8" s="23"/>
      <c r="B8" s="250"/>
      <c r="C8" s="31"/>
      <c r="D8" s="31"/>
      <c r="E8" s="247" t="s">
        <v>693</v>
      </c>
      <c r="F8" s="31"/>
      <c r="G8" s="31"/>
      <c r="H8" s="247"/>
      <c r="I8" s="107"/>
      <c r="J8" s="104"/>
      <c r="K8" s="248"/>
      <c r="L8" s="248"/>
      <c r="M8" s="105"/>
      <c r="N8" s="251"/>
      <c r="O8" s="249"/>
      <c r="P8" s="31"/>
      <c r="Q8" s="31"/>
      <c r="R8" s="126"/>
      <c r="S8" s="31"/>
      <c r="T8" s="31"/>
      <c r="U8" s="31"/>
      <c r="V8" s="31"/>
      <c r="W8" s="270"/>
      <c r="X8" s="31"/>
      <c r="Y8" s="31"/>
      <c r="Z8" s="31"/>
      <c r="AA8" s="31"/>
      <c r="AB8" s="31"/>
      <c r="AD8" s="344"/>
      <c r="AE8" s="345"/>
      <c r="AF8" s="345"/>
      <c r="AG8" s="345"/>
      <c r="AH8" s="346"/>
      <c r="AI8" s="12"/>
      <c r="AJ8" s="12"/>
      <c r="AK8" s="12"/>
      <c r="AL8" s="12"/>
      <c r="AM8" s="12"/>
      <c r="AN8" s="12"/>
      <c r="AO8" s="12"/>
      <c r="AP8" s="12"/>
    </row>
    <row r="9" spans="1:45" customFormat="1" ht="12.95" customHeight="1" x14ac:dyDescent="0.25">
      <c r="B9" s="31"/>
      <c r="C9" s="31"/>
      <c r="D9" s="31"/>
      <c r="E9" s="247" t="s">
        <v>1006</v>
      </c>
      <c r="F9" s="31"/>
      <c r="G9" s="31"/>
      <c r="H9" s="247"/>
      <c r="I9" s="107" t="s">
        <v>736</v>
      </c>
      <c r="J9" s="104"/>
      <c r="K9" s="252">
        <f>AE9</f>
        <v>1.3499999999999999</v>
      </c>
      <c r="L9" s="252">
        <f>AF9</f>
        <v>1.2990381056766578</v>
      </c>
      <c r="M9" s="252">
        <f>AG9</f>
        <v>1.25</v>
      </c>
      <c r="N9" s="117">
        <f>M9*0.995^50</f>
        <v>0.97289069633580294</v>
      </c>
      <c r="O9" s="249"/>
      <c r="P9" s="31"/>
      <c r="Q9" s="31"/>
      <c r="R9" s="126"/>
      <c r="S9" s="31"/>
      <c r="T9" s="31"/>
      <c r="U9" s="31"/>
      <c r="V9" s="31"/>
      <c r="W9" s="270"/>
      <c r="X9" s="31"/>
      <c r="Y9" s="31"/>
      <c r="Z9" s="31"/>
      <c r="AA9" s="31"/>
      <c r="AB9" s="31"/>
      <c r="AD9" s="347">
        <f>AE9*1.03</f>
        <v>1.3904999999999998</v>
      </c>
      <c r="AE9" s="345">
        <f>1.15 + 0 + 0.2</f>
        <v>1.3499999999999999</v>
      </c>
      <c r="AF9" s="348">
        <f>SQRT(AE9*AG9)</f>
        <v>1.2990381056766578</v>
      </c>
      <c r="AG9" s="345">
        <f>1.1 + 0 + 0.15</f>
        <v>1.25</v>
      </c>
      <c r="AH9" s="346"/>
      <c r="AI9" s="12"/>
      <c r="AJ9" s="12"/>
      <c r="AK9" s="12"/>
      <c r="AL9" s="12"/>
      <c r="AM9" s="12"/>
      <c r="AN9" s="12"/>
      <c r="AO9" s="12"/>
      <c r="AP9" s="12"/>
    </row>
    <row r="10" spans="1:45" customFormat="1" ht="12.95" customHeight="1" x14ac:dyDescent="0.25">
      <c r="B10" s="31"/>
      <c r="C10" s="31"/>
      <c r="D10" s="31"/>
      <c r="E10" s="247" t="s">
        <v>631</v>
      </c>
      <c r="F10" s="31"/>
      <c r="G10" s="31"/>
      <c r="H10" s="247"/>
      <c r="I10" s="107" t="s">
        <v>736</v>
      </c>
      <c r="J10" s="104"/>
      <c r="K10" s="252">
        <f t="shared" ref="K10:M11" si="0">AE10*$AH10</f>
        <v>0.59499999999999997</v>
      </c>
      <c r="L10" s="252">
        <f t="shared" si="0"/>
        <v>0.55086295936466811</v>
      </c>
      <c r="M10" s="252">
        <f t="shared" si="0"/>
        <v>0.51</v>
      </c>
      <c r="N10" s="117">
        <f>M10*0.995^50</f>
        <v>0.39693940410500761</v>
      </c>
      <c r="O10" s="249"/>
      <c r="P10" s="31"/>
      <c r="Q10" s="31"/>
      <c r="R10" s="126"/>
      <c r="S10" s="31"/>
      <c r="T10" s="31"/>
      <c r="U10" s="31"/>
      <c r="V10" s="31"/>
      <c r="W10" s="270"/>
      <c r="X10" s="31"/>
      <c r="Y10" s="31"/>
      <c r="Z10" s="31"/>
      <c r="AA10" s="31"/>
      <c r="AB10" s="31"/>
      <c r="AD10" s="347">
        <f>AE10*1.03</f>
        <v>0.72099999999999997</v>
      </c>
      <c r="AE10" s="345">
        <f>0.7</f>
        <v>0.7</v>
      </c>
      <c r="AF10" s="348">
        <f>SQRT(AE10*AG10)</f>
        <v>0.64807406984078597</v>
      </c>
      <c r="AG10" s="345">
        <f>0.6</f>
        <v>0.6</v>
      </c>
      <c r="AH10" s="349">
        <v>0.85</v>
      </c>
      <c r="AI10" s="12"/>
      <c r="AJ10" s="12"/>
      <c r="AK10" s="12"/>
      <c r="AL10" s="12"/>
      <c r="AM10" s="12"/>
      <c r="AN10" s="12"/>
      <c r="AO10" s="12"/>
      <c r="AP10" s="12"/>
    </row>
    <row r="11" spans="1:45" customFormat="1" ht="12.95" customHeight="1" x14ac:dyDescent="0.25">
      <c r="B11" s="31"/>
      <c r="C11" s="31"/>
      <c r="D11" s="31"/>
      <c r="E11" s="247" t="s">
        <v>632</v>
      </c>
      <c r="F11" s="31"/>
      <c r="G11" s="31"/>
      <c r="H11" s="247"/>
      <c r="I11" s="107" t="s">
        <v>736</v>
      </c>
      <c r="J11" s="104"/>
      <c r="K11" s="252">
        <f t="shared" si="0"/>
        <v>0.86</v>
      </c>
      <c r="L11" s="252">
        <f t="shared" si="0"/>
        <v>0.79288082332718834</v>
      </c>
      <c r="M11" s="252">
        <f t="shared" si="0"/>
        <v>0.73100000000000009</v>
      </c>
      <c r="N11" s="251"/>
      <c r="O11" s="249"/>
      <c r="P11" s="31"/>
      <c r="Q11" s="31"/>
      <c r="R11" s="126"/>
      <c r="S11" s="31"/>
      <c r="T11" s="31"/>
      <c r="U11" s="31"/>
      <c r="V11" s="31"/>
      <c r="W11" s="270"/>
      <c r="X11" s="31"/>
      <c r="Y11" s="31"/>
      <c r="Z11" s="31"/>
      <c r="AA11" s="31"/>
      <c r="AB11" s="31"/>
      <c r="AD11" s="350">
        <f>AE11*1.03</f>
        <v>1.03</v>
      </c>
      <c r="AE11" s="348">
        <f>0.2 + 0.3 + 0.2 + 0.3</f>
        <v>1</v>
      </c>
      <c r="AF11" s="348">
        <f>SQRT(AE11*AG11)</f>
        <v>0.92195444572928875</v>
      </c>
      <c r="AG11" s="351">
        <f>0.2 + 0.2 + 0.2 + 0.25</f>
        <v>0.85000000000000009</v>
      </c>
      <c r="AH11" s="349">
        <v>0.86</v>
      </c>
      <c r="AI11" s="12"/>
      <c r="AJ11" s="12"/>
      <c r="AK11" s="12"/>
      <c r="AL11" s="12"/>
      <c r="AM11" s="12"/>
      <c r="AN11" s="12"/>
      <c r="AO11" s="12"/>
      <c r="AP11" s="12"/>
    </row>
    <row r="12" spans="1:45" customFormat="1" ht="12.95" customHeight="1" x14ac:dyDescent="0.25">
      <c r="B12" s="31"/>
      <c r="C12" s="31"/>
      <c r="D12" s="31"/>
      <c r="E12" s="107" t="s">
        <v>737</v>
      </c>
      <c r="F12" s="31"/>
      <c r="G12" s="31"/>
      <c r="H12" s="107"/>
      <c r="I12" s="107" t="s">
        <v>736</v>
      </c>
      <c r="J12" s="104"/>
      <c r="K12" s="252">
        <f>AE12</f>
        <v>8.1</v>
      </c>
      <c r="L12" s="252">
        <f>K12*0.985</f>
        <v>7.9784999999999995</v>
      </c>
      <c r="M12" s="252">
        <f>AG12</f>
        <v>7.26</v>
      </c>
      <c r="N12" s="117">
        <f>M12*0.96</f>
        <v>6.9695999999999998</v>
      </c>
      <c r="O12" s="249"/>
      <c r="P12" s="31"/>
      <c r="Q12" s="31"/>
      <c r="R12" s="126"/>
      <c r="S12" s="31"/>
      <c r="T12" s="31"/>
      <c r="U12" s="31"/>
      <c r="V12" s="31"/>
      <c r="W12" s="270"/>
      <c r="X12" s="31"/>
      <c r="Y12" s="31"/>
      <c r="Z12" s="31"/>
      <c r="AA12" s="31"/>
      <c r="AB12" s="31"/>
      <c r="AD12" s="344"/>
      <c r="AE12" s="352">
        <f>13.5*0.6</f>
        <v>8.1</v>
      </c>
      <c r="AF12" s="345"/>
      <c r="AG12" s="351">
        <f>6.6*1.1</f>
        <v>7.26</v>
      </c>
      <c r="AH12" s="346"/>
      <c r="AI12" s="12"/>
      <c r="AJ12" s="12"/>
      <c r="AK12" s="12"/>
      <c r="AL12" s="12"/>
      <c r="AM12" s="12"/>
      <c r="AN12" s="12"/>
      <c r="AO12" s="12"/>
      <c r="AP12" s="12"/>
    </row>
    <row r="13" spans="1:45" customFormat="1" ht="12.95" customHeight="1" x14ac:dyDescent="0.25">
      <c r="B13" s="31"/>
      <c r="C13" s="31"/>
      <c r="D13" s="31"/>
      <c r="E13" s="99" t="s">
        <v>772</v>
      </c>
      <c r="F13" s="31" t="s">
        <v>759</v>
      </c>
      <c r="G13" s="31"/>
      <c r="H13" s="107"/>
      <c r="I13" s="107" t="s">
        <v>736</v>
      </c>
      <c r="J13" s="104"/>
      <c r="K13" s="252">
        <v>0.03</v>
      </c>
      <c r="L13" s="253"/>
      <c r="M13" s="105"/>
      <c r="N13" s="251"/>
      <c r="O13" s="249">
        <v>2</v>
      </c>
      <c r="P13" s="31"/>
      <c r="Q13" s="31"/>
      <c r="R13" s="126"/>
      <c r="S13" s="31"/>
      <c r="T13" s="31"/>
      <c r="U13" s="31"/>
      <c r="V13" s="31"/>
      <c r="W13" s="270"/>
      <c r="X13" s="31"/>
      <c r="Y13" s="31"/>
      <c r="Z13" s="31"/>
      <c r="AA13" s="254">
        <f>K14*56/100*1000*AA$1</f>
        <v>33.6</v>
      </c>
      <c r="AB13" s="31"/>
      <c r="AD13" s="347">
        <f>SUM(AD5:AD11)</f>
        <v>7.3415000000000008</v>
      </c>
      <c r="AE13" s="345">
        <f>SUM(AE5:AE11)</f>
        <v>7.05</v>
      </c>
      <c r="AF13" s="345"/>
      <c r="AG13" s="351">
        <f>SUM(AG5:AG11)</f>
        <v>5.4</v>
      </c>
      <c r="AH13" s="346"/>
      <c r="AI13" s="12"/>
      <c r="AJ13" s="12"/>
      <c r="AK13" s="12"/>
      <c r="AL13" s="12"/>
      <c r="AM13" s="12"/>
      <c r="AN13" s="12"/>
      <c r="AO13" s="12"/>
      <c r="AP13" s="12"/>
    </row>
    <row r="14" spans="1:45" customFormat="1" ht="12.95" customHeight="1" x14ac:dyDescent="0.25">
      <c r="B14" s="31"/>
      <c r="C14" s="31"/>
      <c r="D14" s="31"/>
      <c r="E14" s="99" t="s">
        <v>710</v>
      </c>
      <c r="F14" s="31" t="s">
        <v>739</v>
      </c>
      <c r="G14" s="31"/>
      <c r="H14" s="107"/>
      <c r="I14" s="107" t="s">
        <v>736</v>
      </c>
      <c r="J14" s="104"/>
      <c r="K14" s="255">
        <v>7.4999999999999997E-2</v>
      </c>
      <c r="L14" s="253"/>
      <c r="M14" s="105"/>
      <c r="N14" s="251"/>
      <c r="O14" s="249"/>
      <c r="P14" s="31"/>
      <c r="Q14" s="31"/>
      <c r="R14" s="126"/>
      <c r="S14" s="31">
        <v>0.25</v>
      </c>
      <c r="T14" s="31"/>
      <c r="U14" s="31"/>
      <c r="V14" s="31"/>
      <c r="W14" s="270"/>
      <c r="X14" s="31"/>
      <c r="Y14" s="31"/>
      <c r="Z14" s="31"/>
      <c r="AA14" s="31"/>
      <c r="AB14" s="31"/>
      <c r="AD14" s="347"/>
      <c r="AE14" s="345"/>
      <c r="AF14" s="345"/>
      <c r="AG14" s="351"/>
      <c r="AH14" s="346"/>
      <c r="AI14" s="12"/>
      <c r="AJ14" s="12"/>
      <c r="AK14" s="12"/>
      <c r="AL14" s="12"/>
      <c r="AM14" s="12"/>
      <c r="AN14" s="12"/>
      <c r="AO14" s="12"/>
      <c r="AP14" s="12"/>
    </row>
    <row r="15" spans="1:45" customFormat="1" ht="12.95" customHeight="1" x14ac:dyDescent="0.25">
      <c r="B15" s="31"/>
      <c r="C15" s="31"/>
      <c r="D15" s="31"/>
      <c r="E15" s="247"/>
      <c r="F15" s="247" t="s">
        <v>740</v>
      </c>
      <c r="G15" s="31"/>
      <c r="H15" s="247"/>
      <c r="I15" s="107" t="s">
        <v>741</v>
      </c>
      <c r="J15" s="104"/>
      <c r="K15" s="99">
        <v>0.1</v>
      </c>
      <c r="L15" s="99">
        <v>0.4</v>
      </c>
      <c r="M15" s="99">
        <v>0.55000000000000004</v>
      </c>
      <c r="N15" s="104">
        <v>0.65</v>
      </c>
      <c r="O15" s="249"/>
      <c r="P15" s="31"/>
      <c r="Q15" s="31"/>
      <c r="R15" s="126"/>
      <c r="S15" s="31"/>
      <c r="T15" s="31"/>
      <c r="U15" s="31"/>
      <c r="V15" s="31"/>
      <c r="W15" s="270"/>
      <c r="X15" s="31"/>
      <c r="Y15" s="31"/>
      <c r="Z15" s="31"/>
      <c r="AA15" s="31"/>
      <c r="AB15" s="31"/>
      <c r="AD15" s="344"/>
      <c r="AE15" s="345"/>
      <c r="AF15" s="345"/>
      <c r="AG15" s="345"/>
      <c r="AH15" s="346"/>
      <c r="AI15" s="12"/>
      <c r="AJ15" s="12"/>
      <c r="AK15" s="12"/>
      <c r="AL15" s="12"/>
      <c r="AM15" s="12"/>
      <c r="AN15" s="12"/>
      <c r="AO15" s="12"/>
      <c r="AP15" s="12"/>
    </row>
    <row r="16" spans="1:45" customFormat="1" ht="12.95" customHeight="1" thickBot="1" x14ac:dyDescent="0.3">
      <c r="B16" s="31"/>
      <c r="C16" s="31"/>
      <c r="D16" s="31"/>
      <c r="E16" s="247"/>
      <c r="F16" s="247" t="s">
        <v>742</v>
      </c>
      <c r="G16" s="31"/>
      <c r="H16" s="247"/>
      <c r="I16" s="107"/>
      <c r="J16" s="104"/>
      <c r="K16" s="99"/>
      <c r="L16" s="99"/>
      <c r="M16" s="105"/>
      <c r="N16" s="251"/>
      <c r="O16" s="249"/>
      <c r="P16" s="31"/>
      <c r="Q16" s="31"/>
      <c r="R16" s="126"/>
      <c r="S16" s="31"/>
      <c r="T16" s="31"/>
      <c r="U16" s="31"/>
      <c r="V16" s="31"/>
      <c r="W16" s="270"/>
      <c r="X16" s="31"/>
      <c r="Y16" s="31"/>
      <c r="Z16" s="31"/>
      <c r="AA16" s="31"/>
      <c r="AB16" s="31"/>
      <c r="AD16" s="344"/>
      <c r="AE16" s="345"/>
      <c r="AF16" s="345"/>
      <c r="AG16" s="345"/>
      <c r="AH16" s="346"/>
      <c r="AI16" s="12"/>
      <c r="AJ16" s="12"/>
      <c r="AK16" s="12"/>
      <c r="AL16" s="12"/>
      <c r="AM16" s="12"/>
      <c r="AN16" s="12"/>
      <c r="AO16" s="12"/>
      <c r="AP16" s="12"/>
    </row>
    <row r="17" spans="1:42" customFormat="1" ht="12.95" customHeight="1" x14ac:dyDescent="0.25">
      <c r="A17" s="52"/>
      <c r="B17" s="246" t="s">
        <v>1180</v>
      </c>
      <c r="C17" s="98" t="s">
        <v>933</v>
      </c>
      <c r="D17" s="98" t="s">
        <v>934</v>
      </c>
      <c r="E17" s="98" t="s">
        <v>267</v>
      </c>
      <c r="F17" s="98"/>
      <c r="G17" s="98" t="s">
        <v>1306</v>
      </c>
      <c r="H17" s="281" t="s">
        <v>734</v>
      </c>
      <c r="I17" s="260" t="s">
        <v>735</v>
      </c>
      <c r="J17" s="261"/>
      <c r="K17" s="282">
        <f>K5*0.9</f>
        <v>0.22500000000000001</v>
      </c>
      <c r="L17" s="282">
        <f>SQRT(M17*K17)</f>
        <v>0.27386127875258304</v>
      </c>
      <c r="M17" s="282">
        <f>M5*0.9</f>
        <v>0.33333333333333331</v>
      </c>
      <c r="N17" s="283">
        <f>M17/0.998^50</f>
        <v>0.36842719609525759</v>
      </c>
      <c r="O17" s="268"/>
      <c r="P17" s="98">
        <v>2025</v>
      </c>
      <c r="Q17" s="31"/>
      <c r="R17" s="126"/>
      <c r="S17" s="31"/>
      <c r="T17" s="99">
        <v>1</v>
      </c>
      <c r="U17" s="99">
        <v>0.9</v>
      </c>
      <c r="V17" s="31">
        <v>30</v>
      </c>
      <c r="W17" s="270">
        <v>582.4</v>
      </c>
      <c r="X17" s="31"/>
      <c r="Y17" s="31">
        <v>63.6</v>
      </c>
      <c r="Z17" s="31"/>
      <c r="AA17" s="31"/>
      <c r="AB17" s="31"/>
      <c r="AD17" s="341">
        <f>AE17*1.05</f>
        <v>4.2</v>
      </c>
      <c r="AE17" s="342">
        <f>3+1</f>
        <v>4</v>
      </c>
      <c r="AF17" s="342"/>
      <c r="AG17" s="342">
        <f>2.2+0.5</f>
        <v>2.7</v>
      </c>
      <c r="AH17" s="343"/>
      <c r="AI17" s="12"/>
      <c r="AJ17" s="12"/>
      <c r="AK17" s="12"/>
      <c r="AL17" s="12"/>
      <c r="AM17" s="12"/>
      <c r="AN17" s="12"/>
      <c r="AO17" s="12"/>
      <c r="AP17" s="12"/>
    </row>
    <row r="18" spans="1:42" customFormat="1" ht="12.95" customHeight="1" x14ac:dyDescent="0.25">
      <c r="A18" s="23"/>
      <c r="B18" s="250"/>
      <c r="C18" s="31"/>
      <c r="D18" s="31"/>
      <c r="E18" s="247" t="s">
        <v>268</v>
      </c>
      <c r="F18" s="31"/>
      <c r="G18" s="31"/>
      <c r="H18" s="247"/>
      <c r="I18" s="107"/>
      <c r="J18" s="104"/>
      <c r="K18" s="248"/>
      <c r="L18" s="248"/>
      <c r="M18" s="105"/>
      <c r="N18" s="251"/>
      <c r="O18" s="249"/>
      <c r="P18" s="31"/>
      <c r="Q18" s="31"/>
      <c r="R18" s="126"/>
      <c r="S18" s="31"/>
      <c r="T18" s="31"/>
      <c r="U18" s="31"/>
      <c r="V18" s="31"/>
      <c r="W18" s="270"/>
      <c r="X18" s="31"/>
      <c r="Y18" s="31"/>
      <c r="Z18" s="31"/>
      <c r="AA18" s="31"/>
      <c r="AB18" s="31"/>
      <c r="AD18" s="344">
        <f>AE18*1.05</f>
        <v>0</v>
      </c>
      <c r="AE18" s="345"/>
      <c r="AF18" s="345"/>
      <c r="AG18" s="345"/>
      <c r="AH18" s="346"/>
      <c r="AI18" s="12"/>
      <c r="AJ18" s="12"/>
      <c r="AK18" s="12"/>
      <c r="AL18" s="12"/>
      <c r="AM18" s="12"/>
      <c r="AN18" s="12"/>
      <c r="AO18" s="12"/>
      <c r="AP18" s="12"/>
    </row>
    <row r="19" spans="1:42" customFormat="1" ht="12.95" customHeight="1" x14ac:dyDescent="0.25">
      <c r="A19" s="23"/>
      <c r="B19" s="250"/>
      <c r="C19" s="31"/>
      <c r="D19" s="31"/>
      <c r="E19" s="247" t="s">
        <v>693</v>
      </c>
      <c r="F19" s="31"/>
      <c r="G19" s="31"/>
      <c r="H19" s="247"/>
      <c r="I19" s="107"/>
      <c r="J19" s="104"/>
      <c r="K19" s="248"/>
      <c r="L19" s="248"/>
      <c r="M19" s="105"/>
      <c r="N19" s="251"/>
      <c r="O19" s="249"/>
      <c r="P19" s="31"/>
      <c r="Q19" s="31"/>
      <c r="R19" s="126"/>
      <c r="S19" s="31"/>
      <c r="T19" s="31"/>
      <c r="U19" s="31"/>
      <c r="V19" s="31"/>
      <c r="W19" s="31"/>
      <c r="X19" s="31"/>
      <c r="Y19" s="31"/>
      <c r="Z19" s="31"/>
      <c r="AA19" s="31"/>
      <c r="AB19" s="31"/>
      <c r="AD19" s="344"/>
      <c r="AE19" s="345"/>
      <c r="AF19" s="345"/>
      <c r="AG19" s="345"/>
      <c r="AH19" s="346"/>
      <c r="AI19" s="12"/>
      <c r="AJ19" s="12"/>
      <c r="AK19" s="12"/>
      <c r="AL19" s="12"/>
      <c r="AM19" s="12"/>
      <c r="AN19" s="12"/>
      <c r="AO19" s="12"/>
      <c r="AP19" s="12"/>
    </row>
    <row r="20" spans="1:42" customFormat="1" ht="12.95" customHeight="1" x14ac:dyDescent="0.25">
      <c r="A20" s="23"/>
      <c r="B20" s="250"/>
      <c r="C20" s="31"/>
      <c r="D20" s="31"/>
      <c r="E20" s="247" t="s">
        <v>612</v>
      </c>
      <c r="F20" s="31" t="s">
        <v>614</v>
      </c>
      <c r="G20" s="31"/>
      <c r="H20" s="247" t="s">
        <v>612</v>
      </c>
      <c r="I20" s="107" t="s">
        <v>765</v>
      </c>
      <c r="J20" s="104"/>
      <c r="K20" s="248"/>
      <c r="L20" s="256">
        <f>108*0.95</f>
        <v>102.6</v>
      </c>
      <c r="M20" s="105"/>
      <c r="N20" s="251"/>
      <c r="O20" s="249"/>
      <c r="P20" s="31"/>
      <c r="Q20" s="31"/>
      <c r="R20" s="126"/>
      <c r="S20" s="31"/>
      <c r="T20" s="31"/>
      <c r="U20" s="31"/>
      <c r="V20" s="31"/>
      <c r="W20" s="31"/>
      <c r="X20" s="31"/>
      <c r="Y20" s="31"/>
      <c r="Z20" s="31"/>
      <c r="AA20" s="31"/>
      <c r="AB20" s="31"/>
      <c r="AD20" s="344"/>
      <c r="AE20" s="345"/>
      <c r="AF20" s="345"/>
      <c r="AG20" s="345"/>
      <c r="AH20" s="346"/>
      <c r="AI20" s="12"/>
      <c r="AJ20" s="12"/>
      <c r="AK20" s="12"/>
      <c r="AL20" s="12"/>
      <c r="AM20" s="12"/>
      <c r="AN20" s="12"/>
      <c r="AO20" s="12"/>
      <c r="AP20" s="12"/>
    </row>
    <row r="21" spans="1:42" customFormat="1" ht="12.95" customHeight="1" x14ac:dyDescent="0.25">
      <c r="A21" s="23"/>
      <c r="B21" s="250"/>
      <c r="C21" s="31"/>
      <c r="D21" s="31"/>
      <c r="E21" s="247" t="s">
        <v>613</v>
      </c>
      <c r="F21" s="31" t="s">
        <v>614</v>
      </c>
      <c r="G21" s="31"/>
      <c r="H21" s="247" t="s">
        <v>613</v>
      </c>
      <c r="I21" s="107" t="s">
        <v>765</v>
      </c>
      <c r="J21" s="104"/>
      <c r="K21" s="248"/>
      <c r="L21" s="256">
        <f>77.4*0.95</f>
        <v>73.53</v>
      </c>
      <c r="M21" s="105"/>
      <c r="N21" s="251"/>
      <c r="O21" s="249"/>
      <c r="P21" s="31"/>
      <c r="Q21" s="31"/>
      <c r="R21" s="126"/>
      <c r="S21" s="31"/>
      <c r="T21" s="31"/>
      <c r="U21" s="31"/>
      <c r="V21" s="31"/>
      <c r="W21" s="31"/>
      <c r="X21" s="31"/>
      <c r="Y21" s="31"/>
      <c r="Z21" s="31"/>
      <c r="AA21" s="31"/>
      <c r="AB21" s="31"/>
      <c r="AD21" s="344"/>
      <c r="AE21" s="345"/>
      <c r="AF21" s="345"/>
      <c r="AG21" s="345"/>
      <c r="AH21" s="346"/>
      <c r="AI21" s="12"/>
      <c r="AJ21" s="12"/>
      <c r="AK21" s="12"/>
      <c r="AL21" s="12"/>
      <c r="AM21" s="12"/>
      <c r="AN21" s="12"/>
      <c r="AO21" s="12"/>
      <c r="AP21" s="12"/>
    </row>
    <row r="22" spans="1:42" customFormat="1" ht="12.95" customHeight="1" x14ac:dyDescent="0.25">
      <c r="A22" s="23"/>
      <c r="B22" s="250"/>
      <c r="C22" s="31"/>
      <c r="D22" s="31"/>
      <c r="E22" s="247" t="s">
        <v>613</v>
      </c>
      <c r="F22" s="31"/>
      <c r="G22" s="31"/>
      <c r="H22" s="247" t="s">
        <v>612</v>
      </c>
      <c r="I22" s="107" t="s">
        <v>387</v>
      </c>
      <c r="J22" s="257" t="s">
        <v>969</v>
      </c>
      <c r="K22" s="248"/>
      <c r="L22" s="248">
        <v>0.377</v>
      </c>
      <c r="M22" s="105"/>
      <c r="N22" s="251"/>
      <c r="O22" s="249"/>
      <c r="P22" s="31"/>
      <c r="Q22" s="31"/>
      <c r="R22" s="126"/>
      <c r="S22" s="31"/>
      <c r="T22" s="31"/>
      <c r="U22" s="31"/>
      <c r="V22" s="31"/>
      <c r="W22" s="31"/>
      <c r="X22" s="31"/>
      <c r="Y22" s="31"/>
      <c r="Z22" s="31"/>
      <c r="AA22" s="31"/>
      <c r="AB22" s="31"/>
      <c r="AD22" s="344"/>
      <c r="AE22" s="345"/>
      <c r="AF22" s="345"/>
      <c r="AG22" s="345"/>
      <c r="AH22" s="346"/>
      <c r="AI22" s="12"/>
      <c r="AJ22" s="12"/>
      <c r="AK22" s="12"/>
      <c r="AL22" s="12"/>
      <c r="AM22" s="12"/>
      <c r="AN22" s="12"/>
      <c r="AO22" s="12"/>
      <c r="AP22" s="12"/>
    </row>
    <row r="23" spans="1:42" customFormat="1" ht="12.95" customHeight="1" x14ac:dyDescent="0.25">
      <c r="B23" s="31"/>
      <c r="C23" s="31"/>
      <c r="D23" s="31"/>
      <c r="E23" s="247" t="s">
        <v>1006</v>
      </c>
      <c r="F23" s="31"/>
      <c r="G23" s="31"/>
      <c r="H23" s="247"/>
      <c r="I23" s="107" t="s">
        <v>736</v>
      </c>
      <c r="J23" s="104"/>
      <c r="K23" s="252">
        <f>K9*0.8</f>
        <v>1.0799999999999998</v>
      </c>
      <c r="L23" s="252">
        <f>L9*0.8</f>
        <v>1.0392304845413263</v>
      </c>
      <c r="M23" s="252">
        <f>M9*0.8</f>
        <v>1</v>
      </c>
      <c r="N23" s="117">
        <f>M23*0.998^50</f>
        <v>0.904746818004036</v>
      </c>
      <c r="O23" s="249"/>
      <c r="P23" s="31"/>
      <c r="Q23" s="31"/>
      <c r="R23" s="126"/>
      <c r="S23" s="31"/>
      <c r="T23" s="31"/>
      <c r="U23" s="31"/>
      <c r="V23" s="31"/>
      <c r="W23" s="31"/>
      <c r="X23" s="31"/>
      <c r="Y23" s="31"/>
      <c r="Z23" s="31"/>
      <c r="AA23" s="31"/>
      <c r="AB23" s="31"/>
      <c r="AD23" s="347">
        <f>AE23*1.03</f>
        <v>1.3904999999999998</v>
      </c>
      <c r="AE23" s="345">
        <f>1.15 + 0 + 0.2</f>
        <v>1.3499999999999999</v>
      </c>
      <c r="AF23" s="348">
        <f>SQRT(AE23*AG23)</f>
        <v>1.2990381056766578</v>
      </c>
      <c r="AG23" s="345">
        <f>1.1 + 0 + 0.15</f>
        <v>1.25</v>
      </c>
      <c r="AH23" s="346"/>
      <c r="AI23" s="12"/>
      <c r="AJ23" s="12"/>
      <c r="AK23" s="12"/>
      <c r="AL23" s="12"/>
      <c r="AM23" s="12"/>
      <c r="AN23" s="12"/>
      <c r="AO23" s="12"/>
      <c r="AP23" s="12"/>
    </row>
    <row r="24" spans="1:42" customFormat="1" ht="12.95" customHeight="1" x14ac:dyDescent="0.25">
      <c r="B24" s="31"/>
      <c r="C24" s="31"/>
      <c r="D24" s="31"/>
      <c r="E24" s="247" t="s">
        <v>633</v>
      </c>
      <c r="F24" s="31"/>
      <c r="G24" s="31"/>
      <c r="H24" s="247"/>
      <c r="I24" s="107" t="s">
        <v>736</v>
      </c>
      <c r="J24" s="104"/>
      <c r="K24" s="252">
        <v>1.4888462537142853</v>
      </c>
      <c r="L24" s="252">
        <v>1.1885658077142853</v>
      </c>
      <c r="M24" s="252">
        <v>0.9797871277512854</v>
      </c>
      <c r="N24" s="117">
        <v>0.92231247456512544</v>
      </c>
      <c r="O24" s="249"/>
      <c r="P24" s="31"/>
      <c r="Q24" s="31"/>
      <c r="R24" s="126"/>
      <c r="S24" s="31"/>
      <c r="T24" s="31"/>
      <c r="U24" s="31"/>
      <c r="V24" s="31"/>
      <c r="W24" s="31"/>
      <c r="X24" s="31"/>
      <c r="Y24" s="31"/>
      <c r="Z24" s="31"/>
      <c r="AA24" s="31"/>
      <c r="AB24" s="31"/>
      <c r="AD24" s="347"/>
      <c r="AE24" s="345"/>
      <c r="AF24" s="348"/>
      <c r="AG24" s="345"/>
      <c r="AH24" s="346"/>
      <c r="AI24" s="12"/>
      <c r="AJ24" s="12"/>
      <c r="AK24" s="12"/>
      <c r="AL24" s="12"/>
      <c r="AM24" s="12"/>
      <c r="AN24" s="12"/>
      <c r="AO24" s="12"/>
      <c r="AP24" s="12"/>
    </row>
    <row r="25" spans="1:42" customFormat="1" ht="12.95" customHeight="1" x14ac:dyDescent="0.25">
      <c r="B25" s="31"/>
      <c r="C25" s="31"/>
      <c r="D25" s="31"/>
      <c r="E25" s="247" t="s">
        <v>631</v>
      </c>
      <c r="F25" s="31"/>
      <c r="G25" s="31"/>
      <c r="H25" s="247"/>
      <c r="I25" s="107" t="s">
        <v>736</v>
      </c>
      <c r="J25" s="104"/>
      <c r="K25" s="252">
        <f t="shared" ref="K25:M26" si="1">AE25*$AH25</f>
        <v>0.59499999999999997</v>
      </c>
      <c r="L25" s="252">
        <f t="shared" si="1"/>
        <v>0.55086295936466811</v>
      </c>
      <c r="M25" s="252">
        <f t="shared" si="1"/>
        <v>0.51</v>
      </c>
      <c r="N25" s="117">
        <f>M25*0.995^50</f>
        <v>0.39693940410500761</v>
      </c>
      <c r="O25" s="249"/>
      <c r="P25" s="31"/>
      <c r="Q25" s="31"/>
      <c r="R25" s="126"/>
      <c r="S25" s="31"/>
      <c r="T25" s="31"/>
      <c r="U25" s="31"/>
      <c r="V25" s="31"/>
      <c r="W25" s="31"/>
      <c r="X25" s="31"/>
      <c r="Y25" s="31"/>
      <c r="Z25" s="31"/>
      <c r="AA25" s="31"/>
      <c r="AB25" s="31"/>
      <c r="AD25" s="347">
        <f>AE25*1.03</f>
        <v>0.72099999999999997</v>
      </c>
      <c r="AE25" s="345">
        <f>0.7</f>
        <v>0.7</v>
      </c>
      <c r="AF25" s="348">
        <f>SQRT(AE25*AG25)</f>
        <v>0.64807406984078597</v>
      </c>
      <c r="AG25" s="345">
        <f>0.6</f>
        <v>0.6</v>
      </c>
      <c r="AH25" s="349">
        <v>0.85</v>
      </c>
      <c r="AI25" s="12"/>
      <c r="AJ25" s="12"/>
      <c r="AK25" s="12"/>
      <c r="AL25" s="12"/>
      <c r="AM25" s="12"/>
      <c r="AN25" s="12"/>
      <c r="AO25" s="12"/>
      <c r="AP25" s="12"/>
    </row>
    <row r="26" spans="1:42" customFormat="1" ht="12.95" customHeight="1" x14ac:dyDescent="0.25">
      <c r="B26" s="31"/>
      <c r="C26" s="31"/>
      <c r="D26" s="31"/>
      <c r="E26" s="247" t="s">
        <v>632</v>
      </c>
      <c r="F26" s="31"/>
      <c r="G26" s="31"/>
      <c r="H26" s="247"/>
      <c r="I26" s="107" t="s">
        <v>736</v>
      </c>
      <c r="J26" s="104"/>
      <c r="K26" s="252">
        <f t="shared" si="1"/>
        <v>0.86</v>
      </c>
      <c r="L26" s="252">
        <f t="shared" si="1"/>
        <v>0.79288082332718834</v>
      </c>
      <c r="M26" s="252">
        <f t="shared" si="1"/>
        <v>0.73100000000000009</v>
      </c>
      <c r="N26" s="251"/>
      <c r="O26" s="249"/>
      <c r="P26" s="31"/>
      <c r="Q26" s="31"/>
      <c r="R26" s="126"/>
      <c r="S26" s="31"/>
      <c r="T26" s="31"/>
      <c r="U26" s="31"/>
      <c r="V26" s="31"/>
      <c r="W26" s="31"/>
      <c r="X26" s="31"/>
      <c r="Y26" s="31"/>
      <c r="Z26" s="31"/>
      <c r="AA26" s="31"/>
      <c r="AB26" s="31"/>
      <c r="AD26" s="350">
        <f>AE26*1.03</f>
        <v>1.03</v>
      </c>
      <c r="AE26" s="348">
        <f>0.2 + 0.3 + 0.2 + 0.3</f>
        <v>1</v>
      </c>
      <c r="AF26" s="348">
        <f>SQRT(AE26*AG26)</f>
        <v>0.92195444572928875</v>
      </c>
      <c r="AG26" s="351">
        <f>0.2 + 0.2 + 0.2 + 0.25</f>
        <v>0.85000000000000009</v>
      </c>
      <c r="AH26" s="349">
        <v>0.86</v>
      </c>
      <c r="AI26" s="12"/>
      <c r="AJ26" s="12"/>
      <c r="AK26" s="12"/>
      <c r="AL26" s="12"/>
      <c r="AM26" s="12"/>
      <c r="AN26" s="12"/>
      <c r="AO26" s="12"/>
      <c r="AP26" s="12"/>
    </row>
    <row r="27" spans="1:42" customFormat="1" ht="12.95" customHeight="1" x14ac:dyDescent="0.25">
      <c r="B27" s="31"/>
      <c r="C27" s="31"/>
      <c r="D27" s="31"/>
      <c r="E27" s="247"/>
      <c r="F27" s="31" t="s">
        <v>742</v>
      </c>
      <c r="G27" s="31"/>
      <c r="H27" s="247" t="s">
        <v>612</v>
      </c>
      <c r="I27" s="107" t="s">
        <v>765</v>
      </c>
      <c r="J27" s="104"/>
      <c r="K27" s="252">
        <v>0.11267777823057173</v>
      </c>
      <c r="L27" s="252">
        <v>0.1149773247250732</v>
      </c>
      <c r="M27" s="252">
        <v>0.11971816402027613</v>
      </c>
      <c r="N27" s="103">
        <v>0.1247064208544543</v>
      </c>
      <c r="O27" s="249"/>
      <c r="P27" s="31"/>
      <c r="Q27" s="31"/>
      <c r="R27" s="126"/>
      <c r="S27" s="31"/>
      <c r="T27" s="31"/>
      <c r="U27" s="31"/>
      <c r="V27" s="31"/>
      <c r="W27" s="31"/>
      <c r="X27" s="31"/>
      <c r="Y27" s="31"/>
      <c r="Z27" s="31"/>
      <c r="AA27" s="31"/>
      <c r="AB27" s="31"/>
      <c r="AD27" s="344"/>
      <c r="AE27" s="352">
        <f>13.5*0.6</f>
        <v>8.1</v>
      </c>
      <c r="AF27" s="345"/>
      <c r="AG27" s="351">
        <f>6.6*1.1</f>
        <v>7.26</v>
      </c>
      <c r="AH27" s="346"/>
      <c r="AI27" s="12"/>
      <c r="AJ27" s="12"/>
      <c r="AK27" s="12"/>
      <c r="AL27" s="12"/>
      <c r="AM27" s="12"/>
      <c r="AN27" s="12"/>
      <c r="AO27" s="12"/>
      <c r="AP27" s="12"/>
    </row>
    <row r="28" spans="1:42" customFormat="1" ht="12.95" customHeight="1" x14ac:dyDescent="0.25">
      <c r="B28" s="31"/>
      <c r="C28" s="31"/>
      <c r="D28" s="31"/>
      <c r="E28" s="247"/>
      <c r="F28" s="31" t="s">
        <v>742</v>
      </c>
      <c r="G28" s="31"/>
      <c r="H28" s="247" t="s">
        <v>613</v>
      </c>
      <c r="I28" s="107" t="s">
        <v>765</v>
      </c>
      <c r="J28" s="104"/>
      <c r="K28" s="252">
        <v>0.11267777823057173</v>
      </c>
      <c r="L28" s="252">
        <v>0.1149773247250732</v>
      </c>
      <c r="M28" s="252">
        <v>0.11971816402027613</v>
      </c>
      <c r="N28" s="103">
        <v>0.1247064208544543</v>
      </c>
      <c r="O28" s="249"/>
      <c r="P28" s="31"/>
      <c r="Q28" s="31"/>
      <c r="R28" s="126"/>
      <c r="S28" s="31"/>
      <c r="T28" s="31"/>
      <c r="U28" s="31"/>
      <c r="V28" s="31"/>
      <c r="W28" s="31"/>
      <c r="X28" s="31"/>
      <c r="Y28" s="31"/>
      <c r="Z28" s="31"/>
      <c r="AA28" s="254"/>
      <c r="AB28" s="31"/>
      <c r="AD28" s="344"/>
      <c r="AE28" s="352"/>
      <c r="AF28" s="345"/>
      <c r="AG28" s="351"/>
      <c r="AH28" s="346"/>
      <c r="AI28" s="12"/>
      <c r="AJ28" s="12"/>
      <c r="AK28" s="12"/>
      <c r="AL28" s="12"/>
      <c r="AM28" s="12"/>
      <c r="AN28" s="12"/>
      <c r="AO28" s="12"/>
      <c r="AP28" s="12"/>
    </row>
    <row r="29" spans="1:42" customFormat="1" ht="12.95" customHeight="1" x14ac:dyDescent="0.25">
      <c r="B29" s="31"/>
      <c r="C29" s="31"/>
      <c r="D29" s="31"/>
      <c r="E29" s="107" t="s">
        <v>772</v>
      </c>
      <c r="F29" s="31" t="s">
        <v>759</v>
      </c>
      <c r="G29" s="31"/>
      <c r="H29" s="107"/>
      <c r="I29" s="107" t="s">
        <v>736</v>
      </c>
      <c r="J29" s="104"/>
      <c r="K29" s="252">
        <f>K13</f>
        <v>0.03</v>
      </c>
      <c r="L29" s="253"/>
      <c r="M29" s="105"/>
      <c r="N29" s="251"/>
      <c r="O29" s="249">
        <v>2</v>
      </c>
      <c r="P29" s="31"/>
      <c r="Q29" s="31"/>
      <c r="R29" s="126"/>
      <c r="S29" s="31"/>
      <c r="T29" s="31"/>
      <c r="U29" s="31"/>
      <c r="V29" s="31"/>
      <c r="W29" s="31"/>
      <c r="X29" s="31"/>
      <c r="Y29" s="31"/>
      <c r="Z29" s="31"/>
      <c r="AA29" s="254">
        <f>K31*56/100*1000*AA$1</f>
        <v>33.6</v>
      </c>
      <c r="AB29" s="31"/>
      <c r="AD29" s="347">
        <f>SUM(AD17:AD26)</f>
        <v>7.3415000000000008</v>
      </c>
      <c r="AE29" s="345">
        <f>SUM(AE17:AE26)</f>
        <v>7.05</v>
      </c>
      <c r="AF29" s="345"/>
      <c r="AG29" s="351">
        <f>SUM(AG17:AG26)</f>
        <v>5.4</v>
      </c>
      <c r="AH29" s="346"/>
      <c r="AI29" s="12"/>
      <c r="AJ29" s="12"/>
      <c r="AK29" s="12"/>
      <c r="AL29" s="12"/>
      <c r="AM29" s="12"/>
      <c r="AN29" s="12"/>
      <c r="AO29" s="12"/>
      <c r="AP29" s="12"/>
    </row>
    <row r="30" spans="1:42" customFormat="1" ht="12.95" customHeight="1" x14ac:dyDescent="0.25">
      <c r="B30" s="31"/>
      <c r="C30" s="31"/>
      <c r="D30" s="31"/>
      <c r="E30" s="107"/>
      <c r="F30" s="31" t="s">
        <v>764</v>
      </c>
      <c r="G30" s="31"/>
      <c r="H30" s="107" t="s">
        <v>614</v>
      </c>
      <c r="I30" s="107" t="s">
        <v>765</v>
      </c>
      <c r="J30" s="104"/>
      <c r="K30" s="252">
        <f>1.44/1.73*0.9</f>
        <v>0.74913294797687868</v>
      </c>
      <c r="L30" s="252">
        <f>1.44/1.73*0.96</f>
        <v>0.79907514450867057</v>
      </c>
      <c r="M30" s="252">
        <f>1.44/1.73*0.97</f>
        <v>0.80739884393063588</v>
      </c>
      <c r="N30" s="251"/>
      <c r="O30" s="249"/>
      <c r="P30" s="31"/>
      <c r="Q30" s="31"/>
      <c r="R30" s="126"/>
      <c r="S30" s="31"/>
      <c r="T30" s="31"/>
      <c r="U30" s="31"/>
      <c r="V30" s="31"/>
      <c r="W30" s="31"/>
      <c r="X30" s="31"/>
      <c r="Y30" s="31"/>
      <c r="Z30" s="31"/>
      <c r="AA30" s="31"/>
      <c r="AB30" s="31"/>
      <c r="AD30" s="347"/>
      <c r="AE30" s="345"/>
      <c r="AF30" s="345"/>
      <c r="AG30" s="351"/>
      <c r="AH30" s="346"/>
      <c r="AI30" s="12"/>
      <c r="AJ30" s="12"/>
      <c r="AK30" s="12"/>
      <c r="AL30" s="12"/>
      <c r="AM30" s="12"/>
      <c r="AN30" s="12"/>
      <c r="AO30" s="12"/>
      <c r="AP30" s="12"/>
    </row>
    <row r="31" spans="1:42" customFormat="1" ht="12.95" customHeight="1" x14ac:dyDescent="0.25">
      <c r="B31" s="31"/>
      <c r="C31" s="31"/>
      <c r="D31" s="31"/>
      <c r="E31" s="107" t="s">
        <v>710</v>
      </c>
      <c r="F31" s="31" t="s">
        <v>739</v>
      </c>
      <c r="G31" s="31"/>
      <c r="H31" s="107"/>
      <c r="I31" s="107"/>
      <c r="J31" s="104"/>
      <c r="K31" s="252">
        <f>K14</f>
        <v>7.4999999999999997E-2</v>
      </c>
      <c r="L31" s="253"/>
      <c r="M31" s="105"/>
      <c r="N31" s="251"/>
      <c r="O31" s="249"/>
      <c r="P31" s="31"/>
      <c r="Q31" s="31"/>
      <c r="R31" s="126"/>
      <c r="S31" s="31">
        <f>S14</f>
        <v>0.25</v>
      </c>
      <c r="T31" s="31"/>
      <c r="U31" s="31"/>
      <c r="V31" s="31"/>
      <c r="W31" s="31"/>
      <c r="X31" s="31"/>
      <c r="Y31" s="31"/>
      <c r="Z31" s="31"/>
      <c r="AA31" s="31"/>
      <c r="AB31" s="31"/>
      <c r="AD31" s="347"/>
      <c r="AE31" s="345"/>
      <c r="AF31" s="345"/>
      <c r="AG31" s="351"/>
      <c r="AH31" s="346"/>
      <c r="AI31" s="12"/>
      <c r="AJ31" s="12"/>
      <c r="AK31" s="12"/>
      <c r="AL31" s="12"/>
      <c r="AM31" s="12"/>
      <c r="AN31" s="12"/>
      <c r="AO31" s="12"/>
      <c r="AP31" s="12"/>
    </row>
    <row r="32" spans="1:42" customFormat="1" ht="12.95" customHeight="1" x14ac:dyDescent="0.25">
      <c r="B32" s="31"/>
      <c r="C32" s="31"/>
      <c r="D32" s="31"/>
      <c r="E32" s="247"/>
      <c r="F32" s="247" t="s">
        <v>740</v>
      </c>
      <c r="G32" s="31"/>
      <c r="H32" s="247"/>
      <c r="I32" s="107" t="s">
        <v>741</v>
      </c>
      <c r="J32" s="104"/>
      <c r="K32" s="99">
        <v>0.1</v>
      </c>
      <c r="L32" s="252">
        <f>L15+(1/L27-L12)*0.8</f>
        <v>0.97509367088607712</v>
      </c>
      <c r="M32" s="252">
        <f>M15+(1/M27-M12)*0.8</f>
        <v>1.4243610815189882</v>
      </c>
      <c r="N32" s="103">
        <f>N15+(1/N27-N12)*0.8</f>
        <v>1.489386638258229</v>
      </c>
      <c r="O32" s="249"/>
      <c r="P32" s="31"/>
      <c r="Q32" s="31"/>
      <c r="R32" s="126"/>
      <c r="S32" s="31"/>
      <c r="T32" s="31"/>
      <c r="U32" s="31"/>
      <c r="V32" s="31"/>
      <c r="W32" s="31"/>
      <c r="X32" s="31"/>
      <c r="Y32" s="31"/>
      <c r="Z32" s="31"/>
      <c r="AA32" s="31"/>
      <c r="AB32" s="31"/>
      <c r="AD32" s="344"/>
      <c r="AE32" s="345"/>
      <c r="AF32" s="345"/>
      <c r="AG32" s="345"/>
      <c r="AH32" s="346"/>
      <c r="AI32" s="12"/>
      <c r="AJ32" s="12"/>
      <c r="AK32" s="12"/>
      <c r="AL32" s="12"/>
      <c r="AM32" s="12"/>
      <c r="AN32" s="12"/>
      <c r="AO32" s="12"/>
      <c r="AP32" s="12"/>
    </row>
    <row r="33" spans="1:42" customFormat="1" ht="12.95" customHeight="1" x14ac:dyDescent="0.25">
      <c r="A33" s="52"/>
      <c r="B33" s="246" t="s">
        <v>1180</v>
      </c>
      <c r="C33" s="98" t="s">
        <v>743</v>
      </c>
      <c r="D33" s="98" t="s">
        <v>744</v>
      </c>
      <c r="E33" s="98" t="s">
        <v>633</v>
      </c>
      <c r="F33" s="98"/>
      <c r="G33" s="98" t="s">
        <v>1319</v>
      </c>
      <c r="H33" s="281"/>
      <c r="I33" s="260" t="s">
        <v>736</v>
      </c>
      <c r="J33" s="261"/>
      <c r="K33" s="284">
        <f>AE33</f>
        <v>1.75</v>
      </c>
      <c r="L33" s="284">
        <f>AF33</f>
        <v>1.6733200530681511</v>
      </c>
      <c r="M33" s="285"/>
      <c r="N33" s="286"/>
      <c r="O33" s="268"/>
      <c r="P33" s="98">
        <f>BaseYear+1</f>
        <v>2011</v>
      </c>
      <c r="Q33" s="31"/>
      <c r="R33" s="126"/>
      <c r="S33" s="31"/>
      <c r="T33" s="99">
        <v>1</v>
      </c>
      <c r="U33" s="99">
        <v>0.9</v>
      </c>
      <c r="V33" s="31">
        <v>30</v>
      </c>
      <c r="W33" s="172">
        <v>429</v>
      </c>
      <c r="X33" s="31"/>
      <c r="Y33" s="254">
        <v>57.24</v>
      </c>
      <c r="Z33" s="31"/>
      <c r="AA33" s="31"/>
      <c r="AB33" s="31"/>
      <c r="AD33" s="350">
        <f>AE33*1.05</f>
        <v>1.8375000000000001</v>
      </c>
      <c r="AE33" s="348">
        <v>1.75</v>
      </c>
      <c r="AF33" s="348">
        <f>SQRT(AE33*AG33)</f>
        <v>1.6733200530681511</v>
      </c>
      <c r="AG33" s="348">
        <v>1.6</v>
      </c>
      <c r="AH33" s="353"/>
      <c r="AI33" s="12"/>
      <c r="AJ33" s="12"/>
      <c r="AK33" s="12"/>
      <c r="AL33" s="12"/>
      <c r="AM33" s="12"/>
      <c r="AN33" s="12"/>
      <c r="AO33" s="12"/>
      <c r="AP33" s="12"/>
    </row>
    <row r="34" spans="1:42" customFormat="1" ht="12.95" customHeight="1" x14ac:dyDescent="0.25">
      <c r="B34" s="31"/>
      <c r="C34" s="31"/>
      <c r="D34" s="31"/>
      <c r="E34" s="247" t="s">
        <v>690</v>
      </c>
      <c r="F34" s="31"/>
      <c r="G34" s="31"/>
      <c r="H34" s="247" t="s">
        <v>734</v>
      </c>
      <c r="I34" s="107" t="s">
        <v>735</v>
      </c>
      <c r="J34" s="104"/>
      <c r="K34" s="252">
        <f>1/AE34</f>
        <v>9.0909090909090912E-2</v>
      </c>
      <c r="L34" s="252">
        <f>1/AF34</f>
        <v>9.5346258924559238E-2</v>
      </c>
      <c r="M34" s="252">
        <f>1/AG34</f>
        <v>0.1</v>
      </c>
      <c r="N34" s="103">
        <f>M34/0.998^50</f>
        <v>0.11052815882857729</v>
      </c>
      <c r="O34" s="249"/>
      <c r="P34" s="31"/>
      <c r="Q34" s="31"/>
      <c r="R34" s="126"/>
      <c r="S34" s="31"/>
      <c r="T34" s="31"/>
      <c r="U34" s="31"/>
      <c r="V34" s="31"/>
      <c r="W34" s="172"/>
      <c r="X34" s="172"/>
      <c r="Y34" s="418"/>
      <c r="Z34" s="31"/>
      <c r="AA34" s="31"/>
      <c r="AB34" s="31"/>
      <c r="AD34" s="350">
        <f>AE34*1.05</f>
        <v>11.55</v>
      </c>
      <c r="AE34" s="348">
        <f>10 + 0+ 1</f>
        <v>11</v>
      </c>
      <c r="AF34" s="348">
        <f>SQRT(AE34*AG34)</f>
        <v>10.488088481701515</v>
      </c>
      <c r="AG34" s="348">
        <f>9.5 + 0+ 0.5</f>
        <v>10</v>
      </c>
      <c r="AH34" s="353"/>
      <c r="AI34" s="12"/>
      <c r="AJ34" s="12"/>
      <c r="AK34" s="12"/>
      <c r="AL34" s="12"/>
      <c r="AM34" s="12"/>
      <c r="AN34" s="12"/>
      <c r="AO34" s="12"/>
      <c r="AP34" s="12"/>
    </row>
    <row r="35" spans="1:42" customFormat="1" ht="12.95" customHeight="1" x14ac:dyDescent="0.25">
      <c r="B35" s="31"/>
      <c r="C35" s="31"/>
      <c r="D35" s="31"/>
      <c r="E35" s="247" t="s">
        <v>693</v>
      </c>
      <c r="F35" s="31"/>
      <c r="G35" s="31"/>
      <c r="H35" s="247"/>
      <c r="I35" s="107"/>
      <c r="J35" s="104"/>
      <c r="K35" s="252"/>
      <c r="L35" s="252"/>
      <c r="M35" s="105"/>
      <c r="N35" s="251"/>
      <c r="O35" s="249"/>
      <c r="P35" s="31"/>
      <c r="Q35" s="31"/>
      <c r="R35" s="126"/>
      <c r="S35" s="31"/>
      <c r="T35" s="31"/>
      <c r="U35" s="31"/>
      <c r="V35" s="31"/>
      <c r="W35" s="172"/>
      <c r="X35" s="172"/>
      <c r="Y35" s="418"/>
      <c r="Z35" s="31"/>
      <c r="AA35" s="31"/>
      <c r="AB35" s="31"/>
      <c r="AD35" s="350"/>
      <c r="AE35" s="348"/>
      <c r="AF35" s="348"/>
      <c r="AG35" s="345"/>
      <c r="AH35" s="353"/>
      <c r="AI35" s="12"/>
      <c r="AJ35" s="12"/>
      <c r="AK35" s="12"/>
      <c r="AL35" s="12"/>
      <c r="AM35" s="12"/>
      <c r="AN35" s="12"/>
      <c r="AO35" s="12"/>
      <c r="AP35" s="12"/>
    </row>
    <row r="36" spans="1:42" customFormat="1" ht="12.95" customHeight="1" x14ac:dyDescent="0.25">
      <c r="B36" s="31"/>
      <c r="C36" s="31"/>
      <c r="D36" s="31"/>
      <c r="E36" s="247" t="s">
        <v>1006</v>
      </c>
      <c r="F36" s="31"/>
      <c r="G36" s="31"/>
      <c r="H36" s="247"/>
      <c r="I36" s="107" t="s">
        <v>736</v>
      </c>
      <c r="J36" s="104"/>
      <c r="K36" s="252">
        <f>AE36</f>
        <v>1.05</v>
      </c>
      <c r="L36" s="252">
        <f>AF36</f>
        <v>0.97211110476117901</v>
      </c>
      <c r="M36" s="252">
        <f>AG36</f>
        <v>0.9</v>
      </c>
      <c r="N36" s="117">
        <f>M36*0.995^50</f>
        <v>0.70048130136177811</v>
      </c>
      <c r="O36" s="249"/>
      <c r="P36" s="31"/>
      <c r="Q36" s="31"/>
      <c r="R36" s="126"/>
      <c r="S36" s="31"/>
      <c r="T36" s="31"/>
      <c r="U36" s="31"/>
      <c r="V36" s="31"/>
      <c r="W36" s="172"/>
      <c r="X36" s="172"/>
      <c r="Y36" s="418"/>
      <c r="Z36" s="31"/>
      <c r="AA36" s="31"/>
      <c r="AB36" s="31"/>
      <c r="AD36" s="350">
        <f>AE36*1.05</f>
        <v>1.1025</v>
      </c>
      <c r="AE36" s="348">
        <v>1.05</v>
      </c>
      <c r="AF36" s="348">
        <f>SQRT(AE36*AG36)</f>
        <v>0.97211110476117901</v>
      </c>
      <c r="AG36" s="345">
        <v>0.9</v>
      </c>
      <c r="AH36" s="353"/>
      <c r="AI36" s="12"/>
      <c r="AJ36" s="12"/>
      <c r="AK36" s="12"/>
      <c r="AL36" s="12"/>
      <c r="AM36" s="12"/>
      <c r="AN36" s="12"/>
      <c r="AO36" s="12"/>
      <c r="AP36" s="12"/>
    </row>
    <row r="37" spans="1:42" customFormat="1" ht="12.95" customHeight="1" x14ac:dyDescent="0.25">
      <c r="B37" s="31"/>
      <c r="C37" s="31"/>
      <c r="D37" s="31"/>
      <c r="E37" s="247" t="s">
        <v>631</v>
      </c>
      <c r="F37" s="31"/>
      <c r="G37" s="31"/>
      <c r="H37" s="247"/>
      <c r="I37" s="107" t="s">
        <v>736</v>
      </c>
      <c r="J37" s="104"/>
      <c r="K37" s="252">
        <f>AE37*$AH$10</f>
        <v>0.76500000000000001</v>
      </c>
      <c r="L37" s="252">
        <f>AF37*$AH$10</f>
        <v>0.62461988440971039</v>
      </c>
      <c r="M37" s="252">
        <f>AG37*$AH$10</f>
        <v>0.51</v>
      </c>
      <c r="N37" s="117">
        <f>M37*0.995^50</f>
        <v>0.39693940410500761</v>
      </c>
      <c r="O37" s="249"/>
      <c r="P37" s="31"/>
      <c r="Q37" s="31"/>
      <c r="R37" s="126"/>
      <c r="S37" s="31"/>
      <c r="T37" s="31"/>
      <c r="U37" s="31"/>
      <c r="V37" s="31"/>
      <c r="W37" s="172"/>
      <c r="X37" s="172"/>
      <c r="Y37" s="418"/>
      <c r="Z37" s="31"/>
      <c r="AA37" s="31"/>
      <c r="AB37" s="31"/>
      <c r="AD37" s="350">
        <f>AE37*1.05</f>
        <v>0.94500000000000006</v>
      </c>
      <c r="AE37" s="348">
        <v>0.9</v>
      </c>
      <c r="AF37" s="348">
        <f>SQRT(AE37*AG37)</f>
        <v>0.73484692283495345</v>
      </c>
      <c r="AG37" s="351">
        <f>AG$10</f>
        <v>0.6</v>
      </c>
      <c r="AH37" s="353"/>
      <c r="AI37" s="12"/>
      <c r="AJ37" s="12"/>
      <c r="AK37" s="12"/>
      <c r="AL37" s="12"/>
      <c r="AM37" s="12"/>
      <c r="AN37" s="12"/>
      <c r="AO37" s="12"/>
      <c r="AP37" s="12"/>
    </row>
    <row r="38" spans="1:42" customFormat="1" ht="12.95" customHeight="1" x14ac:dyDescent="0.25">
      <c r="B38" s="31"/>
      <c r="C38" s="31"/>
      <c r="D38" s="31"/>
      <c r="E38" s="247" t="s">
        <v>632</v>
      </c>
      <c r="F38" s="31"/>
      <c r="G38" s="31"/>
      <c r="H38" s="247"/>
      <c r="I38" s="107" t="s">
        <v>736</v>
      </c>
      <c r="J38" s="104"/>
      <c r="K38" s="252">
        <f>AE38*$AH$11</f>
        <v>1.204</v>
      </c>
      <c r="L38" s="252">
        <f>AF38*$AH$11</f>
        <v>1.1376730637577739</v>
      </c>
      <c r="M38" s="252">
        <f>AG38*$AH$11</f>
        <v>1.075</v>
      </c>
      <c r="N38" s="251"/>
      <c r="O38" s="249"/>
      <c r="P38" s="31"/>
      <c r="Q38" s="31"/>
      <c r="R38" s="126"/>
      <c r="S38" s="31"/>
      <c r="T38" s="31"/>
      <c r="U38" s="31"/>
      <c r="V38" s="31"/>
      <c r="W38" s="172"/>
      <c r="X38" s="172"/>
      <c r="Y38" s="418"/>
      <c r="Z38" s="31"/>
      <c r="AA38" s="31"/>
      <c r="AB38" s="31"/>
      <c r="AD38" s="350">
        <f>AE38*1.05</f>
        <v>1.47</v>
      </c>
      <c r="AE38" s="348">
        <f>0.1 + 0.4 + 0.9</f>
        <v>1.4</v>
      </c>
      <c r="AF38" s="348">
        <f>SQRT(AE38*AG38)</f>
        <v>1.3228756555322954</v>
      </c>
      <c r="AG38" s="351">
        <f>0.1 + 0.35+0.8</f>
        <v>1.25</v>
      </c>
      <c r="AH38" s="353"/>
      <c r="AI38" s="12"/>
      <c r="AJ38" s="12"/>
      <c r="AK38" s="12"/>
      <c r="AL38" s="12"/>
      <c r="AM38" s="12"/>
      <c r="AN38" s="12"/>
      <c r="AO38" s="12"/>
      <c r="AP38" s="12"/>
    </row>
    <row r="39" spans="1:42" customFormat="1" ht="12.95" customHeight="1" x14ac:dyDescent="0.25">
      <c r="B39" s="31"/>
      <c r="C39" s="31"/>
      <c r="D39" s="31"/>
      <c r="E39" s="107" t="s">
        <v>738</v>
      </c>
      <c r="F39" s="31" t="s">
        <v>759</v>
      </c>
      <c r="G39" s="31"/>
      <c r="H39" s="107"/>
      <c r="I39" s="107" t="s">
        <v>736</v>
      </c>
      <c r="J39" s="104"/>
      <c r="K39" s="253">
        <v>0.01</v>
      </c>
      <c r="L39" s="253"/>
      <c r="M39" s="105"/>
      <c r="N39" s="251"/>
      <c r="O39" s="249">
        <v>2</v>
      </c>
      <c r="P39" s="31"/>
      <c r="Q39" s="31"/>
      <c r="R39" s="126"/>
      <c r="S39" s="31"/>
      <c r="T39" s="31"/>
      <c r="U39" s="31"/>
      <c r="V39" s="31"/>
      <c r="W39" s="172"/>
      <c r="X39" s="172"/>
      <c r="Y39" s="418"/>
      <c r="Z39" s="31"/>
      <c r="AA39" s="254">
        <f>K40*56/100*1000*AA$1</f>
        <v>8.9600000000000009</v>
      </c>
      <c r="AB39" s="31"/>
      <c r="AD39" s="347">
        <f>SUM(AD33:AD38)</f>
        <v>16.905000000000001</v>
      </c>
      <c r="AE39" s="351">
        <f>SUM(AE33:AE38)</f>
        <v>16.100000000000001</v>
      </c>
      <c r="AF39" s="348"/>
      <c r="AG39" s="351">
        <f>SUM(AG33:AG38)</f>
        <v>14.35</v>
      </c>
      <c r="AH39" s="346"/>
      <c r="AI39" s="12"/>
      <c r="AJ39" s="12"/>
      <c r="AK39" s="12"/>
      <c r="AL39" s="12"/>
      <c r="AM39" s="12"/>
      <c r="AN39" s="12"/>
      <c r="AO39" s="12"/>
      <c r="AP39" s="12"/>
    </row>
    <row r="40" spans="1:42" customFormat="1" ht="12.95" customHeight="1" x14ac:dyDescent="0.25">
      <c r="B40" s="31"/>
      <c r="C40" s="31"/>
      <c r="D40" s="31"/>
      <c r="E40" s="107" t="s">
        <v>710</v>
      </c>
      <c r="F40" s="247" t="s">
        <v>745</v>
      </c>
      <c r="G40" s="31"/>
      <c r="H40" s="247"/>
      <c r="I40" s="107" t="s">
        <v>736</v>
      </c>
      <c r="J40" s="104"/>
      <c r="K40" s="255">
        <v>0.02</v>
      </c>
      <c r="L40" s="102"/>
      <c r="M40" s="105"/>
      <c r="N40" s="251"/>
      <c r="O40" s="249"/>
      <c r="P40" s="31"/>
      <c r="Q40" s="31"/>
      <c r="R40" s="126"/>
      <c r="S40" s="31"/>
      <c r="T40" s="31"/>
      <c r="U40" s="31"/>
      <c r="V40" s="31"/>
      <c r="W40" s="172"/>
      <c r="X40" s="172"/>
      <c r="Y40" s="418"/>
      <c r="Z40" s="31"/>
      <c r="AA40" s="31"/>
      <c r="AB40" s="31"/>
      <c r="AD40" s="350"/>
      <c r="AE40" s="348"/>
      <c r="AF40" s="348"/>
      <c r="AG40" s="345"/>
      <c r="AH40" s="353"/>
      <c r="AI40" s="12"/>
      <c r="AJ40" s="12"/>
      <c r="AK40" s="12"/>
      <c r="AL40" s="12"/>
      <c r="AM40" s="12"/>
      <c r="AN40" s="12"/>
      <c r="AO40" s="12"/>
      <c r="AP40" s="12"/>
    </row>
    <row r="41" spans="1:42" customFormat="1" ht="12.95" customHeight="1" x14ac:dyDescent="0.25">
      <c r="A41" s="52"/>
      <c r="B41" s="246" t="s">
        <v>1180</v>
      </c>
      <c r="C41" s="98" t="s">
        <v>685</v>
      </c>
      <c r="D41" s="98" t="s">
        <v>686</v>
      </c>
      <c r="E41" s="98" t="s">
        <v>633</v>
      </c>
      <c r="F41" s="98"/>
      <c r="G41" s="98" t="s">
        <v>1318</v>
      </c>
      <c r="H41" s="281"/>
      <c r="I41" s="260" t="s">
        <v>736</v>
      </c>
      <c r="J41" s="261"/>
      <c r="K41" s="284">
        <f>AE41</f>
        <v>1.75</v>
      </c>
      <c r="L41" s="284">
        <f>AF41</f>
        <v>1.6733200530681511</v>
      </c>
      <c r="M41" s="285"/>
      <c r="N41" s="286"/>
      <c r="O41" s="268"/>
      <c r="P41" s="98">
        <v>2060</v>
      </c>
      <c r="Q41" s="31"/>
      <c r="R41" s="126"/>
      <c r="S41" s="31"/>
      <c r="T41" s="99">
        <v>1</v>
      </c>
      <c r="U41" s="99">
        <v>0.9</v>
      </c>
      <c r="V41" s="31">
        <v>30</v>
      </c>
      <c r="W41" s="258">
        <f>(160+170)*1.254</f>
        <v>413.82</v>
      </c>
      <c r="X41" s="172"/>
      <c r="Y41" s="254">
        <f>Y33*1+0.4*38</f>
        <v>72.44</v>
      </c>
      <c r="Z41" s="31"/>
      <c r="AA41" s="31"/>
      <c r="AB41" s="31"/>
      <c r="AD41" s="350">
        <f>AE41*1.05</f>
        <v>1.8375000000000001</v>
      </c>
      <c r="AE41" s="348">
        <v>1.75</v>
      </c>
      <c r="AF41" s="348">
        <f>SQRT(AE41*AG41)</f>
        <v>1.6733200530681511</v>
      </c>
      <c r="AG41" s="348">
        <v>1.6</v>
      </c>
      <c r="AH41" s="353"/>
      <c r="AI41" s="12"/>
      <c r="AJ41" s="12"/>
      <c r="AK41" s="12"/>
      <c r="AL41" s="12"/>
      <c r="AM41" s="12"/>
      <c r="AN41" s="12"/>
      <c r="AO41" s="12"/>
      <c r="AP41" s="12"/>
    </row>
    <row r="42" spans="1:42" customFormat="1" ht="12.95" customHeight="1" x14ac:dyDescent="0.25">
      <c r="B42" s="31"/>
      <c r="C42" s="31"/>
      <c r="D42" s="31"/>
      <c r="E42" s="247" t="s">
        <v>921</v>
      </c>
      <c r="F42" s="31"/>
      <c r="G42" s="31"/>
      <c r="H42" s="247"/>
      <c r="I42" s="107" t="s">
        <v>736</v>
      </c>
      <c r="J42" s="104"/>
      <c r="K42" s="252">
        <f>1/K34</f>
        <v>11</v>
      </c>
      <c r="L42" s="252">
        <f>1/L34</f>
        <v>10.488088481701515</v>
      </c>
      <c r="M42" s="252">
        <f>1/M34</f>
        <v>10</v>
      </c>
      <c r="N42" s="103">
        <f>1/N34</f>
        <v>9.0474681800403598</v>
      </c>
      <c r="O42" s="249"/>
      <c r="P42" s="31"/>
      <c r="Q42" s="31"/>
      <c r="R42" s="126"/>
      <c r="S42" s="31"/>
      <c r="T42" s="31"/>
      <c r="U42" s="31"/>
      <c r="V42" s="31"/>
      <c r="W42" s="172"/>
      <c r="X42" s="172"/>
      <c r="Y42" s="172"/>
      <c r="Z42" s="31"/>
      <c r="AA42" s="31"/>
      <c r="AB42" s="31"/>
      <c r="AD42" s="350"/>
      <c r="AE42" s="348"/>
      <c r="AF42" s="348"/>
      <c r="AG42" s="345"/>
      <c r="AH42" s="353"/>
      <c r="AI42" s="12"/>
      <c r="AJ42" s="12"/>
      <c r="AK42" s="12"/>
      <c r="AL42" s="12"/>
      <c r="AM42" s="12"/>
      <c r="AN42" s="12"/>
      <c r="AO42" s="12"/>
      <c r="AP42" s="12"/>
    </row>
    <row r="43" spans="1:42" customFormat="1" ht="12.95" customHeight="1" x14ac:dyDescent="0.25">
      <c r="B43" s="31"/>
      <c r="C43" s="31"/>
      <c r="D43" s="31"/>
      <c r="E43" s="247" t="s">
        <v>1006</v>
      </c>
      <c r="F43" s="31"/>
      <c r="G43" s="31"/>
      <c r="H43" s="247"/>
      <c r="I43" s="107" t="s">
        <v>736</v>
      </c>
      <c r="J43" s="104"/>
      <c r="K43" s="252">
        <f>AE43</f>
        <v>1.05</v>
      </c>
      <c r="L43" s="252">
        <f>AF43</f>
        <v>0.97211110476117901</v>
      </c>
      <c r="M43" s="252">
        <f>AG43</f>
        <v>0.9</v>
      </c>
      <c r="N43" s="117">
        <f>M43*0.995^50</f>
        <v>0.70048130136177811</v>
      </c>
      <c r="O43" s="249"/>
      <c r="P43" s="31"/>
      <c r="Q43" s="31"/>
      <c r="R43" s="126"/>
      <c r="S43" s="31"/>
      <c r="T43" s="31"/>
      <c r="U43" s="31"/>
      <c r="V43" s="31"/>
      <c r="W43" s="172"/>
      <c r="X43" s="172"/>
      <c r="Y43" s="172"/>
      <c r="Z43" s="31"/>
      <c r="AA43" s="31"/>
      <c r="AB43" s="31"/>
      <c r="AD43" s="350">
        <f>AE43*1.05</f>
        <v>1.1025</v>
      </c>
      <c r="AE43" s="348">
        <v>1.05</v>
      </c>
      <c r="AF43" s="348">
        <f>SQRT(AE43*AG43)</f>
        <v>0.97211110476117901</v>
      </c>
      <c r="AG43" s="345">
        <v>0.9</v>
      </c>
      <c r="AH43" s="353"/>
      <c r="AI43" s="12"/>
      <c r="AJ43" s="12"/>
      <c r="AK43" s="12"/>
      <c r="AL43" s="12"/>
      <c r="AM43" s="12"/>
      <c r="AN43" s="12"/>
      <c r="AO43" s="12"/>
      <c r="AP43" s="12"/>
    </row>
    <row r="44" spans="1:42" customFormat="1" ht="12.95" customHeight="1" x14ac:dyDescent="0.25">
      <c r="B44" s="31"/>
      <c r="C44" s="31"/>
      <c r="D44" s="31"/>
      <c r="E44" s="247" t="s">
        <v>631</v>
      </c>
      <c r="F44" s="31"/>
      <c r="G44" s="31"/>
      <c r="H44" s="247"/>
      <c r="I44" s="107" t="s">
        <v>736</v>
      </c>
      <c r="J44" s="104"/>
      <c r="K44" s="252">
        <f>AE44*$AH$10</f>
        <v>0.76500000000000001</v>
      </c>
      <c r="L44" s="252">
        <f>AF44*$AH$10</f>
        <v>0.62461988440971039</v>
      </c>
      <c r="M44" s="252">
        <f>AG44*$AH$10</f>
        <v>0.51</v>
      </c>
      <c r="N44" s="117">
        <f>M44*0.995^50</f>
        <v>0.39693940410500761</v>
      </c>
      <c r="O44" s="249"/>
      <c r="P44" s="31"/>
      <c r="Q44" s="31"/>
      <c r="R44" s="126"/>
      <c r="S44" s="31"/>
      <c r="T44" s="31"/>
      <c r="U44" s="31"/>
      <c r="V44" s="31"/>
      <c r="W44" s="172"/>
      <c r="X44" s="172"/>
      <c r="Y44" s="172"/>
      <c r="Z44" s="31"/>
      <c r="AA44" s="31"/>
      <c r="AB44" s="31"/>
      <c r="AD44" s="350">
        <f>AE44*1.05</f>
        <v>0.94500000000000006</v>
      </c>
      <c r="AE44" s="348">
        <v>0.9</v>
      </c>
      <c r="AF44" s="348">
        <f>SQRT(AE44*AG44)</f>
        <v>0.73484692283495345</v>
      </c>
      <c r="AG44" s="351">
        <f>AG$10</f>
        <v>0.6</v>
      </c>
      <c r="AH44" s="353"/>
      <c r="AI44" s="12"/>
      <c r="AJ44" s="12"/>
      <c r="AK44" s="12"/>
      <c r="AL44" s="12"/>
      <c r="AM44" s="12"/>
      <c r="AN44" s="12"/>
      <c r="AO44" s="12"/>
      <c r="AP44" s="12"/>
    </row>
    <row r="45" spans="1:42" customFormat="1" ht="12.95" customHeight="1" x14ac:dyDescent="0.25">
      <c r="B45" s="31"/>
      <c r="C45" s="31"/>
      <c r="D45" s="31"/>
      <c r="E45" s="247" t="s">
        <v>632</v>
      </c>
      <c r="F45" s="31"/>
      <c r="G45" s="31"/>
      <c r="H45" s="247"/>
      <c r="I45" s="107" t="s">
        <v>736</v>
      </c>
      <c r="J45" s="104"/>
      <c r="K45" s="252">
        <f>AE45*$AH$11</f>
        <v>1.204</v>
      </c>
      <c r="L45" s="252">
        <f>AF45*$AH$11</f>
        <v>1.1376730637577739</v>
      </c>
      <c r="M45" s="252">
        <f>AG45*$AH$11</f>
        <v>1.075</v>
      </c>
      <c r="N45" s="251"/>
      <c r="O45" s="249"/>
      <c r="P45" s="31"/>
      <c r="Q45" s="31"/>
      <c r="R45" s="126"/>
      <c r="S45" s="31"/>
      <c r="T45" s="31"/>
      <c r="U45" s="31"/>
      <c r="V45" s="31"/>
      <c r="W45" s="172"/>
      <c r="X45" s="172"/>
      <c r="Y45" s="172"/>
      <c r="Z45" s="31"/>
      <c r="AA45" s="31"/>
      <c r="AB45" s="31"/>
      <c r="AD45" s="350">
        <f>AE45*1.05</f>
        <v>1.47</v>
      </c>
      <c r="AE45" s="348">
        <f>0.1 + 0.4 + 0.9</f>
        <v>1.4</v>
      </c>
      <c r="AF45" s="348">
        <f>SQRT(AE45*AG45)</f>
        <v>1.3228756555322954</v>
      </c>
      <c r="AG45" s="351">
        <f>0.1 + 0.35+0.8</f>
        <v>1.25</v>
      </c>
      <c r="AH45" s="353"/>
      <c r="AI45" s="12"/>
      <c r="AJ45" s="12"/>
      <c r="AK45" s="12"/>
      <c r="AL45" s="12"/>
      <c r="AM45" s="12"/>
      <c r="AN45" s="12"/>
      <c r="AO45" s="12"/>
      <c r="AP45" s="12"/>
    </row>
    <row r="46" spans="1:42" customFormat="1" ht="12.95" customHeight="1" x14ac:dyDescent="0.25">
      <c r="B46" s="31"/>
      <c r="C46" s="31"/>
      <c r="D46" s="31"/>
      <c r="E46" s="107" t="s">
        <v>738</v>
      </c>
      <c r="F46" s="31" t="s">
        <v>759</v>
      </c>
      <c r="G46" s="31"/>
      <c r="H46" s="107"/>
      <c r="I46" s="107" t="s">
        <v>736</v>
      </c>
      <c r="J46" s="104"/>
      <c r="K46" s="253">
        <v>0.01</v>
      </c>
      <c r="L46" s="253"/>
      <c r="M46" s="105"/>
      <c r="N46" s="251"/>
      <c r="O46" s="249">
        <v>2</v>
      </c>
      <c r="P46" s="31"/>
      <c r="Q46" s="31"/>
      <c r="R46" s="126"/>
      <c r="S46" s="31"/>
      <c r="T46" s="31"/>
      <c r="U46" s="31"/>
      <c r="V46" s="31"/>
      <c r="W46" s="172"/>
      <c r="X46" s="172"/>
      <c r="Y46" s="172"/>
      <c r="Z46" s="31"/>
      <c r="AA46" s="254">
        <f>K47*56/100*1000*AA$1</f>
        <v>8.9600000000000009</v>
      </c>
      <c r="AB46" s="31"/>
      <c r="AD46" s="347">
        <f>SUM(AD39:AD45)</f>
        <v>22.259999999999998</v>
      </c>
      <c r="AE46" s="351">
        <f>SUM(AE39:AE45)</f>
        <v>21.2</v>
      </c>
      <c r="AF46" s="348"/>
      <c r="AG46" s="351">
        <f>SUM(AG39:AG45)</f>
        <v>18.7</v>
      </c>
      <c r="AH46" s="346"/>
      <c r="AI46" s="12"/>
      <c r="AJ46" s="12"/>
      <c r="AK46" s="12"/>
      <c r="AL46" s="12"/>
      <c r="AM46" s="12"/>
      <c r="AN46" s="12"/>
      <c r="AO46" s="12"/>
      <c r="AP46" s="12"/>
    </row>
    <row r="47" spans="1:42" customFormat="1" ht="12.95" customHeight="1" x14ac:dyDescent="0.25">
      <c r="B47" s="31"/>
      <c r="C47" s="31"/>
      <c r="D47" s="31"/>
      <c r="E47" s="107" t="s">
        <v>710</v>
      </c>
      <c r="F47" s="247" t="s">
        <v>745</v>
      </c>
      <c r="G47" s="31"/>
      <c r="H47" s="247"/>
      <c r="I47" s="107" t="s">
        <v>736</v>
      </c>
      <c r="J47" s="104"/>
      <c r="K47" s="255">
        <v>0.02</v>
      </c>
      <c r="L47" s="102"/>
      <c r="M47" s="105"/>
      <c r="N47" s="251"/>
      <c r="O47" s="249"/>
      <c r="P47" s="31"/>
      <c r="Q47" s="31"/>
      <c r="R47" s="126"/>
      <c r="S47" s="31"/>
      <c r="T47" s="31"/>
      <c r="U47" s="31"/>
      <c r="V47" s="31"/>
      <c r="W47" s="259"/>
      <c r="X47" s="259"/>
      <c r="Y47" s="259"/>
      <c r="Z47" s="31"/>
      <c r="AA47" s="31"/>
      <c r="AB47" s="31"/>
      <c r="AD47" s="350"/>
      <c r="AE47" s="348"/>
      <c r="AF47" s="348"/>
      <c r="AG47" s="345"/>
      <c r="AH47" s="353"/>
      <c r="AI47" s="12"/>
      <c r="AJ47" s="12"/>
      <c r="AK47" s="12"/>
      <c r="AL47" s="12"/>
      <c r="AM47" s="12"/>
      <c r="AN47" s="12"/>
      <c r="AO47" s="12"/>
      <c r="AP47" s="12"/>
    </row>
    <row r="48" spans="1:42" customFormat="1" ht="12.95" customHeight="1" x14ac:dyDescent="0.25">
      <c r="B48" s="246" t="s">
        <v>1180</v>
      </c>
      <c r="C48" s="98" t="s">
        <v>717</v>
      </c>
      <c r="D48" s="98" t="s">
        <v>718</v>
      </c>
      <c r="E48" s="98" t="s">
        <v>715</v>
      </c>
      <c r="F48" s="98"/>
      <c r="G48" s="98" t="s">
        <v>716</v>
      </c>
      <c r="H48" s="98"/>
      <c r="I48" s="260" t="s">
        <v>736</v>
      </c>
      <c r="J48" s="261"/>
      <c r="K48" s="98">
        <v>10.6</v>
      </c>
      <c r="L48" s="98">
        <v>10.6</v>
      </c>
      <c r="M48" s="262">
        <f>L48*0.9975^20</f>
        <v>10.082400677683566</v>
      </c>
      <c r="N48" s="263">
        <f>M48* 0.9985^50</f>
        <v>9.3533548875170816</v>
      </c>
      <c r="O48" s="268"/>
      <c r="P48" s="98">
        <v>2035</v>
      </c>
      <c r="Q48" s="99"/>
      <c r="R48" s="107"/>
      <c r="S48" s="99"/>
      <c r="T48" s="259">
        <v>1</v>
      </c>
      <c r="U48" s="259">
        <v>0.9</v>
      </c>
      <c r="V48" s="259">
        <v>30</v>
      </c>
      <c r="W48" s="259">
        <v>874</v>
      </c>
      <c r="X48" s="99"/>
      <c r="Y48" s="254">
        <f>60*1.25+38*0.4</f>
        <v>90.2</v>
      </c>
      <c r="Z48" s="99"/>
      <c r="AA48" s="99"/>
      <c r="AB48" s="99"/>
      <c r="AD48" s="350"/>
      <c r="AE48" s="348"/>
      <c r="AF48" s="348"/>
      <c r="AG48" s="345"/>
      <c r="AH48" s="353"/>
      <c r="AI48" s="12"/>
      <c r="AJ48" s="12"/>
      <c r="AK48" s="12"/>
      <c r="AL48" s="12"/>
      <c r="AM48" s="12"/>
      <c r="AN48" s="12"/>
      <c r="AO48" s="12"/>
      <c r="AP48" s="12"/>
    </row>
    <row r="49" spans="1:42" customFormat="1" ht="12.95" customHeight="1" x14ac:dyDescent="0.25">
      <c r="B49" s="31"/>
      <c r="C49" s="31"/>
      <c r="D49" s="31"/>
      <c r="E49" s="31" t="s">
        <v>633</v>
      </c>
      <c r="F49" s="31"/>
      <c r="G49" s="31" t="s">
        <v>716</v>
      </c>
      <c r="H49" s="31"/>
      <c r="I49" s="107" t="s">
        <v>736</v>
      </c>
      <c r="J49" s="104"/>
      <c r="K49" s="99">
        <v>2.4700000000000002</v>
      </c>
      <c r="L49" s="99">
        <v>2.4700000000000002</v>
      </c>
      <c r="M49" s="102">
        <f>L49*0.9975^20</f>
        <v>2.349389591875322</v>
      </c>
      <c r="N49" s="103">
        <f>M49* 0.998^50</f>
        <v>2.1256027575009986</v>
      </c>
      <c r="O49" s="249"/>
      <c r="P49" s="31"/>
      <c r="Q49" s="99"/>
      <c r="R49" s="107"/>
      <c r="S49" s="99"/>
      <c r="T49" s="259"/>
      <c r="U49" s="259"/>
      <c r="V49" s="259"/>
      <c r="W49" s="99"/>
      <c r="X49" s="99"/>
      <c r="Y49" s="99"/>
      <c r="Z49" s="99"/>
      <c r="AA49" s="99"/>
      <c r="AB49" s="99"/>
      <c r="AD49" s="350"/>
      <c r="AE49" s="348"/>
      <c r="AF49" s="348"/>
      <c r="AG49" s="345"/>
      <c r="AH49" s="353"/>
      <c r="AI49" s="12"/>
      <c r="AJ49" s="12"/>
      <c r="AK49" s="12"/>
      <c r="AL49" s="12"/>
      <c r="AM49" s="12"/>
      <c r="AN49" s="12"/>
      <c r="AO49" s="12"/>
      <c r="AP49" s="12"/>
    </row>
    <row r="50" spans="1:42" customFormat="1" ht="12.95" customHeight="1" x14ac:dyDescent="0.25">
      <c r="B50" s="31"/>
      <c r="C50" s="31"/>
      <c r="D50" s="31"/>
      <c r="E50" s="31" t="s">
        <v>631</v>
      </c>
      <c r="F50" s="31"/>
      <c r="G50" s="31"/>
      <c r="H50" s="31"/>
      <c r="I50" s="107" t="s">
        <v>736</v>
      </c>
      <c r="J50" s="104"/>
      <c r="K50" s="252">
        <v>0.76500000000000001</v>
      </c>
      <c r="L50" s="252">
        <v>0.62461988440971039</v>
      </c>
      <c r="M50" s="252">
        <v>0.51</v>
      </c>
      <c r="N50" s="117">
        <f>M50*0.995^50</f>
        <v>0.39693940410500761</v>
      </c>
      <c r="O50" s="249"/>
      <c r="P50" s="31"/>
      <c r="Q50" s="99"/>
      <c r="R50" s="107"/>
      <c r="S50" s="99"/>
      <c r="T50" s="259"/>
      <c r="U50" s="259"/>
      <c r="V50" s="259"/>
      <c r="W50" s="99"/>
      <c r="X50" s="99"/>
      <c r="Y50" s="99"/>
      <c r="Z50" s="99"/>
      <c r="AA50" s="99"/>
      <c r="AB50" s="99"/>
      <c r="AD50" s="350"/>
      <c r="AE50" s="348"/>
      <c r="AF50" s="348"/>
      <c r="AG50" s="345"/>
      <c r="AH50" s="353"/>
      <c r="AI50" s="12"/>
      <c r="AJ50" s="12"/>
      <c r="AK50" s="12"/>
      <c r="AL50" s="12"/>
      <c r="AM50" s="12"/>
      <c r="AN50" s="12"/>
      <c r="AO50" s="12"/>
      <c r="AP50" s="12"/>
    </row>
    <row r="51" spans="1:42" customFormat="1" ht="12.95" customHeight="1" x14ac:dyDescent="0.25">
      <c r="B51" s="31"/>
      <c r="C51" s="31"/>
      <c r="D51" s="31"/>
      <c r="E51" s="31" t="s">
        <v>632</v>
      </c>
      <c r="F51" s="31"/>
      <c r="G51" s="31"/>
      <c r="H51" s="31"/>
      <c r="I51" s="107" t="s">
        <v>736</v>
      </c>
      <c r="J51" s="104"/>
      <c r="K51" s="252">
        <v>1.204</v>
      </c>
      <c r="L51" s="252">
        <v>1.1376730637577739</v>
      </c>
      <c r="M51" s="252">
        <v>1.075</v>
      </c>
      <c r="N51" s="104"/>
      <c r="O51" s="249"/>
      <c r="P51" s="31"/>
      <c r="Q51" s="99"/>
      <c r="R51" s="107"/>
      <c r="S51" s="99"/>
      <c r="T51" s="259"/>
      <c r="U51" s="259"/>
      <c r="V51" s="259"/>
      <c r="W51" s="99"/>
      <c r="X51" s="99"/>
      <c r="Y51" s="99"/>
      <c r="Z51" s="99"/>
      <c r="AA51" s="99"/>
      <c r="AB51" s="99"/>
      <c r="AD51" s="350"/>
      <c r="AE51" s="348"/>
      <c r="AF51" s="348"/>
      <c r="AG51" s="345"/>
      <c r="AH51" s="353"/>
      <c r="AI51" s="12"/>
      <c r="AJ51" s="12"/>
      <c r="AK51" s="12"/>
      <c r="AL51" s="12"/>
      <c r="AM51" s="12"/>
      <c r="AN51" s="12"/>
      <c r="AO51" s="12"/>
      <c r="AP51" s="12"/>
    </row>
    <row r="52" spans="1:42" customFormat="1" ht="12.95" customHeight="1" x14ac:dyDescent="0.25">
      <c r="B52" s="31"/>
      <c r="C52" s="31"/>
      <c r="D52" s="31"/>
      <c r="E52" s="107" t="s">
        <v>738</v>
      </c>
      <c r="F52" s="31" t="s">
        <v>759</v>
      </c>
      <c r="G52" s="31"/>
      <c r="H52" s="31"/>
      <c r="I52" s="107" t="s">
        <v>736</v>
      </c>
      <c r="J52" s="104"/>
      <c r="K52" s="256">
        <v>2.4</v>
      </c>
      <c r="L52" s="256">
        <v>3</v>
      </c>
      <c r="M52" s="256">
        <v>3.1</v>
      </c>
      <c r="N52" s="104"/>
      <c r="O52" s="249"/>
      <c r="P52" s="107"/>
      <c r="Q52" s="100"/>
      <c r="R52" s="107"/>
      <c r="S52" s="100"/>
      <c r="T52" s="264"/>
      <c r="U52" s="264"/>
      <c r="V52" s="264"/>
      <c r="W52" s="100"/>
      <c r="X52" s="100"/>
      <c r="Y52" s="100"/>
      <c r="Z52" s="100"/>
      <c r="AA52" s="254">
        <f>K53*56/100*1000*AA$1</f>
        <v>22.400000000000006</v>
      </c>
      <c r="AB52" s="99"/>
      <c r="AD52" s="350"/>
      <c r="AE52" s="348"/>
      <c r="AF52" s="348"/>
      <c r="AG52" s="345"/>
      <c r="AH52" s="353"/>
      <c r="AI52" s="12"/>
      <c r="AJ52" s="12"/>
      <c r="AK52" s="12"/>
      <c r="AL52" s="12"/>
      <c r="AM52" s="12"/>
      <c r="AN52" s="12"/>
      <c r="AO52" s="12"/>
      <c r="AP52" s="12"/>
    </row>
    <row r="53" spans="1:42" customFormat="1" ht="12.95" customHeight="1" x14ac:dyDescent="0.25">
      <c r="B53" s="31"/>
      <c r="C53" s="31"/>
      <c r="D53" s="31"/>
      <c r="E53" s="31" t="s">
        <v>710</v>
      </c>
      <c r="F53" s="31" t="s">
        <v>745</v>
      </c>
      <c r="G53" s="31"/>
      <c r="H53" s="31"/>
      <c r="I53" s="107" t="s">
        <v>736</v>
      </c>
      <c r="J53" s="104"/>
      <c r="K53" s="265">
        <v>0.05</v>
      </c>
      <c r="L53" s="252"/>
      <c r="M53" s="100"/>
      <c r="N53" s="104"/>
      <c r="O53" s="249"/>
      <c r="P53" s="107"/>
      <c r="Q53" s="100"/>
      <c r="R53" s="107"/>
      <c r="S53" s="100"/>
      <c r="T53" s="264"/>
      <c r="U53" s="264"/>
      <c r="V53" s="264"/>
      <c r="W53" s="100"/>
      <c r="X53" s="100"/>
      <c r="Y53" s="100"/>
      <c r="Z53" s="100"/>
      <c r="AA53" s="100"/>
      <c r="AB53" s="99"/>
      <c r="AD53" s="350"/>
      <c r="AE53" s="348"/>
      <c r="AF53" s="348"/>
      <c r="AG53" s="345"/>
      <c r="AH53" s="353"/>
      <c r="AI53" s="12"/>
      <c r="AJ53" s="12"/>
      <c r="AK53" s="12"/>
      <c r="AL53" s="12"/>
      <c r="AM53" s="12"/>
      <c r="AN53" s="12"/>
      <c r="AO53" s="12"/>
      <c r="AP53" s="12"/>
    </row>
    <row r="54" spans="1:42" customFormat="1" ht="12.95" customHeight="1" x14ac:dyDescent="0.25">
      <c r="B54" s="250" t="s">
        <v>1180</v>
      </c>
      <c r="C54" s="31"/>
      <c r="D54" s="31"/>
      <c r="E54" s="31" t="s">
        <v>693</v>
      </c>
      <c r="F54" s="31"/>
      <c r="G54" s="31"/>
      <c r="H54" s="31"/>
      <c r="I54" s="107" t="s">
        <v>319</v>
      </c>
      <c r="J54" s="104"/>
      <c r="K54" s="266">
        <f>W48*1.2</f>
        <v>1048.8</v>
      </c>
      <c r="L54" s="99">
        <f>W48</f>
        <v>874</v>
      </c>
      <c r="M54" s="267">
        <f>L54-450*0.15</f>
        <v>806.5</v>
      </c>
      <c r="N54" s="104"/>
      <c r="O54" s="249"/>
      <c r="P54" s="31"/>
      <c r="Q54" s="99"/>
      <c r="R54" s="102">
        <f>2.2-FLOOR(SUM(L50:L51),0.1)</f>
        <v>0.5</v>
      </c>
      <c r="S54" s="126"/>
      <c r="T54" s="259"/>
      <c r="U54" s="259"/>
      <c r="V54" s="259"/>
      <c r="W54" s="99"/>
      <c r="X54" s="99"/>
      <c r="Y54" s="99"/>
      <c r="Z54" s="99"/>
      <c r="AA54" s="99"/>
      <c r="AB54" s="99"/>
      <c r="AD54" s="350"/>
      <c r="AE54" s="348"/>
      <c r="AF54" s="348"/>
      <c r="AG54" s="345"/>
      <c r="AH54" s="353"/>
      <c r="AI54" s="12"/>
      <c r="AJ54" s="12"/>
      <c r="AK54" s="12"/>
      <c r="AL54" s="12"/>
      <c r="AM54" s="12"/>
      <c r="AN54" s="12"/>
      <c r="AO54" s="12"/>
      <c r="AP54" s="12"/>
    </row>
    <row r="55" spans="1:42" customFormat="1" ht="12.95" customHeight="1" x14ac:dyDescent="0.25">
      <c r="A55" s="52"/>
      <c r="B55" s="246" t="s">
        <v>1180</v>
      </c>
      <c r="C55" s="98" t="s">
        <v>713</v>
      </c>
      <c r="D55" s="98" t="s">
        <v>714</v>
      </c>
      <c r="E55" s="98" t="s">
        <v>715</v>
      </c>
      <c r="F55" s="98"/>
      <c r="G55" s="98" t="s">
        <v>716</v>
      </c>
      <c r="H55" s="98"/>
      <c r="I55" s="260" t="s">
        <v>736</v>
      </c>
      <c r="J55" s="261"/>
      <c r="K55" s="98">
        <v>2.1</v>
      </c>
      <c r="L55" s="98">
        <v>2.1</v>
      </c>
      <c r="M55" s="262">
        <f>L55*0.998^20</f>
        <v>2.0175770097553203</v>
      </c>
      <c r="N55" s="263">
        <f>M55* 0.9985^50</f>
        <v>1.8716885381183508</v>
      </c>
      <c r="O55" s="268"/>
      <c r="P55" s="98">
        <v>2035</v>
      </c>
      <c r="Q55" s="99"/>
      <c r="R55" s="107"/>
      <c r="S55" s="99"/>
      <c r="T55" s="259">
        <v>1</v>
      </c>
      <c r="U55" s="259">
        <v>0.9</v>
      </c>
      <c r="V55" s="259">
        <v>30</v>
      </c>
      <c r="W55" s="259">
        <v>639</v>
      </c>
      <c r="X55" s="99"/>
      <c r="Y55" s="254">
        <v>65.400000000000006</v>
      </c>
      <c r="Z55" s="99"/>
      <c r="AA55" s="99"/>
      <c r="AB55" s="99"/>
      <c r="AD55" s="354"/>
      <c r="AE55" s="355"/>
      <c r="AF55" s="355"/>
      <c r="AG55" s="356"/>
      <c r="AH55" s="357"/>
      <c r="AI55" s="12"/>
      <c r="AJ55" s="12"/>
      <c r="AK55" s="12"/>
      <c r="AL55" s="12"/>
      <c r="AM55" s="12"/>
      <c r="AN55" s="12"/>
      <c r="AO55" s="12"/>
      <c r="AP55" s="12"/>
    </row>
    <row r="56" spans="1:42" customFormat="1" ht="12.95" customHeight="1" x14ac:dyDescent="0.25">
      <c r="B56" s="31"/>
      <c r="C56" s="31"/>
      <c r="D56" s="31"/>
      <c r="E56" s="31" t="s">
        <v>633</v>
      </c>
      <c r="F56" s="31"/>
      <c r="G56" s="31" t="s">
        <v>716</v>
      </c>
      <c r="H56" s="31"/>
      <c r="I56" s="107" t="s">
        <v>736</v>
      </c>
      <c r="J56" s="104"/>
      <c r="K56" s="99">
        <f>7.2</f>
        <v>7.2</v>
      </c>
      <c r="L56" s="99">
        <f>7.2</f>
        <v>7.2</v>
      </c>
      <c r="M56" s="101">
        <f>L56*0.998^20</f>
        <v>6.9174068905896693</v>
      </c>
      <c r="N56" s="103">
        <f>M56* 0.9985^50</f>
        <v>6.4172178449772028</v>
      </c>
      <c r="O56" s="249"/>
      <c r="P56" s="31"/>
      <c r="Q56" s="31"/>
      <c r="R56" s="107"/>
      <c r="S56" s="31"/>
      <c r="T56" s="31"/>
      <c r="U56" s="31"/>
      <c r="V56" s="31"/>
      <c r="W56" s="31"/>
      <c r="X56" s="31"/>
      <c r="Y56" s="31"/>
      <c r="Z56" s="31"/>
      <c r="AA56" s="31"/>
      <c r="AB56" s="31"/>
      <c r="AD56" s="350"/>
      <c r="AE56" s="348"/>
      <c r="AF56" s="348"/>
      <c r="AG56" s="345"/>
      <c r="AH56" s="353"/>
      <c r="AI56" s="12"/>
      <c r="AJ56" s="12"/>
      <c r="AK56" s="12"/>
      <c r="AL56" s="12"/>
      <c r="AM56" s="12"/>
      <c r="AN56" s="12"/>
      <c r="AO56" s="12"/>
      <c r="AP56" s="12"/>
    </row>
    <row r="57" spans="1:42" customFormat="1" ht="12.95" customHeight="1" x14ac:dyDescent="0.25">
      <c r="B57" s="31"/>
      <c r="C57" s="31"/>
      <c r="D57" s="31"/>
      <c r="E57" s="31" t="s">
        <v>631</v>
      </c>
      <c r="F57" s="31"/>
      <c r="G57" s="31"/>
      <c r="H57" s="31"/>
      <c r="I57" s="107" t="s">
        <v>736</v>
      </c>
      <c r="J57" s="104"/>
      <c r="K57" s="252">
        <v>0.76500000000000001</v>
      </c>
      <c r="L57" s="252">
        <v>0.62461988440971039</v>
      </c>
      <c r="M57" s="252">
        <v>0.51</v>
      </c>
      <c r="N57" s="117">
        <f>M57*0.995^50</f>
        <v>0.39693940410500761</v>
      </c>
      <c r="O57" s="249"/>
      <c r="P57" s="31"/>
      <c r="Q57" s="31"/>
      <c r="R57" s="107"/>
      <c r="S57" s="31"/>
      <c r="T57" s="31"/>
      <c r="U57" s="31"/>
      <c r="V57" s="31"/>
      <c r="W57" s="31"/>
      <c r="X57" s="31"/>
      <c r="Y57" s="31"/>
      <c r="Z57" s="31"/>
      <c r="AA57" s="31"/>
      <c r="AB57" s="31"/>
      <c r="AD57" s="350"/>
      <c r="AE57" s="348"/>
      <c r="AF57" s="348"/>
      <c r="AG57" s="345"/>
      <c r="AH57" s="353"/>
      <c r="AI57" s="12"/>
      <c r="AJ57" s="12"/>
      <c r="AK57" s="12"/>
      <c r="AL57" s="12"/>
      <c r="AM57" s="12"/>
      <c r="AN57" s="12"/>
      <c r="AO57" s="12"/>
      <c r="AP57" s="12"/>
    </row>
    <row r="58" spans="1:42" customFormat="1" ht="12.95" customHeight="1" x14ac:dyDescent="0.25">
      <c r="B58" s="31"/>
      <c r="C58" s="31"/>
      <c r="D58" s="31"/>
      <c r="E58" s="31" t="s">
        <v>632</v>
      </c>
      <c r="F58" s="31"/>
      <c r="G58" s="31"/>
      <c r="H58" s="31"/>
      <c r="I58" s="107" t="s">
        <v>736</v>
      </c>
      <c r="J58" s="104"/>
      <c r="K58" s="252">
        <v>1.204</v>
      </c>
      <c r="L58" s="252">
        <v>1.1376730637577739</v>
      </c>
      <c r="M58" s="252">
        <v>1.075</v>
      </c>
      <c r="N58" s="104"/>
      <c r="O58" s="249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26"/>
      <c r="AB58" s="31"/>
      <c r="AD58" s="350"/>
      <c r="AE58" s="348"/>
      <c r="AF58" s="348"/>
      <c r="AG58" s="345"/>
      <c r="AH58" s="353"/>
      <c r="AI58" s="12"/>
      <c r="AJ58" s="12"/>
      <c r="AK58" s="12"/>
      <c r="AL58" s="12"/>
      <c r="AM58" s="12"/>
      <c r="AN58" s="12"/>
      <c r="AO58" s="12"/>
      <c r="AP58" s="12"/>
    </row>
    <row r="59" spans="1:42" customFormat="1" ht="12.95" customHeight="1" x14ac:dyDescent="0.25">
      <c r="B59" s="31"/>
      <c r="C59" s="31"/>
      <c r="D59" s="31"/>
      <c r="E59" s="107" t="s">
        <v>738</v>
      </c>
      <c r="F59" s="31" t="s">
        <v>759</v>
      </c>
      <c r="G59" s="31"/>
      <c r="H59" s="31"/>
      <c r="I59" s="107" t="s">
        <v>736</v>
      </c>
      <c r="J59" s="104"/>
      <c r="K59" s="256">
        <f>K$10</f>
        <v>0.59499999999999997</v>
      </c>
      <c r="L59" s="256">
        <f>L$10</f>
        <v>0.55086295936466811</v>
      </c>
      <c r="M59" s="256">
        <f>M$10</f>
        <v>0.51</v>
      </c>
      <c r="N59" s="104"/>
      <c r="O59" s="249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254">
        <f>K60*56/100*1000*AA$1</f>
        <v>22.400000000000006</v>
      </c>
      <c r="AB59" s="31"/>
      <c r="AD59" s="350"/>
      <c r="AE59" s="348"/>
      <c r="AF59" s="348"/>
      <c r="AG59" s="345"/>
      <c r="AH59" s="353"/>
      <c r="AI59" s="12"/>
      <c r="AJ59" s="12"/>
      <c r="AK59" s="12"/>
      <c r="AL59" s="12"/>
      <c r="AM59" s="12"/>
      <c r="AN59" s="12"/>
      <c r="AO59" s="12"/>
      <c r="AP59" s="12"/>
    </row>
    <row r="60" spans="1:42" customFormat="1" ht="12.95" customHeight="1" x14ac:dyDescent="0.25">
      <c r="B60" s="31"/>
      <c r="C60" s="31"/>
      <c r="D60" s="31"/>
      <c r="E60" s="31" t="s">
        <v>710</v>
      </c>
      <c r="F60" s="31" t="s">
        <v>745</v>
      </c>
      <c r="G60" s="31"/>
      <c r="H60" s="31"/>
      <c r="I60" s="107" t="s">
        <v>736</v>
      </c>
      <c r="J60" s="104"/>
      <c r="K60" s="265">
        <v>0.05</v>
      </c>
      <c r="L60" s="252"/>
      <c r="M60" s="100"/>
      <c r="N60" s="104"/>
      <c r="O60" s="249"/>
      <c r="P60" s="31"/>
      <c r="Q60" s="31"/>
      <c r="R60" s="10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D60" s="350"/>
      <c r="AE60" s="348"/>
      <c r="AF60" s="348"/>
      <c r="AG60" s="345"/>
      <c r="AH60" s="353"/>
      <c r="AI60" s="12"/>
      <c r="AJ60" s="12"/>
      <c r="AK60" s="12"/>
      <c r="AL60" s="12"/>
      <c r="AM60" s="12"/>
      <c r="AN60" s="12"/>
      <c r="AO60" s="12"/>
      <c r="AP60" s="12"/>
    </row>
    <row r="61" spans="1:42" customFormat="1" ht="12.95" customHeight="1" x14ac:dyDescent="0.25">
      <c r="B61" s="250" t="s">
        <v>1180</v>
      </c>
      <c r="C61" s="31"/>
      <c r="D61" s="31"/>
      <c r="E61" s="31" t="s">
        <v>693</v>
      </c>
      <c r="F61" s="31"/>
      <c r="G61" s="31"/>
      <c r="H61" s="31"/>
      <c r="I61" s="107" t="s">
        <v>319</v>
      </c>
      <c r="J61" s="104"/>
      <c r="K61" s="266">
        <f>W55*1.2</f>
        <v>766.8</v>
      </c>
      <c r="L61" s="99">
        <f>W55</f>
        <v>639</v>
      </c>
      <c r="M61" s="267">
        <f>L61-300*0.15</f>
        <v>594</v>
      </c>
      <c r="N61" s="104"/>
      <c r="O61" s="249"/>
      <c r="P61" s="31"/>
      <c r="Q61" s="31"/>
      <c r="R61" s="102">
        <f>2.2-FLOOR(SUM(L57:L58),0.1)</f>
        <v>0.5</v>
      </c>
      <c r="S61" s="126"/>
      <c r="T61" s="31"/>
      <c r="U61" s="31"/>
      <c r="V61" s="31"/>
      <c r="W61" s="31"/>
      <c r="X61" s="31"/>
      <c r="Y61" s="31"/>
      <c r="Z61" s="31"/>
      <c r="AA61" s="31"/>
      <c r="AB61" s="31"/>
      <c r="AD61" s="350"/>
      <c r="AE61" s="348"/>
      <c r="AF61" s="348"/>
      <c r="AG61" s="345"/>
      <c r="AH61" s="353"/>
      <c r="AI61" s="12"/>
      <c r="AJ61" s="12"/>
      <c r="AK61" s="12"/>
      <c r="AL61" s="12"/>
      <c r="AM61" s="12"/>
      <c r="AN61" s="12"/>
      <c r="AO61" s="12"/>
      <c r="AP61" s="12"/>
    </row>
    <row r="62" spans="1:42" customFormat="1" ht="12.95" customHeight="1" x14ac:dyDescent="0.25">
      <c r="A62" s="52"/>
      <c r="B62" s="246"/>
      <c r="C62" s="98" t="s">
        <v>746</v>
      </c>
      <c r="D62" s="98" t="s">
        <v>747</v>
      </c>
      <c r="E62" s="98" t="s">
        <v>633</v>
      </c>
      <c r="F62" s="98"/>
      <c r="G62" s="98" t="s">
        <v>1311</v>
      </c>
      <c r="H62" s="281"/>
      <c r="I62" s="260" t="s">
        <v>736</v>
      </c>
      <c r="J62" s="261"/>
      <c r="K62" s="284">
        <f>AE62</f>
        <v>1.6</v>
      </c>
      <c r="L62" s="284">
        <f>AF62</f>
        <v>1.517893276880822</v>
      </c>
      <c r="M62" s="284">
        <f>AG62</f>
        <v>1.44</v>
      </c>
      <c r="N62" s="286"/>
      <c r="O62" s="268"/>
      <c r="P62" s="98">
        <f>BaseYear+1</f>
        <v>2011</v>
      </c>
      <c r="Q62" s="31"/>
      <c r="R62" s="126"/>
      <c r="S62" s="31"/>
      <c r="T62" s="99">
        <v>1</v>
      </c>
      <c r="U62" s="99">
        <v>0.9</v>
      </c>
      <c r="V62" s="31">
        <v>30</v>
      </c>
      <c r="W62" s="31">
        <v>221</v>
      </c>
      <c r="X62" s="31"/>
      <c r="Y62" s="254">
        <v>31.8</v>
      </c>
      <c r="Z62" s="31"/>
      <c r="AA62" s="31"/>
      <c r="AB62" s="31"/>
      <c r="AD62" s="350">
        <f>AE62</f>
        <v>1.6</v>
      </c>
      <c r="AE62" s="358">
        <v>1.6</v>
      </c>
      <c r="AF62" s="348">
        <f>SQRT(AE62*AG62)</f>
        <v>1.517893276880822</v>
      </c>
      <c r="AG62" s="351">
        <v>1.44</v>
      </c>
      <c r="AH62" s="353"/>
      <c r="AI62" s="12"/>
      <c r="AJ62" s="12"/>
      <c r="AK62" s="12"/>
      <c r="AL62" s="12"/>
      <c r="AM62" s="12"/>
      <c r="AN62" s="12"/>
      <c r="AO62" s="12"/>
      <c r="AP62" s="12"/>
    </row>
    <row r="63" spans="1:42" customFormat="1" ht="12.95" customHeight="1" x14ac:dyDescent="0.25">
      <c r="A63" s="32"/>
      <c r="B63" s="269"/>
      <c r="C63" s="99"/>
      <c r="D63" s="99"/>
      <c r="E63" s="247" t="s">
        <v>690</v>
      </c>
      <c r="F63" s="99"/>
      <c r="G63" s="31"/>
      <c r="H63" s="247" t="s">
        <v>734</v>
      </c>
      <c r="I63" s="107" t="s">
        <v>735</v>
      </c>
      <c r="J63" s="104"/>
      <c r="K63" s="252">
        <f>1/AE63</f>
        <v>0.625</v>
      </c>
      <c r="L63" s="252">
        <f>1/AF63</f>
        <v>0.79056941504209477</v>
      </c>
      <c r="M63" s="252">
        <f>1/AG63</f>
        <v>1</v>
      </c>
      <c r="N63" s="103">
        <f>M63/0.998^50</f>
        <v>1.1052815882857729</v>
      </c>
      <c r="O63" s="249"/>
      <c r="P63" s="31"/>
      <c r="Q63" s="31"/>
      <c r="R63" s="126"/>
      <c r="S63" s="31"/>
      <c r="T63" s="31"/>
      <c r="U63" s="31"/>
      <c r="V63" s="31"/>
      <c r="W63" s="31"/>
      <c r="X63" s="31"/>
      <c r="Y63" s="31"/>
      <c r="Z63" s="31"/>
      <c r="AA63" s="31"/>
      <c r="AB63" s="31"/>
      <c r="AD63" s="350">
        <f>AE63</f>
        <v>1.6</v>
      </c>
      <c r="AE63" s="358">
        <f>0.6 + 1</f>
        <v>1.6</v>
      </c>
      <c r="AF63" s="348">
        <f>SQRT(AE63*AG63)</f>
        <v>1.2649110640673518</v>
      </c>
      <c r="AG63" s="359">
        <f>0.5 + 0.5</f>
        <v>1</v>
      </c>
      <c r="AH63" s="353"/>
      <c r="AI63" s="12"/>
      <c r="AJ63" s="12"/>
      <c r="AK63" s="12"/>
      <c r="AL63" s="12"/>
      <c r="AM63" s="12"/>
      <c r="AN63" s="12"/>
      <c r="AO63" s="12"/>
      <c r="AP63" s="12"/>
    </row>
    <row r="64" spans="1:42" customFormat="1" ht="12.95" customHeight="1" x14ac:dyDescent="0.25">
      <c r="A64" s="32"/>
      <c r="B64" s="269"/>
      <c r="C64" s="99"/>
      <c r="D64" s="99"/>
      <c r="E64" s="247" t="s">
        <v>693</v>
      </c>
      <c r="F64" s="99"/>
      <c r="G64" s="31"/>
      <c r="H64" s="247"/>
      <c r="I64" s="107"/>
      <c r="J64" s="104"/>
      <c r="K64" s="102"/>
      <c r="L64" s="102"/>
      <c r="M64" s="105"/>
      <c r="N64" s="251"/>
      <c r="O64" s="249"/>
      <c r="P64" s="31"/>
      <c r="Q64" s="31"/>
      <c r="R64" s="126"/>
      <c r="S64" s="31"/>
      <c r="T64" s="31"/>
      <c r="U64" s="31"/>
      <c r="V64" s="31"/>
      <c r="W64" s="31"/>
      <c r="X64" s="31"/>
      <c r="Y64" s="31"/>
      <c r="Z64" s="31"/>
      <c r="AA64" s="31"/>
      <c r="AB64" s="31"/>
      <c r="AD64" s="350"/>
      <c r="AE64" s="348"/>
      <c r="AF64" s="348"/>
      <c r="AG64" s="345"/>
      <c r="AH64" s="353"/>
      <c r="AI64" s="12"/>
      <c r="AJ64" s="12"/>
      <c r="AK64" s="12"/>
      <c r="AL64" s="12"/>
      <c r="AM64" s="12"/>
      <c r="AN64" s="12"/>
      <c r="AO64" s="12"/>
      <c r="AP64" s="12"/>
    </row>
    <row r="65" spans="1:42" customFormat="1" ht="12.95" customHeight="1" x14ac:dyDescent="0.25">
      <c r="B65" s="31"/>
      <c r="C65" s="31"/>
      <c r="D65" s="31"/>
      <c r="E65" s="247" t="s">
        <v>631</v>
      </c>
      <c r="F65" s="31"/>
      <c r="G65" s="31"/>
      <c r="H65" s="247"/>
      <c r="I65" s="107" t="s">
        <v>736</v>
      </c>
      <c r="J65" s="104"/>
      <c r="K65" s="252">
        <f>AE65*$AH$10</f>
        <v>0.85</v>
      </c>
      <c r="L65" s="252">
        <f>AF65*$AH$10</f>
        <v>0.65840716885526085</v>
      </c>
      <c r="M65" s="252">
        <f>AG65*$AH$10</f>
        <v>0.51</v>
      </c>
      <c r="N65" s="117">
        <f>M65*0.995^50</f>
        <v>0.39693940410500761</v>
      </c>
      <c r="O65" s="249"/>
      <c r="P65" s="31"/>
      <c r="Q65" s="31"/>
      <c r="R65" s="126"/>
      <c r="S65" s="31"/>
      <c r="T65" s="31"/>
      <c r="U65" s="31"/>
      <c r="V65" s="31"/>
      <c r="W65" s="31"/>
      <c r="X65" s="31"/>
      <c r="Y65" s="31"/>
      <c r="Z65" s="31"/>
      <c r="AA65" s="31"/>
      <c r="AB65" s="31"/>
      <c r="AD65" s="350">
        <f>AE65*1.05</f>
        <v>1.05</v>
      </c>
      <c r="AE65" s="360">
        <v>1</v>
      </c>
      <c r="AF65" s="348">
        <f>SQRT(AE65*AG65)</f>
        <v>0.7745966692414834</v>
      </c>
      <c r="AG65" s="351">
        <f>AG$10</f>
        <v>0.6</v>
      </c>
      <c r="AH65" s="353"/>
      <c r="AI65" s="12"/>
      <c r="AJ65" s="12"/>
      <c r="AK65" s="12"/>
      <c r="AL65" s="12"/>
      <c r="AM65" s="12"/>
      <c r="AN65" s="12"/>
      <c r="AO65" s="12"/>
      <c r="AP65" s="12"/>
    </row>
    <row r="66" spans="1:42" customFormat="1" ht="12.95" customHeight="1" x14ac:dyDescent="0.25">
      <c r="B66" s="31"/>
      <c r="C66" s="31"/>
      <c r="D66" s="31"/>
      <c r="E66" s="247" t="s">
        <v>632</v>
      </c>
      <c r="F66" s="31"/>
      <c r="G66" s="31"/>
      <c r="H66" s="247"/>
      <c r="I66" s="107" t="s">
        <v>736</v>
      </c>
      <c r="J66" s="104"/>
      <c r="K66" s="252">
        <f>AE66*$AH$11</f>
        <v>0.94600000000000006</v>
      </c>
      <c r="L66" s="252">
        <f>AF66*$AH$11</f>
        <v>0.87913707691121756</v>
      </c>
      <c r="M66" s="252">
        <f>AG66*$AH$11</f>
        <v>0.81699999999999995</v>
      </c>
      <c r="N66" s="251"/>
      <c r="O66" s="249"/>
      <c r="P66" s="31"/>
      <c r="Q66" s="31"/>
      <c r="R66" s="126"/>
      <c r="S66" s="31"/>
      <c r="T66" s="31"/>
      <c r="U66" s="31"/>
      <c r="V66" s="31"/>
      <c r="W66" s="31"/>
      <c r="X66" s="31"/>
      <c r="Y66" s="31"/>
      <c r="Z66" s="31"/>
      <c r="AA66" s="31"/>
      <c r="AB66" s="31"/>
      <c r="AD66" s="350">
        <f>AE66*1.05</f>
        <v>1.1550000000000002</v>
      </c>
      <c r="AE66" s="360">
        <v>1.1000000000000001</v>
      </c>
      <c r="AF66" s="348">
        <f>SQRT(AE66*AG66)</f>
        <v>1.0222524150130436</v>
      </c>
      <c r="AG66" s="359">
        <v>0.95</v>
      </c>
      <c r="AH66" s="353"/>
      <c r="AI66" s="12"/>
      <c r="AJ66" s="12"/>
      <c r="AK66" s="12"/>
      <c r="AL66" s="12"/>
      <c r="AM66" s="12"/>
      <c r="AN66" s="12"/>
      <c r="AO66" s="12"/>
      <c r="AP66" s="12"/>
    </row>
    <row r="67" spans="1:42" customFormat="1" ht="12.95" customHeight="1" x14ac:dyDescent="0.25">
      <c r="B67" s="31"/>
      <c r="C67" s="31"/>
      <c r="D67" s="31"/>
      <c r="E67" s="107" t="s">
        <v>738</v>
      </c>
      <c r="F67" s="31"/>
      <c r="G67" s="31"/>
      <c r="H67" s="107"/>
      <c r="I67" s="107" t="s">
        <v>736</v>
      </c>
      <c r="J67" s="104"/>
      <c r="K67" s="253">
        <v>0.01</v>
      </c>
      <c r="L67" s="253"/>
      <c r="M67" s="105"/>
      <c r="N67" s="251"/>
      <c r="O67" s="249">
        <v>2</v>
      </c>
      <c r="P67" s="31"/>
      <c r="Q67" s="31"/>
      <c r="R67" s="126"/>
      <c r="S67" s="31"/>
      <c r="T67" s="31"/>
      <c r="U67" s="31"/>
      <c r="V67" s="31"/>
      <c r="W67" s="31"/>
      <c r="X67" s="31"/>
      <c r="Y67" s="31"/>
      <c r="Z67" s="31"/>
      <c r="AA67" s="31"/>
      <c r="AB67" s="31"/>
      <c r="AD67" s="350">
        <f>SUM(AD62:AD66)</f>
        <v>5.4050000000000002</v>
      </c>
      <c r="AE67" s="348">
        <f>SUM(AE62:AE66)</f>
        <v>5.3000000000000007</v>
      </c>
      <c r="AF67" s="348"/>
      <c r="AG67" s="351">
        <f>SUM(AG62:AG66)</f>
        <v>3.99</v>
      </c>
      <c r="AH67" s="346"/>
      <c r="AI67" s="12"/>
      <c r="AJ67" s="12"/>
      <c r="AK67" s="12"/>
      <c r="AL67" s="12"/>
      <c r="AM67" s="12"/>
      <c r="AN67" s="12"/>
      <c r="AO67" s="12"/>
      <c r="AP67" s="12"/>
    </row>
    <row r="68" spans="1:42" customFormat="1" ht="12.95" customHeight="1" x14ac:dyDescent="0.25">
      <c r="B68" s="31"/>
      <c r="C68" s="31"/>
      <c r="D68" s="31"/>
      <c r="E68" s="247" t="s">
        <v>1006</v>
      </c>
      <c r="F68" s="247" t="s">
        <v>748</v>
      </c>
      <c r="G68" s="31"/>
      <c r="H68" s="247"/>
      <c r="I68" s="107"/>
      <c r="J68" s="104"/>
      <c r="K68" s="99"/>
      <c r="L68" s="99"/>
      <c r="M68" s="105"/>
      <c r="N68" s="251"/>
      <c r="O68" s="249"/>
      <c r="P68" s="31"/>
      <c r="Q68" s="31"/>
      <c r="R68" s="102">
        <v>0.3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D68" s="344"/>
      <c r="AE68" s="345"/>
      <c r="AF68" s="345"/>
      <c r="AG68" s="345"/>
      <c r="AH68" s="346"/>
      <c r="AI68" s="12"/>
      <c r="AJ68" s="12"/>
      <c r="AK68" s="12"/>
      <c r="AL68" s="12"/>
      <c r="AM68" s="12"/>
      <c r="AN68" s="12"/>
      <c r="AO68" s="12"/>
      <c r="AP68" s="12"/>
    </row>
    <row r="69" spans="1:42" customFormat="1" ht="12.95" customHeight="1" x14ac:dyDescent="0.25">
      <c r="A69" s="52"/>
      <c r="B69" s="246"/>
      <c r="C69" s="98" t="s">
        <v>1156</v>
      </c>
      <c r="D69" s="98" t="s">
        <v>1157</v>
      </c>
      <c r="E69" s="98" t="s">
        <v>633</v>
      </c>
      <c r="F69" s="98"/>
      <c r="G69" s="98" t="s">
        <v>1311</v>
      </c>
      <c r="H69" s="281"/>
      <c r="I69" s="260" t="s">
        <v>736</v>
      </c>
      <c r="J69" s="261"/>
      <c r="K69" s="284">
        <f>AE69</f>
        <v>2.2999999999999998</v>
      </c>
      <c r="L69" s="284">
        <f>AF69</f>
        <v>2.1977260975835913</v>
      </c>
      <c r="M69" s="284">
        <f>AG69</f>
        <v>2.1</v>
      </c>
      <c r="N69" s="286"/>
      <c r="O69" s="268"/>
      <c r="P69" s="98">
        <f>BaseYear+1</f>
        <v>2011</v>
      </c>
      <c r="Q69" s="31"/>
      <c r="R69" s="126"/>
      <c r="S69" s="31"/>
      <c r="T69" s="99">
        <v>1</v>
      </c>
      <c r="U69" s="99">
        <v>0.9</v>
      </c>
      <c r="V69" s="31">
        <v>30</v>
      </c>
      <c r="W69" s="31">
        <v>221</v>
      </c>
      <c r="X69" s="31"/>
      <c r="Y69" s="254">
        <v>31.8</v>
      </c>
      <c r="Z69" s="31"/>
      <c r="AA69" s="31"/>
      <c r="AB69" s="31"/>
      <c r="AD69" s="350">
        <v>2.5</v>
      </c>
      <c r="AE69" s="358">
        <v>2.2999999999999998</v>
      </c>
      <c r="AF69" s="348">
        <f>SQRT(AE69*AG69)</f>
        <v>2.1977260975835913</v>
      </c>
      <c r="AG69" s="351">
        <v>2.1</v>
      </c>
      <c r="AH69" s="353"/>
      <c r="AI69" s="12"/>
      <c r="AJ69" s="12"/>
      <c r="AK69" s="12"/>
      <c r="AL69" s="12"/>
      <c r="AM69" s="12"/>
      <c r="AN69" s="12"/>
      <c r="AO69" s="12"/>
      <c r="AP69" s="12"/>
    </row>
    <row r="70" spans="1:42" customFormat="1" ht="12.95" customHeight="1" x14ac:dyDescent="0.25">
      <c r="A70" s="32"/>
      <c r="B70" s="269"/>
      <c r="C70" s="99"/>
      <c r="D70" s="99"/>
      <c r="E70" s="247" t="s">
        <v>693</v>
      </c>
      <c r="F70" s="99"/>
      <c r="G70" s="31"/>
      <c r="H70" s="247" t="s">
        <v>734</v>
      </c>
      <c r="I70" s="107" t="s">
        <v>735</v>
      </c>
      <c r="J70" s="104"/>
      <c r="K70" s="252">
        <f>1/AE70</f>
        <v>0.4</v>
      </c>
      <c r="L70" s="252">
        <f>1/AF70</f>
        <v>0.44721359549995793</v>
      </c>
      <c r="M70" s="252">
        <f>1/AG70</f>
        <v>0.5</v>
      </c>
      <c r="N70" s="103">
        <f>M70/0.998^50</f>
        <v>0.55264079414288647</v>
      </c>
      <c r="O70" s="249"/>
      <c r="P70" s="31"/>
      <c r="Q70" s="31"/>
      <c r="R70" s="126"/>
      <c r="S70" s="31"/>
      <c r="T70" s="31"/>
      <c r="U70" s="31"/>
      <c r="V70" s="31"/>
      <c r="W70" s="31"/>
      <c r="X70" s="31"/>
      <c r="Y70" s="31"/>
      <c r="Z70" s="31"/>
      <c r="AA70" s="31"/>
      <c r="AB70" s="31"/>
      <c r="AD70" s="350">
        <f>AE70</f>
        <v>2.5</v>
      </c>
      <c r="AE70" s="358">
        <f>0.5 + 1+1</f>
        <v>2.5</v>
      </c>
      <c r="AF70" s="348">
        <f>SQRT(AE70*AG70)</f>
        <v>2.2360679774997898</v>
      </c>
      <c r="AG70" s="359">
        <f>0.5 + 0.5 +1</f>
        <v>2</v>
      </c>
      <c r="AH70" s="353"/>
      <c r="AI70" s="12"/>
      <c r="AJ70" s="12"/>
      <c r="AK70" s="12"/>
      <c r="AL70" s="12"/>
      <c r="AM70" s="12"/>
      <c r="AN70" s="12"/>
      <c r="AO70" s="12"/>
      <c r="AP70" s="12"/>
    </row>
    <row r="71" spans="1:42" customFormat="1" ht="12.95" customHeight="1" x14ac:dyDescent="0.25">
      <c r="A71" s="32"/>
      <c r="B71" s="269"/>
      <c r="C71" s="99"/>
      <c r="D71" s="99"/>
      <c r="E71" s="247" t="s">
        <v>268</v>
      </c>
      <c r="F71" s="99"/>
      <c r="G71" s="31"/>
      <c r="H71" s="247"/>
      <c r="I71" s="107"/>
      <c r="J71" s="104"/>
      <c r="K71" s="102"/>
      <c r="L71" s="102"/>
      <c r="M71" s="102"/>
      <c r="N71" s="251"/>
      <c r="O71" s="249"/>
      <c r="P71" s="31"/>
      <c r="Q71" s="31"/>
      <c r="R71" s="126"/>
      <c r="S71" s="31"/>
      <c r="T71" s="31"/>
      <c r="U71" s="31"/>
      <c r="V71" s="31"/>
      <c r="W71" s="31"/>
      <c r="X71" s="31"/>
      <c r="Y71" s="31"/>
      <c r="Z71" s="31"/>
      <c r="AA71" s="31"/>
      <c r="AB71" s="31"/>
      <c r="AD71" s="350"/>
      <c r="AE71" s="358"/>
      <c r="AF71" s="348"/>
      <c r="AG71" s="359"/>
      <c r="AH71" s="353"/>
      <c r="AI71" s="12"/>
      <c r="AJ71" s="12"/>
      <c r="AK71" s="12"/>
      <c r="AL71" s="12"/>
      <c r="AM71" s="12"/>
      <c r="AN71" s="12"/>
      <c r="AO71" s="12"/>
      <c r="AP71" s="12"/>
    </row>
    <row r="72" spans="1:42" customFormat="1" ht="12.95" customHeight="1" x14ac:dyDescent="0.25">
      <c r="B72" s="31"/>
      <c r="C72" s="31"/>
      <c r="D72" s="31"/>
      <c r="E72" s="247" t="s">
        <v>631</v>
      </c>
      <c r="F72" s="31"/>
      <c r="G72" s="31"/>
      <c r="H72" s="247"/>
      <c r="I72" s="107" t="s">
        <v>736</v>
      </c>
      <c r="J72" s="104"/>
      <c r="K72" s="252">
        <f>AE72*$AH$10</f>
        <v>1.0369999999999999</v>
      </c>
      <c r="L72" s="252">
        <f>AF72*$AH$10</f>
        <v>0.81307287496263214</v>
      </c>
      <c r="M72" s="252">
        <f>AG72*$AH$10</f>
        <v>0.63749999999999996</v>
      </c>
      <c r="N72" s="117">
        <f>M72*0.995^50</f>
        <v>0.49617425513125946</v>
      </c>
      <c r="O72" s="249"/>
      <c r="P72" s="31"/>
      <c r="Q72" s="31"/>
      <c r="R72" s="126"/>
      <c r="S72" s="31"/>
      <c r="T72" s="31"/>
      <c r="U72" s="31"/>
      <c r="V72" s="31"/>
      <c r="W72" s="31"/>
      <c r="X72" s="31"/>
      <c r="Y72" s="31"/>
      <c r="Z72" s="31"/>
      <c r="AA72" s="31"/>
      <c r="AB72" s="31"/>
      <c r="AD72" s="350">
        <f>AE72*1.05</f>
        <v>1.2809999999999999</v>
      </c>
      <c r="AE72" s="360">
        <v>1.22</v>
      </c>
      <c r="AF72" s="348">
        <f>SQRT(AE72*AG72)</f>
        <v>0.95655632348544961</v>
      </c>
      <c r="AG72" s="351">
        <f>AG$10*1.25</f>
        <v>0.75</v>
      </c>
      <c r="AH72" s="353"/>
      <c r="AI72" s="12"/>
      <c r="AJ72" s="12"/>
      <c r="AK72" s="12"/>
      <c r="AL72" s="12"/>
      <c r="AM72" s="12"/>
      <c r="AN72" s="12"/>
      <c r="AO72" s="12"/>
      <c r="AP72" s="12"/>
    </row>
    <row r="73" spans="1:42" customFormat="1" ht="12.95" customHeight="1" x14ac:dyDescent="0.25">
      <c r="B73" s="31"/>
      <c r="C73" s="31"/>
      <c r="D73" s="31"/>
      <c r="E73" s="247" t="s">
        <v>632</v>
      </c>
      <c r="F73" s="31"/>
      <c r="G73" s="31"/>
      <c r="H73" s="247"/>
      <c r="I73" s="107" t="s">
        <v>736</v>
      </c>
      <c r="J73" s="104"/>
      <c r="K73" s="252">
        <f>AE73*$AH$11</f>
        <v>1.2469999999999999</v>
      </c>
      <c r="L73" s="252">
        <f>AF73*$AH$11</f>
        <v>1.0861224608670976</v>
      </c>
      <c r="M73" s="252">
        <f>AG73*$AH$11</f>
        <v>0.94600000000000006</v>
      </c>
      <c r="N73" s="251"/>
      <c r="O73" s="249"/>
      <c r="P73" s="31"/>
      <c r="Q73" s="31"/>
      <c r="R73" s="126"/>
      <c r="S73" s="31"/>
      <c r="T73" s="31"/>
      <c r="U73" s="31"/>
      <c r="V73" s="31"/>
      <c r="W73" s="31"/>
      <c r="X73" s="31"/>
      <c r="Y73" s="31"/>
      <c r="Z73" s="31"/>
      <c r="AA73" s="31"/>
      <c r="AB73" s="31"/>
      <c r="AD73" s="350">
        <f>AE73*1.05</f>
        <v>1.5225</v>
      </c>
      <c r="AE73" s="360">
        <v>1.45</v>
      </c>
      <c r="AF73" s="348">
        <f>SQRT(AE73*AG73)</f>
        <v>1.2629330940315089</v>
      </c>
      <c r="AG73" s="359">
        <v>1.1000000000000001</v>
      </c>
      <c r="AH73" s="353"/>
      <c r="AI73" s="12"/>
      <c r="AJ73" s="12"/>
      <c r="AK73" s="12"/>
      <c r="AL73" s="12"/>
      <c r="AM73" s="12"/>
      <c r="AN73" s="12"/>
      <c r="AO73" s="12"/>
      <c r="AP73" s="12"/>
    </row>
    <row r="74" spans="1:42" customFormat="1" ht="12.95" customHeight="1" x14ac:dyDescent="0.25">
      <c r="B74" s="31"/>
      <c r="C74" s="31"/>
      <c r="D74" s="31"/>
      <c r="E74" s="107" t="s">
        <v>738</v>
      </c>
      <c r="F74" s="31" t="s">
        <v>748</v>
      </c>
      <c r="G74" s="31"/>
      <c r="H74" s="107"/>
      <c r="I74" s="107" t="s">
        <v>736</v>
      </c>
      <c r="J74" s="104"/>
      <c r="K74" s="253">
        <v>0.01</v>
      </c>
      <c r="L74" s="253"/>
      <c r="M74" s="105"/>
      <c r="N74" s="251"/>
      <c r="O74" s="249">
        <v>2</v>
      </c>
      <c r="P74" s="31"/>
      <c r="Q74" s="31"/>
      <c r="R74" s="126"/>
      <c r="S74" s="31">
        <v>1</v>
      </c>
      <c r="T74" s="31"/>
      <c r="U74" s="31"/>
      <c r="V74" s="31"/>
      <c r="W74" s="31"/>
      <c r="X74" s="31"/>
      <c r="Y74" s="31"/>
      <c r="Z74" s="31"/>
      <c r="AA74" s="31"/>
      <c r="AB74" s="31"/>
      <c r="AD74" s="350">
        <f>SUM(AD68:AD73)</f>
        <v>7.8034999999999997</v>
      </c>
      <c r="AE74" s="348">
        <f>SUM(AE68:AE73)</f>
        <v>7.47</v>
      </c>
      <c r="AF74" s="348"/>
      <c r="AG74" s="351">
        <f>SUM(AG68:AG73)</f>
        <v>5.9499999999999993</v>
      </c>
      <c r="AH74" s="346"/>
      <c r="AI74" s="12"/>
      <c r="AJ74" s="12"/>
      <c r="AK74" s="12"/>
      <c r="AL74" s="12"/>
      <c r="AM74" s="12"/>
      <c r="AN74" s="12"/>
      <c r="AO74" s="12"/>
      <c r="AP74" s="12"/>
    </row>
    <row r="75" spans="1:42" customFormat="1" ht="12.95" customHeight="1" x14ac:dyDescent="0.25">
      <c r="B75" s="31"/>
      <c r="C75" s="31"/>
      <c r="D75" s="31"/>
      <c r="E75" s="247"/>
      <c r="F75" s="247" t="s">
        <v>1158</v>
      </c>
      <c r="G75" s="31"/>
      <c r="H75" s="247"/>
      <c r="I75" s="107"/>
      <c r="J75" s="104"/>
      <c r="K75" s="99"/>
      <c r="L75" s="99"/>
      <c r="M75" s="105"/>
      <c r="N75" s="251"/>
      <c r="O75" s="249"/>
      <c r="P75" s="31"/>
      <c r="Q75" s="31"/>
      <c r="R75" s="126"/>
      <c r="S75" s="31"/>
      <c r="T75" s="31"/>
      <c r="U75" s="31"/>
      <c r="V75" s="31"/>
      <c r="W75" s="31"/>
      <c r="X75" s="31"/>
      <c r="Y75" s="31"/>
      <c r="Z75" s="31"/>
      <c r="AA75" s="31"/>
      <c r="AB75" s="31"/>
      <c r="AD75" s="344"/>
      <c r="AE75" s="345"/>
      <c r="AF75" s="345"/>
      <c r="AG75" s="345"/>
      <c r="AH75" s="346"/>
      <c r="AI75" s="12"/>
      <c r="AJ75" s="12"/>
      <c r="AK75" s="12"/>
      <c r="AL75" s="12"/>
      <c r="AM75" s="12"/>
      <c r="AN75" s="12"/>
      <c r="AO75" s="12"/>
      <c r="AP75" s="12"/>
    </row>
    <row r="76" spans="1:42" customFormat="1" ht="12.95" customHeight="1" x14ac:dyDescent="0.25">
      <c r="A76" s="52"/>
      <c r="B76" s="246"/>
      <c r="C76" s="98" t="s">
        <v>749</v>
      </c>
      <c r="D76" s="98" t="s">
        <v>750</v>
      </c>
      <c r="E76" s="98" t="s">
        <v>633</v>
      </c>
      <c r="F76" s="98"/>
      <c r="G76" s="98" t="s">
        <v>1306</v>
      </c>
      <c r="H76" s="98"/>
      <c r="I76" s="260" t="s">
        <v>736</v>
      </c>
      <c r="J76" s="261"/>
      <c r="K76" s="284">
        <f>AE76</f>
        <v>0.2</v>
      </c>
      <c r="L76" s="284"/>
      <c r="M76" s="284">
        <f>AG76</f>
        <v>0.2</v>
      </c>
      <c r="N76" s="286"/>
      <c r="O76" s="268"/>
      <c r="P76" s="98">
        <v>2010</v>
      </c>
      <c r="Q76" s="31"/>
      <c r="R76" s="126"/>
      <c r="S76" s="31"/>
      <c r="T76" s="99">
        <v>1</v>
      </c>
      <c r="U76" s="99">
        <v>0.9</v>
      </c>
      <c r="V76" s="31">
        <v>30</v>
      </c>
      <c r="W76" s="270">
        <v>386.75</v>
      </c>
      <c r="X76" s="31"/>
      <c r="Y76" s="254">
        <v>63.6</v>
      </c>
      <c r="Z76" s="31"/>
      <c r="AA76" s="31"/>
      <c r="AB76" s="31"/>
      <c r="AD76" s="344"/>
      <c r="AE76" s="345">
        <v>0.2</v>
      </c>
      <c r="AF76" s="345"/>
      <c r="AG76" s="345">
        <f>AE76</f>
        <v>0.2</v>
      </c>
      <c r="AH76" s="346"/>
      <c r="AI76" s="12"/>
      <c r="AJ76" s="12"/>
      <c r="AK76" s="12"/>
      <c r="AL76" s="12"/>
      <c r="AM76" s="12"/>
      <c r="AN76" s="12"/>
      <c r="AO76" s="12"/>
      <c r="AP76" s="12"/>
    </row>
    <row r="77" spans="1:42" customFormat="1" ht="12.95" customHeight="1" x14ac:dyDescent="0.25">
      <c r="A77" s="32"/>
      <c r="B77" s="269"/>
      <c r="C77" s="99"/>
      <c r="D77" s="99"/>
      <c r="E77" s="99" t="s">
        <v>268</v>
      </c>
      <c r="F77" s="99"/>
      <c r="G77" s="31"/>
      <c r="H77" s="247" t="s">
        <v>734</v>
      </c>
      <c r="I77" s="107" t="s">
        <v>735</v>
      </c>
      <c r="J77" s="104"/>
      <c r="K77" s="252">
        <f>1/AE77</f>
        <v>0.83333333333333337</v>
      </c>
      <c r="L77" s="102"/>
      <c r="M77" s="252">
        <f>1/AG77</f>
        <v>1.6666666666666667</v>
      </c>
      <c r="N77" s="251"/>
      <c r="O77" s="249"/>
      <c r="P77" s="31"/>
      <c r="Q77" s="31"/>
      <c r="R77" s="126"/>
      <c r="S77" s="31"/>
      <c r="T77" s="31"/>
      <c r="U77" s="31"/>
      <c r="V77" s="31"/>
      <c r="W77" s="31"/>
      <c r="X77" s="31"/>
      <c r="Y77" s="31"/>
      <c r="Z77" s="31"/>
      <c r="AA77" s="31"/>
      <c r="AB77" s="31"/>
      <c r="AD77" s="344"/>
      <c r="AE77" s="345">
        <f>0.2+1</f>
        <v>1.2</v>
      </c>
      <c r="AF77" s="345"/>
      <c r="AG77" s="345">
        <f>0.1+0.5</f>
        <v>0.6</v>
      </c>
      <c r="AH77" s="346"/>
      <c r="AI77" s="12"/>
      <c r="AJ77" s="12"/>
      <c r="AK77" s="12"/>
      <c r="AL77" s="12"/>
      <c r="AM77" s="12"/>
      <c r="AN77" s="12"/>
      <c r="AO77" s="12"/>
      <c r="AP77" s="12"/>
    </row>
    <row r="78" spans="1:42" customFormat="1" ht="12.95" customHeight="1" x14ac:dyDescent="0.25">
      <c r="A78" s="32"/>
      <c r="B78" s="269"/>
      <c r="C78" s="99"/>
      <c r="D78" s="99"/>
      <c r="E78" s="99" t="s">
        <v>690</v>
      </c>
      <c r="F78" s="99"/>
      <c r="G78" s="31"/>
      <c r="H78" s="31"/>
      <c r="I78" s="107"/>
      <c r="J78" s="104"/>
      <c r="K78" s="102"/>
      <c r="L78" s="102"/>
      <c r="M78" s="105"/>
      <c r="N78" s="251"/>
      <c r="O78" s="249"/>
      <c r="P78" s="31"/>
      <c r="Q78" s="31"/>
      <c r="R78" s="126"/>
      <c r="S78" s="31"/>
      <c r="T78" s="31"/>
      <c r="U78" s="31"/>
      <c r="V78" s="31"/>
      <c r="W78" s="31"/>
      <c r="X78" s="31"/>
      <c r="Y78" s="31"/>
      <c r="Z78" s="31"/>
      <c r="AA78" s="31"/>
      <c r="AB78" s="31"/>
      <c r="AD78" s="344"/>
      <c r="AE78" s="345"/>
      <c r="AF78" s="345"/>
      <c r="AG78" s="345"/>
      <c r="AH78" s="346"/>
      <c r="AI78" s="12"/>
      <c r="AJ78" s="12"/>
      <c r="AK78" s="12"/>
      <c r="AL78" s="12"/>
      <c r="AM78" s="12"/>
      <c r="AN78" s="12"/>
      <c r="AO78" s="12"/>
      <c r="AP78" s="12"/>
    </row>
    <row r="79" spans="1:42" customFormat="1" ht="12.95" customHeight="1" x14ac:dyDescent="0.25">
      <c r="B79" s="31"/>
      <c r="C79" s="31"/>
      <c r="D79" s="31"/>
      <c r="E79" s="31" t="s">
        <v>691</v>
      </c>
      <c r="F79" s="31"/>
      <c r="G79" s="31"/>
      <c r="H79" s="247"/>
      <c r="I79" s="107" t="s">
        <v>736</v>
      </c>
      <c r="J79" s="104"/>
      <c r="K79" s="102">
        <f>AE79</f>
        <v>31.266000000000002</v>
      </c>
      <c r="L79" s="102"/>
      <c r="M79" s="102">
        <f>AG79</f>
        <v>29</v>
      </c>
      <c r="N79" s="117">
        <f>M79*0.997^50</f>
        <v>24.954904573509353</v>
      </c>
      <c r="O79" s="249"/>
      <c r="P79" s="31"/>
      <c r="Q79" s="31"/>
      <c r="R79" s="126"/>
      <c r="S79" s="31"/>
      <c r="T79" s="99"/>
      <c r="U79" s="99"/>
      <c r="V79" s="31"/>
      <c r="W79" s="31"/>
      <c r="X79" s="31"/>
      <c r="Y79" s="31"/>
      <c r="Z79" s="31"/>
      <c r="AA79" s="31"/>
      <c r="AB79" s="31"/>
      <c r="AD79" s="344"/>
      <c r="AE79" s="351">
        <f>1.08*28.95</f>
        <v>31.266000000000002</v>
      </c>
      <c r="AF79" s="345"/>
      <c r="AG79" s="345">
        <v>29</v>
      </c>
      <c r="AH79" s="346"/>
      <c r="AI79" s="12"/>
      <c r="AJ79" s="12"/>
      <c r="AK79" s="12"/>
      <c r="AL79" s="12"/>
      <c r="AM79" s="12"/>
      <c r="AN79" s="12"/>
      <c r="AO79" s="12"/>
      <c r="AP79" s="12"/>
    </row>
    <row r="80" spans="1:42" customFormat="1" ht="12.95" customHeight="1" x14ac:dyDescent="0.25">
      <c r="B80" s="31"/>
      <c r="C80" s="31"/>
      <c r="D80" s="31"/>
      <c r="E80" s="247" t="s">
        <v>631</v>
      </c>
      <c r="F80" s="31"/>
      <c r="G80" s="31"/>
      <c r="H80" s="247"/>
      <c r="I80" s="107" t="s">
        <v>736</v>
      </c>
      <c r="J80" s="104"/>
      <c r="K80" s="252">
        <f>AE80*$AH$10</f>
        <v>0.85</v>
      </c>
      <c r="L80" s="252"/>
      <c r="M80" s="252">
        <f>AG80*$AH$10</f>
        <v>0.51</v>
      </c>
      <c r="N80" s="117">
        <f>M80*0.995^50</f>
        <v>0.39693940410500761</v>
      </c>
      <c r="O80" s="249"/>
      <c r="P80" s="31"/>
      <c r="Q80" s="31"/>
      <c r="R80" s="126"/>
      <c r="S80" s="31"/>
      <c r="T80" s="31"/>
      <c r="U80" s="31"/>
      <c r="V80" s="31"/>
      <c r="W80" s="31"/>
      <c r="X80" s="31"/>
      <c r="Y80" s="31"/>
      <c r="Z80" s="31"/>
      <c r="AA80" s="31"/>
      <c r="AB80" s="31"/>
      <c r="AD80" s="344"/>
      <c r="AE80" s="360">
        <v>1</v>
      </c>
      <c r="AF80" s="345"/>
      <c r="AG80" s="351">
        <f>AG$65</f>
        <v>0.6</v>
      </c>
      <c r="AH80" s="346"/>
      <c r="AI80" s="12"/>
      <c r="AJ80" s="12"/>
      <c r="AK80" s="12"/>
      <c r="AL80" s="12"/>
      <c r="AM80" s="12"/>
      <c r="AN80" s="12"/>
      <c r="AO80" s="12"/>
      <c r="AP80" s="12"/>
    </row>
    <row r="81" spans="1:42" customFormat="1" ht="12.95" customHeight="1" x14ac:dyDescent="0.25">
      <c r="B81" s="31"/>
      <c r="C81" s="31"/>
      <c r="D81" s="31"/>
      <c r="E81" s="247" t="s">
        <v>632</v>
      </c>
      <c r="F81" s="31" t="s">
        <v>759</v>
      </c>
      <c r="G81" s="31"/>
      <c r="H81" s="247"/>
      <c r="I81" s="107" t="s">
        <v>736</v>
      </c>
      <c r="J81" s="104"/>
      <c r="K81" s="252">
        <f>AE81*$AH$11</f>
        <v>1.161</v>
      </c>
      <c r="L81" s="252"/>
      <c r="M81" s="252">
        <f>AG81*$AH$11</f>
        <v>0.98899999999999988</v>
      </c>
      <c r="N81" s="104"/>
      <c r="O81" s="249"/>
      <c r="P81" s="31"/>
      <c r="Q81" s="31"/>
      <c r="R81" s="126"/>
      <c r="S81" s="31"/>
      <c r="T81" s="31"/>
      <c r="U81" s="31"/>
      <c r="V81" s="31"/>
      <c r="W81" s="31"/>
      <c r="X81" s="31"/>
      <c r="Y81" s="31"/>
      <c r="Z81" s="31"/>
      <c r="AA81" s="254">
        <f>K82*56/100*1000*AA$1</f>
        <v>67.2</v>
      </c>
      <c r="AB81" s="31"/>
      <c r="AD81" s="344"/>
      <c r="AE81" s="361">
        <f>0.4+0.95</f>
        <v>1.35</v>
      </c>
      <c r="AF81" s="345"/>
      <c r="AG81" s="361">
        <f>0.35+0.8</f>
        <v>1.1499999999999999</v>
      </c>
      <c r="AH81" s="346"/>
      <c r="AI81" s="12"/>
      <c r="AJ81" s="12"/>
      <c r="AK81" s="12"/>
      <c r="AL81" s="12"/>
      <c r="AM81" s="12"/>
      <c r="AN81" s="12"/>
      <c r="AO81" s="12"/>
      <c r="AP81" s="12"/>
    </row>
    <row r="82" spans="1:42" customFormat="1" ht="12.95" customHeight="1" x14ac:dyDescent="0.25">
      <c r="B82" s="31"/>
      <c r="C82" s="31"/>
      <c r="D82" s="31"/>
      <c r="E82" s="107" t="s">
        <v>710</v>
      </c>
      <c r="F82" s="31" t="s">
        <v>739</v>
      </c>
      <c r="G82" s="31"/>
      <c r="H82" s="107"/>
      <c r="I82" s="107" t="s">
        <v>736</v>
      </c>
      <c r="J82" s="104"/>
      <c r="K82" s="255">
        <v>0.15</v>
      </c>
      <c r="L82" s="102"/>
      <c r="M82" s="105"/>
      <c r="N82" s="104"/>
      <c r="O82" s="249"/>
      <c r="P82" s="31"/>
      <c r="Q82" s="31"/>
      <c r="R82" s="126"/>
      <c r="S82" s="172">
        <v>0.3</v>
      </c>
      <c r="T82" s="31"/>
      <c r="U82" s="31"/>
      <c r="V82" s="31"/>
      <c r="W82" s="31"/>
      <c r="X82" s="31"/>
      <c r="Y82" s="31"/>
      <c r="Z82" s="31"/>
      <c r="AA82" s="31"/>
      <c r="AB82" s="31"/>
      <c r="AD82" s="344"/>
      <c r="AE82" s="351">
        <f>SUM(AE76:AE81)</f>
        <v>35.016000000000005</v>
      </c>
      <c r="AF82" s="345"/>
      <c r="AG82" s="351">
        <f>SUM(AG76:AG81)</f>
        <v>31.55</v>
      </c>
      <c r="AH82" s="346"/>
      <c r="AI82" s="12"/>
      <c r="AJ82" s="12"/>
      <c r="AK82" s="12"/>
      <c r="AL82" s="12"/>
      <c r="AM82" s="12"/>
      <c r="AN82" s="12"/>
      <c r="AO82" s="12"/>
      <c r="AP82" s="12"/>
    </row>
    <row r="83" spans="1:42" customFormat="1" ht="12.95" customHeight="1" x14ac:dyDescent="0.25">
      <c r="B83" s="31"/>
      <c r="C83" s="31"/>
      <c r="D83" s="31"/>
      <c r="E83" s="31"/>
      <c r="F83" s="31" t="s">
        <v>751</v>
      </c>
      <c r="G83" s="31"/>
      <c r="H83" s="31"/>
      <c r="I83" s="107" t="s">
        <v>741</v>
      </c>
      <c r="J83" s="104"/>
      <c r="K83" s="31">
        <f>7.5+0.2</f>
        <v>7.7</v>
      </c>
      <c r="L83" s="99"/>
      <c r="M83" s="31">
        <f>7.5+0.5</f>
        <v>8</v>
      </c>
      <c r="N83" s="117">
        <f>M83*(N79/M79)^0.5</f>
        <v>7.4211112949397755</v>
      </c>
      <c r="O83" s="249"/>
      <c r="P83" s="31"/>
      <c r="Q83" s="31"/>
      <c r="R83" s="126"/>
      <c r="S83" s="126"/>
      <c r="T83" s="31"/>
      <c r="U83" s="31"/>
      <c r="V83" s="31"/>
      <c r="W83" s="31"/>
      <c r="X83" s="31"/>
      <c r="Y83" s="31"/>
      <c r="Z83" s="31"/>
      <c r="AA83" s="31"/>
      <c r="AB83" s="31"/>
      <c r="AD83" s="344"/>
      <c r="AE83" s="345"/>
      <c r="AF83" s="345"/>
      <c r="AG83" s="345"/>
      <c r="AH83" s="346"/>
      <c r="AI83" s="12"/>
      <c r="AJ83" s="12"/>
      <c r="AK83" s="12"/>
      <c r="AL83" s="12"/>
      <c r="AM83" s="12"/>
      <c r="AN83" s="12"/>
      <c r="AO83" s="12"/>
      <c r="AP83" s="12"/>
    </row>
    <row r="84" spans="1:42" customFormat="1" ht="12.95" customHeight="1" x14ac:dyDescent="0.25">
      <c r="B84" s="31"/>
      <c r="C84" s="31"/>
      <c r="D84" s="31"/>
      <c r="E84" s="31"/>
      <c r="F84" s="31" t="s">
        <v>742</v>
      </c>
      <c r="G84" s="31"/>
      <c r="H84" s="31"/>
      <c r="I84" s="107"/>
      <c r="J84" s="104"/>
      <c r="K84" s="99"/>
      <c r="L84" s="99"/>
      <c r="M84" s="105"/>
      <c r="N84" s="104"/>
      <c r="O84" s="249"/>
      <c r="P84" s="31"/>
      <c r="Q84" s="31"/>
      <c r="R84" s="126"/>
      <c r="S84" s="31"/>
      <c r="T84" s="31"/>
      <c r="U84" s="31"/>
      <c r="V84" s="31"/>
      <c r="W84" s="31"/>
      <c r="X84" s="31"/>
      <c r="Y84" s="31"/>
      <c r="Z84" s="31"/>
      <c r="AA84" s="31"/>
      <c r="AB84" s="31"/>
      <c r="AD84" s="344"/>
      <c r="AE84" s="345"/>
      <c r="AF84" s="345"/>
      <c r="AG84" s="345"/>
      <c r="AH84" s="346"/>
      <c r="AI84" s="12"/>
      <c r="AJ84" s="12"/>
      <c r="AK84" s="12"/>
      <c r="AL84" s="12"/>
      <c r="AM84" s="12"/>
      <c r="AN84" s="12"/>
      <c r="AO84" s="12"/>
      <c r="AP84" s="12"/>
    </row>
    <row r="85" spans="1:42" customFormat="1" ht="12.95" customHeight="1" x14ac:dyDescent="0.25">
      <c r="A85" s="52"/>
      <c r="B85" s="246"/>
      <c r="C85" s="98" t="s">
        <v>752</v>
      </c>
      <c r="D85" s="98" t="s">
        <v>753</v>
      </c>
      <c r="E85" s="98" t="s">
        <v>633</v>
      </c>
      <c r="F85" s="98"/>
      <c r="G85" s="98" t="s">
        <v>1305</v>
      </c>
      <c r="H85" s="98"/>
      <c r="I85" s="260" t="s">
        <v>736</v>
      </c>
      <c r="J85" s="261"/>
      <c r="K85" s="287">
        <f>AE85</f>
        <v>9.379999999999999</v>
      </c>
      <c r="L85" s="287">
        <f>AF85</f>
        <v>8.8986493357138183</v>
      </c>
      <c r="M85" s="287">
        <f>AG85</f>
        <v>8.4420000000000002</v>
      </c>
      <c r="N85" s="261"/>
      <c r="O85" s="268"/>
      <c r="P85" s="98">
        <f>BaseYear+1</f>
        <v>2011</v>
      </c>
      <c r="Q85" s="31"/>
      <c r="R85" s="126"/>
      <c r="S85" s="31"/>
      <c r="T85" s="99">
        <v>1</v>
      </c>
      <c r="U85" s="99">
        <v>0.9</v>
      </c>
      <c r="V85" s="31">
        <v>30</v>
      </c>
      <c r="W85" s="31">
        <v>780</v>
      </c>
      <c r="X85" s="31"/>
      <c r="Y85" s="254">
        <v>67.2</v>
      </c>
      <c r="Z85" s="31"/>
      <c r="AA85" s="31"/>
      <c r="AB85" s="31"/>
      <c r="AD85" s="347">
        <f>3.5*3.6-AD86</f>
        <v>10.1</v>
      </c>
      <c r="AE85" s="359">
        <f>3.3*3.6-AE86</f>
        <v>9.379999999999999</v>
      </c>
      <c r="AF85" s="351">
        <f>SQRT(AE85*AG85)</f>
        <v>8.8986493357138183</v>
      </c>
      <c r="AG85" s="359">
        <f>AE85*0.9</f>
        <v>8.4420000000000002</v>
      </c>
      <c r="AH85" s="346"/>
      <c r="AI85" s="12"/>
      <c r="AJ85" s="12"/>
      <c r="AK85" s="12"/>
      <c r="AL85" s="12"/>
      <c r="AM85" s="12"/>
      <c r="AN85" s="12"/>
      <c r="AO85" s="12"/>
      <c r="AP85" s="12"/>
    </row>
    <row r="86" spans="1:42" customFormat="1" ht="12.95" customHeight="1" x14ac:dyDescent="0.25">
      <c r="B86" s="31"/>
      <c r="C86" s="31"/>
      <c r="D86" s="31"/>
      <c r="E86" s="31" t="s">
        <v>632</v>
      </c>
      <c r="F86" s="31"/>
      <c r="G86" s="31"/>
      <c r="H86" s="31"/>
      <c r="I86" s="107" t="s">
        <v>736</v>
      </c>
      <c r="J86" s="104"/>
      <c r="K86" s="256">
        <f>AE86*$AH$11</f>
        <v>2.15</v>
      </c>
      <c r="L86" s="256">
        <f>AF86*$AH$11</f>
        <v>2.15</v>
      </c>
      <c r="M86" s="256">
        <f>AG86*$AH$11</f>
        <v>2.15</v>
      </c>
      <c r="N86" s="104"/>
      <c r="O86" s="249"/>
      <c r="P86" s="31"/>
      <c r="Q86" s="31"/>
      <c r="R86" s="126"/>
      <c r="S86" s="31"/>
      <c r="T86" s="31"/>
      <c r="U86" s="31"/>
      <c r="V86" s="31"/>
      <c r="W86" s="31"/>
      <c r="X86" s="31"/>
      <c r="Y86" s="31"/>
      <c r="Z86" s="31"/>
      <c r="AA86" s="31"/>
      <c r="AB86" s="31"/>
      <c r="AD86" s="344">
        <v>2.5</v>
      </c>
      <c r="AE86" s="362">
        <v>2.5</v>
      </c>
      <c r="AF86" s="351">
        <f>SQRT(AE86*AG86)</f>
        <v>2.5</v>
      </c>
      <c r="AG86" s="362">
        <v>2.5</v>
      </c>
      <c r="AH86" s="346"/>
      <c r="AI86" s="12"/>
      <c r="AJ86" s="12"/>
      <c r="AK86" s="12"/>
      <c r="AL86" s="12"/>
      <c r="AM86" s="12"/>
      <c r="AN86" s="12"/>
      <c r="AO86" s="12"/>
      <c r="AP86" s="12"/>
    </row>
    <row r="87" spans="1:42" customFormat="1" ht="12.95" customHeight="1" x14ac:dyDescent="0.25">
      <c r="B87" s="31"/>
      <c r="C87" s="31"/>
      <c r="D87" s="31"/>
      <c r="E87" s="31" t="s">
        <v>1006</v>
      </c>
      <c r="F87" s="31"/>
      <c r="G87" s="31"/>
      <c r="H87" s="31"/>
      <c r="I87" s="107" t="s">
        <v>736</v>
      </c>
      <c r="J87" s="104"/>
      <c r="K87" s="101">
        <f t="shared" ref="K87:N88" si="2">AE87</f>
        <v>13.450000000000001</v>
      </c>
      <c r="L87" s="101">
        <f t="shared" si="2"/>
        <v>12.03004571894887</v>
      </c>
      <c r="M87" s="101">
        <f t="shared" si="2"/>
        <v>10.760000000000002</v>
      </c>
      <c r="N87" s="117">
        <f t="shared" si="2"/>
        <v>10.071407854527333</v>
      </c>
      <c r="O87" s="249"/>
      <c r="P87" s="31"/>
      <c r="Q87" s="31"/>
      <c r="R87" s="126"/>
      <c r="S87" s="31"/>
      <c r="T87" s="31"/>
      <c r="U87" s="31"/>
      <c r="V87" s="31"/>
      <c r="W87" s="31"/>
      <c r="X87" s="31"/>
      <c r="Y87" s="31"/>
      <c r="Z87" s="31"/>
      <c r="AA87" s="31"/>
      <c r="AB87" s="31"/>
      <c r="AD87" s="347">
        <f>32.5-SUM(AD85:AD86,AD88)</f>
        <v>17.3</v>
      </c>
      <c r="AE87" s="359">
        <f>0.55*29-AE88</f>
        <v>13.450000000000001</v>
      </c>
      <c r="AF87" s="351">
        <f>SQRT(AE87*AG87)</f>
        <v>12.03004571894887</v>
      </c>
      <c r="AG87" s="359">
        <f>AE87*0.8</f>
        <v>10.760000000000002</v>
      </c>
      <c r="AH87" s="353">
        <f>11.9-AH88</f>
        <v>10.071407854527333</v>
      </c>
      <c r="AI87" s="12"/>
      <c r="AJ87" s="12"/>
      <c r="AK87" s="12"/>
      <c r="AL87" s="12"/>
      <c r="AM87" s="12"/>
      <c r="AN87" s="12"/>
      <c r="AO87" s="12"/>
      <c r="AP87" s="12"/>
    </row>
    <row r="88" spans="1:42" customFormat="1" ht="12.95" customHeight="1" x14ac:dyDescent="0.25">
      <c r="B88" s="31"/>
      <c r="C88" s="31"/>
      <c r="D88" s="31"/>
      <c r="E88" s="31" t="s">
        <v>691</v>
      </c>
      <c r="F88" s="31"/>
      <c r="G88" s="31"/>
      <c r="H88" s="31"/>
      <c r="I88" s="107" t="s">
        <v>736</v>
      </c>
      <c r="J88" s="104"/>
      <c r="K88" s="101">
        <f t="shared" si="2"/>
        <v>2.5</v>
      </c>
      <c r="L88" s="101">
        <f t="shared" si="2"/>
        <v>2.3048861143232218</v>
      </c>
      <c r="M88" s="101">
        <f t="shared" si="2"/>
        <v>2.125</v>
      </c>
      <c r="N88" s="117">
        <f t="shared" si="2"/>
        <v>1.8285921454726681</v>
      </c>
      <c r="O88" s="249"/>
      <c r="P88" s="31"/>
      <c r="Q88" s="31"/>
      <c r="R88" s="126"/>
      <c r="S88" s="31"/>
      <c r="T88" s="31"/>
      <c r="U88" s="31"/>
      <c r="V88" s="31"/>
      <c r="W88" s="31"/>
      <c r="X88" s="31"/>
      <c r="Y88" s="31"/>
      <c r="Z88" s="31"/>
      <c r="AA88" s="31"/>
      <c r="AB88" s="31"/>
      <c r="AD88" s="344">
        <v>2.6</v>
      </c>
      <c r="AE88" s="362">
        <v>2.5</v>
      </c>
      <c r="AF88" s="351">
        <f>SQRT(AE88*AG88)</f>
        <v>2.3048861143232218</v>
      </c>
      <c r="AG88" s="359">
        <f>AE88*0.85</f>
        <v>2.125</v>
      </c>
      <c r="AH88" s="353">
        <f>AG88*0.997^50</f>
        <v>1.8285921454726681</v>
      </c>
      <c r="AI88" s="12"/>
      <c r="AJ88" s="12"/>
      <c r="AK88" s="12"/>
      <c r="AL88" s="12"/>
      <c r="AM88" s="12"/>
      <c r="AN88" s="12"/>
      <c r="AO88" s="12"/>
      <c r="AP88" s="12"/>
    </row>
    <row r="89" spans="1:42" customFormat="1" ht="12.95" customHeight="1" x14ac:dyDescent="0.25">
      <c r="B89" s="31"/>
      <c r="C89" s="31"/>
      <c r="D89" s="31"/>
      <c r="E89" s="31" t="s">
        <v>738</v>
      </c>
      <c r="F89" s="31"/>
      <c r="G89" s="31"/>
      <c r="H89" s="107"/>
      <c r="I89" s="107" t="s">
        <v>736</v>
      </c>
      <c r="J89" s="104"/>
      <c r="K89" s="253">
        <v>0.01</v>
      </c>
      <c r="L89" s="99"/>
      <c r="M89" s="105"/>
      <c r="N89" s="104"/>
      <c r="O89" s="249">
        <v>2</v>
      </c>
      <c r="P89" s="31"/>
      <c r="Q89" s="31"/>
      <c r="R89" s="126"/>
      <c r="S89" s="31"/>
      <c r="T89" s="31"/>
      <c r="U89" s="31"/>
      <c r="V89" s="31"/>
      <c r="W89" s="31"/>
      <c r="X89" s="31"/>
      <c r="Y89" s="31"/>
      <c r="Z89" s="31"/>
      <c r="AA89" s="31"/>
      <c r="AB89" s="31"/>
      <c r="AD89" s="347">
        <f>SUM(AD85:AD88)</f>
        <v>32.5</v>
      </c>
      <c r="AE89" s="351">
        <f>SUM(AE85:AE88)</f>
        <v>27.83</v>
      </c>
      <c r="AF89" s="351">
        <f>SQRT(AE89*AG89)</f>
        <v>25.750833190403764</v>
      </c>
      <c r="AG89" s="351">
        <f>SUM(AG85:AG88)</f>
        <v>23.827000000000002</v>
      </c>
      <c r="AH89" s="346"/>
      <c r="AI89" s="12"/>
      <c r="AJ89" s="12"/>
      <c r="AK89" s="12"/>
      <c r="AL89" s="12"/>
      <c r="AM89" s="12"/>
      <c r="AN89" s="12"/>
      <c r="AO89" s="12"/>
      <c r="AP89" s="12"/>
    </row>
    <row r="90" spans="1:42" customFormat="1" ht="12.95" customHeight="1" x14ac:dyDescent="0.25">
      <c r="B90" s="31"/>
      <c r="C90" s="31"/>
      <c r="D90" s="31"/>
      <c r="E90" s="31"/>
      <c r="F90" s="31" t="s">
        <v>751</v>
      </c>
      <c r="G90" s="31"/>
      <c r="H90" s="107"/>
      <c r="I90" s="107" t="s">
        <v>741</v>
      </c>
      <c r="J90" s="104"/>
      <c r="K90" s="101">
        <f>SUM(K87:K88)*0.34-4</f>
        <v>1.4230000000000009</v>
      </c>
      <c r="L90" s="101">
        <f>SUM(L87:L88)*0.34-3</f>
        <v>1.8738768233125107</v>
      </c>
      <c r="M90" s="254">
        <f>SUM(M87:M88)*0.34-2.3</f>
        <v>2.0809000000000006</v>
      </c>
      <c r="N90" s="117">
        <f>SUM(N87:N88)*0.34-1.9</f>
        <v>2.1460000000000012</v>
      </c>
      <c r="O90" s="249"/>
      <c r="P90" s="31"/>
      <c r="Q90" s="31"/>
      <c r="R90" s="126"/>
      <c r="S90" s="31"/>
      <c r="T90" s="31"/>
      <c r="U90" s="31"/>
      <c r="V90" s="31"/>
      <c r="W90" s="31"/>
      <c r="X90" s="31"/>
      <c r="Y90" s="31"/>
      <c r="Z90" s="31"/>
      <c r="AA90" s="31"/>
      <c r="AB90" s="31"/>
      <c r="AD90" s="344"/>
      <c r="AE90" s="351"/>
      <c r="AF90" s="351"/>
      <c r="AG90" s="351"/>
      <c r="AH90" s="346"/>
      <c r="AI90" s="12"/>
      <c r="AJ90" s="12"/>
      <c r="AK90" s="12"/>
      <c r="AL90" s="12"/>
      <c r="AM90" s="12"/>
      <c r="AN90" s="12"/>
      <c r="AO90" s="12"/>
      <c r="AP90" s="12"/>
    </row>
    <row r="91" spans="1:42" customFormat="1" ht="12.95" customHeight="1" x14ac:dyDescent="0.25">
      <c r="B91" s="31"/>
      <c r="C91" s="31"/>
      <c r="D91" s="31"/>
      <c r="E91" s="31"/>
      <c r="F91" s="31" t="s">
        <v>754</v>
      </c>
      <c r="G91" s="31"/>
      <c r="H91" s="31"/>
      <c r="I91" s="107"/>
      <c r="J91" s="104"/>
      <c r="K91" s="99"/>
      <c r="L91" s="99"/>
      <c r="M91" s="105"/>
      <c r="N91" s="104"/>
      <c r="O91" s="249"/>
      <c r="P91" s="31"/>
      <c r="Q91" s="31"/>
      <c r="R91" s="126"/>
      <c r="S91" s="31"/>
      <c r="T91" s="31"/>
      <c r="U91" s="31"/>
      <c r="V91" s="31"/>
      <c r="W91" s="31"/>
      <c r="X91" s="31"/>
      <c r="Y91" s="31"/>
      <c r="Z91" s="31"/>
      <c r="AA91" s="31"/>
      <c r="AB91" s="31"/>
      <c r="AD91" s="344"/>
      <c r="AE91" s="345"/>
      <c r="AF91" s="345"/>
      <c r="AG91" s="345"/>
      <c r="AH91" s="346"/>
      <c r="AI91" s="12"/>
      <c r="AJ91" s="12"/>
      <c r="AK91" s="12"/>
      <c r="AL91" s="12"/>
      <c r="AM91" s="12"/>
      <c r="AN91" s="12"/>
      <c r="AO91" s="12"/>
      <c r="AP91" s="12"/>
    </row>
    <row r="92" spans="1:42" customFormat="1" ht="12.95" customHeight="1" x14ac:dyDescent="0.25">
      <c r="A92" s="52"/>
      <c r="B92" s="246"/>
      <c r="C92" s="98" t="s">
        <v>755</v>
      </c>
      <c r="D92" s="98" t="s">
        <v>756</v>
      </c>
      <c r="E92" s="98" t="s">
        <v>690</v>
      </c>
      <c r="F92" s="98"/>
      <c r="G92" s="98" t="s">
        <v>1308</v>
      </c>
      <c r="H92" s="98" t="s">
        <v>757</v>
      </c>
      <c r="I92" s="260" t="s">
        <v>735</v>
      </c>
      <c r="J92" s="261"/>
      <c r="K92" s="284">
        <f>1/(AE$92*$AH92)</f>
        <v>0.32679738562091504</v>
      </c>
      <c r="L92" s="284">
        <f>1/(AF$92*$AH92)</f>
        <v>0.40849673202614373</v>
      </c>
      <c r="M92" s="284">
        <f>1/(AG$92*$AH92)</f>
        <v>0.46296296296296291</v>
      </c>
      <c r="N92" s="283">
        <f>M92*1.1</f>
        <v>0.50925925925925919</v>
      </c>
      <c r="O92" s="268"/>
      <c r="P92" s="98">
        <f>BaseYear+1</f>
        <v>2011</v>
      </c>
      <c r="Q92" s="31"/>
      <c r="R92" s="126"/>
      <c r="S92" s="31"/>
      <c r="T92" s="31">
        <v>1</v>
      </c>
      <c r="U92" s="31">
        <v>0.9</v>
      </c>
      <c r="V92" s="31">
        <v>30</v>
      </c>
      <c r="W92" s="270">
        <v>107.25</v>
      </c>
      <c r="X92" s="254">
        <f>W92*0.07</f>
        <v>7.5075000000000003</v>
      </c>
      <c r="Y92" s="31"/>
      <c r="Z92" s="31"/>
      <c r="AA92" s="31"/>
      <c r="AB92" s="31"/>
      <c r="AD92" s="347">
        <f>AE92*1.05</f>
        <v>3.2130000000000001</v>
      </c>
      <c r="AE92" s="351">
        <v>3.06</v>
      </c>
      <c r="AF92" s="351">
        <f>AE92*0.8</f>
        <v>2.4480000000000004</v>
      </c>
      <c r="AG92" s="351">
        <f>1.8*1.2</f>
        <v>2.16</v>
      </c>
      <c r="AH92" s="346">
        <v>1</v>
      </c>
      <c r="AI92" s="12"/>
      <c r="AJ92" s="12"/>
      <c r="AK92" s="12"/>
      <c r="AL92" s="12"/>
      <c r="AM92" s="12"/>
      <c r="AN92" s="12"/>
      <c r="AO92" s="12"/>
      <c r="AP92" s="12"/>
    </row>
    <row r="93" spans="1:42" customFormat="1" ht="12.95" customHeight="1" x14ac:dyDescent="0.25">
      <c r="B93" s="31"/>
      <c r="C93" s="31"/>
      <c r="D93" s="31"/>
      <c r="E93" s="31" t="s">
        <v>688</v>
      </c>
      <c r="F93" s="31"/>
      <c r="G93" s="31"/>
      <c r="H93" s="31"/>
      <c r="I93" s="107"/>
      <c r="J93" s="104"/>
      <c r="K93" s="102"/>
      <c r="L93" s="102"/>
      <c r="M93" s="105"/>
      <c r="N93" s="104"/>
      <c r="O93" s="249"/>
      <c r="P93" s="31"/>
      <c r="Q93" s="31"/>
      <c r="R93" s="126"/>
      <c r="S93" s="31"/>
      <c r="T93" s="31"/>
      <c r="U93" s="31"/>
      <c r="V93" s="31"/>
      <c r="W93" s="31"/>
      <c r="X93" s="31"/>
      <c r="Y93" s="31"/>
      <c r="Z93" s="31"/>
      <c r="AA93" s="31"/>
      <c r="AB93" s="31"/>
      <c r="AD93" s="344"/>
      <c r="AE93" s="345"/>
      <c r="AF93" s="345"/>
      <c r="AG93" s="345"/>
      <c r="AH93" s="346"/>
      <c r="AI93" s="12"/>
      <c r="AJ93" s="12"/>
      <c r="AK93" s="12"/>
      <c r="AL93" s="12"/>
      <c r="AM93" s="12"/>
      <c r="AN93" s="12"/>
      <c r="AO93" s="12"/>
      <c r="AP93" s="12"/>
    </row>
    <row r="94" spans="1:42" customFormat="1" ht="12.95" customHeight="1" x14ac:dyDescent="0.25">
      <c r="B94" s="31"/>
      <c r="C94" s="31"/>
      <c r="D94" s="31"/>
      <c r="E94" s="107" t="s">
        <v>689</v>
      </c>
      <c r="F94" s="31"/>
      <c r="G94" s="31"/>
      <c r="H94" s="31"/>
      <c r="I94" s="107"/>
      <c r="J94" s="104"/>
      <c r="K94" s="102"/>
      <c r="L94" s="102"/>
      <c r="M94" s="105"/>
      <c r="N94" s="104"/>
      <c r="O94" s="249"/>
      <c r="P94" s="31"/>
      <c r="Q94" s="31"/>
      <c r="R94" s="126"/>
      <c r="S94" s="31"/>
      <c r="T94" s="31"/>
      <c r="U94" s="31"/>
      <c r="V94" s="31"/>
      <c r="W94" s="31"/>
      <c r="X94" s="31"/>
      <c r="Y94" s="31"/>
      <c r="Z94" s="31"/>
      <c r="AA94" s="31"/>
      <c r="AB94" s="31"/>
      <c r="AD94" s="344"/>
      <c r="AE94" s="345"/>
      <c r="AF94" s="345"/>
      <c r="AG94" s="345"/>
      <c r="AH94" s="346"/>
      <c r="AI94" s="12"/>
      <c r="AJ94" s="12"/>
      <c r="AK94" s="12"/>
      <c r="AL94" s="12"/>
      <c r="AM94" s="12"/>
      <c r="AN94" s="12"/>
      <c r="AO94" s="12"/>
      <c r="AP94" s="12"/>
    </row>
    <row r="95" spans="1:42" customFormat="1" ht="12.95" customHeight="1" x14ac:dyDescent="0.25">
      <c r="B95" s="31"/>
      <c r="C95" s="31"/>
      <c r="D95" s="31"/>
      <c r="E95" s="107" t="s">
        <v>1286</v>
      </c>
      <c r="F95" s="31"/>
      <c r="G95" s="31"/>
      <c r="H95" s="31"/>
      <c r="I95" s="107" t="s">
        <v>736</v>
      </c>
      <c r="J95" s="104"/>
      <c r="K95" s="419">
        <f>0.23</f>
        <v>0.23</v>
      </c>
      <c r="L95" s="419">
        <f>K95*0.996^20</f>
        <v>0.21228270085832274</v>
      </c>
      <c r="M95" s="419">
        <f>L95*0.996^20</f>
        <v>0.19593019601610492</v>
      </c>
      <c r="N95" s="104"/>
      <c r="O95" s="249"/>
      <c r="P95" s="31"/>
      <c r="Q95" s="31"/>
      <c r="R95" s="126"/>
      <c r="S95" s="31"/>
      <c r="T95" s="31"/>
      <c r="U95" s="31"/>
      <c r="V95" s="31"/>
      <c r="W95" s="31"/>
      <c r="X95" s="31"/>
      <c r="Y95" s="31"/>
      <c r="Z95" s="31"/>
      <c r="AA95" s="31"/>
      <c r="AB95" s="31"/>
      <c r="AD95" s="344"/>
      <c r="AE95" s="345"/>
      <c r="AF95" s="345"/>
      <c r="AG95" s="345"/>
      <c r="AH95" s="346"/>
      <c r="AI95" s="12"/>
      <c r="AJ95" s="12"/>
      <c r="AK95" s="12"/>
      <c r="AL95" s="12"/>
      <c r="AM95" s="12"/>
      <c r="AN95" s="12"/>
      <c r="AO95" s="12"/>
      <c r="AP95" s="12"/>
    </row>
    <row r="96" spans="1:42" customFormat="1" ht="12.95" customHeight="1" x14ac:dyDescent="0.25">
      <c r="B96" s="31"/>
      <c r="C96" s="31"/>
      <c r="D96" s="31"/>
      <c r="E96" s="31" t="s">
        <v>710</v>
      </c>
      <c r="F96" s="31" t="s">
        <v>758</v>
      </c>
      <c r="G96" s="31"/>
      <c r="H96" s="31"/>
      <c r="I96" s="107"/>
      <c r="J96" s="104"/>
      <c r="K96" s="99"/>
      <c r="L96" s="99"/>
      <c r="M96" s="105"/>
      <c r="N96" s="104"/>
      <c r="O96" s="249"/>
      <c r="P96" s="31"/>
      <c r="Q96" s="31"/>
      <c r="R96" s="457">
        <f>100/56*0.85</f>
        <v>1.5178571428571428</v>
      </c>
      <c r="S96" s="31"/>
      <c r="T96" s="31"/>
      <c r="U96" s="31"/>
      <c r="V96" s="31"/>
      <c r="W96" s="31"/>
      <c r="X96" s="31"/>
      <c r="Y96" s="31"/>
      <c r="Z96" s="31"/>
      <c r="AA96" s="31"/>
      <c r="AB96" s="31"/>
      <c r="AD96" s="344"/>
      <c r="AE96" s="345"/>
      <c r="AF96" s="345"/>
      <c r="AG96" s="345"/>
      <c r="AH96" s="346"/>
      <c r="AI96" s="12"/>
      <c r="AJ96" s="12"/>
      <c r="AK96" s="12"/>
      <c r="AL96" s="12"/>
      <c r="AM96" s="12"/>
      <c r="AN96" s="12"/>
      <c r="AO96" s="12"/>
      <c r="AP96" s="12"/>
    </row>
    <row r="97" spans="1:42" customFormat="1" ht="12.95" customHeight="1" x14ac:dyDescent="0.25">
      <c r="B97" s="31"/>
      <c r="C97" s="31"/>
      <c r="D97" s="31"/>
      <c r="E97" s="31"/>
      <c r="F97" s="31" t="s">
        <v>759</v>
      </c>
      <c r="G97" s="31"/>
      <c r="H97" s="31"/>
      <c r="I97" s="107"/>
      <c r="J97" s="104"/>
      <c r="K97" s="99"/>
      <c r="L97" s="99"/>
      <c r="M97" s="105"/>
      <c r="N97" s="104"/>
      <c r="O97" s="249"/>
      <c r="P97" s="31"/>
      <c r="Q97" s="31"/>
      <c r="R97" s="126"/>
      <c r="S97" s="31"/>
      <c r="T97" s="31"/>
      <c r="U97" s="31"/>
      <c r="V97" s="31"/>
      <c r="W97" s="31"/>
      <c r="X97" s="31"/>
      <c r="Y97" s="31"/>
      <c r="Z97" s="31"/>
      <c r="AA97" s="270">
        <f>0.785*0.65*1000</f>
        <v>510.25000000000011</v>
      </c>
      <c r="AB97" s="31"/>
      <c r="AD97" s="344"/>
      <c r="AE97" s="345"/>
      <c r="AF97" s="345"/>
      <c r="AG97" s="345"/>
      <c r="AH97" s="346"/>
      <c r="AI97" s="12"/>
      <c r="AJ97" s="12"/>
      <c r="AK97" s="12"/>
      <c r="AL97" s="12"/>
      <c r="AM97" s="12"/>
      <c r="AN97" s="12"/>
      <c r="AO97" s="12"/>
      <c r="AP97" s="12"/>
    </row>
    <row r="98" spans="1:42" customFormat="1" ht="12.95" customHeight="1" x14ac:dyDescent="0.25">
      <c r="A98" s="52"/>
      <c r="B98" s="246"/>
      <c r="C98" s="98" t="s">
        <v>760</v>
      </c>
      <c r="D98" s="98" t="s">
        <v>761</v>
      </c>
      <c r="E98" s="98" t="s">
        <v>691</v>
      </c>
      <c r="F98" s="98"/>
      <c r="G98" s="98" t="s">
        <v>1308</v>
      </c>
      <c r="H98" s="98" t="s">
        <v>757</v>
      </c>
      <c r="I98" s="260" t="s">
        <v>735</v>
      </c>
      <c r="J98" s="261"/>
      <c r="K98" s="284">
        <f>1/(AE$98*$AH98)</f>
        <v>0.3048780487804878</v>
      </c>
      <c r="L98" s="284">
        <f>1/(AF$98*$AH98)</f>
        <v>0.37180249851279007</v>
      </c>
      <c r="M98" s="284">
        <f>1/(AG$98*$AH98)</f>
        <v>0.41311388723643339</v>
      </c>
      <c r="N98" s="283">
        <f>M98*1.08</f>
        <v>0.44616299821534811</v>
      </c>
      <c r="O98" s="268"/>
      <c r="P98" s="98">
        <f>BaseYear+1</f>
        <v>2011</v>
      </c>
      <c r="Q98" s="31"/>
      <c r="R98" s="126"/>
      <c r="S98" s="31"/>
      <c r="T98" s="31">
        <v>1</v>
      </c>
      <c r="U98" s="31">
        <v>0.9</v>
      </c>
      <c r="V98" s="31">
        <v>30</v>
      </c>
      <c r="W98" s="31">
        <v>156</v>
      </c>
      <c r="X98" s="254">
        <f>W98*0.07</f>
        <v>10.920000000000002</v>
      </c>
      <c r="Y98" s="31"/>
      <c r="Z98" s="31"/>
      <c r="AA98" s="31"/>
      <c r="AB98" s="31"/>
      <c r="AD98" s="347">
        <f>AE98*1.05</f>
        <v>3.444</v>
      </c>
      <c r="AE98" s="351">
        <v>3.28</v>
      </c>
      <c r="AF98" s="351">
        <f>AE98*0.82</f>
        <v>2.6895999999999995</v>
      </c>
      <c r="AG98" s="351">
        <f>AF98*0.9</f>
        <v>2.4206399999999997</v>
      </c>
      <c r="AH98" s="346">
        <v>1</v>
      </c>
      <c r="AI98" s="12"/>
      <c r="AJ98" s="12"/>
      <c r="AK98" s="12"/>
      <c r="AL98" s="12"/>
      <c r="AM98" s="12"/>
      <c r="AN98" s="12"/>
      <c r="AO98" s="12"/>
      <c r="AP98" s="12"/>
    </row>
    <row r="99" spans="1:42" customFormat="1" ht="12.95" customHeight="1" x14ac:dyDescent="0.25">
      <c r="B99" s="31"/>
      <c r="C99" s="31"/>
      <c r="D99" s="31"/>
      <c r="E99" s="107" t="s">
        <v>1070</v>
      </c>
      <c r="F99" s="31"/>
      <c r="G99" s="31"/>
      <c r="H99" s="31" t="s">
        <v>757</v>
      </c>
      <c r="I99" s="107" t="s">
        <v>387</v>
      </c>
      <c r="J99" s="257" t="s">
        <v>969</v>
      </c>
      <c r="K99" s="271">
        <v>0.05</v>
      </c>
      <c r="L99" s="271">
        <v>0.1</v>
      </c>
      <c r="M99" s="271">
        <v>0.2</v>
      </c>
      <c r="N99" s="104">
        <v>0.3</v>
      </c>
      <c r="O99" s="249">
        <v>3</v>
      </c>
      <c r="P99" s="31"/>
      <c r="Q99" s="31"/>
      <c r="R99" s="126"/>
      <c r="S99" s="31"/>
      <c r="T99" s="31"/>
      <c r="U99" s="31"/>
      <c r="V99" s="31"/>
      <c r="W99" s="31"/>
      <c r="X99" s="31"/>
      <c r="Y99" s="31"/>
      <c r="Z99" s="31"/>
      <c r="AA99" s="31"/>
      <c r="AB99" s="31"/>
      <c r="AD99" s="344"/>
      <c r="AE99" s="345"/>
      <c r="AF99" s="345"/>
      <c r="AG99" s="345"/>
      <c r="AH99" s="346"/>
      <c r="AI99" s="12"/>
      <c r="AJ99" s="12"/>
      <c r="AK99" s="12"/>
      <c r="AL99" s="12"/>
      <c r="AM99" s="12"/>
      <c r="AN99" s="12"/>
      <c r="AO99" s="12"/>
      <c r="AP99" s="12"/>
    </row>
    <row r="100" spans="1:42" customFormat="1" ht="12.95" customHeight="1" x14ac:dyDescent="0.25">
      <c r="B100" s="31"/>
      <c r="C100" s="31"/>
      <c r="D100" s="31"/>
      <c r="E100" s="107" t="s">
        <v>1286</v>
      </c>
      <c r="F100" s="31"/>
      <c r="G100" s="31"/>
      <c r="H100" s="31"/>
      <c r="I100" s="107" t="s">
        <v>736</v>
      </c>
      <c r="J100" s="257"/>
      <c r="K100" s="419">
        <f>0.23</f>
        <v>0.23</v>
      </c>
      <c r="L100" s="419">
        <f>K100*0.996^20</f>
        <v>0.21228270085832274</v>
      </c>
      <c r="M100" s="419">
        <f>L100*0.996^20</f>
        <v>0.19593019601610492</v>
      </c>
      <c r="N100" s="104"/>
      <c r="O100" s="249"/>
      <c r="P100" s="31"/>
      <c r="Q100" s="31"/>
      <c r="R100" s="126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D100" s="344"/>
      <c r="AE100" s="345"/>
      <c r="AF100" s="345"/>
      <c r="AG100" s="345"/>
      <c r="AH100" s="346"/>
      <c r="AI100" s="12"/>
      <c r="AJ100" s="12"/>
      <c r="AK100" s="12"/>
      <c r="AL100" s="12"/>
      <c r="AM100" s="12"/>
      <c r="AN100" s="12"/>
      <c r="AO100" s="12"/>
      <c r="AP100" s="12"/>
    </row>
    <row r="101" spans="1:42" customFormat="1" ht="12.95" customHeight="1" x14ac:dyDescent="0.25">
      <c r="B101" s="31"/>
      <c r="C101" s="31"/>
      <c r="D101" s="31"/>
      <c r="E101" s="31" t="s">
        <v>710</v>
      </c>
      <c r="F101" s="31" t="s">
        <v>758</v>
      </c>
      <c r="G101" s="31"/>
      <c r="H101" s="31"/>
      <c r="I101" s="107"/>
      <c r="J101" s="257"/>
      <c r="K101" s="99"/>
      <c r="L101" s="99"/>
      <c r="M101" s="105"/>
      <c r="N101" s="104"/>
      <c r="O101" s="249"/>
      <c r="P101" s="31"/>
      <c r="Q101" s="31"/>
      <c r="R101" s="457">
        <f>100/56*0.85</f>
        <v>1.5178571428571428</v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D101" s="344"/>
      <c r="AE101" s="345"/>
      <c r="AF101" s="345"/>
      <c r="AG101" s="345"/>
      <c r="AH101" s="346"/>
      <c r="AI101" s="12"/>
      <c r="AJ101" s="12"/>
      <c r="AK101" s="12"/>
      <c r="AL101" s="12"/>
      <c r="AM101" s="12"/>
      <c r="AN101" s="12"/>
      <c r="AO101" s="12"/>
      <c r="AP101" s="12"/>
    </row>
    <row r="102" spans="1:42" customFormat="1" ht="12.95" customHeight="1" x14ac:dyDescent="0.25">
      <c r="B102" s="31"/>
      <c r="C102" s="31"/>
      <c r="D102" s="31"/>
      <c r="E102" s="31"/>
      <c r="F102" s="31" t="s">
        <v>759</v>
      </c>
      <c r="G102" s="31"/>
      <c r="H102" s="31"/>
      <c r="I102" s="107"/>
      <c r="J102" s="257"/>
      <c r="K102" s="99"/>
      <c r="L102" s="99"/>
      <c r="M102" s="105"/>
      <c r="N102" s="104"/>
      <c r="O102" s="249"/>
      <c r="P102" s="31"/>
      <c r="Q102" s="31"/>
      <c r="R102" s="126"/>
      <c r="S102" s="31"/>
      <c r="T102" s="31"/>
      <c r="U102" s="31"/>
      <c r="V102" s="31"/>
      <c r="W102" s="31"/>
      <c r="X102" s="31"/>
      <c r="Y102" s="31"/>
      <c r="Z102" s="31"/>
      <c r="AA102" s="270">
        <f>0.785*0.65*1000</f>
        <v>510.25000000000011</v>
      </c>
      <c r="AB102" s="31"/>
      <c r="AD102" s="344"/>
      <c r="AE102" s="345"/>
      <c r="AF102" s="345"/>
      <c r="AG102" s="345"/>
      <c r="AH102" s="346"/>
      <c r="AI102" s="12"/>
      <c r="AJ102" s="12"/>
      <c r="AK102" s="12"/>
      <c r="AL102" s="12"/>
      <c r="AM102" s="12"/>
      <c r="AN102" s="12"/>
      <c r="AO102" s="12"/>
      <c r="AP102" s="12"/>
    </row>
    <row r="103" spans="1:42" customFormat="1" ht="12.95" customHeight="1" x14ac:dyDescent="0.25">
      <c r="A103" s="52"/>
      <c r="B103" s="246"/>
      <c r="C103" s="98" t="s">
        <v>762</v>
      </c>
      <c r="D103" s="98" t="s">
        <v>763</v>
      </c>
      <c r="E103" s="98" t="s">
        <v>691</v>
      </c>
      <c r="F103" s="98"/>
      <c r="G103" s="98" t="s">
        <v>1308</v>
      </c>
      <c r="H103" s="98" t="s">
        <v>757</v>
      </c>
      <c r="I103" s="260" t="s">
        <v>735</v>
      </c>
      <c r="J103" s="288"/>
      <c r="K103" s="289">
        <f>K98*0.77</f>
        <v>0.2347560975609756</v>
      </c>
      <c r="L103" s="289">
        <f>L98*0.8</f>
        <v>0.29744199881023209</v>
      </c>
      <c r="M103" s="289">
        <f>M98*0.825</f>
        <v>0.34081895697005754</v>
      </c>
      <c r="N103" s="283">
        <f>N98*0.85</f>
        <v>0.37923854848304589</v>
      </c>
      <c r="O103" s="290"/>
      <c r="P103" s="98">
        <v>2025</v>
      </c>
      <c r="Q103" s="247"/>
      <c r="R103" s="126"/>
      <c r="S103" s="247"/>
      <c r="T103" s="99">
        <v>1</v>
      </c>
      <c r="U103" s="99">
        <v>0.9</v>
      </c>
      <c r="V103" s="31">
        <v>30</v>
      </c>
      <c r="W103" s="420">
        <f>130+200*(AA108+K108/M103)/1000</f>
        <v>271.22605599999997</v>
      </c>
      <c r="X103" s="254">
        <f>W103*0.07</f>
        <v>18.985823920000001</v>
      </c>
      <c r="Y103" s="31"/>
      <c r="Z103" s="247"/>
      <c r="AA103" s="247"/>
      <c r="AB103" s="247"/>
      <c r="AD103" s="344"/>
      <c r="AE103" s="345"/>
      <c r="AF103" s="345"/>
      <c r="AG103" s="345"/>
      <c r="AH103" s="346"/>
      <c r="AI103" s="12"/>
      <c r="AJ103" s="12"/>
      <c r="AK103" s="12"/>
      <c r="AL103" s="12"/>
      <c r="AM103" s="12"/>
      <c r="AN103" s="12"/>
      <c r="AO103" s="12"/>
      <c r="AP103" s="12"/>
    </row>
    <row r="104" spans="1:42" customFormat="1" ht="12.95" customHeight="1" x14ac:dyDescent="0.25">
      <c r="B104" s="31"/>
      <c r="C104" s="31"/>
      <c r="D104" s="31"/>
      <c r="E104" s="107" t="s">
        <v>1070</v>
      </c>
      <c r="F104" s="31"/>
      <c r="G104" s="247"/>
      <c r="H104" s="31" t="s">
        <v>757</v>
      </c>
      <c r="I104" s="107" t="s">
        <v>387</v>
      </c>
      <c r="J104" s="257" t="s">
        <v>969</v>
      </c>
      <c r="K104" s="271">
        <v>0.05</v>
      </c>
      <c r="L104" s="271">
        <v>0.15</v>
      </c>
      <c r="M104" s="271">
        <v>0.3</v>
      </c>
      <c r="N104" s="104">
        <v>0.5</v>
      </c>
      <c r="O104" s="272">
        <v>3</v>
      </c>
      <c r="P104" s="247"/>
      <c r="Q104" s="247"/>
      <c r="R104" s="126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D104" s="344"/>
      <c r="AE104" s="345"/>
      <c r="AF104" s="345"/>
      <c r="AG104" s="345"/>
      <c r="AH104" s="346"/>
      <c r="AI104" s="12"/>
      <c r="AJ104" s="12"/>
      <c r="AK104" s="12"/>
      <c r="AL104" s="12"/>
      <c r="AM104" s="12"/>
      <c r="AN104" s="12"/>
      <c r="AO104" s="12"/>
      <c r="AP104" s="12"/>
    </row>
    <row r="105" spans="1:42" customFormat="1" ht="12.95" customHeight="1" x14ac:dyDescent="0.25">
      <c r="B105" s="31"/>
      <c r="C105" s="31"/>
      <c r="D105" s="31"/>
      <c r="E105" s="107" t="s">
        <v>985</v>
      </c>
      <c r="F105" s="31"/>
      <c r="G105" s="247"/>
      <c r="H105" s="31" t="s">
        <v>764</v>
      </c>
      <c r="I105" s="107" t="s">
        <v>387</v>
      </c>
      <c r="J105" s="257" t="s">
        <v>926</v>
      </c>
      <c r="K105" s="273">
        <f>0.9/1000</f>
        <v>8.9999999999999998E-4</v>
      </c>
      <c r="L105" s="271"/>
      <c r="M105" s="271"/>
      <c r="N105" s="104"/>
      <c r="O105" s="272">
        <v>3</v>
      </c>
      <c r="P105" s="247"/>
      <c r="Q105" s="247"/>
      <c r="R105" s="126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D105" s="344"/>
      <c r="AE105" s="345"/>
      <c r="AF105" s="345"/>
      <c r="AG105" s="345"/>
      <c r="AH105" s="346"/>
      <c r="AI105" s="12"/>
      <c r="AJ105" s="12"/>
      <c r="AK105" s="12"/>
      <c r="AL105" s="12"/>
      <c r="AM105" s="12"/>
      <c r="AN105" s="12"/>
      <c r="AO105" s="12"/>
      <c r="AP105" s="12"/>
    </row>
    <row r="106" spans="1:42" customFormat="1" ht="12.95" customHeight="1" x14ac:dyDescent="0.25">
      <c r="B106" s="31"/>
      <c r="C106" s="31"/>
      <c r="D106" s="31"/>
      <c r="E106" s="107" t="s">
        <v>1286</v>
      </c>
      <c r="F106" s="31" t="s">
        <v>758</v>
      </c>
      <c r="G106" s="247"/>
      <c r="H106" s="31"/>
      <c r="I106" s="107" t="s">
        <v>736</v>
      </c>
      <c r="J106" s="257"/>
      <c r="K106" s="419">
        <f>0.23</f>
        <v>0.23</v>
      </c>
      <c r="L106" s="419">
        <f>K106*0.996^20</f>
        <v>0.21228270085832274</v>
      </c>
      <c r="M106" s="419">
        <f>L106*0.996^20</f>
        <v>0.19593019601610492</v>
      </c>
      <c r="N106" s="104"/>
      <c r="O106" s="272"/>
      <c r="P106" s="247"/>
      <c r="Q106" s="247"/>
      <c r="R106" s="126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D106" s="344"/>
      <c r="AE106" s="345"/>
      <c r="AF106" s="345"/>
      <c r="AG106" s="345"/>
      <c r="AH106" s="346"/>
      <c r="AI106" s="12"/>
      <c r="AJ106" s="12"/>
      <c r="AK106" s="12"/>
      <c r="AL106" s="12"/>
      <c r="AM106" s="12"/>
      <c r="AN106" s="12"/>
      <c r="AO106" s="12"/>
      <c r="AP106" s="12"/>
    </row>
    <row r="107" spans="1:42" customFormat="1" ht="12.95" customHeight="1" x14ac:dyDescent="0.25">
      <c r="B107" s="31"/>
      <c r="C107" s="31"/>
      <c r="D107" s="31"/>
      <c r="E107" s="31" t="s">
        <v>710</v>
      </c>
      <c r="F107" s="31" t="s">
        <v>759</v>
      </c>
      <c r="G107" s="247"/>
      <c r="H107" s="247"/>
      <c r="I107" s="107"/>
      <c r="J107" s="257"/>
      <c r="K107" s="271"/>
      <c r="L107" s="271"/>
      <c r="M107" s="271"/>
      <c r="N107" s="104"/>
      <c r="O107" s="272"/>
      <c r="P107" s="247"/>
      <c r="Q107" s="247"/>
      <c r="R107" s="457">
        <f>100/56*0.85</f>
        <v>1.5178571428571428</v>
      </c>
      <c r="S107" s="247"/>
      <c r="T107" s="247"/>
      <c r="U107" s="247"/>
      <c r="V107" s="247"/>
      <c r="W107" s="247"/>
      <c r="X107" s="247"/>
      <c r="Y107" s="247"/>
      <c r="Z107" s="247"/>
      <c r="AA107" s="270">
        <f>0.785*0.65*1000</f>
        <v>510.25000000000011</v>
      </c>
      <c r="AB107" s="247"/>
      <c r="AD107" s="344"/>
      <c r="AE107" s="345"/>
      <c r="AF107" s="345"/>
      <c r="AG107" s="345"/>
      <c r="AH107" s="346"/>
      <c r="AI107" s="12"/>
      <c r="AJ107" s="12"/>
      <c r="AK107" s="12"/>
      <c r="AL107" s="12"/>
      <c r="AM107" s="12"/>
      <c r="AN107" s="12"/>
      <c r="AO107" s="12"/>
      <c r="AP107" s="12"/>
    </row>
    <row r="108" spans="1:42" customFormat="1" ht="12.95" customHeight="1" x14ac:dyDescent="0.25">
      <c r="B108" s="31"/>
      <c r="C108" s="31"/>
      <c r="D108" s="31"/>
      <c r="E108" s="31"/>
      <c r="F108" s="31" t="s">
        <v>764</v>
      </c>
      <c r="G108" s="247"/>
      <c r="H108" s="247" t="s">
        <v>691</v>
      </c>
      <c r="I108" s="107" t="s">
        <v>765</v>
      </c>
      <c r="J108" s="257"/>
      <c r="K108" s="267">
        <f>93.5*0.9</f>
        <v>84.15</v>
      </c>
      <c r="L108" s="271"/>
      <c r="M108" s="271"/>
      <c r="N108" s="104"/>
      <c r="O108" s="272"/>
      <c r="P108" s="247"/>
      <c r="Q108" s="247"/>
      <c r="R108" s="126"/>
      <c r="S108" s="247"/>
      <c r="T108" s="247"/>
      <c r="U108" s="247"/>
      <c r="V108" s="247"/>
      <c r="W108" s="247"/>
      <c r="X108" s="247"/>
      <c r="Y108" s="247"/>
      <c r="Z108" s="247"/>
      <c r="AA108" s="274">
        <f>0.9*AA107</f>
        <v>459.22500000000014</v>
      </c>
      <c r="AB108" s="247"/>
      <c r="AD108" s="344"/>
      <c r="AE108" s="345"/>
      <c r="AF108" s="345"/>
      <c r="AG108" s="345"/>
      <c r="AH108" s="346"/>
      <c r="AI108" s="12"/>
      <c r="AJ108" s="12"/>
      <c r="AK108" s="12"/>
      <c r="AL108" s="12"/>
      <c r="AM108" s="12"/>
      <c r="AN108" s="12"/>
      <c r="AO108" s="12"/>
      <c r="AP108" s="12"/>
    </row>
    <row r="109" spans="1:42" customFormat="1" ht="12.95" customHeight="1" x14ac:dyDescent="0.25">
      <c r="B109" s="31"/>
      <c r="C109" s="31"/>
      <c r="D109" s="31"/>
      <c r="E109" s="31"/>
      <c r="F109" s="31" t="s">
        <v>764</v>
      </c>
      <c r="G109" s="247"/>
      <c r="H109" s="247" t="s">
        <v>1070</v>
      </c>
      <c r="I109" s="107" t="s">
        <v>765</v>
      </c>
      <c r="J109" s="257"/>
      <c r="K109" s="271">
        <f>110*0.9</f>
        <v>99</v>
      </c>
      <c r="L109" s="271"/>
      <c r="M109" s="271"/>
      <c r="N109" s="104"/>
      <c r="O109" s="272"/>
      <c r="P109" s="247"/>
      <c r="Q109" s="247"/>
      <c r="R109" s="126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D109" s="344"/>
      <c r="AE109" s="345"/>
      <c r="AF109" s="345"/>
      <c r="AG109" s="345"/>
      <c r="AH109" s="346"/>
      <c r="AI109" s="12"/>
      <c r="AJ109" s="12"/>
      <c r="AK109" s="12"/>
      <c r="AL109" s="12"/>
      <c r="AM109" s="12"/>
      <c r="AN109" s="12"/>
      <c r="AO109" s="12"/>
      <c r="AP109" s="12"/>
    </row>
    <row r="110" spans="1:42" customFormat="1" ht="12.95" customHeight="1" x14ac:dyDescent="0.25">
      <c r="A110" s="52"/>
      <c r="B110" s="246"/>
      <c r="C110" s="98" t="s">
        <v>766</v>
      </c>
      <c r="D110" s="98" t="s">
        <v>767</v>
      </c>
      <c r="E110" s="98" t="s">
        <v>758</v>
      </c>
      <c r="F110" s="98"/>
      <c r="G110" s="98" t="s">
        <v>1307</v>
      </c>
      <c r="H110" s="260" t="s">
        <v>768</v>
      </c>
      <c r="I110" s="260" t="s">
        <v>735</v>
      </c>
      <c r="J110" s="288"/>
      <c r="K110" s="284">
        <f>1/0.935</f>
        <v>1.0695187165775399</v>
      </c>
      <c r="L110" s="291"/>
      <c r="M110" s="289"/>
      <c r="N110" s="292">
        <v>3.5000000000000001E-3</v>
      </c>
      <c r="O110" s="268">
        <v>2020</v>
      </c>
      <c r="P110" s="98">
        <f>BaseYear+1</f>
        <v>2011</v>
      </c>
      <c r="Q110" s="31"/>
      <c r="R110" s="126"/>
      <c r="S110" s="31"/>
      <c r="T110" s="31">
        <v>1</v>
      </c>
      <c r="U110" s="31">
        <v>0.9</v>
      </c>
      <c r="V110" s="31">
        <v>30</v>
      </c>
      <c r="W110" s="31">
        <v>13</v>
      </c>
      <c r="X110" s="31"/>
      <c r="Y110" s="31">
        <v>1.24</v>
      </c>
      <c r="Z110" s="31"/>
      <c r="AA110" s="31"/>
      <c r="AB110" s="247"/>
      <c r="AD110" s="350"/>
      <c r="AE110" s="348"/>
      <c r="AF110" s="348"/>
      <c r="AG110" s="345"/>
      <c r="AH110" s="346">
        <v>1</v>
      </c>
      <c r="AI110" s="12"/>
      <c r="AJ110" s="12"/>
      <c r="AK110" s="12"/>
      <c r="AL110" s="12"/>
      <c r="AM110" s="12"/>
      <c r="AN110" s="12"/>
      <c r="AO110" s="12"/>
      <c r="AP110" s="12"/>
    </row>
    <row r="111" spans="1:42" customFormat="1" ht="12.95" customHeight="1" x14ac:dyDescent="0.25">
      <c r="B111" s="31"/>
      <c r="C111" s="31"/>
      <c r="D111" s="31"/>
      <c r="E111" s="31" t="s">
        <v>984</v>
      </c>
      <c r="F111" s="31"/>
      <c r="G111" s="31"/>
      <c r="H111" s="31"/>
      <c r="I111" s="107" t="s">
        <v>736</v>
      </c>
      <c r="J111" s="257"/>
      <c r="K111" s="252">
        <f>(AE111-K95)*$AH$11</f>
        <v>0.21396800000000005</v>
      </c>
      <c r="L111" s="252">
        <f>(AF111-L95)*$AH$11</f>
        <v>0.1850404343284193</v>
      </c>
      <c r="M111" s="252">
        <f>(AG111-M95)*$AH$11</f>
        <v>0.15967603142614975</v>
      </c>
      <c r="N111" s="104"/>
      <c r="O111" s="249"/>
      <c r="P111" s="31"/>
      <c r="Q111" s="31"/>
      <c r="R111" s="126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D111" s="344">
        <f>0.14*3.6</f>
        <v>0.50400000000000011</v>
      </c>
      <c r="AE111" s="348">
        <f>AD111*0.95</f>
        <v>0.47880000000000006</v>
      </c>
      <c r="AF111" s="348">
        <f>SQRT(AE111*AG111)</f>
        <v>0.42744599658904286</v>
      </c>
      <c r="AG111" s="348">
        <f>0.106*3.6</f>
        <v>0.38159999999999999</v>
      </c>
      <c r="AH111" s="346"/>
      <c r="AI111" s="12"/>
      <c r="AJ111" s="12"/>
      <c r="AK111" s="12"/>
      <c r="AL111" s="12"/>
      <c r="AM111" s="12"/>
      <c r="AN111" s="12"/>
      <c r="AO111" s="12"/>
      <c r="AP111" s="12"/>
    </row>
    <row r="112" spans="1:42" customFormat="1" ht="12.95" customHeight="1" x14ac:dyDescent="0.25">
      <c r="B112" s="31"/>
      <c r="C112" s="31"/>
      <c r="D112" s="31"/>
      <c r="E112" s="107" t="s">
        <v>739</v>
      </c>
      <c r="F112" s="31"/>
      <c r="G112" s="31"/>
      <c r="H112" s="107"/>
      <c r="I112" s="107" t="s">
        <v>958</v>
      </c>
      <c r="J112" s="257" t="s">
        <v>966</v>
      </c>
      <c r="K112" s="252">
        <f>0.2/0.8</f>
        <v>0.25</v>
      </c>
      <c r="L112" s="252"/>
      <c r="M112" s="271">
        <v>0.3</v>
      </c>
      <c r="N112" s="104"/>
      <c r="O112" s="249"/>
      <c r="P112" s="31"/>
      <c r="Q112" s="31"/>
      <c r="R112" s="126"/>
      <c r="S112" s="31"/>
      <c r="T112" s="31"/>
      <c r="U112" s="31"/>
      <c r="V112" s="31"/>
      <c r="W112" s="31"/>
      <c r="X112" s="31"/>
      <c r="Y112" s="31"/>
      <c r="Z112" s="258">
        <v>65.378826699628092</v>
      </c>
      <c r="AA112" s="31"/>
      <c r="AB112" s="31"/>
      <c r="AD112" s="344"/>
      <c r="AE112" s="345"/>
      <c r="AF112" s="345"/>
      <c r="AG112" s="345"/>
      <c r="AH112" s="346"/>
      <c r="AI112" s="12"/>
      <c r="AJ112" s="12"/>
      <c r="AK112" s="12"/>
      <c r="AL112" s="12"/>
      <c r="AM112" s="12"/>
      <c r="AN112" s="12"/>
      <c r="AO112" s="12"/>
      <c r="AP112" s="12"/>
    </row>
    <row r="113" spans="1:42" customFormat="1" ht="12.95" customHeight="1" x14ac:dyDescent="0.25">
      <c r="B113" s="31"/>
      <c r="C113" s="31"/>
      <c r="D113" s="31"/>
      <c r="E113" s="31" t="s">
        <v>739</v>
      </c>
      <c r="F113" s="31" t="s">
        <v>769</v>
      </c>
      <c r="G113" s="31"/>
      <c r="H113" s="31" t="s">
        <v>821</v>
      </c>
      <c r="I113" s="107" t="s">
        <v>387</v>
      </c>
      <c r="J113" s="257" t="s">
        <v>969</v>
      </c>
      <c r="K113" s="99"/>
      <c r="L113" s="99">
        <v>0.6</v>
      </c>
      <c r="M113" s="271">
        <v>0.65</v>
      </c>
      <c r="N113" s="104"/>
      <c r="O113" s="249">
        <v>5</v>
      </c>
      <c r="P113" s="31"/>
      <c r="Q113" s="31"/>
      <c r="R113" s="126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D113" s="344"/>
      <c r="AE113" s="345"/>
      <c r="AF113" s="345"/>
      <c r="AG113" s="345"/>
      <c r="AH113" s="346"/>
      <c r="AI113" s="12"/>
      <c r="AJ113" s="12"/>
      <c r="AK113" s="12"/>
      <c r="AL113" s="12"/>
      <c r="AM113" s="12"/>
      <c r="AN113" s="12"/>
      <c r="AO113" s="12"/>
      <c r="AP113" s="12"/>
    </row>
    <row r="114" spans="1:42" customFormat="1" ht="12.95" customHeight="1" x14ac:dyDescent="0.25">
      <c r="A114" s="52"/>
      <c r="B114" s="246"/>
      <c r="C114" s="98" t="s">
        <v>770</v>
      </c>
      <c r="D114" s="98" t="s">
        <v>771</v>
      </c>
      <c r="E114" s="98" t="s">
        <v>690</v>
      </c>
      <c r="F114" s="98"/>
      <c r="G114" s="98" t="s">
        <v>1308</v>
      </c>
      <c r="H114" s="98" t="s">
        <v>757</v>
      </c>
      <c r="I114" s="260" t="s">
        <v>735</v>
      </c>
      <c r="J114" s="288"/>
      <c r="K114" s="284">
        <f>1/AE114</f>
        <v>0.22727272727272727</v>
      </c>
      <c r="L114" s="284">
        <f>1/AF114</f>
        <v>0.25181967625793134</v>
      </c>
      <c r="M114" s="284">
        <f>1/AG114</f>
        <v>0.2790178571428571</v>
      </c>
      <c r="N114" s="283">
        <f>1/AH114</f>
        <v>0.30048076923076922</v>
      </c>
      <c r="O114" s="268"/>
      <c r="P114" s="98">
        <f>BaseYear+1</f>
        <v>2011</v>
      </c>
      <c r="Q114" s="31"/>
      <c r="R114" s="126"/>
      <c r="S114" s="31"/>
      <c r="T114" s="99">
        <v>1</v>
      </c>
      <c r="U114" s="99">
        <v>0.9</v>
      </c>
      <c r="V114" s="31">
        <v>30</v>
      </c>
      <c r="W114" s="31">
        <v>390</v>
      </c>
      <c r="X114" s="31">
        <v>12.4</v>
      </c>
      <c r="Y114" s="31"/>
      <c r="Z114" s="31"/>
      <c r="AA114" s="31"/>
      <c r="AB114" s="31"/>
      <c r="AD114" s="344">
        <v>4.5</v>
      </c>
      <c r="AE114" s="345">
        <v>4.4000000000000004</v>
      </c>
      <c r="AF114" s="348">
        <f>SQRT(AE114*AG114)</f>
        <v>3.9710955667170746</v>
      </c>
      <c r="AG114" s="348">
        <f>3.2*1.12</f>
        <v>3.5840000000000005</v>
      </c>
      <c r="AH114" s="346">
        <f>3.2*1.04</f>
        <v>3.3280000000000003</v>
      </c>
      <c r="AI114" s="12"/>
      <c r="AJ114" s="12"/>
      <c r="AK114" s="12"/>
      <c r="AL114" s="12"/>
      <c r="AM114" s="12"/>
      <c r="AN114" s="12"/>
      <c r="AO114" s="12"/>
      <c r="AP114" s="12"/>
    </row>
    <row r="115" spans="1:42" customFormat="1" ht="12.95" customHeight="1" x14ac:dyDescent="0.25">
      <c r="A115" s="23"/>
      <c r="B115" s="250"/>
      <c r="C115" s="31"/>
      <c r="D115" s="31"/>
      <c r="E115" s="31" t="s">
        <v>688</v>
      </c>
      <c r="F115" s="31"/>
      <c r="G115" s="31"/>
      <c r="H115" s="31"/>
      <c r="I115" s="107"/>
      <c r="J115" s="104"/>
      <c r="K115" s="99"/>
      <c r="L115" s="99"/>
      <c r="M115" s="105"/>
      <c r="N115" s="104"/>
      <c r="O115" s="249"/>
      <c r="P115" s="31"/>
      <c r="Q115" s="31"/>
      <c r="R115" s="126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D115" s="344"/>
      <c r="AE115" s="345"/>
      <c r="AF115" s="345"/>
      <c r="AG115" s="345"/>
      <c r="AH115" s="346"/>
      <c r="AI115" s="12"/>
      <c r="AJ115" s="12"/>
      <c r="AK115" s="12"/>
      <c r="AL115" s="12"/>
      <c r="AM115" s="12"/>
      <c r="AN115" s="12"/>
      <c r="AO115" s="12"/>
      <c r="AP115" s="12"/>
    </row>
    <row r="116" spans="1:42" customFormat="1" ht="12.95" customHeight="1" x14ac:dyDescent="0.25">
      <c r="A116" s="23"/>
      <c r="B116" s="250"/>
      <c r="C116" s="31"/>
      <c r="D116" s="31"/>
      <c r="E116" s="31" t="s">
        <v>691</v>
      </c>
      <c r="F116" s="31"/>
      <c r="G116" s="31"/>
      <c r="H116" s="31" t="s">
        <v>691</v>
      </c>
      <c r="I116" s="107" t="s">
        <v>735</v>
      </c>
      <c r="J116" s="104"/>
      <c r="K116" s="99">
        <v>0.9</v>
      </c>
      <c r="L116" s="99"/>
      <c r="M116" s="105"/>
      <c r="N116" s="104"/>
      <c r="O116" s="249"/>
      <c r="P116" s="31"/>
      <c r="Q116" s="31"/>
      <c r="R116" s="126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D116" s="344"/>
      <c r="AE116" s="345"/>
      <c r="AF116" s="345"/>
      <c r="AG116" s="345"/>
      <c r="AH116" s="346"/>
      <c r="AI116" s="12"/>
      <c r="AJ116" s="12"/>
      <c r="AK116" s="12"/>
      <c r="AL116" s="12"/>
      <c r="AM116" s="12"/>
      <c r="AN116" s="12"/>
      <c r="AO116" s="12"/>
      <c r="AP116" s="12"/>
    </row>
    <row r="117" spans="1:42" customFormat="1" ht="12.95" customHeight="1" x14ac:dyDescent="0.25">
      <c r="B117" s="31"/>
      <c r="C117" s="31"/>
      <c r="D117" s="31"/>
      <c r="E117" s="31" t="s">
        <v>984</v>
      </c>
      <c r="F117" s="31"/>
      <c r="G117" s="31"/>
      <c r="H117" s="31"/>
      <c r="I117" s="107" t="s">
        <v>736</v>
      </c>
      <c r="J117" s="104"/>
      <c r="K117" s="99">
        <f>AE117</f>
        <v>0.27</v>
      </c>
      <c r="L117" s="102"/>
      <c r="M117" s="105"/>
      <c r="N117" s="104"/>
      <c r="O117" s="249"/>
      <c r="P117" s="31"/>
      <c r="Q117" s="31"/>
      <c r="R117" s="126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D117" s="344">
        <f>0.075*3.6</f>
        <v>0.27</v>
      </c>
      <c r="AE117" s="345">
        <f>AD117</f>
        <v>0.27</v>
      </c>
      <c r="AF117" s="345"/>
      <c r="AG117" s="345"/>
      <c r="AH117" s="346"/>
      <c r="AI117" s="12"/>
      <c r="AJ117" s="12"/>
      <c r="AK117" s="12"/>
      <c r="AL117" s="12"/>
      <c r="AM117" s="12"/>
      <c r="AN117" s="12"/>
      <c r="AO117" s="12"/>
      <c r="AP117" s="12"/>
    </row>
    <row r="118" spans="1:42" customFormat="1" ht="12.95" customHeight="1" x14ac:dyDescent="0.25">
      <c r="B118" s="31"/>
      <c r="C118" s="31"/>
      <c r="D118" s="31"/>
      <c r="E118" s="31" t="s">
        <v>710</v>
      </c>
      <c r="F118" s="31" t="s">
        <v>772</v>
      </c>
      <c r="G118" s="31"/>
      <c r="H118" s="31"/>
      <c r="I118" s="107"/>
      <c r="J118" s="104"/>
      <c r="K118" s="99"/>
      <c r="L118" s="99"/>
      <c r="M118" s="105"/>
      <c r="N118" s="104"/>
      <c r="O118" s="249"/>
      <c r="P118" s="31"/>
      <c r="Q118" s="31"/>
      <c r="R118" s="457">
        <f>100/56</f>
        <v>1.7857142857142858</v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D118" s="344"/>
      <c r="AE118" s="345"/>
      <c r="AF118" s="345"/>
      <c r="AG118" s="345"/>
      <c r="AH118" s="346"/>
      <c r="AI118" s="12"/>
      <c r="AJ118" s="12"/>
      <c r="AK118" s="12"/>
      <c r="AL118" s="12"/>
      <c r="AM118" s="12"/>
      <c r="AN118" s="12"/>
      <c r="AO118" s="12"/>
      <c r="AP118" s="12"/>
    </row>
    <row r="119" spans="1:42" customFormat="1" ht="12.95" customHeight="1" x14ac:dyDescent="0.25">
      <c r="B119" s="31"/>
      <c r="C119" s="31"/>
      <c r="D119" s="31"/>
      <c r="E119" s="31"/>
      <c r="F119" s="31" t="s">
        <v>759</v>
      </c>
      <c r="G119" s="31"/>
      <c r="H119" s="31"/>
      <c r="I119" s="107"/>
      <c r="J119" s="104"/>
      <c r="K119" s="99"/>
      <c r="L119" s="99"/>
      <c r="M119" s="105"/>
      <c r="N119" s="104"/>
      <c r="O119" s="249"/>
      <c r="P119" s="31"/>
      <c r="Q119" s="31"/>
      <c r="R119" s="126"/>
      <c r="S119" s="31"/>
      <c r="T119" s="31"/>
      <c r="U119" s="31"/>
      <c r="V119" s="31"/>
      <c r="W119" s="31"/>
      <c r="X119" s="31"/>
      <c r="Y119" s="31"/>
      <c r="Z119" s="31"/>
      <c r="AA119" s="270">
        <f>0.785*1000*0.5</f>
        <v>392.5</v>
      </c>
      <c r="AB119" s="31"/>
      <c r="AD119" s="344"/>
      <c r="AE119" s="345"/>
      <c r="AF119" s="345"/>
      <c r="AG119" s="345"/>
      <c r="AH119" s="346"/>
      <c r="AI119" s="12"/>
      <c r="AJ119" s="12"/>
      <c r="AK119" s="12"/>
      <c r="AL119" s="12"/>
      <c r="AM119" s="12"/>
      <c r="AN119" s="12"/>
      <c r="AO119" s="12"/>
      <c r="AP119" s="12"/>
    </row>
    <row r="120" spans="1:42" customFormat="1" ht="12.95" customHeight="1" x14ac:dyDescent="0.25">
      <c r="A120" s="52"/>
      <c r="B120" s="246"/>
      <c r="C120" s="98" t="s">
        <v>773</v>
      </c>
      <c r="D120" s="98" t="s">
        <v>774</v>
      </c>
      <c r="E120" s="98" t="s">
        <v>985</v>
      </c>
      <c r="F120" s="98"/>
      <c r="G120" s="98" t="s">
        <v>1308</v>
      </c>
      <c r="H120" s="98"/>
      <c r="I120" s="260" t="s">
        <v>736</v>
      </c>
      <c r="J120" s="261"/>
      <c r="K120" s="284">
        <f t="shared" ref="K120:M121" si="3">AE$120*$AH120</f>
        <v>3.3400656215822089</v>
      </c>
      <c r="L120" s="284">
        <f t="shared" si="3"/>
        <v>3.1599638504246839</v>
      </c>
      <c r="M120" s="284">
        <f t="shared" si="3"/>
        <v>2.9895734597156394</v>
      </c>
      <c r="N120" s="261"/>
      <c r="O120" s="268"/>
      <c r="P120" s="98">
        <f>BaseYear+1</f>
        <v>2011</v>
      </c>
      <c r="Q120" s="31"/>
      <c r="R120" s="126"/>
      <c r="S120" s="31"/>
      <c r="T120" s="31">
        <v>1</v>
      </c>
      <c r="U120" s="31">
        <v>0.9</v>
      </c>
      <c r="V120" s="31">
        <v>30</v>
      </c>
      <c r="W120" s="31">
        <v>195</v>
      </c>
      <c r="X120" s="31">
        <v>12.4</v>
      </c>
      <c r="Y120" s="31">
        <v>62</v>
      </c>
      <c r="Z120" s="31"/>
      <c r="AA120" s="31"/>
      <c r="AB120" s="31"/>
      <c r="AD120" s="350">
        <f>AE120*1.1</f>
        <v>4.0801538461538467</v>
      </c>
      <c r="AE120" s="348">
        <f>4.2/5.2*3.8+0.42+AE122</f>
        <v>3.7092307692307691</v>
      </c>
      <c r="AF120" s="348">
        <f>SQRT(AE120*AG120)</f>
        <v>3.5092230128400437</v>
      </c>
      <c r="AG120" s="358">
        <f>0.8*(2.8/0.8)+0.42+0.1</f>
        <v>3.32</v>
      </c>
      <c r="AH120" s="353">
        <f>3.8/(3.8+0.42)</f>
        <v>0.90047393364928907</v>
      </c>
      <c r="AI120" s="12"/>
      <c r="AJ120" s="12"/>
      <c r="AK120" s="12"/>
      <c r="AL120" s="12"/>
      <c r="AM120" s="12"/>
      <c r="AN120" s="12"/>
      <c r="AO120" s="12"/>
      <c r="AP120" s="12"/>
    </row>
    <row r="121" spans="1:42" customFormat="1" ht="12.95" customHeight="1" x14ac:dyDescent="0.25">
      <c r="B121" s="31"/>
      <c r="C121" s="31"/>
      <c r="D121" s="31"/>
      <c r="E121" s="31" t="s">
        <v>690</v>
      </c>
      <c r="F121" s="31"/>
      <c r="G121" s="31"/>
      <c r="H121" s="31"/>
      <c r="I121" s="107" t="s">
        <v>736</v>
      </c>
      <c r="J121" s="104"/>
      <c r="K121" s="102">
        <f t="shared" si="3"/>
        <v>0.14916514764856006</v>
      </c>
      <c r="L121" s="102">
        <f t="shared" si="3"/>
        <v>0.14112192026018516</v>
      </c>
      <c r="M121" s="102">
        <f t="shared" si="3"/>
        <v>0.1335123967754428</v>
      </c>
      <c r="N121" s="117">
        <f>M121*0.995^50</f>
        <v>0.10391437493465804</v>
      </c>
      <c r="O121" s="249"/>
      <c r="P121" s="31"/>
      <c r="Q121" s="31"/>
      <c r="R121" s="126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D121" s="344"/>
      <c r="AE121" s="345"/>
      <c r="AF121" s="345"/>
      <c r="AG121" s="345"/>
      <c r="AH121" s="353">
        <f>1-AH120-AH122</f>
        <v>4.0214577342000846E-2</v>
      </c>
      <c r="AI121" s="12"/>
      <c r="AJ121" s="12"/>
      <c r="AK121" s="12"/>
      <c r="AL121" s="12"/>
      <c r="AM121" s="12"/>
      <c r="AN121" s="12"/>
      <c r="AO121" s="12"/>
      <c r="AP121" s="12"/>
    </row>
    <row r="122" spans="1:42" customFormat="1" ht="12.95" customHeight="1" x14ac:dyDescent="0.25">
      <c r="B122" s="31"/>
      <c r="C122" s="31"/>
      <c r="D122" s="31"/>
      <c r="E122" s="31" t="s">
        <v>983</v>
      </c>
      <c r="F122" s="31"/>
      <c r="G122" s="31"/>
      <c r="H122" s="31"/>
      <c r="I122" s="107" t="s">
        <v>736</v>
      </c>
      <c r="J122" s="104"/>
      <c r="K122" s="252">
        <f>AE122*$AH$10</f>
        <v>0.187</v>
      </c>
      <c r="L122" s="252">
        <f>AF122*$AH$10</f>
        <v>0.15441016805897209</v>
      </c>
      <c r="M122" s="252">
        <f>AG122*$AH$10</f>
        <v>0.1275</v>
      </c>
      <c r="N122" s="117">
        <f>M122*0.995^50</f>
        <v>9.9234851026251902E-2</v>
      </c>
      <c r="O122" s="249"/>
      <c r="P122" s="31"/>
      <c r="Q122" s="31"/>
      <c r="R122" s="126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D122" s="350">
        <f>AE122*1.05</f>
        <v>0.23100000000000001</v>
      </c>
      <c r="AE122" s="345">
        <v>0.22</v>
      </c>
      <c r="AF122" s="348">
        <f>SQRT(AE122*AG122)</f>
        <v>0.18165902124584951</v>
      </c>
      <c r="AG122" s="345">
        <v>0.15</v>
      </c>
      <c r="AH122" s="353">
        <f>AE122/AE120</f>
        <v>5.9311489008710083E-2</v>
      </c>
      <c r="AI122" s="12"/>
      <c r="AJ122" s="12"/>
      <c r="AK122" s="12"/>
      <c r="AL122" s="12"/>
      <c r="AM122" s="12"/>
      <c r="AN122" s="12"/>
      <c r="AO122" s="12"/>
      <c r="AP122" s="12"/>
    </row>
    <row r="123" spans="1:42" customFormat="1" ht="12.95" customHeight="1" x14ac:dyDescent="0.25">
      <c r="B123" s="31"/>
      <c r="C123" s="31"/>
      <c r="D123" s="31"/>
      <c r="E123" s="31" t="s">
        <v>984</v>
      </c>
      <c r="F123" s="31"/>
      <c r="G123" s="31"/>
      <c r="H123" s="31"/>
      <c r="I123" s="107" t="s">
        <v>736</v>
      </c>
      <c r="J123" s="104"/>
      <c r="K123" s="252">
        <f>AE123*$AH$11</f>
        <v>0.44719999999999999</v>
      </c>
      <c r="L123" s="252">
        <f>AF123*$AH$11</f>
        <v>0.44719999999999999</v>
      </c>
      <c r="M123" s="252">
        <f>AG123*$AH$11</f>
        <v>0.43</v>
      </c>
      <c r="N123" s="104"/>
      <c r="O123" s="249"/>
      <c r="P123" s="31"/>
      <c r="Q123" s="31"/>
      <c r="R123" s="126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D123" s="344">
        <v>0.52</v>
      </c>
      <c r="AE123" s="345">
        <v>0.52</v>
      </c>
      <c r="AF123" s="345">
        <v>0.52</v>
      </c>
      <c r="AG123" s="345">
        <v>0.5</v>
      </c>
      <c r="AH123" s="346">
        <v>1</v>
      </c>
      <c r="AI123" s="12"/>
      <c r="AJ123" s="12"/>
      <c r="AK123" s="12"/>
      <c r="AL123" s="12"/>
      <c r="AM123" s="12"/>
      <c r="AN123" s="12"/>
      <c r="AO123" s="12"/>
      <c r="AP123" s="12"/>
    </row>
    <row r="124" spans="1:42" customFormat="1" ht="12.95" customHeight="1" x14ac:dyDescent="0.25">
      <c r="B124" s="31"/>
      <c r="C124" s="31"/>
      <c r="D124" s="31"/>
      <c r="E124" s="107" t="s">
        <v>738</v>
      </c>
      <c r="F124" s="31"/>
      <c r="G124" s="31"/>
      <c r="H124" s="107"/>
      <c r="I124" s="107" t="s">
        <v>736</v>
      </c>
      <c r="J124" s="104"/>
      <c r="K124" s="253">
        <v>0.01</v>
      </c>
      <c r="L124" s="253"/>
      <c r="M124" s="105"/>
      <c r="N124" s="104"/>
      <c r="O124" s="249">
        <v>2</v>
      </c>
      <c r="P124" s="31"/>
      <c r="Q124" s="31"/>
      <c r="R124" s="126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D124" s="344"/>
      <c r="AE124" s="348">
        <f>SUM(AE120:AE123)-AE122</f>
        <v>4.22923076923077</v>
      </c>
      <c r="AF124" s="345"/>
      <c r="AG124" s="348">
        <f>SUM(AG120:AG123)-AG122</f>
        <v>3.82</v>
      </c>
      <c r="AH124" s="346"/>
      <c r="AI124" s="12"/>
      <c r="AJ124" s="12"/>
      <c r="AK124" s="12"/>
      <c r="AL124" s="12"/>
      <c r="AM124" s="12"/>
      <c r="AN124" s="12"/>
      <c r="AO124" s="12"/>
      <c r="AP124" s="12"/>
    </row>
    <row r="125" spans="1:42" customFormat="1" ht="12.95" customHeight="1" x14ac:dyDescent="0.25">
      <c r="B125" s="31"/>
      <c r="C125" s="31"/>
      <c r="D125" s="31"/>
      <c r="E125" s="31"/>
      <c r="F125" s="31" t="s">
        <v>775</v>
      </c>
      <c r="G125" s="31"/>
      <c r="H125" s="31"/>
      <c r="I125" s="107"/>
      <c r="J125" s="104"/>
      <c r="K125" s="275"/>
      <c r="L125" s="275"/>
      <c r="M125" s="105"/>
      <c r="N125" s="104"/>
      <c r="O125" s="249"/>
      <c r="P125" s="31"/>
      <c r="Q125" s="31"/>
      <c r="R125" s="126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D125" s="344"/>
      <c r="AE125" s="345"/>
      <c r="AF125" s="345"/>
      <c r="AG125" s="345"/>
      <c r="AH125" s="346"/>
      <c r="AI125" s="12"/>
      <c r="AJ125" s="12"/>
      <c r="AK125" s="12"/>
      <c r="AL125" s="12"/>
      <c r="AM125" s="12"/>
      <c r="AN125" s="12"/>
      <c r="AO125" s="12"/>
      <c r="AP125" s="12"/>
    </row>
    <row r="126" spans="1:42" customFormat="1" ht="12.95" customHeight="1" x14ac:dyDescent="0.25">
      <c r="A126" s="52"/>
      <c r="B126" s="246"/>
      <c r="C126" s="98" t="s">
        <v>776</v>
      </c>
      <c r="D126" s="98" t="s">
        <v>777</v>
      </c>
      <c r="E126" s="98" t="s">
        <v>985</v>
      </c>
      <c r="F126" s="98"/>
      <c r="G126" s="98" t="s">
        <v>1308</v>
      </c>
      <c r="H126" s="98"/>
      <c r="I126" s="260" t="s">
        <v>736</v>
      </c>
      <c r="J126" s="261"/>
      <c r="K126" s="284">
        <f>AE$126*$AH126</f>
        <v>0.60049180327868834</v>
      </c>
      <c r="L126" s="284">
        <f>AF$126*$AH126</f>
        <v>0.57138472376593774</v>
      </c>
      <c r="M126" s="284">
        <f>AG$126*$AH126</f>
        <v>0.54368852459016381</v>
      </c>
      <c r="N126" s="261"/>
      <c r="O126" s="268"/>
      <c r="P126" s="98">
        <f>BaseYear+1</f>
        <v>2011</v>
      </c>
      <c r="Q126" s="31"/>
      <c r="R126" s="126"/>
      <c r="S126" s="31"/>
      <c r="T126" s="31">
        <v>1</v>
      </c>
      <c r="U126" s="31">
        <v>0.9</v>
      </c>
      <c r="V126" s="31">
        <v>30</v>
      </c>
      <c r="W126" s="31">
        <v>325</v>
      </c>
      <c r="X126" s="31">
        <v>24.8</v>
      </c>
      <c r="Y126" s="31">
        <v>62</v>
      </c>
      <c r="Z126" s="31"/>
      <c r="AA126" s="31"/>
      <c r="AB126" s="31"/>
      <c r="AD126" s="350">
        <f>AE126*1.05</f>
        <v>4.6619999999999999</v>
      </c>
      <c r="AE126" s="345">
        <f>3.8+0.42+AE130</f>
        <v>4.4399999999999995</v>
      </c>
      <c r="AF126" s="348">
        <f>SQRT(AE126*AG126)</f>
        <v>4.2247840181481466</v>
      </c>
      <c r="AG126" s="362">
        <f>2.8/0.8+0.42+0.1</f>
        <v>4.0199999999999996</v>
      </c>
      <c r="AH126" s="353">
        <f>0.15*3.85/(3.85+0.42)</f>
        <v>0.13524590163934425</v>
      </c>
      <c r="AI126" s="12"/>
      <c r="AJ126" s="12"/>
      <c r="AK126" s="12"/>
      <c r="AL126" s="12"/>
      <c r="AM126" s="12"/>
      <c r="AN126" s="12"/>
      <c r="AO126" s="12"/>
      <c r="AP126" s="12"/>
    </row>
    <row r="127" spans="1:42" customFormat="1" ht="12.95" customHeight="1" x14ac:dyDescent="0.25">
      <c r="B127" s="31"/>
      <c r="C127" s="31"/>
      <c r="D127" s="31"/>
      <c r="E127" s="31" t="s">
        <v>690</v>
      </c>
      <c r="F127" s="31"/>
      <c r="G127" s="31"/>
      <c r="H127" s="31" t="s">
        <v>757</v>
      </c>
      <c r="I127" s="107" t="s">
        <v>735</v>
      </c>
      <c r="J127" s="104"/>
      <c r="K127" s="102">
        <f>1/(AE126*$AH$127)</f>
        <v>0.27628062865165998</v>
      </c>
      <c r="L127" s="102">
        <f>1/(AF126*$AH$127)</f>
        <v>0.29035472250036221</v>
      </c>
      <c r="M127" s="102">
        <f>1/(AG126*$AH$127)</f>
        <v>0.30514576895854983</v>
      </c>
      <c r="N127" s="103">
        <f>M127/0.998^50</f>
        <v>0.33727200017318942</v>
      </c>
      <c r="O127" s="249"/>
      <c r="P127" s="31"/>
      <c r="Q127" s="31"/>
      <c r="R127" s="126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D127" s="344"/>
      <c r="AE127" s="345"/>
      <c r="AF127" s="345"/>
      <c r="AG127" s="345"/>
      <c r="AH127" s="353">
        <f>1-AH126-AH130</f>
        <v>0.81520454881110616</v>
      </c>
      <c r="AI127" s="12"/>
      <c r="AJ127" s="12"/>
      <c r="AK127" s="12"/>
      <c r="AL127" s="12"/>
      <c r="AM127" s="12"/>
      <c r="AN127" s="12"/>
      <c r="AO127" s="12"/>
      <c r="AP127" s="12"/>
    </row>
    <row r="128" spans="1:42" customFormat="1" ht="12.95" customHeight="1" x14ac:dyDescent="0.25">
      <c r="B128" s="31"/>
      <c r="C128" s="31"/>
      <c r="D128" s="31"/>
      <c r="E128" s="31" t="s">
        <v>688</v>
      </c>
      <c r="F128" s="31"/>
      <c r="G128" s="31"/>
      <c r="H128" s="31"/>
      <c r="I128" s="107"/>
      <c r="J128" s="104"/>
      <c r="K128" s="275"/>
      <c r="L128" s="275"/>
      <c r="M128" s="105"/>
      <c r="N128" s="104"/>
      <c r="O128" s="249"/>
      <c r="P128" s="31"/>
      <c r="Q128" s="31"/>
      <c r="R128" s="126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D128" s="344"/>
      <c r="AE128" s="345"/>
      <c r="AF128" s="345"/>
      <c r="AG128" s="345"/>
      <c r="AH128" s="353"/>
      <c r="AI128" s="12"/>
      <c r="AJ128" s="12"/>
      <c r="AK128" s="12"/>
      <c r="AL128" s="12"/>
      <c r="AM128" s="12"/>
      <c r="AN128" s="12"/>
      <c r="AO128" s="12"/>
      <c r="AP128" s="12"/>
    </row>
    <row r="129" spans="1:42" customFormat="1" ht="12.95" customHeight="1" x14ac:dyDescent="0.25">
      <c r="B129" s="31"/>
      <c r="C129" s="31"/>
      <c r="D129" s="31"/>
      <c r="E129" s="31" t="s">
        <v>689</v>
      </c>
      <c r="F129" s="31"/>
      <c r="G129" s="31"/>
      <c r="H129" s="31"/>
      <c r="I129" s="107"/>
      <c r="J129" s="104"/>
      <c r="K129" s="275"/>
      <c r="L129" s="275"/>
      <c r="M129" s="105"/>
      <c r="N129" s="104"/>
      <c r="O129" s="249"/>
      <c r="P129" s="31"/>
      <c r="Q129" s="31"/>
      <c r="R129" s="126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D129" s="344"/>
      <c r="AE129" s="345"/>
      <c r="AF129" s="345"/>
      <c r="AG129" s="345"/>
      <c r="AH129" s="353"/>
      <c r="AI129" s="12"/>
      <c r="AJ129" s="12"/>
      <c r="AK129" s="12"/>
      <c r="AL129" s="12"/>
      <c r="AM129" s="12"/>
      <c r="AN129" s="12"/>
      <c r="AO129" s="12"/>
      <c r="AP129" s="12"/>
    </row>
    <row r="130" spans="1:42" customFormat="1" ht="12.95" customHeight="1" x14ac:dyDescent="0.25">
      <c r="B130" s="31"/>
      <c r="C130" s="31"/>
      <c r="D130" s="31"/>
      <c r="E130" s="31" t="s">
        <v>983</v>
      </c>
      <c r="F130" s="31"/>
      <c r="G130" s="31"/>
      <c r="H130" s="31"/>
      <c r="I130" s="107" t="s">
        <v>736</v>
      </c>
      <c r="J130" s="104"/>
      <c r="K130" s="252">
        <f>AE130*$AH$10</f>
        <v>0.187</v>
      </c>
      <c r="L130" s="252">
        <f>AF130*$AH$10</f>
        <v>0.15441016805897209</v>
      </c>
      <c r="M130" s="252">
        <f>AG130*$AH$10</f>
        <v>0.1275</v>
      </c>
      <c r="N130" s="117">
        <f>M130*0.995^50</f>
        <v>9.9234851026251902E-2</v>
      </c>
      <c r="O130" s="249"/>
      <c r="P130" s="31"/>
      <c r="Q130" s="31"/>
      <c r="R130" s="126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D130" s="350">
        <f>AE130*1.05</f>
        <v>0.23100000000000001</v>
      </c>
      <c r="AE130" s="345">
        <v>0.22</v>
      </c>
      <c r="AF130" s="348">
        <f>SQRT(AE130*AG130)</f>
        <v>0.18165902124584951</v>
      </c>
      <c r="AG130" s="345">
        <v>0.15</v>
      </c>
      <c r="AH130" s="353">
        <f>AE130/AE126</f>
        <v>4.9549549549549557E-2</v>
      </c>
      <c r="AI130" s="12"/>
      <c r="AJ130" s="12"/>
      <c r="AK130" s="12"/>
      <c r="AL130" s="12"/>
      <c r="AM130" s="12"/>
      <c r="AN130" s="12"/>
      <c r="AO130" s="12"/>
      <c r="AP130" s="12"/>
    </row>
    <row r="131" spans="1:42" customFormat="1" ht="12.95" customHeight="1" x14ac:dyDescent="0.25">
      <c r="B131" s="31"/>
      <c r="C131" s="31"/>
      <c r="D131" s="31"/>
      <c r="E131" s="31" t="s">
        <v>984</v>
      </c>
      <c r="F131" s="31"/>
      <c r="G131" s="31"/>
      <c r="H131" s="31"/>
      <c r="I131" s="107" t="s">
        <v>736</v>
      </c>
      <c r="J131" s="104"/>
      <c r="K131" s="252">
        <f>AE131*$AH$11</f>
        <v>0.44719999999999999</v>
      </c>
      <c r="L131" s="252">
        <f>AF131*$AH$11</f>
        <v>0.44719999999999999</v>
      </c>
      <c r="M131" s="252">
        <f>AG131*$AH$11</f>
        <v>0.43</v>
      </c>
      <c r="N131" s="104"/>
      <c r="O131" s="249"/>
      <c r="P131" s="31"/>
      <c r="Q131" s="31"/>
      <c r="R131" s="126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D131" s="344">
        <f>AD$123</f>
        <v>0.52</v>
      </c>
      <c r="AE131" s="345">
        <f>AE$123</f>
        <v>0.52</v>
      </c>
      <c r="AF131" s="345">
        <f>AF$123</f>
        <v>0.52</v>
      </c>
      <c r="AG131" s="345">
        <f>AG$123</f>
        <v>0.5</v>
      </c>
      <c r="AH131" s="346">
        <v>1</v>
      </c>
      <c r="AI131" s="12"/>
      <c r="AJ131" s="12"/>
      <c r="AK131" s="12"/>
      <c r="AL131" s="12"/>
      <c r="AM131" s="12"/>
      <c r="AN131" s="12"/>
      <c r="AO131" s="12"/>
      <c r="AP131" s="12"/>
    </row>
    <row r="132" spans="1:42" customFormat="1" ht="12.95" customHeight="1" x14ac:dyDescent="0.25">
      <c r="B132" s="31"/>
      <c r="C132" s="31"/>
      <c r="D132" s="31"/>
      <c r="E132" s="107" t="s">
        <v>738</v>
      </c>
      <c r="F132" s="31"/>
      <c r="G132" s="31"/>
      <c r="H132" s="107"/>
      <c r="I132" s="107" t="s">
        <v>736</v>
      </c>
      <c r="J132" s="104"/>
      <c r="K132" s="253">
        <v>0.01</v>
      </c>
      <c r="L132" s="253"/>
      <c r="M132" s="105"/>
      <c r="N132" s="104"/>
      <c r="O132" s="249">
        <v>2</v>
      </c>
      <c r="P132" s="31"/>
      <c r="Q132" s="31"/>
      <c r="R132" s="126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D132" s="344"/>
      <c r="AE132" s="345">
        <f>SUM(AE126:AE131)-AE130</f>
        <v>4.96</v>
      </c>
      <c r="AF132" s="345"/>
      <c r="AG132" s="345">
        <f>SUM(AG126:AG131)-AG130</f>
        <v>4.5199999999999996</v>
      </c>
      <c r="AH132" s="346"/>
      <c r="AI132" s="12"/>
      <c r="AJ132" s="12"/>
      <c r="AK132" s="12"/>
      <c r="AL132" s="12"/>
      <c r="AM132" s="12"/>
      <c r="AN132" s="12"/>
      <c r="AO132" s="12"/>
      <c r="AP132" s="12"/>
    </row>
    <row r="133" spans="1:42" customFormat="1" ht="12.95" customHeight="1" x14ac:dyDescent="0.25">
      <c r="B133" s="31"/>
      <c r="C133" s="31"/>
      <c r="D133" s="31"/>
      <c r="E133" s="31"/>
      <c r="F133" s="31" t="s">
        <v>775</v>
      </c>
      <c r="G133" s="31"/>
      <c r="H133" s="31"/>
      <c r="I133" s="107"/>
      <c r="J133" s="104"/>
      <c r="K133" s="275"/>
      <c r="L133" s="275"/>
      <c r="M133" s="105"/>
      <c r="N133" s="104"/>
      <c r="O133" s="249"/>
      <c r="P133" s="31"/>
      <c r="Q133" s="31"/>
      <c r="R133" s="126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D133" s="344"/>
      <c r="AE133" s="345"/>
      <c r="AF133" s="345"/>
      <c r="AG133" s="345"/>
      <c r="AH133" s="346"/>
      <c r="AI133" s="12"/>
      <c r="AJ133" s="12"/>
      <c r="AK133" s="12"/>
      <c r="AL133" s="12"/>
      <c r="AM133" s="12"/>
      <c r="AN133" s="12"/>
      <c r="AO133" s="12"/>
      <c r="AP133" s="12"/>
    </row>
    <row r="134" spans="1:42" customFormat="1" ht="12.95" customHeight="1" x14ac:dyDescent="0.25">
      <c r="A134" s="52"/>
      <c r="B134" s="246"/>
      <c r="C134" s="98" t="s">
        <v>778</v>
      </c>
      <c r="D134" s="98" t="s">
        <v>779</v>
      </c>
      <c r="E134" s="98" t="s">
        <v>690</v>
      </c>
      <c r="F134" s="98"/>
      <c r="G134" s="98" t="s">
        <v>1308</v>
      </c>
      <c r="H134" s="98" t="s">
        <v>757</v>
      </c>
      <c r="I134" s="260" t="s">
        <v>735</v>
      </c>
      <c r="J134" s="261"/>
      <c r="K134" s="284">
        <f>1/(AE134-AE136)</f>
        <v>0.51679586563307489</v>
      </c>
      <c r="L134" s="284">
        <f>1/(AF134-AF136)</f>
        <v>0.58783253853971362</v>
      </c>
      <c r="M134" s="284">
        <f>1/(AG134-AG136)</f>
        <v>0.63836578359399931</v>
      </c>
      <c r="N134" s="263">
        <f>M134/0.997^50</f>
        <v>0.74184245704861829</v>
      </c>
      <c r="O134" s="268"/>
      <c r="P134" s="98">
        <v>2150</v>
      </c>
      <c r="Q134" s="31"/>
      <c r="R134" s="126"/>
      <c r="S134" s="31"/>
      <c r="T134" s="31">
        <v>1</v>
      </c>
      <c r="U134" s="31">
        <v>0.9</v>
      </c>
      <c r="V134" s="31">
        <v>20</v>
      </c>
      <c r="W134" s="31">
        <v>162.5</v>
      </c>
      <c r="X134" s="31"/>
      <c r="Y134" s="31">
        <v>18.600000000000001</v>
      </c>
      <c r="Z134" s="31"/>
      <c r="AA134" s="31"/>
      <c r="AB134" s="31"/>
      <c r="AD134" s="347">
        <f>AE134*1.05</f>
        <v>2.3625000000000003</v>
      </c>
      <c r="AE134" s="351">
        <v>2.25</v>
      </c>
      <c r="AF134" s="345">
        <v>2</v>
      </c>
      <c r="AG134" s="345">
        <v>1.85</v>
      </c>
      <c r="AH134" s="346">
        <f>1-AH136</f>
        <v>0.86</v>
      </c>
      <c r="AI134" s="12"/>
      <c r="AJ134" s="12"/>
      <c r="AK134" s="12"/>
      <c r="AL134" s="12"/>
      <c r="AM134" s="12"/>
      <c r="AN134" s="12"/>
      <c r="AO134" s="12"/>
      <c r="AP134" s="12"/>
    </row>
    <row r="135" spans="1:42" customFormat="1" ht="12.95" customHeight="1" x14ac:dyDescent="0.25">
      <c r="B135" s="31"/>
      <c r="C135" s="31"/>
      <c r="D135" s="31"/>
      <c r="E135" s="31" t="s">
        <v>688</v>
      </c>
      <c r="F135" s="31"/>
      <c r="G135" s="31"/>
      <c r="H135" s="31"/>
      <c r="I135" s="107"/>
      <c r="J135" s="104"/>
      <c r="K135" s="99"/>
      <c r="L135" s="99"/>
      <c r="M135" s="105"/>
      <c r="N135" s="104"/>
      <c r="O135" s="249"/>
      <c r="P135" s="31"/>
      <c r="Q135" s="31"/>
      <c r="R135" s="126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D135" s="344"/>
      <c r="AE135" s="345"/>
      <c r="AF135" s="345"/>
      <c r="AG135" s="345"/>
      <c r="AH135" s="346"/>
      <c r="AI135" s="12"/>
      <c r="AJ135" s="12"/>
      <c r="AK135" s="12"/>
      <c r="AL135" s="12"/>
      <c r="AM135" s="12"/>
      <c r="AN135" s="12"/>
      <c r="AO135" s="12"/>
      <c r="AP135" s="12"/>
    </row>
    <row r="136" spans="1:42" customFormat="1" ht="12.95" customHeight="1" x14ac:dyDescent="0.25">
      <c r="B136" s="31"/>
      <c r="C136" s="31"/>
      <c r="D136" s="31"/>
      <c r="E136" s="31" t="s">
        <v>984</v>
      </c>
      <c r="F136" s="31"/>
      <c r="G136" s="31"/>
      <c r="H136" s="31"/>
      <c r="I136" s="107" t="s">
        <v>736</v>
      </c>
      <c r="J136" s="104"/>
      <c r="K136" s="252">
        <f>AE136*$AH$11</f>
        <v>0.27090000000000003</v>
      </c>
      <c r="L136" s="252">
        <f>AF136*$AH$11</f>
        <v>0.25699830544188423</v>
      </c>
      <c r="M136" s="252">
        <f>AG136*$AH$11</f>
        <v>0.24381000000000008</v>
      </c>
      <c r="N136" s="104"/>
      <c r="O136" s="249"/>
      <c r="P136" s="31"/>
      <c r="Q136" s="31"/>
      <c r="R136" s="126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D136" s="350">
        <f>AE136*1.05</f>
        <v>0.3307500000000001</v>
      </c>
      <c r="AE136" s="348">
        <f>$AH$136*AE134</f>
        <v>0.31500000000000006</v>
      </c>
      <c r="AF136" s="348">
        <f>SQRT(AE136*AG136)</f>
        <v>0.2988352388859119</v>
      </c>
      <c r="AG136" s="348">
        <f>AE136*0.9</f>
        <v>0.28350000000000009</v>
      </c>
      <c r="AH136" s="346">
        <v>0.14000000000000001</v>
      </c>
      <c r="AI136" s="12"/>
      <c r="AJ136" s="12"/>
      <c r="AK136" s="12"/>
      <c r="AL136" s="12"/>
      <c r="AM136" s="12"/>
      <c r="AN136" s="12"/>
      <c r="AO136" s="12"/>
      <c r="AP136" s="12"/>
    </row>
    <row r="137" spans="1:42" customFormat="1" ht="12.95" customHeight="1" x14ac:dyDescent="0.25">
      <c r="B137" s="31"/>
      <c r="C137" s="31"/>
      <c r="D137" s="31"/>
      <c r="E137" s="107" t="s">
        <v>738</v>
      </c>
      <c r="F137" s="31"/>
      <c r="G137" s="31"/>
      <c r="H137" s="107"/>
      <c r="I137" s="107" t="s">
        <v>736</v>
      </c>
      <c r="J137" s="104"/>
      <c r="K137" s="253">
        <v>0.01</v>
      </c>
      <c r="L137" s="253"/>
      <c r="M137" s="105"/>
      <c r="N137" s="104"/>
      <c r="O137" s="249">
        <v>2</v>
      </c>
      <c r="P137" s="31"/>
      <c r="Q137" s="31"/>
      <c r="R137" s="126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D137" s="344"/>
      <c r="AE137" s="345"/>
      <c r="AF137" s="345"/>
      <c r="AG137" s="345"/>
      <c r="AH137" s="346"/>
      <c r="AI137" s="12"/>
      <c r="AJ137" s="12"/>
      <c r="AK137" s="12"/>
      <c r="AL137" s="12"/>
      <c r="AM137" s="12"/>
      <c r="AN137" s="12"/>
      <c r="AO137" s="12"/>
      <c r="AP137" s="12"/>
    </row>
    <row r="138" spans="1:42" customFormat="1" ht="12.95" customHeight="1" x14ac:dyDescent="0.25">
      <c r="B138" s="31"/>
      <c r="C138" s="31"/>
      <c r="D138" s="31"/>
      <c r="E138" s="31"/>
      <c r="F138" s="31" t="s">
        <v>780</v>
      </c>
      <c r="G138" s="31"/>
      <c r="H138" s="31"/>
      <c r="I138" s="107"/>
      <c r="J138" s="104"/>
      <c r="K138" s="99"/>
      <c r="L138" s="99"/>
      <c r="M138" s="105"/>
      <c r="N138" s="104"/>
      <c r="O138" s="249"/>
      <c r="P138" s="31"/>
      <c r="Q138" s="31"/>
      <c r="R138" s="126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D138" s="344"/>
      <c r="AE138" s="345"/>
      <c r="AF138" s="345"/>
      <c r="AG138" s="345"/>
      <c r="AH138" s="346"/>
      <c r="AI138" s="12"/>
      <c r="AJ138" s="12"/>
      <c r="AK138" s="12"/>
      <c r="AL138" s="12"/>
      <c r="AM138" s="12"/>
      <c r="AN138" s="12"/>
      <c r="AO138" s="12"/>
      <c r="AP138" s="12"/>
    </row>
    <row r="139" spans="1:42" customFormat="1" ht="12.95" customHeight="1" x14ac:dyDescent="0.25">
      <c r="A139" s="52"/>
      <c r="B139" s="246"/>
      <c r="C139" s="98" t="s">
        <v>781</v>
      </c>
      <c r="D139" s="98" t="s">
        <v>782</v>
      </c>
      <c r="E139" s="98" t="s">
        <v>687</v>
      </c>
      <c r="F139" s="98"/>
      <c r="G139" s="98" t="s">
        <v>1309</v>
      </c>
      <c r="H139" s="98"/>
      <c r="I139" s="260" t="s">
        <v>736</v>
      </c>
      <c r="J139" s="261"/>
      <c r="K139" s="98">
        <f t="shared" ref="K139:M141" si="4">AE139</f>
        <v>50.6</v>
      </c>
      <c r="L139" s="98">
        <f t="shared" si="4"/>
        <v>47.000000000000007</v>
      </c>
      <c r="M139" s="287">
        <f t="shared" si="4"/>
        <v>44.650000000000006</v>
      </c>
      <c r="N139" s="263">
        <f>M139*0.998^50</f>
        <v>40.396945423880211</v>
      </c>
      <c r="O139" s="268"/>
      <c r="P139" s="98">
        <f>BaseYear+1</f>
        <v>2011</v>
      </c>
      <c r="Q139" s="31"/>
      <c r="R139" s="126"/>
      <c r="S139" s="31"/>
      <c r="T139" s="31">
        <v>1</v>
      </c>
      <c r="U139" s="31">
        <v>0.9</v>
      </c>
      <c r="V139" s="31">
        <v>30</v>
      </c>
      <c r="W139" s="31">
        <v>5850</v>
      </c>
      <c r="X139" s="31"/>
      <c r="Y139" s="31">
        <v>12.4</v>
      </c>
      <c r="Z139" s="31"/>
      <c r="AA139" s="31"/>
      <c r="AB139" s="31"/>
      <c r="AD139" s="344">
        <f>AE139*1.05</f>
        <v>53.13</v>
      </c>
      <c r="AE139" s="362">
        <f>14*3.6 + 0.2</f>
        <v>50.6</v>
      </c>
      <c r="AF139" s="362">
        <f>13*3.6 + 0.2</f>
        <v>47.000000000000007</v>
      </c>
      <c r="AG139" s="351">
        <f>AF139*0.95</f>
        <v>44.650000000000006</v>
      </c>
      <c r="AH139" s="346"/>
      <c r="AI139" s="12"/>
      <c r="AJ139" s="12"/>
      <c r="AK139" s="12"/>
      <c r="AL139" s="12"/>
      <c r="AM139" s="12"/>
      <c r="AN139" s="12"/>
      <c r="AO139" s="12"/>
      <c r="AP139" s="12"/>
    </row>
    <row r="140" spans="1:42" customFormat="1" ht="12.95" customHeight="1" x14ac:dyDescent="0.25">
      <c r="A140" s="23"/>
      <c r="B140" s="250"/>
      <c r="C140" s="31"/>
      <c r="D140" s="31"/>
      <c r="E140" s="31" t="s">
        <v>691</v>
      </c>
      <c r="F140" s="31"/>
      <c r="G140" s="31"/>
      <c r="H140" s="31"/>
      <c r="I140" s="107" t="s">
        <v>736</v>
      </c>
      <c r="J140" s="104"/>
      <c r="K140" s="99">
        <f t="shared" si="4"/>
        <v>18</v>
      </c>
      <c r="L140" s="99">
        <f t="shared" si="4"/>
        <v>18</v>
      </c>
      <c r="M140" s="99">
        <f t="shared" si="4"/>
        <v>17.099999999999998</v>
      </c>
      <c r="N140" s="117">
        <f>M140*0.995^50</f>
        <v>13.309144725873782</v>
      </c>
      <c r="O140" s="249"/>
      <c r="P140" s="31"/>
      <c r="Q140" s="31"/>
      <c r="R140" s="126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D140" s="344">
        <f>AE140*1</f>
        <v>18</v>
      </c>
      <c r="AE140" s="362">
        <v>18</v>
      </c>
      <c r="AF140" s="362">
        <v>18</v>
      </c>
      <c r="AG140" s="351">
        <f>AF140*0.95</f>
        <v>17.099999999999998</v>
      </c>
      <c r="AH140" s="346"/>
      <c r="AI140" s="12"/>
      <c r="AJ140" s="12"/>
      <c r="AK140" s="12"/>
      <c r="AL140" s="12"/>
      <c r="AM140" s="12"/>
      <c r="AN140" s="12"/>
      <c r="AO140" s="12"/>
      <c r="AP140" s="12"/>
    </row>
    <row r="141" spans="1:42" customFormat="1" ht="12.95" customHeight="1" x14ac:dyDescent="0.25">
      <c r="B141" s="31"/>
      <c r="C141" s="31"/>
      <c r="D141" s="31"/>
      <c r="E141" s="31" t="s">
        <v>690</v>
      </c>
      <c r="F141" s="31"/>
      <c r="G141" s="31"/>
      <c r="H141" s="31"/>
      <c r="I141" s="107" t="s">
        <v>736</v>
      </c>
      <c r="J141" s="104"/>
      <c r="K141" s="99">
        <f t="shared" si="4"/>
        <v>2.5999999999999996</v>
      </c>
      <c r="L141" s="99">
        <f t="shared" si="4"/>
        <v>2.5</v>
      </c>
      <c r="M141" s="101">
        <f t="shared" si="4"/>
        <v>2.375</v>
      </c>
      <c r="N141" s="117">
        <f>M141*0.995^50</f>
        <v>1.8484923230380255</v>
      </c>
      <c r="O141" s="249"/>
      <c r="P141" s="31"/>
      <c r="Q141" s="31"/>
      <c r="R141" s="126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D141" s="344">
        <f>AE141*1.05</f>
        <v>2.7299999999999995</v>
      </c>
      <c r="AE141" s="362">
        <f>7.4+1+0.2-AE142</f>
        <v>2.5999999999999996</v>
      </c>
      <c r="AF141" s="362">
        <f>7.4+1-AF142</f>
        <v>2.5</v>
      </c>
      <c r="AG141" s="351">
        <f>AF141*0.95</f>
        <v>2.375</v>
      </c>
      <c r="AH141" s="346"/>
      <c r="AI141" s="12"/>
      <c r="AJ141" s="12"/>
      <c r="AK141" s="12"/>
      <c r="AL141" s="12"/>
      <c r="AM141" s="12"/>
      <c r="AN141" s="12"/>
      <c r="AO141" s="12"/>
      <c r="AP141" s="12"/>
    </row>
    <row r="142" spans="1:42" customFormat="1" ht="12.95" customHeight="1" x14ac:dyDescent="0.25">
      <c r="B142" s="31"/>
      <c r="C142" s="31"/>
      <c r="D142" s="31"/>
      <c r="E142" s="31" t="s">
        <v>684</v>
      </c>
      <c r="F142" s="31"/>
      <c r="G142" s="31"/>
      <c r="H142" s="31"/>
      <c r="I142" s="107" t="s">
        <v>736</v>
      </c>
      <c r="J142" s="104"/>
      <c r="K142" s="252">
        <f>AE142*$AH$11</f>
        <v>5.16</v>
      </c>
      <c r="L142" s="252">
        <f>AF142*$AH$11</f>
        <v>5.0739999999999998</v>
      </c>
      <c r="M142" s="252">
        <f>AG142*$AH$11</f>
        <v>5.0739999999999998</v>
      </c>
      <c r="N142" s="104"/>
      <c r="O142" s="249"/>
      <c r="P142" s="31"/>
      <c r="Q142" s="31"/>
      <c r="R142" s="126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D142" s="344">
        <f>AE142*1.05</f>
        <v>6.3000000000000007</v>
      </c>
      <c r="AE142" s="345">
        <v>6</v>
      </c>
      <c r="AF142" s="345">
        <v>5.9</v>
      </c>
      <c r="AG142" s="345">
        <f>AF142</f>
        <v>5.9</v>
      </c>
      <c r="AH142" s="346"/>
      <c r="AI142" s="12"/>
      <c r="AJ142" s="12"/>
      <c r="AK142" s="12"/>
      <c r="AL142" s="12"/>
      <c r="AM142" s="12"/>
      <c r="AN142" s="12"/>
      <c r="AO142" s="12"/>
      <c r="AP142" s="12"/>
    </row>
    <row r="143" spans="1:42" customFormat="1" ht="12.95" customHeight="1" x14ac:dyDescent="0.25">
      <c r="B143" s="31"/>
      <c r="C143" s="31"/>
      <c r="D143" s="31"/>
      <c r="E143" s="107" t="s">
        <v>738</v>
      </c>
      <c r="F143" s="31"/>
      <c r="G143" s="31"/>
      <c r="H143" s="107"/>
      <c r="I143" s="107" t="s">
        <v>736</v>
      </c>
      <c r="J143" s="104"/>
      <c r="K143" s="253">
        <v>0.01</v>
      </c>
      <c r="L143" s="253"/>
      <c r="M143" s="105"/>
      <c r="N143" s="104"/>
      <c r="O143" s="249">
        <v>2</v>
      </c>
      <c r="P143" s="31"/>
      <c r="Q143" s="31"/>
      <c r="R143" s="126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D143" s="344">
        <f>SUM(AD139:AD142)</f>
        <v>80.16</v>
      </c>
      <c r="AE143" s="345">
        <f>SUM(AE139:AE142)</f>
        <v>77.199999999999989</v>
      </c>
      <c r="AF143" s="345">
        <f>SUM(AF139:AF142)</f>
        <v>73.400000000000006</v>
      </c>
      <c r="AG143" s="351">
        <f>SUM(AG139:AG142)</f>
        <v>70.025000000000006</v>
      </c>
      <c r="AH143" s="346"/>
      <c r="AI143" s="12"/>
      <c r="AJ143" s="12"/>
      <c r="AK143" s="12"/>
      <c r="AL143" s="12"/>
      <c r="AM143" s="12"/>
      <c r="AN143" s="12"/>
      <c r="AO143" s="12"/>
      <c r="AP143" s="12"/>
    </row>
    <row r="144" spans="1:42" customFormat="1" ht="12.95" customHeight="1" x14ac:dyDescent="0.25">
      <c r="B144" s="31"/>
      <c r="C144" s="31"/>
      <c r="D144" s="31"/>
      <c r="E144" s="31"/>
      <c r="F144" s="31" t="s">
        <v>783</v>
      </c>
      <c r="G144" s="31"/>
      <c r="H144" s="31"/>
      <c r="I144" s="107"/>
      <c r="J144" s="104"/>
      <c r="K144" s="99"/>
      <c r="L144" s="99"/>
      <c r="M144" s="105"/>
      <c r="N144" s="104"/>
      <c r="O144" s="249"/>
      <c r="P144" s="31"/>
      <c r="Q144" s="31"/>
      <c r="R144" s="126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D144" s="344"/>
      <c r="AE144" s="345"/>
      <c r="AF144" s="345"/>
      <c r="AG144" s="345"/>
      <c r="AH144" s="346"/>
      <c r="AI144" s="12"/>
      <c r="AJ144" s="12"/>
      <c r="AK144" s="12"/>
      <c r="AL144" s="12"/>
      <c r="AM144" s="12"/>
      <c r="AN144" s="12"/>
      <c r="AO144" s="12"/>
      <c r="AP144" s="12"/>
    </row>
    <row r="145" spans="1:42" customFormat="1" ht="12.95" customHeight="1" x14ac:dyDescent="0.25">
      <c r="A145" s="52"/>
      <c r="B145" s="246"/>
      <c r="C145" s="98" t="s">
        <v>784</v>
      </c>
      <c r="D145" s="98" t="s">
        <v>785</v>
      </c>
      <c r="E145" s="98" t="s">
        <v>687</v>
      </c>
      <c r="F145" s="98"/>
      <c r="G145" s="98" t="s">
        <v>1309</v>
      </c>
      <c r="H145" s="98"/>
      <c r="I145" s="260" t="s">
        <v>736</v>
      </c>
      <c r="J145" s="261"/>
      <c r="K145" s="98"/>
      <c r="L145" s="98">
        <f>AF145</f>
        <v>39.6</v>
      </c>
      <c r="M145" s="287">
        <f>AG145</f>
        <v>37.619999999999997</v>
      </c>
      <c r="N145" s="261"/>
      <c r="O145" s="268"/>
      <c r="P145" s="98">
        <v>2030</v>
      </c>
      <c r="Q145" s="31"/>
      <c r="R145" s="126"/>
      <c r="S145" s="31"/>
      <c r="T145" s="31">
        <v>1</v>
      </c>
      <c r="U145" s="31">
        <v>0.9</v>
      </c>
      <c r="V145" s="31">
        <v>30</v>
      </c>
      <c r="W145" s="31">
        <v>5557.5</v>
      </c>
      <c r="X145" s="31"/>
      <c r="Y145" s="31">
        <v>12.4</v>
      </c>
      <c r="Z145" s="31"/>
      <c r="AA145" s="31"/>
      <c r="AB145" s="31"/>
      <c r="AD145" s="344"/>
      <c r="AE145" s="345"/>
      <c r="AF145" s="345">
        <f>11*3.6</f>
        <v>39.6</v>
      </c>
      <c r="AG145" s="345">
        <f>AF145*0.95</f>
        <v>37.619999999999997</v>
      </c>
      <c r="AH145" s="346"/>
      <c r="AI145" s="12"/>
      <c r="AJ145" s="12"/>
      <c r="AK145" s="12"/>
      <c r="AL145" s="12"/>
      <c r="AM145" s="12"/>
      <c r="AN145" s="12"/>
      <c r="AO145" s="12"/>
      <c r="AP145" s="12"/>
    </row>
    <row r="146" spans="1:42" customFormat="1" ht="12.95" customHeight="1" x14ac:dyDescent="0.25">
      <c r="B146" s="31"/>
      <c r="C146" s="31"/>
      <c r="D146" s="31"/>
      <c r="E146" s="31" t="s">
        <v>684</v>
      </c>
      <c r="F146" s="31"/>
      <c r="G146" s="31"/>
      <c r="H146" s="31"/>
      <c r="I146" s="107" t="s">
        <v>736</v>
      </c>
      <c r="J146" s="104"/>
      <c r="K146" s="99"/>
      <c r="L146" s="99">
        <f>AF146</f>
        <v>6.66</v>
      </c>
      <c r="M146" s="101">
        <f>AG146</f>
        <v>6.327</v>
      </c>
      <c r="N146" s="104"/>
      <c r="O146" s="249"/>
      <c r="P146" s="31"/>
      <c r="Q146" s="31"/>
      <c r="R146" s="126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D146" s="344"/>
      <c r="AE146" s="345"/>
      <c r="AF146" s="345">
        <f>7.4*0.9</f>
        <v>6.66</v>
      </c>
      <c r="AG146" s="345">
        <f>AF146*0.95</f>
        <v>6.327</v>
      </c>
      <c r="AH146" s="346"/>
      <c r="AI146" s="12"/>
      <c r="AJ146" s="12"/>
      <c r="AK146" s="12"/>
      <c r="AL146" s="12"/>
      <c r="AM146" s="12"/>
      <c r="AN146" s="12"/>
      <c r="AO146" s="12"/>
      <c r="AP146" s="12"/>
    </row>
    <row r="147" spans="1:42" customFormat="1" ht="12.95" customHeight="1" x14ac:dyDescent="0.25">
      <c r="B147" s="31"/>
      <c r="C147" s="31"/>
      <c r="D147" s="31"/>
      <c r="E147" s="107" t="s">
        <v>738</v>
      </c>
      <c r="F147" s="31"/>
      <c r="G147" s="31"/>
      <c r="H147" s="107"/>
      <c r="I147" s="107" t="s">
        <v>736</v>
      </c>
      <c r="J147" s="104"/>
      <c r="K147" s="253">
        <v>0.01</v>
      </c>
      <c r="L147" s="253"/>
      <c r="M147" s="105"/>
      <c r="N147" s="104"/>
      <c r="O147" s="249">
        <v>2</v>
      </c>
      <c r="P147" s="31"/>
      <c r="Q147" s="31"/>
      <c r="R147" s="126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D147" s="344"/>
      <c r="AE147" s="345"/>
      <c r="AF147" s="345"/>
      <c r="AG147" s="345"/>
      <c r="AH147" s="346"/>
      <c r="AI147" s="12"/>
      <c r="AJ147" s="12"/>
      <c r="AK147" s="12"/>
      <c r="AL147" s="12"/>
      <c r="AM147" s="12"/>
      <c r="AN147" s="12"/>
      <c r="AO147" s="12"/>
      <c r="AP147" s="12"/>
    </row>
    <row r="148" spans="1:42" customFormat="1" ht="12.95" customHeight="1" x14ac:dyDescent="0.25">
      <c r="B148" s="31"/>
      <c r="C148" s="31"/>
      <c r="D148" s="31"/>
      <c r="E148" s="31"/>
      <c r="F148" s="31" t="s">
        <v>783</v>
      </c>
      <c r="G148" s="31"/>
      <c r="H148" s="31"/>
      <c r="I148" s="107"/>
      <c r="J148" s="104"/>
      <c r="K148" s="99"/>
      <c r="L148" s="99"/>
      <c r="M148" s="105"/>
      <c r="N148" s="104"/>
      <c r="O148" s="249"/>
      <c r="P148" s="31"/>
      <c r="Q148" s="31"/>
      <c r="R148" s="126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D148" s="344"/>
      <c r="AE148" s="345"/>
      <c r="AF148" s="345"/>
      <c r="AG148" s="345"/>
      <c r="AH148" s="346"/>
      <c r="AI148" s="12"/>
      <c r="AJ148" s="12"/>
      <c r="AK148" s="12"/>
      <c r="AL148" s="12"/>
      <c r="AM148" s="12"/>
      <c r="AN148" s="12"/>
      <c r="AO148" s="12"/>
      <c r="AP148" s="12"/>
    </row>
    <row r="149" spans="1:42" customFormat="1" ht="12.95" customHeight="1" x14ac:dyDescent="0.25">
      <c r="A149" s="52"/>
      <c r="B149" s="246"/>
      <c r="C149" s="98" t="s">
        <v>786</v>
      </c>
      <c r="D149" s="98" t="s">
        <v>787</v>
      </c>
      <c r="E149" s="98" t="s">
        <v>687</v>
      </c>
      <c r="F149" s="98"/>
      <c r="G149" s="98" t="s">
        <v>1308</v>
      </c>
      <c r="H149" s="98"/>
      <c r="I149" s="260" t="s">
        <v>736</v>
      </c>
      <c r="J149" s="261"/>
      <c r="K149" s="287">
        <f t="shared" ref="K149:M151" si="5">AE149</f>
        <v>10.530000000000001</v>
      </c>
      <c r="L149" s="287">
        <f t="shared" si="5"/>
        <v>9.7929000000000013</v>
      </c>
      <c r="M149" s="287">
        <f t="shared" si="5"/>
        <v>9.1073970000000024</v>
      </c>
      <c r="N149" s="263">
        <f>M149*0.996^50</f>
        <v>7.4535160240801641</v>
      </c>
      <c r="O149" s="268"/>
      <c r="P149" s="98">
        <f>BaseYear+1</f>
        <v>2011</v>
      </c>
      <c r="Q149" s="31"/>
      <c r="R149" s="126"/>
      <c r="S149" s="31"/>
      <c r="T149" s="31">
        <v>1</v>
      </c>
      <c r="U149" s="31">
        <v>0.9</v>
      </c>
      <c r="V149" s="31">
        <v>30</v>
      </c>
      <c r="W149" s="31">
        <v>5720</v>
      </c>
      <c r="X149" s="31"/>
      <c r="Y149" s="31">
        <v>12.4</v>
      </c>
      <c r="Z149" s="31"/>
      <c r="AA149" s="31"/>
      <c r="AB149" s="31"/>
      <c r="AD149" s="347">
        <f>10.8</f>
        <v>10.8</v>
      </c>
      <c r="AE149" s="351">
        <f>AD149*0.975</f>
        <v>10.530000000000001</v>
      </c>
      <c r="AF149" s="351">
        <f>AE149*0.93</f>
        <v>9.7929000000000013</v>
      </c>
      <c r="AG149" s="351">
        <f>AF149*0.93</f>
        <v>9.1073970000000024</v>
      </c>
      <c r="AH149" s="346">
        <v>1</v>
      </c>
      <c r="AI149" s="12"/>
      <c r="AJ149" s="12"/>
      <c r="AK149" s="12"/>
      <c r="AL149" s="12"/>
      <c r="AM149" s="12"/>
      <c r="AN149" s="12"/>
      <c r="AO149" s="12"/>
      <c r="AP149" s="12"/>
    </row>
    <row r="150" spans="1:42" customFormat="1" ht="12.95" customHeight="1" x14ac:dyDescent="0.25">
      <c r="B150" s="31"/>
      <c r="C150" s="31"/>
      <c r="D150" s="31"/>
      <c r="E150" s="31" t="s">
        <v>690</v>
      </c>
      <c r="F150" s="31"/>
      <c r="G150" s="31"/>
      <c r="H150" s="31"/>
      <c r="I150" s="107" t="s">
        <v>736</v>
      </c>
      <c r="J150" s="104"/>
      <c r="K150" s="101">
        <f t="shared" si="5"/>
        <v>11.863739999999998</v>
      </c>
      <c r="L150" s="101">
        <f t="shared" si="5"/>
        <v>10.677365999999999</v>
      </c>
      <c r="M150" s="101">
        <f t="shared" si="5"/>
        <v>9.0757610999999994</v>
      </c>
      <c r="N150" s="117">
        <f>M150*0.995^50</f>
        <v>7.0637788290851136</v>
      </c>
      <c r="O150" s="249"/>
      <c r="P150" s="31"/>
      <c r="Q150" s="31"/>
      <c r="R150" s="126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D150" s="347">
        <f>35.9-SUM(AD149,AD151:AD153)</f>
        <v>12.620999999999999</v>
      </c>
      <c r="AE150" s="351">
        <f>AD150*0.94</f>
        <v>11.863739999999998</v>
      </c>
      <c r="AF150" s="351">
        <f>AE150*0.9</f>
        <v>10.677365999999999</v>
      </c>
      <c r="AG150" s="351">
        <f>AF150*0.85</f>
        <v>9.0757610999999994</v>
      </c>
      <c r="AH150" s="353">
        <f>1-AH152-AH153</f>
        <v>0.33110688534981381</v>
      </c>
      <c r="AI150" s="12"/>
      <c r="AJ150" s="12"/>
      <c r="AK150" s="12"/>
      <c r="AL150" s="12"/>
      <c r="AM150" s="12"/>
      <c r="AN150" s="12"/>
      <c r="AO150" s="12"/>
      <c r="AP150" s="12"/>
    </row>
    <row r="151" spans="1:42" customFormat="1" ht="12.95" customHeight="1" x14ac:dyDescent="0.25">
      <c r="B151" s="31"/>
      <c r="C151" s="31"/>
      <c r="D151" s="31"/>
      <c r="E151" s="31" t="s">
        <v>1006</v>
      </c>
      <c r="F151" s="31"/>
      <c r="G151" s="31"/>
      <c r="H151" s="31"/>
      <c r="I151" s="107" t="s">
        <v>736</v>
      </c>
      <c r="J151" s="104"/>
      <c r="K151" s="101">
        <f t="shared" si="5"/>
        <v>1.2689999999999999</v>
      </c>
      <c r="L151" s="101">
        <f t="shared" si="5"/>
        <v>1.1420999999999999</v>
      </c>
      <c r="M151" s="101">
        <f t="shared" si="5"/>
        <v>0.9707849999999999</v>
      </c>
      <c r="N151" s="117">
        <f>M151*0.995^50</f>
        <v>0.75557415571388187</v>
      </c>
      <c r="O151" s="249"/>
      <c r="P151" s="31"/>
      <c r="Q151" s="31"/>
      <c r="R151" s="126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D151" s="347">
        <f>45*30/1000</f>
        <v>1.35</v>
      </c>
      <c r="AE151" s="351">
        <f>AD151*0.94</f>
        <v>1.2689999999999999</v>
      </c>
      <c r="AF151" s="351">
        <f>AE151*0.9</f>
        <v>1.1420999999999999</v>
      </c>
      <c r="AG151" s="351">
        <f>AF151*0.85</f>
        <v>0.9707849999999999</v>
      </c>
      <c r="AH151" s="353"/>
      <c r="AI151" s="12"/>
      <c r="AJ151" s="12"/>
      <c r="AK151" s="12"/>
      <c r="AL151" s="12"/>
      <c r="AM151" s="12"/>
      <c r="AN151" s="12"/>
      <c r="AO151" s="12"/>
      <c r="AP151" s="12"/>
    </row>
    <row r="152" spans="1:42" customFormat="1" ht="12.95" customHeight="1" x14ac:dyDescent="0.25">
      <c r="B152" s="31"/>
      <c r="C152" s="31"/>
      <c r="D152" s="31"/>
      <c r="E152" s="31" t="s">
        <v>683</v>
      </c>
      <c r="F152" s="31"/>
      <c r="G152" s="31"/>
      <c r="H152" s="31"/>
      <c r="I152" s="107" t="s">
        <v>736</v>
      </c>
      <c r="J152" s="104"/>
      <c r="K152" s="256">
        <f>AE152*$AH$10</f>
        <v>2.8684099999999995</v>
      </c>
      <c r="L152" s="256">
        <f>AF152*$AH$10</f>
        <v>2.5815689999999996</v>
      </c>
      <c r="M152" s="256">
        <f>AG152*$AH$10</f>
        <v>2.3234120999999996</v>
      </c>
      <c r="N152" s="117">
        <f>M152*0.995^50</f>
        <v>1.8083408126752238</v>
      </c>
      <c r="O152" s="249"/>
      <c r="P152" s="31"/>
      <c r="Q152" s="31"/>
      <c r="R152" s="126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D152" s="347">
        <f>0.1*35.9</f>
        <v>3.59</v>
      </c>
      <c r="AE152" s="351">
        <f>AD152*0.94</f>
        <v>3.3745999999999996</v>
      </c>
      <c r="AF152" s="351">
        <f>AE152*0.9</f>
        <v>3.0371399999999995</v>
      </c>
      <c r="AG152" s="351">
        <f>AF152*0.9</f>
        <v>2.7334259999999997</v>
      </c>
      <c r="AH152" s="353">
        <v>0.1</v>
      </c>
      <c r="AI152" s="12"/>
      <c r="AJ152" s="12"/>
      <c r="AK152" s="12"/>
      <c r="AL152" s="12"/>
      <c r="AM152" s="12"/>
      <c r="AN152" s="12"/>
      <c r="AO152" s="12"/>
      <c r="AP152" s="12"/>
    </row>
    <row r="153" spans="1:42" customFormat="1" ht="12.95" customHeight="1" x14ac:dyDescent="0.25">
      <c r="B153" s="31"/>
      <c r="C153" s="31"/>
      <c r="D153" s="31"/>
      <c r="E153" s="31" t="s">
        <v>684</v>
      </c>
      <c r="F153" s="31"/>
      <c r="G153" s="31"/>
      <c r="H153" s="31"/>
      <c r="I153" s="107" t="s">
        <v>736</v>
      </c>
      <c r="J153" s="104"/>
      <c r="K153" s="256">
        <f>AE153*$AH$11</f>
        <v>6.3214514999999993</v>
      </c>
      <c r="L153" s="256">
        <f>AF153*$AH$11</f>
        <v>6.0053789249999996</v>
      </c>
      <c r="M153" s="256">
        <f>AG153*$AH$11</f>
        <v>5.7051099787499995</v>
      </c>
      <c r="N153" s="117"/>
      <c r="O153" s="249"/>
      <c r="P153" s="31"/>
      <c r="Q153" s="31"/>
      <c r="R153" s="126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D153" s="347">
        <f>0.21*35.9</f>
        <v>7.5389999999999997</v>
      </c>
      <c r="AE153" s="351">
        <f>AD153*0.975</f>
        <v>7.3505249999999993</v>
      </c>
      <c r="AF153" s="351">
        <f>AE153*0.95</f>
        <v>6.9829987499999993</v>
      </c>
      <c r="AG153" s="351">
        <f>AF153*0.95</f>
        <v>6.6338488124999992</v>
      </c>
      <c r="AH153" s="353">
        <f>35.9*0.2/AD150</f>
        <v>0.56889311465018622</v>
      </c>
      <c r="AI153" s="12"/>
      <c r="AJ153" s="12"/>
      <c r="AK153" s="12"/>
      <c r="AL153" s="12"/>
      <c r="AM153" s="12"/>
      <c r="AN153" s="12"/>
      <c r="AO153" s="12"/>
      <c r="AP153" s="12"/>
    </row>
    <row r="154" spans="1:42" customFormat="1" ht="12.95" customHeight="1" x14ac:dyDescent="0.25">
      <c r="B154" s="31"/>
      <c r="C154" s="31"/>
      <c r="D154" s="31"/>
      <c r="E154" s="107" t="s">
        <v>738</v>
      </c>
      <c r="F154" s="31"/>
      <c r="G154" s="31"/>
      <c r="H154" s="107"/>
      <c r="I154" s="107" t="s">
        <v>736</v>
      </c>
      <c r="J154" s="104"/>
      <c r="K154" s="253">
        <v>0.01</v>
      </c>
      <c r="L154" s="253"/>
      <c r="M154" s="105"/>
      <c r="N154" s="104"/>
      <c r="O154" s="249">
        <v>2</v>
      </c>
      <c r="P154" s="31"/>
      <c r="Q154" s="31"/>
      <c r="R154" s="126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D154" s="347">
        <f>SUM(AD149:AD153)</f>
        <v>35.9</v>
      </c>
      <c r="AE154" s="351">
        <f>SUM(AE149:AE153)</f>
        <v>34.387864999999998</v>
      </c>
      <c r="AF154" s="351">
        <f>SUM(AF149:AF153)</f>
        <v>31.632504750000003</v>
      </c>
      <c r="AG154" s="351">
        <f>SUM(AG149:AG153)</f>
        <v>28.521217912499999</v>
      </c>
      <c r="AH154" s="346"/>
      <c r="AI154" s="12"/>
      <c r="AJ154" s="12"/>
      <c r="AK154" s="12"/>
      <c r="AL154" s="12"/>
      <c r="AM154" s="12"/>
      <c r="AN154" s="12"/>
      <c r="AO154" s="12"/>
      <c r="AP154" s="12"/>
    </row>
    <row r="155" spans="1:42" customFormat="1" ht="12.95" customHeight="1" x14ac:dyDescent="0.25">
      <c r="B155" s="31"/>
      <c r="C155" s="31"/>
      <c r="D155" s="31"/>
      <c r="E155" s="31"/>
      <c r="F155" s="31" t="s">
        <v>788</v>
      </c>
      <c r="G155" s="31"/>
      <c r="H155" s="31"/>
      <c r="I155" s="107"/>
      <c r="J155" s="104"/>
      <c r="K155" s="99"/>
      <c r="L155" s="99"/>
      <c r="M155" s="105"/>
      <c r="N155" s="104"/>
      <c r="O155" s="249"/>
      <c r="P155" s="31"/>
      <c r="Q155" s="31"/>
      <c r="R155" s="126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D155" s="344"/>
      <c r="AE155" s="345"/>
      <c r="AF155" s="345"/>
      <c r="AG155" s="345"/>
      <c r="AH155" s="346"/>
      <c r="AI155" s="12"/>
      <c r="AJ155" s="12"/>
      <c r="AK155" s="12"/>
      <c r="AL155" s="12"/>
      <c r="AM155" s="12"/>
      <c r="AN155" s="12"/>
      <c r="AO155" s="12"/>
      <c r="AP155" s="12"/>
    </row>
    <row r="156" spans="1:42" customFormat="1" ht="12.95" customHeight="1" x14ac:dyDescent="0.25">
      <c r="A156" s="52"/>
      <c r="B156" s="246"/>
      <c r="C156" s="98" t="s">
        <v>789</v>
      </c>
      <c r="D156" s="98" t="s">
        <v>790</v>
      </c>
      <c r="E156" s="98" t="s">
        <v>687</v>
      </c>
      <c r="F156" s="98"/>
      <c r="G156" s="98" t="s">
        <v>1310</v>
      </c>
      <c r="H156" s="98"/>
      <c r="I156" s="260" t="s">
        <v>736</v>
      </c>
      <c r="J156" s="261"/>
      <c r="K156" s="287">
        <f>AE156</f>
        <v>13.132</v>
      </c>
      <c r="L156" s="287">
        <f>AF156</f>
        <v>12.475399999999999</v>
      </c>
      <c r="M156" s="287">
        <f>AG156</f>
        <v>11.851629999999998</v>
      </c>
      <c r="N156" s="263">
        <f>M156*0.998^50</f>
        <v>10.722724530661171</v>
      </c>
      <c r="O156" s="268"/>
      <c r="P156" s="98">
        <f>BaseYear+1</f>
        <v>2011</v>
      </c>
      <c r="Q156" s="31"/>
      <c r="R156" s="126"/>
      <c r="S156" s="31"/>
      <c r="T156" s="31">
        <v>1</v>
      </c>
      <c r="U156" s="31">
        <v>0.9</v>
      </c>
      <c r="V156" s="31">
        <v>30</v>
      </c>
      <c r="W156" s="31">
        <v>2600</v>
      </c>
      <c r="X156" s="31"/>
      <c r="Y156" s="31">
        <v>12.4</v>
      </c>
      <c r="Z156" s="31"/>
      <c r="AA156" s="31"/>
      <c r="AB156" s="31"/>
      <c r="AD156" s="344">
        <f>4*3.6-AD158</f>
        <v>13.4</v>
      </c>
      <c r="AE156" s="345">
        <f>AD156*0.98</f>
        <v>13.132</v>
      </c>
      <c r="AF156" s="348">
        <f>AE156*0.95</f>
        <v>12.475399999999999</v>
      </c>
      <c r="AG156" s="345">
        <f>AF156*0.95</f>
        <v>11.851629999999998</v>
      </c>
      <c r="AH156" s="346">
        <v>0.7</v>
      </c>
      <c r="AI156" s="12"/>
      <c r="AJ156" s="12"/>
      <c r="AK156" s="12"/>
      <c r="AL156" s="12"/>
      <c r="AM156" s="12"/>
      <c r="AN156" s="12"/>
      <c r="AO156" s="12"/>
      <c r="AP156" s="12"/>
    </row>
    <row r="157" spans="1:42" customFormat="1" ht="12.95" customHeight="1" x14ac:dyDescent="0.25">
      <c r="B157" s="31"/>
      <c r="C157" s="31"/>
      <c r="D157" s="31"/>
      <c r="E157" s="31" t="s">
        <v>683</v>
      </c>
      <c r="F157" s="31"/>
      <c r="G157" s="31"/>
      <c r="H157" s="31"/>
      <c r="I157" s="107" t="s">
        <v>736</v>
      </c>
      <c r="J157" s="104"/>
      <c r="K157" s="256">
        <f>AE157*$AH$10</f>
        <v>3.23</v>
      </c>
      <c r="L157" s="256">
        <f>AF157*$AH$10</f>
        <v>2.907</v>
      </c>
      <c r="M157" s="256">
        <f>AG157*$AH$10</f>
        <v>2.6162999999999998</v>
      </c>
      <c r="N157" s="117">
        <f>M157*0.995^50</f>
        <v>2.036299143058689</v>
      </c>
      <c r="O157" s="249"/>
      <c r="P157" s="31"/>
      <c r="Q157" s="31"/>
      <c r="R157" s="126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D157" s="344">
        <f>4</f>
        <v>4</v>
      </c>
      <c r="AE157" s="345">
        <f>AD157*0.95</f>
        <v>3.8</v>
      </c>
      <c r="AF157" s="345">
        <f>AE157*0.9</f>
        <v>3.42</v>
      </c>
      <c r="AG157" s="345">
        <f>AF157*0.9</f>
        <v>3.0779999999999998</v>
      </c>
      <c r="AH157" s="346">
        <v>0.05</v>
      </c>
      <c r="AI157" s="12"/>
      <c r="AJ157" s="12"/>
      <c r="AK157" s="12"/>
      <c r="AL157" s="12"/>
      <c r="AM157" s="12"/>
      <c r="AN157" s="12"/>
      <c r="AO157" s="12"/>
      <c r="AP157" s="12"/>
    </row>
    <row r="158" spans="1:42" customFormat="1" ht="12.95" customHeight="1" x14ac:dyDescent="0.25">
      <c r="B158" s="31"/>
      <c r="C158" s="31"/>
      <c r="D158" s="31"/>
      <c r="E158" s="31" t="s">
        <v>684</v>
      </c>
      <c r="F158" s="31"/>
      <c r="G158" s="31"/>
      <c r="H158" s="31"/>
      <c r="I158" s="107" t="s">
        <v>736</v>
      </c>
      <c r="J158" s="104"/>
      <c r="K158" s="256">
        <f>AE158*$AH$11</f>
        <v>0.86</v>
      </c>
      <c r="L158" s="256">
        <f>AF158*$AH$11</f>
        <v>0.86</v>
      </c>
      <c r="M158" s="256">
        <f>AG158*$AH$11</f>
        <v>0.86</v>
      </c>
      <c r="N158" s="104"/>
      <c r="O158" s="249"/>
      <c r="P158" s="31"/>
      <c r="Q158" s="31"/>
      <c r="R158" s="126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D158" s="344">
        <v>1</v>
      </c>
      <c r="AE158" s="345">
        <f>AD158</f>
        <v>1</v>
      </c>
      <c r="AF158" s="345">
        <f>AE158</f>
        <v>1</v>
      </c>
      <c r="AG158" s="345">
        <f>AF158</f>
        <v>1</v>
      </c>
      <c r="AH158" s="346">
        <v>0.15</v>
      </c>
      <c r="AI158" s="12"/>
      <c r="AJ158" s="12"/>
      <c r="AK158" s="12"/>
      <c r="AL158" s="12"/>
      <c r="AM158" s="12"/>
      <c r="AN158" s="12"/>
      <c r="AO158" s="12"/>
      <c r="AP158" s="12"/>
    </row>
    <row r="159" spans="1:42" customFormat="1" ht="12.95" customHeight="1" x14ac:dyDescent="0.25">
      <c r="B159" s="31"/>
      <c r="C159" s="31"/>
      <c r="D159" s="31"/>
      <c r="E159" s="107" t="s">
        <v>738</v>
      </c>
      <c r="F159" s="31"/>
      <c r="G159" s="31"/>
      <c r="H159" s="107"/>
      <c r="I159" s="107" t="s">
        <v>736</v>
      </c>
      <c r="J159" s="104"/>
      <c r="K159" s="253">
        <v>0.01</v>
      </c>
      <c r="L159" s="253"/>
      <c r="M159" s="105"/>
      <c r="N159" s="104"/>
      <c r="O159" s="249">
        <v>2</v>
      </c>
      <c r="P159" s="31"/>
      <c r="Q159" s="31"/>
      <c r="R159" s="126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D159" s="344">
        <f>SUM(AD156:AD158)</f>
        <v>18.399999999999999</v>
      </c>
      <c r="AE159" s="351">
        <f>SUM(AE156:AE158)</f>
        <v>17.931999999999999</v>
      </c>
      <c r="AF159" s="351">
        <f>SUM(AF156:AF158)</f>
        <v>16.895399999999999</v>
      </c>
      <c r="AG159" s="351">
        <f>SUM(AG156:AG158)</f>
        <v>15.929629999999998</v>
      </c>
      <c r="AH159" s="346"/>
      <c r="AI159" s="12"/>
      <c r="AJ159" s="12"/>
      <c r="AK159" s="12"/>
      <c r="AL159" s="12"/>
      <c r="AM159" s="12"/>
      <c r="AN159" s="12"/>
      <c r="AO159" s="12"/>
      <c r="AP159" s="12"/>
    </row>
    <row r="160" spans="1:42" customFormat="1" ht="12.95" customHeight="1" x14ac:dyDescent="0.25">
      <c r="B160" s="31"/>
      <c r="C160" s="31"/>
      <c r="D160" s="31"/>
      <c r="E160" s="31"/>
      <c r="F160" s="31" t="s">
        <v>791</v>
      </c>
      <c r="G160" s="31"/>
      <c r="H160" s="31"/>
      <c r="I160" s="107"/>
      <c r="J160" s="104"/>
      <c r="K160" s="99"/>
      <c r="L160" s="99"/>
      <c r="M160" s="105"/>
      <c r="N160" s="104"/>
      <c r="O160" s="249"/>
      <c r="P160" s="31"/>
      <c r="Q160" s="31"/>
      <c r="R160" s="126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D160" s="344"/>
      <c r="AE160" s="345"/>
      <c r="AF160" s="345"/>
      <c r="AG160" s="345"/>
      <c r="AH160" s="346"/>
      <c r="AI160" s="12"/>
      <c r="AJ160" s="12"/>
      <c r="AK160" s="12"/>
      <c r="AL160" s="12"/>
      <c r="AM160" s="12"/>
      <c r="AN160" s="12"/>
      <c r="AO160" s="12"/>
      <c r="AP160" s="12"/>
    </row>
    <row r="161" spans="1:42" customFormat="1" ht="12.95" customHeight="1" x14ac:dyDescent="0.25">
      <c r="A161" s="52"/>
      <c r="B161" s="246"/>
      <c r="C161" s="98" t="s">
        <v>792</v>
      </c>
      <c r="D161" s="98" t="s">
        <v>793</v>
      </c>
      <c r="E161" s="98" t="s">
        <v>687</v>
      </c>
      <c r="F161" s="98"/>
      <c r="G161" s="98" t="s">
        <v>1308</v>
      </c>
      <c r="H161" s="98"/>
      <c r="I161" s="260" t="s">
        <v>736</v>
      </c>
      <c r="J161" s="261"/>
      <c r="K161" s="287">
        <f t="shared" ref="K161:M162" si="6">AE161</f>
        <v>0.5</v>
      </c>
      <c r="L161" s="287">
        <f t="shared" si="6"/>
        <v>0.48</v>
      </c>
      <c r="M161" s="287">
        <f t="shared" si="6"/>
        <v>0.46079999999999999</v>
      </c>
      <c r="N161" s="263">
        <f>M161*0.998^50</f>
        <v>0.41690733373625977</v>
      </c>
      <c r="O161" s="268"/>
      <c r="P161" s="98">
        <v>2150</v>
      </c>
      <c r="Q161" s="31"/>
      <c r="R161" s="126"/>
      <c r="S161" s="31"/>
      <c r="T161" s="31">
        <v>1</v>
      </c>
      <c r="U161" s="31">
        <v>0.9</v>
      </c>
      <c r="V161" s="31">
        <v>30</v>
      </c>
      <c r="W161" s="31">
        <v>1040</v>
      </c>
      <c r="X161" s="31"/>
      <c r="Y161" s="31">
        <v>12.4</v>
      </c>
      <c r="Z161" s="31"/>
      <c r="AA161" s="31"/>
      <c r="AB161" s="31"/>
      <c r="AD161" s="344">
        <f>11.8-SUM(AD162:AD164)</f>
        <v>0.5</v>
      </c>
      <c r="AE161" s="345">
        <f>AD161</f>
        <v>0.5</v>
      </c>
      <c r="AF161" s="351">
        <f>AE161*0.96</f>
        <v>0.48</v>
      </c>
      <c r="AG161" s="351">
        <f>AF161*0.96</f>
        <v>0.46079999999999999</v>
      </c>
      <c r="AH161" s="346">
        <v>0.05</v>
      </c>
      <c r="AI161" s="12"/>
      <c r="AJ161" s="12"/>
      <c r="AK161" s="12"/>
      <c r="AL161" s="12"/>
      <c r="AM161" s="12"/>
      <c r="AN161" s="12"/>
      <c r="AO161" s="12"/>
      <c r="AP161" s="12"/>
    </row>
    <row r="162" spans="1:42" customFormat="1" ht="12.95" customHeight="1" x14ac:dyDescent="0.25">
      <c r="B162" s="31"/>
      <c r="C162" s="31"/>
      <c r="D162" s="31"/>
      <c r="E162" s="31" t="s">
        <v>690</v>
      </c>
      <c r="F162" s="31"/>
      <c r="G162" s="31"/>
      <c r="H162" s="31"/>
      <c r="I162" s="107" t="s">
        <v>736</v>
      </c>
      <c r="J162" s="104"/>
      <c r="K162" s="101">
        <f t="shared" si="6"/>
        <v>2.2079999999999997</v>
      </c>
      <c r="L162" s="101">
        <f t="shared" si="6"/>
        <v>2.0313599999999998</v>
      </c>
      <c r="M162" s="101">
        <f t="shared" si="6"/>
        <v>1.8688511999999999</v>
      </c>
      <c r="N162" s="117">
        <f>M162*0.995^50</f>
        <v>1.4545503562528006</v>
      </c>
      <c r="O162" s="249"/>
      <c r="P162" s="31"/>
      <c r="Q162" s="31"/>
      <c r="R162" s="126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D162" s="344">
        <v>2.2999999999999998</v>
      </c>
      <c r="AE162" s="351">
        <f>AD162*0.96</f>
        <v>2.2079999999999997</v>
      </c>
      <c r="AF162" s="351">
        <f>AE162*0.92</f>
        <v>2.0313599999999998</v>
      </c>
      <c r="AG162" s="351">
        <f>AF162*0.92</f>
        <v>1.8688511999999999</v>
      </c>
      <c r="AH162" s="346">
        <v>0.1</v>
      </c>
      <c r="AI162" s="12"/>
      <c r="AJ162" s="12"/>
      <c r="AK162" s="12"/>
      <c r="AL162" s="12"/>
      <c r="AM162" s="12"/>
      <c r="AN162" s="12"/>
      <c r="AO162" s="12"/>
      <c r="AP162" s="12"/>
    </row>
    <row r="163" spans="1:42" customFormat="1" ht="12.95" customHeight="1" x14ac:dyDescent="0.25">
      <c r="B163" s="31"/>
      <c r="C163" s="31"/>
      <c r="D163" s="31"/>
      <c r="E163" s="31" t="s">
        <v>683</v>
      </c>
      <c r="F163" s="31"/>
      <c r="G163" s="31"/>
      <c r="H163" s="31"/>
      <c r="I163" s="107" t="s">
        <v>736</v>
      </c>
      <c r="J163" s="104"/>
      <c r="K163" s="256">
        <f>AE163*$AH$10</f>
        <v>6.9359999999999999</v>
      </c>
      <c r="L163" s="256">
        <f>AF163*$AH$10</f>
        <v>6.3117599999999996</v>
      </c>
      <c r="M163" s="256">
        <f>AG163*$AH$10</f>
        <v>5.7437015999999996</v>
      </c>
      <c r="N163" s="117">
        <f>M163*0.995^50</f>
        <v>4.470395079335252</v>
      </c>
      <c r="O163" s="249"/>
      <c r="P163" s="31"/>
      <c r="Q163" s="31"/>
      <c r="R163" s="126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D163" s="344">
        <v>8.5</v>
      </c>
      <c r="AE163" s="351">
        <f>AD163*0.96</f>
        <v>8.16</v>
      </c>
      <c r="AF163" s="351">
        <f>AE163*0.91</f>
        <v>7.4256000000000002</v>
      </c>
      <c r="AG163" s="351">
        <f>AF163*0.91</f>
        <v>6.7572960000000002</v>
      </c>
      <c r="AH163" s="346">
        <v>0.75</v>
      </c>
      <c r="AI163" s="12"/>
      <c r="AJ163" s="12"/>
      <c r="AK163" s="12"/>
      <c r="AL163" s="12"/>
      <c r="AM163" s="12"/>
      <c r="AN163" s="12"/>
      <c r="AO163" s="12"/>
      <c r="AP163" s="12"/>
    </row>
    <row r="164" spans="1:42" customFormat="1" ht="12.95" customHeight="1" x14ac:dyDescent="0.25">
      <c r="B164" s="31"/>
      <c r="C164" s="31"/>
      <c r="D164" s="31"/>
      <c r="E164" s="31" t="s">
        <v>684</v>
      </c>
      <c r="F164" s="31"/>
      <c r="G164" s="31"/>
      <c r="H164" s="31"/>
      <c r="I164" s="107" t="s">
        <v>736</v>
      </c>
      <c r="J164" s="104"/>
      <c r="K164" s="256">
        <f>AE164*$AH$11</f>
        <v>0.43</v>
      </c>
      <c r="L164" s="256">
        <f>AF164*$AH$11</f>
        <v>0.4128</v>
      </c>
      <c r="M164" s="256">
        <f>AG164*$AH$11</f>
        <v>0.39628799999999997</v>
      </c>
      <c r="N164" s="104"/>
      <c r="O164" s="249"/>
      <c r="P164" s="31"/>
      <c r="Q164" s="31"/>
      <c r="R164" s="126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D164" s="344">
        <v>0.5</v>
      </c>
      <c r="AE164" s="345">
        <f>AD164</f>
        <v>0.5</v>
      </c>
      <c r="AF164" s="351">
        <f>AE164*0.96</f>
        <v>0.48</v>
      </c>
      <c r="AG164" s="351">
        <f>AF164*0.96</f>
        <v>0.46079999999999999</v>
      </c>
      <c r="AH164" s="346">
        <v>0.1</v>
      </c>
      <c r="AI164" s="12"/>
      <c r="AJ164" s="12"/>
      <c r="AK164" s="12"/>
      <c r="AL164" s="12"/>
      <c r="AM164" s="12"/>
      <c r="AN164" s="12"/>
      <c r="AO164" s="12"/>
      <c r="AP164" s="12"/>
    </row>
    <row r="165" spans="1:42" customFormat="1" ht="12.95" customHeight="1" x14ac:dyDescent="0.25">
      <c r="B165" s="31"/>
      <c r="C165" s="31"/>
      <c r="D165" s="31"/>
      <c r="E165" s="107" t="s">
        <v>738</v>
      </c>
      <c r="F165" s="31"/>
      <c r="G165" s="31"/>
      <c r="H165" s="107"/>
      <c r="I165" s="107" t="s">
        <v>736</v>
      </c>
      <c r="J165" s="104"/>
      <c r="K165" s="253">
        <v>0.01</v>
      </c>
      <c r="L165" s="253"/>
      <c r="M165" s="105"/>
      <c r="N165" s="104"/>
      <c r="O165" s="249">
        <v>2</v>
      </c>
      <c r="P165" s="31"/>
      <c r="Q165" s="31"/>
      <c r="R165" s="126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D165" s="344">
        <f>SUM(AD161:AD164)</f>
        <v>11.8</v>
      </c>
      <c r="AE165" s="351">
        <f>SUM(AE161:AE164)</f>
        <v>11.368</v>
      </c>
      <c r="AF165" s="351">
        <f>SUM(AF161:AF164)</f>
        <v>10.41696</v>
      </c>
      <c r="AG165" s="351">
        <f>SUM(AG161:AG164)</f>
        <v>9.5477472000000017</v>
      </c>
      <c r="AH165" s="346"/>
      <c r="AI165" s="12"/>
      <c r="AJ165" s="12"/>
      <c r="AK165" s="12"/>
      <c r="AL165" s="12"/>
      <c r="AM165" s="12"/>
      <c r="AN165" s="12"/>
      <c r="AO165" s="12"/>
      <c r="AP165" s="12"/>
    </row>
    <row r="166" spans="1:42" customFormat="1" ht="12.95" customHeight="1" x14ac:dyDescent="0.25">
      <c r="B166" s="31"/>
      <c r="C166" s="31"/>
      <c r="D166" s="31"/>
      <c r="E166" s="31"/>
      <c r="F166" s="31" t="s">
        <v>794</v>
      </c>
      <c r="G166" s="31"/>
      <c r="H166" s="31"/>
      <c r="I166" s="107"/>
      <c r="J166" s="104"/>
      <c r="K166" s="99"/>
      <c r="L166" s="99"/>
      <c r="M166" s="105"/>
      <c r="N166" s="104"/>
      <c r="O166" s="249"/>
      <c r="P166" s="31"/>
      <c r="Q166" s="31"/>
      <c r="R166" s="126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D166" s="344"/>
      <c r="AE166" s="345"/>
      <c r="AF166" s="345"/>
      <c r="AG166" s="345"/>
      <c r="AH166" s="346"/>
      <c r="AI166" s="12"/>
      <c r="AJ166" s="12"/>
      <c r="AK166" s="12"/>
      <c r="AL166" s="12"/>
      <c r="AM166" s="12"/>
      <c r="AN166" s="12"/>
      <c r="AO166" s="12"/>
      <c r="AP166" s="12"/>
    </row>
    <row r="167" spans="1:42" customFormat="1" ht="12.95" customHeight="1" x14ac:dyDescent="0.25">
      <c r="A167" s="52"/>
      <c r="B167" s="246"/>
      <c r="C167" s="98" t="s">
        <v>795</v>
      </c>
      <c r="D167" s="98" t="s">
        <v>796</v>
      </c>
      <c r="E167" s="98" t="s">
        <v>980</v>
      </c>
      <c r="F167" s="98"/>
      <c r="G167" s="98" t="s">
        <v>1308</v>
      </c>
      <c r="H167" s="98"/>
      <c r="I167" s="260" t="s">
        <v>736</v>
      </c>
      <c r="J167" s="261"/>
      <c r="K167" s="284">
        <f>AE$167*$AH167</f>
        <v>7.2292500000000004</v>
      </c>
      <c r="L167" s="284">
        <f>AF$167*$AH167</f>
        <v>6.0737848784756938</v>
      </c>
      <c r="M167" s="284">
        <f>AG$167*$AH167</f>
        <v>5.1029999999999998</v>
      </c>
      <c r="N167" s="263">
        <f>M167*0.995^50</f>
        <v>3.9717289787212815</v>
      </c>
      <c r="O167" s="268"/>
      <c r="P167" s="98">
        <f>BaseYear+1</f>
        <v>2011</v>
      </c>
      <c r="Q167" s="31"/>
      <c r="R167" s="126"/>
      <c r="S167" s="31"/>
      <c r="T167" s="31">
        <v>1</v>
      </c>
      <c r="U167" s="31">
        <v>0.95</v>
      </c>
      <c r="V167" s="31">
        <v>25</v>
      </c>
      <c r="W167" s="270">
        <v>746.6</v>
      </c>
      <c r="X167" s="254">
        <v>29.86</v>
      </c>
      <c r="Y167" s="254">
        <v>7.47</v>
      </c>
      <c r="Z167" s="31"/>
      <c r="AA167" s="31"/>
      <c r="AB167" s="31"/>
      <c r="AD167" s="347">
        <f>AE167*1.1</f>
        <v>14.72625</v>
      </c>
      <c r="AE167" s="351">
        <f>(16.75-1)*0.85</f>
        <v>13.387499999999999</v>
      </c>
      <c r="AF167" s="348">
        <f>SQRT(AG167*AE167)</f>
        <v>11.247749774954988</v>
      </c>
      <c r="AG167" s="345">
        <f>(16.75-1)*0.6</f>
        <v>9.4499999999999993</v>
      </c>
      <c r="AH167" s="416">
        <v>0.54</v>
      </c>
      <c r="AI167" s="12"/>
      <c r="AJ167" s="12"/>
      <c r="AK167" s="12"/>
      <c r="AL167" s="12"/>
      <c r="AM167" s="12"/>
      <c r="AN167" s="12"/>
      <c r="AO167" s="12"/>
      <c r="AP167" s="12"/>
    </row>
    <row r="168" spans="1:42" customFormat="1" ht="12.95" customHeight="1" x14ac:dyDescent="0.25">
      <c r="B168" s="31"/>
      <c r="C168" s="31"/>
      <c r="D168" s="31"/>
      <c r="E168" s="31" t="s">
        <v>278</v>
      </c>
      <c r="F168" s="31"/>
      <c r="G168" s="31"/>
      <c r="H168" s="31"/>
      <c r="I168" s="107" t="s">
        <v>736</v>
      </c>
      <c r="J168" s="104"/>
      <c r="K168" s="102">
        <f>AE$167*$AH168*$AH$10</f>
        <v>5.2345124999999992</v>
      </c>
      <c r="L168" s="102">
        <f>AF$167*$AH168*$AH$10</f>
        <v>4.3978701620073997</v>
      </c>
      <c r="M168" s="102">
        <f>AG$167*$AH168*$AH$10</f>
        <v>3.6949499999999995</v>
      </c>
      <c r="N168" s="117">
        <f>M168*0.995^50</f>
        <v>2.8758259827407797</v>
      </c>
      <c r="O168" s="249"/>
      <c r="P168" s="31"/>
      <c r="Q168" s="31"/>
      <c r="R168" s="126"/>
      <c r="S168" s="31"/>
      <c r="T168" s="31"/>
      <c r="U168" s="31"/>
      <c r="V168" s="31"/>
      <c r="W168" s="270"/>
      <c r="X168" s="254"/>
      <c r="Y168" s="254"/>
      <c r="Z168" s="31"/>
      <c r="AA168" s="31"/>
      <c r="AB168" s="31"/>
      <c r="AD168" s="344"/>
      <c r="AE168" s="345"/>
      <c r="AF168" s="345"/>
      <c r="AG168" s="345"/>
      <c r="AH168" s="416">
        <f>1-AH167</f>
        <v>0.45999999999999996</v>
      </c>
      <c r="AI168" s="12"/>
      <c r="AJ168" s="12"/>
      <c r="AK168" s="12"/>
      <c r="AL168" s="12"/>
      <c r="AM168" s="12"/>
      <c r="AN168" s="12"/>
      <c r="AO168" s="12"/>
      <c r="AP168" s="12"/>
    </row>
    <row r="169" spans="1:42" customFormat="1" ht="12.95" customHeight="1" x14ac:dyDescent="0.25">
      <c r="B169" s="31"/>
      <c r="C169" s="31"/>
      <c r="D169" s="31"/>
      <c r="E169" s="31" t="s">
        <v>281</v>
      </c>
      <c r="F169" s="31"/>
      <c r="G169" s="31"/>
      <c r="H169" s="31"/>
      <c r="I169" s="107" t="s">
        <v>736</v>
      </c>
      <c r="J169" s="104"/>
      <c r="K169" s="102">
        <f>AE$169*$AH169</f>
        <v>0.3</v>
      </c>
      <c r="L169" s="102">
        <f>AF$169*$AH169</f>
        <v>0.2765863337187866</v>
      </c>
      <c r="M169" s="102">
        <f>AG$169*$AH169</f>
        <v>0.255</v>
      </c>
      <c r="N169" s="117">
        <f>M169*0.998^50</f>
        <v>0.23071043859102919</v>
      </c>
      <c r="O169" s="249"/>
      <c r="P169" s="31"/>
      <c r="Q169" s="31"/>
      <c r="R169" s="126"/>
      <c r="S169" s="31"/>
      <c r="T169" s="31"/>
      <c r="U169" s="31"/>
      <c r="V169" s="31"/>
      <c r="W169" s="270"/>
      <c r="X169" s="254"/>
      <c r="Y169" s="254"/>
      <c r="Z169" s="31"/>
      <c r="AA169" s="31"/>
      <c r="AB169" s="31"/>
      <c r="AD169" s="344">
        <v>1</v>
      </c>
      <c r="AE169" s="345">
        <v>1</v>
      </c>
      <c r="AF169" s="348">
        <f>SQRT(AG169*AE169)</f>
        <v>0.92195444572928875</v>
      </c>
      <c r="AG169" s="345">
        <f>1*0.85</f>
        <v>0.85</v>
      </c>
      <c r="AH169" s="346">
        <v>0.3</v>
      </c>
      <c r="AI169" s="12"/>
      <c r="AJ169" s="12"/>
      <c r="AK169" s="12"/>
      <c r="AL169" s="12"/>
      <c r="AM169" s="12"/>
      <c r="AN169" s="12"/>
      <c r="AO169" s="12"/>
      <c r="AP169" s="12"/>
    </row>
    <row r="170" spans="1:42" customFormat="1" ht="12.95" customHeight="1" x14ac:dyDescent="0.25">
      <c r="B170" s="31"/>
      <c r="C170" s="31"/>
      <c r="D170" s="31"/>
      <c r="E170" s="31" t="s">
        <v>280</v>
      </c>
      <c r="F170" s="31"/>
      <c r="G170" s="31"/>
      <c r="H170" s="31"/>
      <c r="I170" s="107" t="s">
        <v>736</v>
      </c>
      <c r="J170" s="104"/>
      <c r="K170" s="102">
        <f>AE$169*$AH170*$AH$11</f>
        <v>0.60199999999999998</v>
      </c>
      <c r="L170" s="102">
        <f>AF$169*$AH170*$AH$11</f>
        <v>0.55501657632903179</v>
      </c>
      <c r="M170" s="102">
        <f>AG$169*$AH170*$AH$11</f>
        <v>0.51169999999999993</v>
      </c>
      <c r="N170" s="104"/>
      <c r="O170" s="249"/>
      <c r="P170" s="31"/>
      <c r="Q170" s="31"/>
      <c r="R170" s="126"/>
      <c r="S170" s="31"/>
      <c r="T170" s="31"/>
      <c r="U170" s="31"/>
      <c r="V170" s="31"/>
      <c r="W170" s="270"/>
      <c r="X170" s="254"/>
      <c r="Y170" s="254"/>
      <c r="Z170" s="31"/>
      <c r="AA170" s="31"/>
      <c r="AB170" s="31"/>
      <c r="AD170" s="344"/>
      <c r="AE170" s="345"/>
      <c r="AF170" s="345"/>
      <c r="AG170" s="345"/>
      <c r="AH170" s="346">
        <f>1-AH169</f>
        <v>0.7</v>
      </c>
      <c r="AI170" s="12"/>
      <c r="AJ170" s="12"/>
      <c r="AK170" s="12"/>
      <c r="AL170" s="12"/>
      <c r="AM170" s="12"/>
      <c r="AN170" s="12"/>
      <c r="AO170" s="12"/>
      <c r="AP170" s="12"/>
    </row>
    <row r="171" spans="1:42" customFormat="1" ht="12.95" customHeight="1" x14ac:dyDescent="0.25">
      <c r="B171" s="31"/>
      <c r="C171" s="31"/>
      <c r="D171" s="31"/>
      <c r="E171" s="107" t="s">
        <v>797</v>
      </c>
      <c r="F171" s="31" t="s">
        <v>798</v>
      </c>
      <c r="G171" s="31"/>
      <c r="H171" s="31"/>
      <c r="I171" s="107" t="s">
        <v>736</v>
      </c>
      <c r="J171" s="104"/>
      <c r="K171" s="99">
        <v>47</v>
      </c>
      <c r="L171" s="99">
        <v>47</v>
      </c>
      <c r="M171" s="266">
        <f>L171</f>
        <v>47</v>
      </c>
      <c r="N171" s="104"/>
      <c r="O171" s="249"/>
      <c r="P171" s="31"/>
      <c r="Q171" s="31"/>
      <c r="R171" s="126"/>
      <c r="S171" s="31"/>
      <c r="T171" s="31"/>
      <c r="U171" s="31"/>
      <c r="V171" s="31"/>
      <c r="W171" s="270"/>
      <c r="X171" s="254"/>
      <c r="Y171" s="254"/>
      <c r="Z171" s="31"/>
      <c r="AA171" s="31"/>
      <c r="AB171" s="270">
        <f>K171*61*0.1</f>
        <v>286.7</v>
      </c>
      <c r="AD171" s="344"/>
      <c r="AE171" s="345"/>
      <c r="AF171" s="345"/>
      <c r="AG171" s="345"/>
      <c r="AH171" s="346"/>
      <c r="AI171" s="12"/>
      <c r="AJ171" s="12"/>
      <c r="AK171" s="12"/>
      <c r="AL171" s="12"/>
      <c r="AM171" s="12"/>
      <c r="AN171" s="12"/>
      <c r="AO171" s="12"/>
      <c r="AP171" s="12"/>
    </row>
    <row r="172" spans="1:42" customFormat="1" ht="12.95" customHeight="1" x14ac:dyDescent="0.25">
      <c r="B172" s="246"/>
      <c r="C172" s="98" t="s">
        <v>1359</v>
      </c>
      <c r="D172" s="98" t="s">
        <v>1360</v>
      </c>
      <c r="E172" s="98" t="s">
        <v>980</v>
      </c>
      <c r="F172" s="98"/>
      <c r="G172" s="98" t="s">
        <v>1369</v>
      </c>
      <c r="H172" s="98"/>
      <c r="I172" s="260" t="s">
        <v>736</v>
      </c>
      <c r="J172" s="261"/>
      <c r="K172" s="284">
        <f>AE$172*$AH172</f>
        <v>11.533743684726351</v>
      </c>
      <c r="L172" s="284">
        <f>AF$172*$AH172</f>
        <v>9.8667875607140587</v>
      </c>
      <c r="M172" s="284">
        <f>AG$172*$AH172</f>
        <v>8.4407543144194186</v>
      </c>
      <c r="N172" s="283">
        <f>M172*0.995^50</f>
        <v>6.5695450740439529</v>
      </c>
      <c r="O172" s="268"/>
      <c r="P172" s="98">
        <f>BaseYear+20</f>
        <v>2030</v>
      </c>
      <c r="Q172" s="31"/>
      <c r="R172" s="126"/>
      <c r="S172" s="31"/>
      <c r="T172" s="31">
        <v>1</v>
      </c>
      <c r="U172" s="31">
        <v>0.95</v>
      </c>
      <c r="V172" s="31">
        <v>25</v>
      </c>
      <c r="W172" s="270">
        <v>867.8</v>
      </c>
      <c r="X172" s="254">
        <v>35.58</v>
      </c>
      <c r="Y172" s="254">
        <v>8.68</v>
      </c>
      <c r="Z172" s="31"/>
      <c r="AA172" s="31"/>
      <c r="AB172" s="31"/>
      <c r="AD172" s="347"/>
      <c r="AE172" s="351">
        <f>AE167+1.37</f>
        <v>14.7575</v>
      </c>
      <c r="AF172" s="348">
        <f>SQRT(AG172*AE172)</f>
        <v>12.624618806126385</v>
      </c>
      <c r="AG172" s="345">
        <f>AG167+1.35</f>
        <v>10.799999999999999</v>
      </c>
      <c r="AH172" s="417">
        <f>AH$167^0.4</f>
        <v>0.78155132540920558</v>
      </c>
      <c r="AI172" s="12"/>
      <c r="AJ172" s="12"/>
      <c r="AK172" s="12"/>
      <c r="AL172" s="12"/>
      <c r="AM172" s="12"/>
      <c r="AN172" s="12"/>
      <c r="AO172" s="12"/>
      <c r="AP172" s="12"/>
    </row>
    <row r="173" spans="1:42" customFormat="1" ht="12.95" customHeight="1" x14ac:dyDescent="0.25">
      <c r="B173" s="31"/>
      <c r="C173" s="31"/>
      <c r="D173" s="31"/>
      <c r="E173" s="31" t="s">
        <v>278</v>
      </c>
      <c r="F173" s="31"/>
      <c r="G173" s="31"/>
      <c r="H173" s="31"/>
      <c r="I173" s="107" t="s">
        <v>736</v>
      </c>
      <c r="J173" s="104"/>
      <c r="K173" s="102">
        <f>AE$172*$AH173*$AH$10</f>
        <v>2.7401928679826013</v>
      </c>
      <c r="L173" s="102">
        <f>AF$172*$AH173*$AH$10</f>
        <v>2.3441565586004773</v>
      </c>
      <c r="M173" s="102">
        <f>AG$172*$AH173*$AH$10</f>
        <v>2.0053588327434926</v>
      </c>
      <c r="N173" s="103">
        <f>M173*0.995^50</f>
        <v>1.5607959609527755</v>
      </c>
      <c r="O173" s="249"/>
      <c r="P173" s="31"/>
      <c r="Q173" s="31"/>
      <c r="R173" s="126"/>
      <c r="S173" s="31"/>
      <c r="T173" s="31"/>
      <c r="U173" s="31"/>
      <c r="V173" s="31"/>
      <c r="W173" s="270"/>
      <c r="X173" s="254"/>
      <c r="Y173" s="254"/>
      <c r="Z173" s="31"/>
      <c r="AA173" s="31"/>
      <c r="AB173" s="31"/>
      <c r="AD173" s="344"/>
      <c r="AE173" s="345"/>
      <c r="AF173" s="345"/>
      <c r="AG173" s="345"/>
      <c r="AH173" s="416">
        <f>1-AH172</f>
        <v>0.21844867459079442</v>
      </c>
      <c r="AI173" s="12"/>
      <c r="AJ173" s="12"/>
      <c r="AK173" s="12"/>
      <c r="AL173" s="12"/>
      <c r="AM173" s="12"/>
      <c r="AN173" s="12"/>
      <c r="AO173" s="12"/>
      <c r="AP173" s="12"/>
    </row>
    <row r="174" spans="1:42" customFormat="1" ht="12.95" customHeight="1" x14ac:dyDescent="0.25">
      <c r="B174" s="31"/>
      <c r="C174" s="31"/>
      <c r="D174" s="31"/>
      <c r="E174" s="31" t="s">
        <v>281</v>
      </c>
      <c r="F174" s="31"/>
      <c r="G174" s="31"/>
      <c r="H174" s="31"/>
      <c r="I174" s="107" t="s">
        <v>736</v>
      </c>
      <c r="J174" s="104"/>
      <c r="K174" s="102">
        <f>AE$174*$AH174</f>
        <v>0.82232000000000005</v>
      </c>
      <c r="L174" s="102">
        <f>AF$174*$AH174</f>
        <v>0.7749718781994609</v>
      </c>
      <c r="M174" s="102">
        <f>AG$174*$AH174</f>
        <v>0.73035000000000005</v>
      </c>
      <c r="N174" s="117">
        <f>M174*0.998^50</f>
        <v>0.66078183852924777</v>
      </c>
      <c r="O174" s="249"/>
      <c r="P174" s="31"/>
      <c r="Q174" s="31"/>
      <c r="R174" s="126"/>
      <c r="S174" s="31"/>
      <c r="T174" s="31"/>
      <c r="U174" s="31"/>
      <c r="V174" s="31"/>
      <c r="W174" s="270"/>
      <c r="X174" s="254"/>
      <c r="Y174" s="254"/>
      <c r="Z174" s="31"/>
      <c r="AA174" s="31"/>
      <c r="AB174" s="31"/>
      <c r="AD174" s="344">
        <v>1</v>
      </c>
      <c r="AE174" s="345">
        <f>AE169+0.52</f>
        <v>1.52</v>
      </c>
      <c r="AF174" s="348">
        <f>SQRT(AG174*AE174)</f>
        <v>1.4324803663575987</v>
      </c>
      <c r="AG174" s="345">
        <f>AG169+0.5</f>
        <v>1.35</v>
      </c>
      <c r="AH174" s="416">
        <v>0.54100000000000004</v>
      </c>
      <c r="AI174" s="12"/>
      <c r="AJ174" s="12"/>
      <c r="AK174" s="12"/>
      <c r="AL174" s="12"/>
      <c r="AM174" s="12"/>
      <c r="AN174" s="12"/>
      <c r="AO174" s="12"/>
      <c r="AP174" s="12"/>
    </row>
    <row r="175" spans="1:42" customFormat="1" ht="12.95" customHeight="1" x14ac:dyDescent="0.25">
      <c r="B175" s="31"/>
      <c r="C175" s="31"/>
      <c r="D175" s="31"/>
      <c r="E175" s="31" t="s">
        <v>280</v>
      </c>
      <c r="F175" s="31"/>
      <c r="G175" s="31"/>
      <c r="H175" s="31"/>
      <c r="I175" s="107" t="s">
        <v>736</v>
      </c>
      <c r="J175" s="104"/>
      <c r="K175" s="102">
        <f>AE$174*$AH175*$AH$11</f>
        <v>0.6000048</v>
      </c>
      <c r="L175" s="102">
        <f>AF$174*$AH175*$AH$11</f>
        <v>0.56545729981599846</v>
      </c>
      <c r="M175" s="102">
        <f>AG$174*$AH175*$AH$11</f>
        <v>0.53289900000000001</v>
      </c>
      <c r="N175" s="104"/>
      <c r="O175" s="249"/>
      <c r="P175" s="31"/>
      <c r="Q175" s="31"/>
      <c r="R175" s="126"/>
      <c r="S175" s="31"/>
      <c r="T175" s="31"/>
      <c r="U175" s="31"/>
      <c r="V175" s="31"/>
      <c r="W175" s="270"/>
      <c r="X175" s="254"/>
      <c r="Y175" s="254"/>
      <c r="Z175" s="31"/>
      <c r="AA175" s="31"/>
      <c r="AB175" s="31"/>
      <c r="AD175" s="344"/>
      <c r="AE175" s="345"/>
      <c r="AF175" s="345"/>
      <c r="AG175" s="345"/>
      <c r="AH175" s="416">
        <f>1-AH174</f>
        <v>0.45899999999999996</v>
      </c>
      <c r="AI175" s="12"/>
      <c r="AJ175" s="12"/>
      <c r="AK175" s="12"/>
      <c r="AL175" s="12"/>
      <c r="AM175" s="12"/>
      <c r="AN175" s="12"/>
      <c r="AO175" s="12"/>
      <c r="AP175" s="12"/>
    </row>
    <row r="176" spans="1:42" customFormat="1" ht="12.95" customHeight="1" x14ac:dyDescent="0.25">
      <c r="B176" s="31"/>
      <c r="C176" s="31"/>
      <c r="D176" s="31"/>
      <c r="E176" s="107" t="s">
        <v>797</v>
      </c>
      <c r="F176" s="31" t="s">
        <v>798</v>
      </c>
      <c r="G176" s="31"/>
      <c r="H176" s="31"/>
      <c r="I176" s="107" t="s">
        <v>736</v>
      </c>
      <c r="J176" s="104"/>
      <c r="K176" s="99">
        <v>47</v>
      </c>
      <c r="L176" s="99">
        <v>47</v>
      </c>
      <c r="M176" s="99">
        <f>L176</f>
        <v>47</v>
      </c>
      <c r="N176" s="104"/>
      <c r="O176" s="249"/>
      <c r="P176" s="31"/>
      <c r="Q176" s="31"/>
      <c r="R176" s="126"/>
      <c r="S176" s="31"/>
      <c r="T176" s="31"/>
      <c r="U176" s="31"/>
      <c r="V176" s="31"/>
      <c r="W176" s="270"/>
      <c r="X176" s="254"/>
      <c r="Y176" s="254"/>
      <c r="Z176" s="31"/>
      <c r="AA176" s="31"/>
      <c r="AB176" s="270">
        <f>K176*61*0.1</f>
        <v>286.7</v>
      </c>
      <c r="AD176" s="344"/>
      <c r="AE176" s="345"/>
      <c r="AF176" s="345"/>
      <c r="AG176" s="345"/>
      <c r="AH176" s="346"/>
      <c r="AI176" s="12"/>
      <c r="AJ176" s="12"/>
      <c r="AK176" s="12"/>
      <c r="AL176" s="12"/>
      <c r="AM176" s="12"/>
      <c r="AN176" s="12"/>
      <c r="AO176" s="12"/>
      <c r="AP176" s="12"/>
    </row>
    <row r="177" spans="1:42" customFormat="1" ht="12.95" customHeight="1" x14ac:dyDescent="0.25">
      <c r="B177" s="31"/>
      <c r="C177" s="31"/>
      <c r="D177" s="31"/>
      <c r="E177" s="31"/>
      <c r="F177" s="31" t="s">
        <v>764</v>
      </c>
      <c r="G177" s="31"/>
      <c r="H177" s="31"/>
      <c r="I177" s="107" t="s">
        <v>741</v>
      </c>
      <c r="J177" s="104"/>
      <c r="K177" s="266">
        <f>K172*61.6*0.9</f>
        <v>639.43074988122896</v>
      </c>
      <c r="L177" s="266">
        <f>L172*61.6*0.9</f>
        <v>547.01470236598743</v>
      </c>
      <c r="M177" s="266">
        <f>M172*61.6*0.9</f>
        <v>467.9554191914126</v>
      </c>
      <c r="N177" s="266">
        <f>N172*61.6*0.9</f>
        <v>364.21557890499673</v>
      </c>
      <c r="O177" s="249"/>
      <c r="P177" s="31"/>
      <c r="Q177" s="31"/>
      <c r="R177" s="126"/>
      <c r="S177" s="31"/>
      <c r="T177" s="31"/>
      <c r="U177" s="31"/>
      <c r="V177" s="31"/>
      <c r="W177" s="270"/>
      <c r="X177" s="254"/>
      <c r="Y177" s="254"/>
      <c r="Z177" s="31"/>
      <c r="AA177" s="31"/>
      <c r="AB177" s="31"/>
      <c r="AD177" s="344"/>
      <c r="AE177" s="345"/>
      <c r="AF177" s="345"/>
      <c r="AG177" s="345"/>
      <c r="AH177" s="346"/>
      <c r="AI177" s="12"/>
      <c r="AJ177" s="12"/>
      <c r="AK177" s="12"/>
      <c r="AL177" s="12"/>
      <c r="AM177" s="12"/>
      <c r="AN177" s="12"/>
      <c r="AO177" s="12"/>
      <c r="AP177" s="12"/>
    </row>
    <row r="178" spans="1:42" customFormat="1" ht="12.95" customHeight="1" x14ac:dyDescent="0.25">
      <c r="A178" s="52"/>
      <c r="B178" s="246"/>
      <c r="C178" s="98" t="s">
        <v>799</v>
      </c>
      <c r="D178" s="98" t="s">
        <v>800</v>
      </c>
      <c r="E178" s="98" t="s">
        <v>982</v>
      </c>
      <c r="F178" s="98"/>
      <c r="G178" s="98" t="s">
        <v>1308</v>
      </c>
      <c r="H178" s="98"/>
      <c r="I178" s="260" t="s">
        <v>736</v>
      </c>
      <c r="J178" s="261"/>
      <c r="K178" s="284">
        <f>AE$178*$AH178</f>
        <v>6.6555</v>
      </c>
      <c r="L178" s="284">
        <f>AF$178*$AH178</f>
        <v>5.7070441670798386</v>
      </c>
      <c r="M178" s="284">
        <f>AG$178*$AH178</f>
        <v>4.8937500000000007</v>
      </c>
      <c r="N178" s="283">
        <f>M178*0.995^50</f>
        <v>3.808867076154669</v>
      </c>
      <c r="O178" s="268"/>
      <c r="P178" s="98">
        <f>BaseYear+1</f>
        <v>2011</v>
      </c>
      <c r="Q178" s="31"/>
      <c r="R178" s="126"/>
      <c r="S178" s="31"/>
      <c r="T178" s="31">
        <v>1</v>
      </c>
      <c r="U178" s="31">
        <v>0.95</v>
      </c>
      <c r="V178" s="31">
        <v>25</v>
      </c>
      <c r="W178" s="270">
        <v>508.3</v>
      </c>
      <c r="X178" s="254">
        <v>20.329999999999998</v>
      </c>
      <c r="Y178" s="254">
        <v>5.07</v>
      </c>
      <c r="Z178" s="31"/>
      <c r="AA178" s="31"/>
      <c r="AB178" s="31"/>
      <c r="AD178" s="347"/>
      <c r="AE178" s="351">
        <f>(15.5-1)*0.85</f>
        <v>12.324999999999999</v>
      </c>
      <c r="AF178" s="348">
        <f>SQRT(AG178*AE178)</f>
        <v>10.568600309407108</v>
      </c>
      <c r="AG178" s="351">
        <f>(15.5-1)*0.625</f>
        <v>9.0625</v>
      </c>
      <c r="AH178" s="416">
        <f>AH$167</f>
        <v>0.54</v>
      </c>
      <c r="AI178" s="12"/>
      <c r="AJ178" s="12"/>
      <c r="AK178" s="12"/>
      <c r="AL178" s="12"/>
      <c r="AM178" s="12"/>
      <c r="AN178" s="12"/>
      <c r="AO178" s="12"/>
      <c r="AP178" s="12"/>
    </row>
    <row r="179" spans="1:42" customFormat="1" ht="12.95" customHeight="1" x14ac:dyDescent="0.25">
      <c r="B179" s="31"/>
      <c r="C179" s="31"/>
      <c r="D179" s="31"/>
      <c r="E179" s="31" t="s">
        <v>278</v>
      </c>
      <c r="F179" s="31"/>
      <c r="G179" s="31"/>
      <c r="H179" s="31"/>
      <c r="I179" s="107" t="s">
        <v>736</v>
      </c>
      <c r="J179" s="104"/>
      <c r="K179" s="102">
        <f>AE$178*$AH179*$AH$10</f>
        <v>4.8190749999999989</v>
      </c>
      <c r="L179" s="102">
        <f>AF$178*$AH179*$AH$10</f>
        <v>4.1323227209781788</v>
      </c>
      <c r="M179" s="102">
        <f>AG$178*$AH179*$AH$10</f>
        <v>3.5434374999999991</v>
      </c>
      <c r="N179" s="103">
        <f>M179*0.995^50</f>
        <v>2.7579019014379167</v>
      </c>
      <c r="O179" s="249"/>
      <c r="P179" s="31"/>
      <c r="Q179" s="31"/>
      <c r="R179" s="126"/>
      <c r="S179" s="31"/>
      <c r="T179" s="31"/>
      <c r="U179" s="31"/>
      <c r="V179" s="31"/>
      <c r="W179" s="270"/>
      <c r="X179" s="254"/>
      <c r="Y179" s="254"/>
      <c r="Z179" s="31"/>
      <c r="AA179" s="31"/>
      <c r="AB179" s="31"/>
      <c r="AD179" s="344"/>
      <c r="AE179" s="345"/>
      <c r="AF179" s="345"/>
      <c r="AG179" s="345"/>
      <c r="AH179" s="416">
        <f>1-AH178</f>
        <v>0.45999999999999996</v>
      </c>
      <c r="AI179" s="12"/>
      <c r="AJ179" s="12"/>
      <c r="AK179" s="12"/>
      <c r="AL179" s="12"/>
      <c r="AM179" s="12"/>
      <c r="AN179" s="12"/>
      <c r="AO179" s="12"/>
      <c r="AP179" s="12"/>
    </row>
    <row r="180" spans="1:42" customFormat="1" ht="12.95" customHeight="1" x14ac:dyDescent="0.25">
      <c r="B180" s="31"/>
      <c r="C180" s="31"/>
      <c r="D180" s="31"/>
      <c r="E180" s="31" t="s">
        <v>281</v>
      </c>
      <c r="F180" s="31"/>
      <c r="G180" s="31"/>
      <c r="H180" s="31"/>
      <c r="I180" s="107" t="s">
        <v>736</v>
      </c>
      <c r="J180" s="104"/>
      <c r="K180" s="102">
        <f>AE$180*$AH180</f>
        <v>0.3</v>
      </c>
      <c r="L180" s="102">
        <f>AF$180*$AH180</f>
        <v>0.2765863337187866</v>
      </c>
      <c r="M180" s="102">
        <f>AG$180*$AH180</f>
        <v>0.255</v>
      </c>
      <c r="N180" s="117">
        <f>M180*0.998^50</f>
        <v>0.23071043859102919</v>
      </c>
      <c r="O180" s="249"/>
      <c r="P180" s="31"/>
      <c r="Q180" s="31"/>
      <c r="R180" s="126"/>
      <c r="S180" s="31"/>
      <c r="T180" s="31"/>
      <c r="U180" s="31"/>
      <c r="V180" s="31"/>
      <c r="W180" s="270"/>
      <c r="X180" s="254"/>
      <c r="Y180" s="254"/>
      <c r="Z180" s="31"/>
      <c r="AA180" s="31"/>
      <c r="AB180" s="31"/>
      <c r="AD180" s="344">
        <v>1</v>
      </c>
      <c r="AE180" s="345">
        <v>1</v>
      </c>
      <c r="AF180" s="348">
        <f>SQRT(AG180*AE180)</f>
        <v>0.92195444572928875</v>
      </c>
      <c r="AG180" s="345">
        <f>1*0.85</f>
        <v>0.85</v>
      </c>
      <c r="AH180" s="346">
        <v>0.3</v>
      </c>
      <c r="AI180" s="12"/>
      <c r="AJ180" s="12"/>
      <c r="AK180" s="12"/>
      <c r="AL180" s="12"/>
      <c r="AM180" s="12"/>
      <c r="AN180" s="12"/>
      <c r="AO180" s="12"/>
      <c r="AP180" s="12"/>
    </row>
    <row r="181" spans="1:42" customFormat="1" ht="12.95" customHeight="1" x14ac:dyDescent="0.25">
      <c r="B181" s="31"/>
      <c r="C181" s="31"/>
      <c r="D181" s="31"/>
      <c r="E181" s="31" t="s">
        <v>280</v>
      </c>
      <c r="F181" s="31"/>
      <c r="G181" s="31"/>
      <c r="H181" s="31"/>
      <c r="I181" s="107" t="s">
        <v>736</v>
      </c>
      <c r="J181" s="104"/>
      <c r="K181" s="102">
        <f>AE$180*$AH181*$AH$11</f>
        <v>0.60199999999999998</v>
      </c>
      <c r="L181" s="102">
        <f>AF$180*$AH181*$AH$11</f>
        <v>0.55501657632903179</v>
      </c>
      <c r="M181" s="102">
        <f>AG$180*$AH181*$AH$11</f>
        <v>0.51169999999999993</v>
      </c>
      <c r="N181" s="117">
        <f>M181*0.998^50</f>
        <v>0.46295894677266514</v>
      </c>
      <c r="O181" s="249"/>
      <c r="P181" s="31"/>
      <c r="Q181" s="31"/>
      <c r="R181" s="126"/>
      <c r="S181" s="31"/>
      <c r="T181" s="31"/>
      <c r="U181" s="31"/>
      <c r="V181" s="31"/>
      <c r="W181" s="270"/>
      <c r="X181" s="254"/>
      <c r="Y181" s="254"/>
      <c r="Z181" s="31"/>
      <c r="AA181" s="31"/>
      <c r="AB181" s="31"/>
      <c r="AD181" s="344"/>
      <c r="AE181" s="345"/>
      <c r="AF181" s="345"/>
      <c r="AG181" s="345"/>
      <c r="AH181" s="346">
        <f>1-AH180</f>
        <v>0.7</v>
      </c>
      <c r="AI181" s="12"/>
      <c r="AJ181" s="12"/>
      <c r="AK181" s="12"/>
      <c r="AL181" s="12"/>
      <c r="AM181" s="12"/>
      <c r="AN181" s="12"/>
      <c r="AO181" s="12"/>
      <c r="AP181" s="12"/>
    </row>
    <row r="182" spans="1:42" customFormat="1" ht="12.95" customHeight="1" x14ac:dyDescent="0.25">
      <c r="B182" s="31"/>
      <c r="C182" s="31"/>
      <c r="D182" s="31"/>
      <c r="E182" s="31" t="s">
        <v>801</v>
      </c>
      <c r="F182" s="31" t="s">
        <v>798</v>
      </c>
      <c r="G182" s="31"/>
      <c r="H182" s="31"/>
      <c r="I182" s="107" t="s">
        <v>736</v>
      </c>
      <c r="J182" s="104"/>
      <c r="K182" s="266">
        <v>47</v>
      </c>
      <c r="L182" s="266">
        <v>47</v>
      </c>
      <c r="M182" s="266">
        <f>L182</f>
        <v>47</v>
      </c>
      <c r="N182" s="104"/>
      <c r="O182" s="249"/>
      <c r="P182" s="31"/>
      <c r="Q182" s="31"/>
      <c r="R182" s="126"/>
      <c r="S182" s="31"/>
      <c r="T182" s="31"/>
      <c r="U182" s="31"/>
      <c r="V182" s="31"/>
      <c r="W182" s="270"/>
      <c r="X182" s="254"/>
      <c r="Y182" s="254"/>
      <c r="Z182" s="31"/>
      <c r="AA182" s="31"/>
      <c r="AB182" s="270">
        <f>K182*73*0.1</f>
        <v>343.1</v>
      </c>
      <c r="AD182" s="344"/>
      <c r="AE182" s="345"/>
      <c r="AF182" s="345"/>
      <c r="AG182" s="345"/>
      <c r="AH182" s="346"/>
      <c r="AI182" s="12"/>
      <c r="AJ182" s="12"/>
      <c r="AK182" s="12"/>
      <c r="AL182" s="12"/>
      <c r="AM182" s="12"/>
      <c r="AN182" s="12"/>
      <c r="AO182" s="12"/>
      <c r="AP182" s="12"/>
    </row>
    <row r="183" spans="1:42" customFormat="1" ht="12.95" customHeight="1" x14ac:dyDescent="0.25">
      <c r="A183" s="55"/>
      <c r="B183" s="276"/>
      <c r="C183" s="98" t="s">
        <v>1365</v>
      </c>
      <c r="D183" s="98" t="s">
        <v>1366</v>
      </c>
      <c r="E183" s="98" t="s">
        <v>982</v>
      </c>
      <c r="F183" s="98"/>
      <c r="G183" s="98" t="s">
        <v>1369</v>
      </c>
      <c r="H183" s="98"/>
      <c r="I183" s="260" t="s">
        <v>736</v>
      </c>
      <c r="J183" s="261"/>
      <c r="K183" s="284">
        <f>AE$183*$AH183</f>
        <v>10.414171411077664</v>
      </c>
      <c r="L183" s="284">
        <f>AF$183*$AH183</f>
        <v>8.9322226138550871</v>
      </c>
      <c r="M183" s="284">
        <f>AG$183*$AH183</f>
        <v>7.6611568673237382</v>
      </c>
      <c r="N183" s="263">
        <f>M183*0.995^50</f>
        <v>5.962774591510728</v>
      </c>
      <c r="O183" s="268"/>
      <c r="P183" s="98">
        <f>BaseYear+20</f>
        <v>2030</v>
      </c>
      <c r="Q183" s="31"/>
      <c r="R183" s="126"/>
      <c r="S183" s="31"/>
      <c r="T183" s="31">
        <v>1</v>
      </c>
      <c r="U183" s="31">
        <v>0.95</v>
      </c>
      <c r="V183" s="31">
        <v>25</v>
      </c>
      <c r="W183" s="270">
        <v>586</v>
      </c>
      <c r="X183" s="254">
        <v>24.03</v>
      </c>
      <c r="Y183" s="254">
        <v>5.85</v>
      </c>
      <c r="Z183" s="31"/>
      <c r="AA183" s="31"/>
      <c r="AB183" s="31"/>
      <c r="AD183" s="347"/>
      <c r="AE183" s="351">
        <f>AE178+1</f>
        <v>13.324999999999999</v>
      </c>
      <c r="AF183" s="351">
        <f>SQRT(AG183*AE183)</f>
        <v>11.428836883077823</v>
      </c>
      <c r="AG183" s="351">
        <f>AG178+0.74</f>
        <v>9.8025000000000002</v>
      </c>
      <c r="AH183" s="417">
        <f>AH$167^0.4</f>
        <v>0.78155132540920558</v>
      </c>
      <c r="AI183" s="12"/>
      <c r="AJ183" s="12"/>
      <c r="AK183" s="12"/>
      <c r="AL183" s="12"/>
      <c r="AM183" s="12"/>
      <c r="AN183" s="12"/>
      <c r="AO183" s="12"/>
      <c r="AP183" s="12"/>
    </row>
    <row r="184" spans="1:42" customFormat="1" ht="12.95" customHeight="1" x14ac:dyDescent="0.25">
      <c r="A184" s="56"/>
      <c r="B184" s="277"/>
      <c r="C184" s="31"/>
      <c r="D184" s="31"/>
      <c r="E184" s="31" t="s">
        <v>278</v>
      </c>
      <c r="F184" s="31"/>
      <c r="G184" s="31"/>
      <c r="H184" s="31"/>
      <c r="I184" s="107" t="s">
        <v>736</v>
      </c>
      <c r="J184" s="104"/>
      <c r="K184" s="102">
        <f>AE$183*$AH184*$AH$10</f>
        <v>2.4742043005839851</v>
      </c>
      <c r="L184" s="102">
        <f>AF$183*$AH184*$AH$10</f>
        <v>2.1221221288393259</v>
      </c>
      <c r="M184" s="102">
        <f>AG$183*$AH184*$AH$10</f>
        <v>1.820141662774823</v>
      </c>
      <c r="N184" s="117">
        <f>M184*0.995^50</f>
        <v>1.416639111781443</v>
      </c>
      <c r="O184" s="249"/>
      <c r="P184" s="31"/>
      <c r="Q184" s="31"/>
      <c r="R184" s="126"/>
      <c r="S184" s="31"/>
      <c r="T184" s="31"/>
      <c r="U184" s="31"/>
      <c r="V184" s="31"/>
      <c r="W184" s="270"/>
      <c r="X184" s="254"/>
      <c r="Y184" s="254"/>
      <c r="Z184" s="31"/>
      <c r="AA184" s="31"/>
      <c r="AB184" s="31"/>
      <c r="AD184" s="344"/>
      <c r="AE184" s="345"/>
      <c r="AF184" s="345"/>
      <c r="AG184" s="345"/>
      <c r="AH184" s="416">
        <f>1-AH183</f>
        <v>0.21844867459079442</v>
      </c>
      <c r="AI184" s="12"/>
      <c r="AJ184" s="12"/>
      <c r="AK184" s="12"/>
      <c r="AL184" s="12"/>
      <c r="AM184" s="12"/>
      <c r="AN184" s="12"/>
      <c r="AO184" s="12"/>
      <c r="AP184" s="12"/>
    </row>
    <row r="185" spans="1:42" customFormat="1" ht="12.95" customHeight="1" x14ac:dyDescent="0.25">
      <c r="A185" s="56"/>
      <c r="B185" s="277"/>
      <c r="C185" s="31"/>
      <c r="D185" s="31"/>
      <c r="E185" s="31" t="s">
        <v>281</v>
      </c>
      <c r="F185" s="31"/>
      <c r="G185" s="31"/>
      <c r="H185" s="31"/>
      <c r="I185" s="107" t="s">
        <v>736</v>
      </c>
      <c r="J185" s="104"/>
      <c r="K185" s="102">
        <f>AE$185*$AH185</f>
        <v>0.59800000000000009</v>
      </c>
      <c r="L185" s="102">
        <f>AF$185*$AH185</f>
        <v>0.55505819514713961</v>
      </c>
      <c r="M185" s="102">
        <f>AG$185*$AH185</f>
        <v>0.5152000000000001</v>
      </c>
      <c r="N185" s="117">
        <f>M185*0.998^50</f>
        <v>0.46612556063567945</v>
      </c>
      <c r="O185" s="249"/>
      <c r="P185" s="31"/>
      <c r="Q185" s="31"/>
      <c r="R185" s="126"/>
      <c r="S185" s="31"/>
      <c r="T185" s="31"/>
      <c r="U185" s="31"/>
      <c r="V185" s="31"/>
      <c r="W185" s="270"/>
      <c r="X185" s="254"/>
      <c r="Y185" s="254"/>
      <c r="Z185" s="31"/>
      <c r="AA185" s="31"/>
      <c r="AB185" s="31"/>
      <c r="AD185" s="344">
        <v>1</v>
      </c>
      <c r="AE185" s="345">
        <f>AE180+0.3</f>
        <v>1.3</v>
      </c>
      <c r="AF185" s="348">
        <f>SQRT(AG185*AE185)</f>
        <v>1.2066482503198686</v>
      </c>
      <c r="AG185" s="345">
        <f>AG180+0.27</f>
        <v>1.1200000000000001</v>
      </c>
      <c r="AH185" s="346">
        <v>0.46</v>
      </c>
      <c r="AI185" s="12"/>
      <c r="AJ185" s="12"/>
      <c r="AK185" s="12"/>
      <c r="AL185" s="12"/>
      <c r="AM185" s="12"/>
      <c r="AN185" s="12"/>
      <c r="AO185" s="12"/>
      <c r="AP185" s="12"/>
    </row>
    <row r="186" spans="1:42" customFormat="1" ht="12.95" customHeight="1" x14ac:dyDescent="0.25">
      <c r="A186" s="56"/>
      <c r="B186" s="277"/>
      <c r="C186" s="31"/>
      <c r="D186" s="31"/>
      <c r="E186" s="31" t="s">
        <v>280</v>
      </c>
      <c r="F186" s="31"/>
      <c r="G186" s="31"/>
      <c r="H186" s="31"/>
      <c r="I186" s="107" t="s">
        <v>736</v>
      </c>
      <c r="J186" s="104"/>
      <c r="K186" s="102">
        <f>AE$185*$AH186*$AH$11</f>
        <v>0.60372000000000003</v>
      </c>
      <c r="L186" s="102">
        <f>AF$185*$AH186*$AH$11</f>
        <v>0.56036744744854694</v>
      </c>
      <c r="M186" s="102">
        <f>AG$185*$AH186*$AH$11</f>
        <v>0.52012800000000015</v>
      </c>
      <c r="N186" s="117">
        <f>M186*0.998^50</f>
        <v>0.47058415295480338</v>
      </c>
      <c r="O186" s="249"/>
      <c r="P186" s="31"/>
      <c r="Q186" s="31"/>
      <c r="R186" s="126"/>
      <c r="S186" s="31"/>
      <c r="T186" s="31"/>
      <c r="U186" s="31"/>
      <c r="V186" s="31"/>
      <c r="W186" s="270"/>
      <c r="X186" s="254"/>
      <c r="Y186" s="254"/>
      <c r="Z186" s="31"/>
      <c r="AA186" s="31"/>
      <c r="AB186" s="31"/>
      <c r="AD186" s="344"/>
      <c r="AE186" s="345"/>
      <c r="AF186" s="345"/>
      <c r="AG186" s="345"/>
      <c r="AH186" s="346">
        <f>1-AH185</f>
        <v>0.54</v>
      </c>
      <c r="AI186" s="12"/>
      <c r="AJ186" s="12"/>
      <c r="AK186" s="12"/>
      <c r="AL186" s="12"/>
      <c r="AM186" s="12"/>
      <c r="AN186" s="12"/>
      <c r="AO186" s="12"/>
      <c r="AP186" s="12"/>
    </row>
    <row r="187" spans="1:42" customFormat="1" ht="12.95" customHeight="1" x14ac:dyDescent="0.25">
      <c r="A187" s="56"/>
      <c r="B187" s="277"/>
      <c r="C187" s="31"/>
      <c r="D187" s="31"/>
      <c r="E187" s="31" t="s">
        <v>801</v>
      </c>
      <c r="F187" s="31" t="s">
        <v>798</v>
      </c>
      <c r="G187" s="31"/>
      <c r="H187" s="31"/>
      <c r="I187" s="107" t="s">
        <v>736</v>
      </c>
      <c r="J187" s="104"/>
      <c r="K187" s="99">
        <v>47</v>
      </c>
      <c r="L187" s="99">
        <v>47</v>
      </c>
      <c r="M187" s="99">
        <f>L187</f>
        <v>47</v>
      </c>
      <c r="N187" s="104"/>
      <c r="O187" s="249"/>
      <c r="P187" s="31"/>
      <c r="Q187" s="31"/>
      <c r="R187" s="126"/>
      <c r="S187" s="31"/>
      <c r="T187" s="31"/>
      <c r="U187" s="31"/>
      <c r="V187" s="31"/>
      <c r="W187" s="270"/>
      <c r="X187" s="254"/>
      <c r="Y187" s="254"/>
      <c r="Z187" s="31"/>
      <c r="AA187" s="31"/>
      <c r="AB187" s="270">
        <f>K187*73*0.1</f>
        <v>343.1</v>
      </c>
      <c r="AD187" s="344"/>
      <c r="AE187" s="345"/>
      <c r="AF187" s="345"/>
      <c r="AG187" s="345"/>
      <c r="AH187" s="346"/>
      <c r="AI187" s="12"/>
      <c r="AJ187" s="12"/>
      <c r="AK187" s="12"/>
      <c r="AL187" s="12"/>
      <c r="AM187" s="12"/>
      <c r="AN187" s="12"/>
      <c r="AO187" s="12"/>
      <c r="AP187" s="12"/>
    </row>
    <row r="188" spans="1:42" customFormat="1" ht="12.95" customHeight="1" x14ac:dyDescent="0.25">
      <c r="A188" s="56"/>
      <c r="B188" s="277"/>
      <c r="C188" s="31"/>
      <c r="D188" s="31"/>
      <c r="E188" s="31"/>
      <c r="F188" s="31" t="s">
        <v>764</v>
      </c>
      <c r="G188" s="31"/>
      <c r="H188" s="31"/>
      <c r="I188" s="107" t="s">
        <v>741</v>
      </c>
      <c r="J188" s="104"/>
      <c r="K188" s="266">
        <f>K183*73*0.9</f>
        <v>684.21106170780263</v>
      </c>
      <c r="L188" s="266">
        <f>L183*73*0.9</f>
        <v>586.84702573027926</v>
      </c>
      <c r="M188" s="266">
        <f>M183*73*0.9</f>
        <v>503.33800618316963</v>
      </c>
      <c r="N188" s="266">
        <f>N183*73*0.9</f>
        <v>391.75429066225485</v>
      </c>
      <c r="O188" s="249"/>
      <c r="P188" s="31"/>
      <c r="Q188" s="31"/>
      <c r="R188" s="126"/>
      <c r="S188" s="31"/>
      <c r="T188" s="31"/>
      <c r="U188" s="31"/>
      <c r="V188" s="31"/>
      <c r="W188" s="270"/>
      <c r="X188" s="254"/>
      <c r="Y188" s="254"/>
      <c r="Z188" s="31"/>
      <c r="AA188" s="31"/>
      <c r="AB188" s="31"/>
      <c r="AD188" s="344"/>
      <c r="AE188" s="345"/>
      <c r="AF188" s="345"/>
      <c r="AG188" s="345"/>
      <c r="AH188" s="346"/>
      <c r="AI188" s="12"/>
      <c r="AJ188" s="12"/>
      <c r="AK188" s="12"/>
      <c r="AL188" s="12"/>
      <c r="AM188" s="12"/>
      <c r="AN188" s="12"/>
      <c r="AO188" s="12"/>
      <c r="AP188" s="12"/>
    </row>
    <row r="189" spans="1:42" customFormat="1" ht="12.95" customHeight="1" x14ac:dyDescent="0.25">
      <c r="A189" s="56"/>
      <c r="B189" s="276"/>
      <c r="C189" s="98" t="s">
        <v>1367</v>
      </c>
      <c r="D189" s="98" t="s">
        <v>1368</v>
      </c>
      <c r="E189" s="98" t="s">
        <v>1282</v>
      </c>
      <c r="F189" s="98"/>
      <c r="G189" s="98" t="s">
        <v>1370</v>
      </c>
      <c r="H189" s="98"/>
      <c r="I189" s="260" t="s">
        <v>736</v>
      </c>
      <c r="J189" s="261"/>
      <c r="K189" s="284">
        <f>$AF193-K193</f>
        <v>4.3299999999999983</v>
      </c>
      <c r="L189" s="284">
        <f>AF193-$L193</f>
        <v>4.3299999999999983</v>
      </c>
      <c r="M189" s="284">
        <f>AG193-$L193</f>
        <v>4.25</v>
      </c>
      <c r="N189" s="283">
        <f>M189*0.997^50</f>
        <v>3.6571842909453363</v>
      </c>
      <c r="O189" s="268"/>
      <c r="P189" s="98">
        <f>BaseYear+20</f>
        <v>2030</v>
      </c>
      <c r="Q189" s="31"/>
      <c r="R189" s="126"/>
      <c r="S189" s="31"/>
      <c r="T189" s="31">
        <v>1</v>
      </c>
      <c r="U189" s="31">
        <v>0.95</v>
      </c>
      <c r="V189" s="31">
        <v>25</v>
      </c>
      <c r="W189" s="270">
        <v>960.3</v>
      </c>
      <c r="X189" s="254">
        <v>28.81</v>
      </c>
      <c r="Y189" s="254">
        <v>9.6</v>
      </c>
      <c r="Z189" s="31"/>
      <c r="AA189" s="31"/>
      <c r="AB189" s="31"/>
      <c r="AD189" s="344"/>
      <c r="AE189" s="345"/>
      <c r="AF189" s="345"/>
      <c r="AG189" s="345"/>
      <c r="AH189" s="346"/>
      <c r="AI189" s="12"/>
      <c r="AJ189" s="12"/>
      <c r="AK189" s="12"/>
      <c r="AL189" s="12"/>
      <c r="AM189" s="12"/>
      <c r="AN189" s="12"/>
      <c r="AO189" s="12"/>
      <c r="AP189" s="12"/>
    </row>
    <row r="190" spans="1:42" customFormat="1" ht="12.95" customHeight="1" x14ac:dyDescent="0.25">
      <c r="A190" s="56"/>
      <c r="B190" s="277"/>
      <c r="C190" s="31"/>
      <c r="D190" s="31"/>
      <c r="E190" s="31" t="s">
        <v>278</v>
      </c>
      <c r="F190" s="31"/>
      <c r="G190" s="31"/>
      <c r="H190" s="31"/>
      <c r="I190" s="107" t="s">
        <v>736</v>
      </c>
      <c r="J190" s="104"/>
      <c r="K190" s="102">
        <f>$AE190</f>
        <v>2.1254837837837837</v>
      </c>
      <c r="L190" s="102">
        <f>AF190</f>
        <v>2.0242702702702702</v>
      </c>
      <c r="M190" s="102">
        <f>AG190</f>
        <v>1.8683372184355647</v>
      </c>
      <c r="N190" s="103">
        <f>M190*0.996^50</f>
        <v>1.5290517582570342</v>
      </c>
      <c r="O190" s="249"/>
      <c r="P190" s="31"/>
      <c r="Q190" s="31"/>
      <c r="R190" s="126"/>
      <c r="S190" s="31"/>
      <c r="T190" s="31"/>
      <c r="U190" s="31"/>
      <c r="V190" s="31"/>
      <c r="W190" s="270"/>
      <c r="X190" s="31"/>
      <c r="Y190" s="254"/>
      <c r="Z190" s="31"/>
      <c r="AA190" s="31"/>
      <c r="AB190" s="31"/>
      <c r="AD190" s="344"/>
      <c r="AE190" s="348">
        <f>AF190*1.05</f>
        <v>2.1254837837837837</v>
      </c>
      <c r="AF190" s="348">
        <v>2.0242702702702702</v>
      </c>
      <c r="AG190" s="348">
        <f>AF190*0.996^20</f>
        <v>1.8683372184355647</v>
      </c>
      <c r="AH190" s="346"/>
      <c r="AI190" s="12"/>
      <c r="AJ190" s="12"/>
      <c r="AK190" s="12"/>
      <c r="AL190" s="12"/>
      <c r="AM190" s="12"/>
      <c r="AN190" s="12"/>
      <c r="AO190" s="12"/>
      <c r="AP190" s="12"/>
    </row>
    <row r="191" spans="1:42" customFormat="1" ht="12.95" customHeight="1" x14ac:dyDescent="0.25">
      <c r="A191" s="56"/>
      <c r="B191" s="277"/>
      <c r="C191" s="31"/>
      <c r="D191" s="31"/>
      <c r="E191" s="31" t="s">
        <v>281</v>
      </c>
      <c r="F191" s="31"/>
      <c r="G191" s="31"/>
      <c r="H191" s="31"/>
      <c r="I191" s="107" t="s">
        <v>736</v>
      </c>
      <c r="J191" s="104"/>
      <c r="K191" s="102">
        <f>AE$191*$AH191</f>
        <v>0</v>
      </c>
      <c r="L191" s="102">
        <f>AF$191*$AH191</f>
        <v>0</v>
      </c>
      <c r="M191" s="102">
        <f>AG$191*$AH191</f>
        <v>0</v>
      </c>
      <c r="N191" s="117">
        <f>M191*0.998^50</f>
        <v>0</v>
      </c>
      <c r="O191" s="249">
        <v>2</v>
      </c>
      <c r="P191" s="31"/>
      <c r="Q191" s="31"/>
      <c r="R191" s="126"/>
      <c r="S191" s="31"/>
      <c r="T191" s="31"/>
      <c r="U191" s="31"/>
      <c r="V191" s="31"/>
      <c r="W191" s="270"/>
      <c r="X191" s="31"/>
      <c r="Y191" s="31"/>
      <c r="Z191" s="31"/>
      <c r="AA191" s="31"/>
      <c r="AB191" s="31"/>
      <c r="AD191" s="344"/>
      <c r="AE191" s="345">
        <v>0</v>
      </c>
      <c r="AF191" s="348">
        <f>SQRT(AG191*AE191)</f>
        <v>0</v>
      </c>
      <c r="AG191" s="345">
        <f>AE191*0.85</f>
        <v>0</v>
      </c>
      <c r="AH191" s="346">
        <v>0.3</v>
      </c>
      <c r="AI191" s="12"/>
      <c r="AJ191" s="12"/>
      <c r="AK191" s="12"/>
      <c r="AL191" s="12"/>
      <c r="AM191" s="12"/>
      <c r="AN191" s="12"/>
      <c r="AO191" s="12"/>
      <c r="AP191" s="12"/>
    </row>
    <row r="192" spans="1:42" customFormat="1" ht="12.95" customHeight="1" x14ac:dyDescent="0.25">
      <c r="A192" s="56"/>
      <c r="B192" s="277"/>
      <c r="C192" s="31"/>
      <c r="D192" s="31"/>
      <c r="E192" s="31" t="s">
        <v>280</v>
      </c>
      <c r="F192" s="31"/>
      <c r="G192" s="31"/>
      <c r="H192" s="31"/>
      <c r="I192" s="107" t="s">
        <v>736</v>
      </c>
      <c r="J192" s="104"/>
      <c r="K192" s="102">
        <f>AE$191*$AH192*$AH$11</f>
        <v>0</v>
      </c>
      <c r="L192" s="102">
        <f>AF$191*$AH192*$AH$11</f>
        <v>0</v>
      </c>
      <c r="M192" s="102">
        <f>AG$191*$AH192*$AH$11</f>
        <v>0</v>
      </c>
      <c r="N192" s="104"/>
      <c r="O192" s="249">
        <v>2</v>
      </c>
      <c r="P192" s="31"/>
      <c r="Q192" s="31"/>
      <c r="R192" s="126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D192" s="344"/>
      <c r="AE192" s="345"/>
      <c r="AF192" s="345"/>
      <c r="AG192" s="345"/>
      <c r="AH192" s="346">
        <f>1-AH191</f>
        <v>0.7</v>
      </c>
      <c r="AI192" s="12"/>
      <c r="AJ192" s="12"/>
      <c r="AK192" s="12"/>
      <c r="AL192" s="12"/>
      <c r="AM192" s="12"/>
      <c r="AN192" s="12"/>
      <c r="AO192" s="12"/>
      <c r="AP192" s="12"/>
    </row>
    <row r="193" spans="1:42" customFormat="1" ht="12.95" customHeight="1" x14ac:dyDescent="0.25">
      <c r="A193" s="56"/>
      <c r="B193" s="277"/>
      <c r="C193" s="31"/>
      <c r="D193" s="31"/>
      <c r="E193" s="31" t="s">
        <v>1364</v>
      </c>
      <c r="F193" s="31" t="s">
        <v>798</v>
      </c>
      <c r="G193" s="31"/>
      <c r="H193" s="31"/>
      <c r="I193" s="107" t="s">
        <v>736</v>
      </c>
      <c r="J193" s="104"/>
      <c r="K193" s="99">
        <f>K187</f>
        <v>47</v>
      </c>
      <c r="L193" s="99">
        <f>L187</f>
        <v>47</v>
      </c>
      <c r="M193" s="99">
        <f>M187</f>
        <v>47</v>
      </c>
      <c r="N193" s="104"/>
      <c r="O193" s="249"/>
      <c r="P193" s="31"/>
      <c r="Q193" s="31"/>
      <c r="R193" s="126"/>
      <c r="S193" s="31"/>
      <c r="T193" s="31"/>
      <c r="U193" s="31"/>
      <c r="V193" s="31"/>
      <c r="W193" s="31"/>
      <c r="X193" s="31"/>
      <c r="Y193" s="31"/>
      <c r="Z193" s="31"/>
      <c r="AA193" s="31"/>
      <c r="AB193" s="270">
        <f>69*K193*0.15</f>
        <v>486.45</v>
      </c>
      <c r="AD193" s="344"/>
      <c r="AE193" s="345"/>
      <c r="AF193" s="345">
        <v>51.33</v>
      </c>
      <c r="AG193" s="345">
        <v>51.25</v>
      </c>
      <c r="AH193" s="346"/>
      <c r="AI193" s="12"/>
      <c r="AJ193" s="12"/>
      <c r="AK193" s="12"/>
      <c r="AL193" s="12"/>
      <c r="AM193" s="12"/>
      <c r="AN193" s="12"/>
      <c r="AO193" s="12"/>
      <c r="AP193" s="12"/>
    </row>
    <row r="194" spans="1:42" customFormat="1" ht="12.95" customHeight="1" x14ac:dyDescent="0.25">
      <c r="A194" s="52"/>
      <c r="B194" s="246"/>
      <c r="C194" s="98" t="s">
        <v>802</v>
      </c>
      <c r="D194" s="98" t="s">
        <v>803</v>
      </c>
      <c r="E194" s="98" t="s">
        <v>278</v>
      </c>
      <c r="F194" s="98"/>
      <c r="G194" s="98" t="s">
        <v>1318</v>
      </c>
      <c r="H194" s="98"/>
      <c r="I194" s="260" t="s">
        <v>736</v>
      </c>
      <c r="J194" s="261"/>
      <c r="K194" s="98">
        <f>AE$194*$AH194</f>
        <v>6.5</v>
      </c>
      <c r="L194" s="284">
        <f>AF$194*$AH194</f>
        <v>5.4382901724714907</v>
      </c>
      <c r="M194" s="284">
        <f>AG$194*$AH194</f>
        <v>4.55</v>
      </c>
      <c r="N194" s="263">
        <f>M194*0.995^50</f>
        <v>3.5413221346623223</v>
      </c>
      <c r="O194" s="268"/>
      <c r="P194" s="98">
        <f>BaseYear+1</f>
        <v>2011</v>
      </c>
      <c r="Q194" s="31"/>
      <c r="R194" s="126"/>
      <c r="S194" s="31"/>
      <c r="T194" s="31">
        <v>1</v>
      </c>
      <c r="U194" s="31">
        <v>0.9</v>
      </c>
      <c r="V194" s="31">
        <v>30</v>
      </c>
      <c r="W194" s="31">
        <v>1170</v>
      </c>
      <c r="X194" s="31"/>
      <c r="Y194" s="31">
        <v>12.4</v>
      </c>
      <c r="Z194" s="31"/>
      <c r="AA194" s="31"/>
      <c r="AB194" s="31"/>
      <c r="AD194" s="344">
        <f>AE194*1.1</f>
        <v>7.15</v>
      </c>
      <c r="AE194" s="345">
        <v>6.5</v>
      </c>
      <c r="AF194" s="348">
        <f>SQRT(AG194*AE194)</f>
        <v>5.4382901724714907</v>
      </c>
      <c r="AG194" s="345">
        <f>AE194*0.7</f>
        <v>4.55</v>
      </c>
      <c r="AH194" s="346">
        <v>1</v>
      </c>
      <c r="AI194" s="12"/>
      <c r="AJ194" s="12"/>
      <c r="AK194" s="12"/>
      <c r="AL194" s="12"/>
      <c r="AM194" s="12"/>
      <c r="AN194" s="12"/>
      <c r="AO194" s="12"/>
      <c r="AP194" s="12"/>
    </row>
    <row r="195" spans="1:42" customFormat="1" ht="12.95" customHeight="1" x14ac:dyDescent="0.25">
      <c r="B195" s="31"/>
      <c r="C195" s="31"/>
      <c r="D195" s="31"/>
      <c r="E195" s="31" t="s">
        <v>281</v>
      </c>
      <c r="F195" s="31"/>
      <c r="G195" s="31"/>
      <c r="H195" s="31"/>
      <c r="I195" s="107" t="s">
        <v>736</v>
      </c>
      <c r="J195" s="104"/>
      <c r="K195" s="99">
        <f t="shared" ref="K195:M196" si="7">AE$195*$AH195</f>
        <v>0.3</v>
      </c>
      <c r="L195" s="102">
        <f t="shared" si="7"/>
        <v>0.28460498941515411</v>
      </c>
      <c r="M195" s="102">
        <f t="shared" si="7"/>
        <v>0.27</v>
      </c>
      <c r="N195" s="104"/>
      <c r="O195" s="249"/>
      <c r="P195" s="31"/>
      <c r="Q195" s="31"/>
      <c r="R195" s="126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D195" s="344">
        <v>1</v>
      </c>
      <c r="AE195" s="345">
        <v>1</v>
      </c>
      <c r="AF195" s="348">
        <f>SQRT(AG195*AE195)</f>
        <v>0.94868329805051377</v>
      </c>
      <c r="AG195" s="345">
        <f>AE195*0.9</f>
        <v>0.9</v>
      </c>
      <c r="AH195" s="346">
        <v>0.3</v>
      </c>
      <c r="AI195" s="12"/>
      <c r="AJ195" s="12"/>
      <c r="AK195" s="12"/>
      <c r="AL195" s="12"/>
      <c r="AM195" s="12"/>
      <c r="AN195" s="12"/>
      <c r="AO195" s="12"/>
      <c r="AP195" s="12"/>
    </row>
    <row r="196" spans="1:42" customFormat="1" ht="12.95" customHeight="1" x14ac:dyDescent="0.25">
      <c r="B196" s="31"/>
      <c r="C196" s="31"/>
      <c r="D196" s="31"/>
      <c r="E196" s="31" t="s">
        <v>280</v>
      </c>
      <c r="F196" s="31"/>
      <c r="G196" s="31"/>
      <c r="H196" s="31"/>
      <c r="I196" s="107" t="s">
        <v>736</v>
      </c>
      <c r="J196" s="104"/>
      <c r="K196" s="99">
        <f t="shared" si="7"/>
        <v>0.7</v>
      </c>
      <c r="L196" s="102">
        <f t="shared" si="7"/>
        <v>0.66407830863535955</v>
      </c>
      <c r="M196" s="102">
        <f t="shared" si="7"/>
        <v>0.63</v>
      </c>
      <c r="N196" s="104"/>
      <c r="O196" s="249"/>
      <c r="P196" s="31"/>
      <c r="Q196" s="31"/>
      <c r="R196" s="126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D196" s="344"/>
      <c r="AE196" s="345"/>
      <c r="AF196" s="345"/>
      <c r="AG196" s="345"/>
      <c r="AH196" s="346">
        <f>1-AH195</f>
        <v>0.7</v>
      </c>
      <c r="AI196" s="12"/>
      <c r="AJ196" s="12"/>
      <c r="AK196" s="12"/>
      <c r="AL196" s="12"/>
      <c r="AM196" s="12"/>
      <c r="AN196" s="12"/>
      <c r="AO196" s="12"/>
      <c r="AP196" s="12"/>
    </row>
    <row r="197" spans="1:42" customFormat="1" ht="12.95" customHeight="1" x14ac:dyDescent="0.25">
      <c r="B197" s="31"/>
      <c r="C197" s="31"/>
      <c r="D197" s="31"/>
      <c r="E197" s="31" t="s">
        <v>801</v>
      </c>
      <c r="F197" s="31"/>
      <c r="G197" s="31"/>
      <c r="H197" s="31"/>
      <c r="I197" s="107" t="s">
        <v>736</v>
      </c>
      <c r="J197" s="104"/>
      <c r="K197" s="99">
        <f>42.5*1</f>
        <v>42.5</v>
      </c>
      <c r="L197" s="99"/>
      <c r="M197" s="105"/>
      <c r="N197" s="104"/>
      <c r="O197" s="249"/>
      <c r="P197" s="31"/>
      <c r="Q197" s="31"/>
      <c r="R197" s="126"/>
      <c r="S197" s="31"/>
      <c r="T197" s="31"/>
      <c r="U197" s="31"/>
      <c r="V197" s="31"/>
      <c r="W197" s="31"/>
      <c r="X197" s="31"/>
      <c r="Y197" s="31"/>
      <c r="Z197" s="31"/>
      <c r="AA197" s="31"/>
      <c r="AB197" s="270">
        <f>K197*74*(0.15*2/3+0.35*1/3)</f>
        <v>681.41666666666663</v>
      </c>
      <c r="AD197" s="344"/>
      <c r="AE197" s="345"/>
      <c r="AF197" s="345"/>
      <c r="AG197" s="345"/>
      <c r="AH197" s="346"/>
      <c r="AI197" s="12"/>
      <c r="AJ197" s="12"/>
      <c r="AK197" s="12"/>
      <c r="AL197" s="12"/>
      <c r="AM197" s="12"/>
      <c r="AN197" s="12"/>
      <c r="AO197" s="12"/>
      <c r="AP197" s="12"/>
    </row>
    <row r="198" spans="1:42" customFormat="1" ht="12.95" customHeight="1" x14ac:dyDescent="0.25">
      <c r="B198" s="31"/>
      <c r="C198" s="31"/>
      <c r="D198" s="31"/>
      <c r="E198" s="31"/>
      <c r="F198" s="31" t="s">
        <v>804</v>
      </c>
      <c r="G198" s="31"/>
      <c r="H198" s="31"/>
      <c r="I198" s="107"/>
      <c r="J198" s="104"/>
      <c r="K198" s="99"/>
      <c r="L198" s="99"/>
      <c r="M198" s="105"/>
      <c r="N198" s="104"/>
      <c r="O198" s="249"/>
      <c r="P198" s="31"/>
      <c r="Q198" s="31"/>
      <c r="R198" s="126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D198" s="344"/>
      <c r="AE198" s="345"/>
      <c r="AF198" s="345"/>
      <c r="AG198" s="345"/>
      <c r="AH198" s="346"/>
      <c r="AI198" s="12"/>
      <c r="AJ198" s="12"/>
      <c r="AK198" s="12"/>
      <c r="AL198" s="12"/>
      <c r="AM198" s="12"/>
      <c r="AN198" s="12"/>
      <c r="AO198" s="12"/>
      <c r="AP198" s="12"/>
    </row>
    <row r="199" spans="1:42" customFormat="1" ht="12.95" customHeight="1" x14ac:dyDescent="0.25">
      <c r="A199" s="52"/>
      <c r="B199" s="246"/>
      <c r="C199" s="98" t="s">
        <v>805</v>
      </c>
      <c r="D199" s="98" t="s">
        <v>806</v>
      </c>
      <c r="E199" s="98" t="s">
        <v>690</v>
      </c>
      <c r="F199" s="98"/>
      <c r="G199" s="98" t="s">
        <v>1317</v>
      </c>
      <c r="H199" s="98"/>
      <c r="I199" s="260" t="s">
        <v>736</v>
      </c>
      <c r="J199" s="261"/>
      <c r="K199" s="284">
        <f>AE$199*$AH199</f>
        <v>3.24</v>
      </c>
      <c r="L199" s="284">
        <f>AF$199*$AH199</f>
        <v>2.1</v>
      </c>
      <c r="M199" s="284">
        <f>AG$199*$AH199</f>
        <v>1.7849999999999999</v>
      </c>
      <c r="N199" s="263">
        <f>M199*0.995^50</f>
        <v>1.3892879143675265</v>
      </c>
      <c r="O199" s="268"/>
      <c r="P199" s="98">
        <f>BaseYear+1</f>
        <v>2011</v>
      </c>
      <c r="Q199" s="31"/>
      <c r="R199" s="126"/>
      <c r="S199" s="31"/>
      <c r="T199" s="31">
        <v>1</v>
      </c>
      <c r="U199" s="31">
        <v>0.9</v>
      </c>
      <c r="V199" s="31">
        <v>30</v>
      </c>
      <c r="W199" s="278">
        <v>312</v>
      </c>
      <c r="X199" s="31"/>
      <c r="Y199" s="31">
        <v>12.4</v>
      </c>
      <c r="Z199" s="31"/>
      <c r="AA199" s="31"/>
      <c r="AB199" s="31"/>
      <c r="AD199" s="344">
        <f>AE199*1.1</f>
        <v>11.880000000000003</v>
      </c>
      <c r="AE199" s="345">
        <f>31.8-21</f>
        <v>10.8</v>
      </c>
      <c r="AF199" s="358">
        <f>(28-21)*1</f>
        <v>7</v>
      </c>
      <c r="AG199" s="351">
        <f>AF199*0.85</f>
        <v>5.95</v>
      </c>
      <c r="AH199" s="346">
        <v>0.3</v>
      </c>
      <c r="AI199" s="12"/>
      <c r="AJ199" s="12"/>
      <c r="AK199" s="12"/>
      <c r="AL199" s="12"/>
      <c r="AM199" s="12"/>
      <c r="AN199" s="12"/>
      <c r="AO199" s="12"/>
      <c r="AP199" s="12"/>
    </row>
    <row r="200" spans="1:42" customFormat="1" ht="12.95" customHeight="1" x14ac:dyDescent="0.25">
      <c r="B200" s="31"/>
      <c r="C200" s="31"/>
      <c r="D200" s="31"/>
      <c r="E200" s="31" t="s">
        <v>278</v>
      </c>
      <c r="F200" s="31"/>
      <c r="G200" s="31"/>
      <c r="H200" s="31"/>
      <c r="I200" s="107" t="s">
        <v>736</v>
      </c>
      <c r="J200" s="104"/>
      <c r="K200" s="102">
        <f>AE$199*$AH200*$AH$10</f>
        <v>6.4259999999999993</v>
      </c>
      <c r="L200" s="102">
        <f>AF$199*$AH200*$AH$10</f>
        <v>4.1649999999999991</v>
      </c>
      <c r="M200" s="102">
        <f>AG$199*$AH200*$AH$10</f>
        <v>3.5402499999999999</v>
      </c>
      <c r="N200" s="117">
        <f>M200*0.995^50</f>
        <v>2.7554210301622608</v>
      </c>
      <c r="O200" s="249"/>
      <c r="P200" s="31"/>
      <c r="Q200" s="31"/>
      <c r="R200" s="126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D200" s="344"/>
      <c r="AE200" s="345"/>
      <c r="AF200" s="345"/>
      <c r="AG200" s="345"/>
      <c r="AH200" s="346">
        <v>0.7</v>
      </c>
      <c r="AI200" s="12"/>
      <c r="AJ200" s="12"/>
      <c r="AK200" s="12"/>
      <c r="AL200" s="12"/>
      <c r="AM200" s="12"/>
      <c r="AN200" s="12"/>
      <c r="AO200" s="12"/>
      <c r="AP200" s="12"/>
    </row>
    <row r="201" spans="1:42" customFormat="1" ht="12.95" customHeight="1" x14ac:dyDescent="0.25">
      <c r="B201" s="31"/>
      <c r="C201" s="31"/>
      <c r="D201" s="31"/>
      <c r="E201" s="31" t="s">
        <v>281</v>
      </c>
      <c r="F201" s="31"/>
      <c r="G201" s="31"/>
      <c r="H201" s="31"/>
      <c r="I201" s="107" t="s">
        <v>736</v>
      </c>
      <c r="J201" s="104"/>
      <c r="K201" s="102">
        <f t="shared" ref="K201:M202" si="8">AE$201*$AH201</f>
        <v>1.3499999999999999</v>
      </c>
      <c r="L201" s="102">
        <f t="shared" si="8"/>
        <v>1.2807224523681935</v>
      </c>
      <c r="M201" s="102">
        <f t="shared" si="8"/>
        <v>1.2149999999999999</v>
      </c>
      <c r="N201" s="117">
        <f>M201*0.998^50</f>
        <v>1.0992673838749036</v>
      </c>
      <c r="O201" s="249"/>
      <c r="P201" s="31"/>
      <c r="Q201" s="31"/>
      <c r="R201" s="126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D201" s="344">
        <v>4.5</v>
      </c>
      <c r="AE201" s="345">
        <v>4.5</v>
      </c>
      <c r="AF201" s="348">
        <f>SQRT(AG201*AE201)</f>
        <v>4.2690748412273116</v>
      </c>
      <c r="AG201" s="345">
        <f>AE201*0.9</f>
        <v>4.05</v>
      </c>
      <c r="AH201" s="346">
        <v>0.3</v>
      </c>
      <c r="AI201" s="12"/>
      <c r="AJ201" s="12"/>
      <c r="AK201" s="12"/>
      <c r="AL201" s="12"/>
      <c r="AM201" s="12"/>
      <c r="AN201" s="12"/>
      <c r="AO201" s="12"/>
      <c r="AP201" s="12"/>
    </row>
    <row r="202" spans="1:42" customFormat="1" ht="12.95" customHeight="1" x14ac:dyDescent="0.25">
      <c r="B202" s="31"/>
      <c r="C202" s="31"/>
      <c r="D202" s="31"/>
      <c r="E202" s="31" t="s">
        <v>280</v>
      </c>
      <c r="F202" s="31"/>
      <c r="G202" s="31"/>
      <c r="H202" s="31"/>
      <c r="I202" s="107" t="s">
        <v>736</v>
      </c>
      <c r="J202" s="104"/>
      <c r="K202" s="102">
        <f t="shared" si="8"/>
        <v>3.15</v>
      </c>
      <c r="L202" s="102">
        <f t="shared" si="8"/>
        <v>2.9883523888591181</v>
      </c>
      <c r="M202" s="102">
        <f t="shared" si="8"/>
        <v>2.8349999999999995</v>
      </c>
      <c r="N202" s="104"/>
      <c r="O202" s="249"/>
      <c r="P202" s="31"/>
      <c r="Q202" s="31"/>
      <c r="R202" s="126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D202" s="344"/>
      <c r="AE202" s="345"/>
      <c r="AF202" s="345"/>
      <c r="AG202" s="345"/>
      <c r="AH202" s="346">
        <v>0.7</v>
      </c>
      <c r="AI202" s="12"/>
      <c r="AJ202" s="12"/>
      <c r="AK202" s="12"/>
      <c r="AL202" s="12"/>
      <c r="AM202" s="12"/>
      <c r="AN202" s="12"/>
      <c r="AO202" s="12"/>
      <c r="AP202" s="12"/>
    </row>
    <row r="203" spans="1:42" customFormat="1" ht="12.95" customHeight="1" x14ac:dyDescent="0.25">
      <c r="B203" s="31"/>
      <c r="C203" s="31"/>
      <c r="D203" s="31"/>
      <c r="E203" s="31" t="s">
        <v>807</v>
      </c>
      <c r="F203" s="31" t="s">
        <v>759</v>
      </c>
      <c r="G203" s="31"/>
      <c r="H203" s="31"/>
      <c r="I203" s="107" t="s">
        <v>736</v>
      </c>
      <c r="J203" s="104"/>
      <c r="K203" s="99">
        <v>21</v>
      </c>
      <c r="L203" s="99">
        <v>21</v>
      </c>
      <c r="M203" s="99">
        <v>20</v>
      </c>
      <c r="N203" s="104"/>
      <c r="O203" s="249"/>
      <c r="P203" s="31"/>
      <c r="Q203" s="31"/>
      <c r="R203" s="126"/>
      <c r="S203" s="31"/>
      <c r="T203" s="31"/>
      <c r="U203" s="31"/>
      <c r="V203" s="31"/>
      <c r="W203" s="31"/>
      <c r="X203" s="31"/>
      <c r="Y203" s="31"/>
      <c r="Z203" s="31"/>
      <c r="AA203" s="270">
        <f>56*K203*0.9</f>
        <v>1058.4000000000001</v>
      </c>
      <c r="AB203" s="270"/>
      <c r="AD203" s="344"/>
      <c r="AE203" s="345"/>
      <c r="AF203" s="345"/>
      <c r="AG203" s="345"/>
      <c r="AH203" s="346"/>
      <c r="AI203" s="12"/>
      <c r="AJ203" s="12"/>
      <c r="AK203" s="12"/>
      <c r="AL203" s="12"/>
      <c r="AM203" s="12"/>
      <c r="AN203" s="12"/>
      <c r="AO203" s="12"/>
      <c r="AP203" s="12"/>
    </row>
    <row r="204" spans="1:42" customFormat="1" ht="12.95" customHeight="1" x14ac:dyDescent="0.25">
      <c r="B204" s="31"/>
      <c r="C204" s="31"/>
      <c r="D204" s="31"/>
      <c r="E204" s="31"/>
      <c r="F204" s="31" t="s">
        <v>808</v>
      </c>
      <c r="G204" s="31"/>
      <c r="H204" s="31"/>
      <c r="I204" s="107"/>
      <c r="J204" s="104"/>
      <c r="K204" s="99"/>
      <c r="L204" s="99"/>
      <c r="M204" s="105"/>
      <c r="N204" s="104"/>
      <c r="O204" s="249"/>
      <c r="P204" s="31"/>
      <c r="Q204" s="31"/>
      <c r="R204" s="126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D204" s="344"/>
      <c r="AE204" s="345"/>
      <c r="AF204" s="345"/>
      <c r="AG204" s="345"/>
      <c r="AH204" s="346"/>
      <c r="AI204" s="12"/>
      <c r="AJ204" s="12"/>
      <c r="AK204" s="12"/>
      <c r="AL204" s="12"/>
      <c r="AM204" s="12"/>
      <c r="AN204" s="12"/>
      <c r="AO204" s="12"/>
      <c r="AP204" s="12"/>
    </row>
    <row r="205" spans="1:42" customFormat="1" ht="12.95" customHeight="1" x14ac:dyDescent="0.25">
      <c r="A205" s="52"/>
      <c r="B205" s="246"/>
      <c r="C205" s="98" t="s">
        <v>809</v>
      </c>
      <c r="D205" s="98" t="s">
        <v>810</v>
      </c>
      <c r="E205" s="98" t="s">
        <v>982</v>
      </c>
      <c r="F205" s="98"/>
      <c r="G205" s="98" t="s">
        <v>1317</v>
      </c>
      <c r="H205" s="98"/>
      <c r="I205" s="260" t="s">
        <v>736</v>
      </c>
      <c r="J205" s="261"/>
      <c r="K205" s="284">
        <f>AE$205*$AH205</f>
        <v>4.2119999999999997</v>
      </c>
      <c r="L205" s="284">
        <f>AF$205*$AH205</f>
        <v>3.2700481647828981</v>
      </c>
      <c r="M205" s="284">
        <f>AG$205*$AH205</f>
        <v>2.5387499999999998</v>
      </c>
      <c r="N205" s="263">
        <f>M205*0.995^50</f>
        <v>1.9759410042580157</v>
      </c>
      <c r="O205" s="268"/>
      <c r="P205" s="98">
        <f>BaseYear+1</f>
        <v>2011</v>
      </c>
      <c r="Q205" s="31"/>
      <c r="R205" s="126"/>
      <c r="S205" s="31"/>
      <c r="T205" s="31">
        <v>1</v>
      </c>
      <c r="U205" s="31">
        <v>0.9</v>
      </c>
      <c r="V205" s="31">
        <v>30</v>
      </c>
      <c r="W205" s="278">
        <v>468</v>
      </c>
      <c r="X205" s="31"/>
      <c r="Y205" s="31">
        <v>12.4</v>
      </c>
      <c r="Z205" s="31"/>
      <c r="AA205" s="31"/>
      <c r="AB205" s="31"/>
      <c r="AD205" s="347">
        <f>AE205*1.1</f>
        <v>15.444000000000003</v>
      </c>
      <c r="AE205" s="345">
        <f>AE$199*1.3</f>
        <v>14.040000000000001</v>
      </c>
      <c r="AF205" s="348">
        <f>SQRT(AG205*AE205)</f>
        <v>10.900160549276327</v>
      </c>
      <c r="AG205" s="351">
        <f>AVERAGE(AG$199*1.3,AE205-(AE$199-AG$199))</f>
        <v>8.4625000000000004</v>
      </c>
      <c r="AH205" s="346">
        <v>0.3</v>
      </c>
      <c r="AI205" s="12"/>
      <c r="AJ205" s="12"/>
      <c r="AK205" s="12"/>
      <c r="AL205" s="12"/>
      <c r="AM205" s="12"/>
      <c r="AN205" s="12"/>
      <c r="AO205" s="12"/>
      <c r="AP205" s="12"/>
    </row>
    <row r="206" spans="1:42" customFormat="1" ht="12.95" customHeight="1" x14ac:dyDescent="0.25">
      <c r="B206" s="31"/>
      <c r="C206" s="31"/>
      <c r="D206" s="31"/>
      <c r="E206" s="31" t="s">
        <v>278</v>
      </c>
      <c r="F206" s="31"/>
      <c r="G206" s="31"/>
      <c r="H206" s="31"/>
      <c r="I206" s="107" t="s">
        <v>736</v>
      </c>
      <c r="J206" s="104"/>
      <c r="K206" s="102">
        <f>AE$205*$AH206*$AH$10</f>
        <v>8.3537999999999997</v>
      </c>
      <c r="L206" s="102">
        <f>AF$205*$AH206*$AH$10</f>
        <v>6.4855955268194139</v>
      </c>
      <c r="M206" s="102">
        <f>AG$205*$AH206*$AH$10</f>
        <v>5.0351875000000001</v>
      </c>
      <c r="N206" s="117">
        <f>M206*0.995^50</f>
        <v>3.9189496584450647</v>
      </c>
      <c r="O206" s="249"/>
      <c r="P206" s="31"/>
      <c r="Q206" s="31"/>
      <c r="R206" s="126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D206" s="344"/>
      <c r="AE206" s="345"/>
      <c r="AF206" s="345"/>
      <c r="AG206" s="345"/>
      <c r="AH206" s="346">
        <v>0.7</v>
      </c>
      <c r="AI206" s="12"/>
      <c r="AJ206" s="12"/>
      <c r="AK206" s="12"/>
      <c r="AL206" s="12"/>
      <c r="AM206" s="12"/>
      <c r="AN206" s="12"/>
      <c r="AO206" s="12"/>
      <c r="AP206" s="12"/>
    </row>
    <row r="207" spans="1:42" customFormat="1" ht="12.95" customHeight="1" x14ac:dyDescent="0.25">
      <c r="B207" s="31"/>
      <c r="C207" s="31"/>
      <c r="D207" s="31"/>
      <c r="E207" s="31" t="s">
        <v>281</v>
      </c>
      <c r="F207" s="31"/>
      <c r="G207" s="31"/>
      <c r="H207" s="31"/>
      <c r="I207" s="107" t="s">
        <v>736</v>
      </c>
      <c r="J207" s="104"/>
      <c r="K207" s="99">
        <f t="shared" ref="K207:M208" si="9">AE$207*$AH207</f>
        <v>1.3499999999999999</v>
      </c>
      <c r="L207" s="101">
        <f t="shared" si="9"/>
        <v>1.2807224523681935</v>
      </c>
      <c r="M207" s="101">
        <f t="shared" si="9"/>
        <v>1.2149999999999999</v>
      </c>
      <c r="N207" s="117">
        <f>M207*0.998^50</f>
        <v>1.0992673838749036</v>
      </c>
      <c r="O207" s="249"/>
      <c r="P207" s="31"/>
      <c r="Q207" s="31"/>
      <c r="R207" s="126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D207" s="344">
        <v>4.5</v>
      </c>
      <c r="AE207" s="345">
        <v>4.5</v>
      </c>
      <c r="AF207" s="348">
        <f>SQRT(AG207*AE207)</f>
        <v>4.2690748412273116</v>
      </c>
      <c r="AG207" s="345">
        <f>AE207*0.9</f>
        <v>4.05</v>
      </c>
      <c r="AH207" s="346">
        <v>0.3</v>
      </c>
      <c r="AI207" s="12"/>
      <c r="AJ207" s="12"/>
      <c r="AK207" s="12"/>
      <c r="AL207" s="12"/>
      <c r="AM207" s="12"/>
      <c r="AN207" s="12"/>
      <c r="AO207" s="12"/>
      <c r="AP207" s="12"/>
    </row>
    <row r="208" spans="1:42" customFormat="1" ht="12.95" customHeight="1" x14ac:dyDescent="0.25">
      <c r="B208" s="31"/>
      <c r="C208" s="31"/>
      <c r="D208" s="31"/>
      <c r="E208" s="31" t="s">
        <v>280</v>
      </c>
      <c r="F208" s="31"/>
      <c r="G208" s="31"/>
      <c r="H208" s="31"/>
      <c r="I208" s="107" t="s">
        <v>736</v>
      </c>
      <c r="J208" s="104"/>
      <c r="K208" s="99">
        <f t="shared" si="9"/>
        <v>3.15</v>
      </c>
      <c r="L208" s="101">
        <f t="shared" si="9"/>
        <v>2.9883523888591181</v>
      </c>
      <c r="M208" s="101">
        <f t="shared" si="9"/>
        <v>2.8349999999999995</v>
      </c>
      <c r="N208" s="104"/>
      <c r="O208" s="249"/>
      <c r="P208" s="31"/>
      <c r="Q208" s="31"/>
      <c r="R208" s="126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D208" s="344"/>
      <c r="AE208" s="345"/>
      <c r="AF208" s="345"/>
      <c r="AG208" s="345"/>
      <c r="AH208" s="346">
        <v>0.7</v>
      </c>
      <c r="AI208" s="12"/>
      <c r="AJ208" s="12"/>
      <c r="AK208" s="12"/>
      <c r="AL208" s="12"/>
      <c r="AM208" s="12"/>
      <c r="AN208" s="12"/>
      <c r="AO208" s="12"/>
      <c r="AP208" s="12"/>
    </row>
    <row r="209" spans="1:42" customFormat="1" ht="12.95" customHeight="1" x14ac:dyDescent="0.25">
      <c r="B209" s="31"/>
      <c r="C209" s="31"/>
      <c r="D209" s="31"/>
      <c r="E209" s="31" t="s">
        <v>801</v>
      </c>
      <c r="F209" s="31" t="s">
        <v>759</v>
      </c>
      <c r="G209" s="31"/>
      <c r="H209" s="31"/>
      <c r="I209" s="107" t="s">
        <v>736</v>
      </c>
      <c r="J209" s="104"/>
      <c r="K209" s="99">
        <f>$K$203*1.3</f>
        <v>27.3</v>
      </c>
      <c r="L209" s="99">
        <f>$K$203*1.3</f>
        <v>27.3</v>
      </c>
      <c r="M209" s="105"/>
      <c r="N209" s="104"/>
      <c r="O209" s="249"/>
      <c r="P209" s="31"/>
      <c r="Q209" s="31"/>
      <c r="R209" s="126"/>
      <c r="S209" s="31"/>
      <c r="T209" s="31"/>
      <c r="U209" s="31"/>
      <c r="V209" s="31"/>
      <c r="W209" s="31"/>
      <c r="X209" s="31"/>
      <c r="Y209" s="31"/>
      <c r="Z209" s="31"/>
      <c r="AA209" s="270">
        <f>K209*74*0.9</f>
        <v>1818.18</v>
      </c>
      <c r="AB209" s="270"/>
      <c r="AD209" s="344"/>
      <c r="AE209" s="345"/>
      <c r="AF209" s="345"/>
      <c r="AG209" s="345"/>
      <c r="AH209" s="346"/>
      <c r="AI209" s="12"/>
      <c r="AJ209" s="12"/>
      <c r="AK209" s="12"/>
      <c r="AL209" s="12"/>
      <c r="AM209" s="12"/>
      <c r="AN209" s="12"/>
      <c r="AO209" s="12"/>
      <c r="AP209" s="12"/>
    </row>
    <row r="210" spans="1:42" customFormat="1" ht="12.95" customHeight="1" x14ac:dyDescent="0.25">
      <c r="B210" s="31"/>
      <c r="C210" s="31"/>
      <c r="D210" s="31"/>
      <c r="E210" s="31"/>
      <c r="F210" s="31" t="s">
        <v>808</v>
      </c>
      <c r="G210" s="31"/>
      <c r="H210" s="31"/>
      <c r="I210" s="107"/>
      <c r="J210" s="104"/>
      <c r="K210" s="99"/>
      <c r="L210" s="99"/>
      <c r="M210" s="105"/>
      <c r="N210" s="104"/>
      <c r="O210" s="249"/>
      <c r="P210" s="31"/>
      <c r="Q210" s="31"/>
      <c r="R210" s="126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D210" s="344"/>
      <c r="AE210" s="345"/>
      <c r="AF210" s="345"/>
      <c r="AG210" s="345"/>
      <c r="AH210" s="346"/>
      <c r="AI210" s="12"/>
      <c r="AJ210" s="12"/>
      <c r="AK210" s="12"/>
      <c r="AL210" s="12"/>
      <c r="AM210" s="12"/>
      <c r="AN210" s="12"/>
      <c r="AO210" s="12"/>
      <c r="AP210" s="12"/>
    </row>
    <row r="211" spans="1:42" customFormat="1" ht="12.95" customHeight="1" x14ac:dyDescent="0.25">
      <c r="A211" s="52"/>
      <c r="B211" s="246"/>
      <c r="C211" s="98" t="s">
        <v>811</v>
      </c>
      <c r="D211" s="98" t="s">
        <v>812</v>
      </c>
      <c r="E211" s="98" t="s">
        <v>691</v>
      </c>
      <c r="F211" s="98"/>
      <c r="G211" s="98" t="s">
        <v>1317</v>
      </c>
      <c r="H211" s="98"/>
      <c r="I211" s="260" t="s">
        <v>736</v>
      </c>
      <c r="J211" s="261"/>
      <c r="K211" s="284">
        <f>AE$211*$AH211</f>
        <v>5.508</v>
      </c>
      <c r="L211" s="284">
        <f>AF$211*$AH211</f>
        <v>4.4180284064274638</v>
      </c>
      <c r="M211" s="284">
        <f>AG$211*$AH211</f>
        <v>3.5437499999999997</v>
      </c>
      <c r="N211" s="263">
        <f>M211*0.995^50</f>
        <v>2.758145124112001</v>
      </c>
      <c r="O211" s="268"/>
      <c r="P211" s="98">
        <f>BaseYear+1</f>
        <v>2011</v>
      </c>
      <c r="Q211" s="31"/>
      <c r="R211" s="126"/>
      <c r="S211" s="31"/>
      <c r="T211" s="31">
        <v>1</v>
      </c>
      <c r="U211" s="31">
        <v>0.9</v>
      </c>
      <c r="V211" s="31">
        <v>30</v>
      </c>
      <c r="W211" s="278">
        <v>780</v>
      </c>
      <c r="X211" s="31"/>
      <c r="Y211" s="31">
        <v>12.4</v>
      </c>
      <c r="Z211" s="31"/>
      <c r="AA211" s="31"/>
      <c r="AB211" s="31"/>
      <c r="AD211" s="344">
        <f>AE211*1.1</f>
        <v>20.196000000000002</v>
      </c>
      <c r="AE211" s="345">
        <f>AE$199*1.7</f>
        <v>18.36</v>
      </c>
      <c r="AF211" s="348">
        <f>SQRT(AG211*AE211)</f>
        <v>14.726761354758214</v>
      </c>
      <c r="AG211" s="351">
        <f>AVERAGE(AG$199*1.7,AE211-(AE$199-AG$199))</f>
        <v>11.8125</v>
      </c>
      <c r="AH211" s="346">
        <v>0.3</v>
      </c>
      <c r="AI211" s="12"/>
      <c r="AJ211" s="12"/>
      <c r="AK211" s="12"/>
      <c r="AL211" s="12"/>
      <c r="AM211" s="12"/>
      <c r="AN211" s="12"/>
      <c r="AO211" s="12"/>
      <c r="AP211" s="12"/>
    </row>
    <row r="212" spans="1:42" customFormat="1" ht="12.95" customHeight="1" x14ac:dyDescent="0.25">
      <c r="B212" s="31"/>
      <c r="C212" s="31"/>
      <c r="D212" s="31"/>
      <c r="E212" s="31" t="s">
        <v>278</v>
      </c>
      <c r="F212" s="31"/>
      <c r="G212" s="31"/>
      <c r="H212" s="31"/>
      <c r="I212" s="107" t="s">
        <v>736</v>
      </c>
      <c r="J212" s="104"/>
      <c r="K212" s="102">
        <f>AE$211*$AH212*$AH$10</f>
        <v>10.924199999999999</v>
      </c>
      <c r="L212" s="102">
        <f>AF$211*$AH212*$AH$10</f>
        <v>8.7624230060811357</v>
      </c>
      <c r="M212" s="102">
        <f>AG$211*$AH212*$AH$10</f>
        <v>7.028437499999999</v>
      </c>
      <c r="N212" s="117">
        <f>M212*0.995^50</f>
        <v>5.4703211628221347</v>
      </c>
      <c r="O212" s="249"/>
      <c r="P212" s="31"/>
      <c r="Q212" s="31"/>
      <c r="R212" s="126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D212" s="344"/>
      <c r="AE212" s="345"/>
      <c r="AF212" s="345"/>
      <c r="AG212" s="345"/>
      <c r="AH212" s="346">
        <v>0.7</v>
      </c>
      <c r="AI212" s="12"/>
      <c r="AJ212" s="12"/>
      <c r="AK212" s="12"/>
      <c r="AL212" s="12"/>
      <c r="AM212" s="12"/>
      <c r="AN212" s="12"/>
      <c r="AO212" s="12"/>
      <c r="AP212" s="12"/>
    </row>
    <row r="213" spans="1:42" customFormat="1" ht="12.95" customHeight="1" x14ac:dyDescent="0.25">
      <c r="B213" s="31"/>
      <c r="C213" s="31"/>
      <c r="D213" s="31"/>
      <c r="E213" s="31" t="s">
        <v>281</v>
      </c>
      <c r="F213" s="31"/>
      <c r="G213" s="31"/>
      <c r="H213" s="31"/>
      <c r="I213" s="107" t="s">
        <v>736</v>
      </c>
      <c r="J213" s="104"/>
      <c r="K213" s="102">
        <f t="shared" ref="K213:M214" si="10">AE$213*$AH213</f>
        <v>1.3499999999999999</v>
      </c>
      <c r="L213" s="102">
        <f t="shared" si="10"/>
        <v>1.2807224523681935</v>
      </c>
      <c r="M213" s="102">
        <f t="shared" si="10"/>
        <v>1.2149999999999999</v>
      </c>
      <c r="N213" s="117">
        <f>M213*0.998^50</f>
        <v>1.0992673838749036</v>
      </c>
      <c r="O213" s="249"/>
      <c r="P213" s="31"/>
      <c r="Q213" s="31"/>
      <c r="R213" s="126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D213" s="344">
        <v>4.5</v>
      </c>
      <c r="AE213" s="345">
        <v>4.5</v>
      </c>
      <c r="AF213" s="348">
        <f>SQRT(AG213*AE213)</f>
        <v>4.2690748412273116</v>
      </c>
      <c r="AG213" s="345">
        <f>AE213*0.9</f>
        <v>4.05</v>
      </c>
      <c r="AH213" s="346">
        <v>0.3</v>
      </c>
      <c r="AI213" s="12"/>
      <c r="AJ213" s="12"/>
      <c r="AK213" s="12"/>
      <c r="AL213" s="12"/>
      <c r="AM213" s="12"/>
      <c r="AN213" s="12"/>
      <c r="AO213" s="12"/>
      <c r="AP213" s="12"/>
    </row>
    <row r="214" spans="1:42" customFormat="1" ht="12.95" customHeight="1" x14ac:dyDescent="0.25">
      <c r="B214" s="31"/>
      <c r="C214" s="31"/>
      <c r="D214" s="31"/>
      <c r="E214" s="31" t="s">
        <v>280</v>
      </c>
      <c r="F214" s="31"/>
      <c r="G214" s="31"/>
      <c r="H214" s="31"/>
      <c r="I214" s="107" t="s">
        <v>736</v>
      </c>
      <c r="J214" s="104"/>
      <c r="K214" s="102">
        <f t="shared" si="10"/>
        <v>3.15</v>
      </c>
      <c r="L214" s="102">
        <f t="shared" si="10"/>
        <v>2.9883523888591181</v>
      </c>
      <c r="M214" s="102">
        <f t="shared" si="10"/>
        <v>2.8349999999999995</v>
      </c>
      <c r="N214" s="104"/>
      <c r="O214" s="249"/>
      <c r="P214" s="31"/>
      <c r="Q214" s="31"/>
      <c r="R214" s="126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D214" s="344"/>
      <c r="AE214" s="345"/>
      <c r="AF214" s="345"/>
      <c r="AG214" s="345"/>
      <c r="AH214" s="346">
        <v>0.7</v>
      </c>
      <c r="AI214" s="12"/>
      <c r="AJ214" s="12"/>
      <c r="AK214" s="12"/>
      <c r="AL214" s="12"/>
      <c r="AM214" s="12"/>
      <c r="AN214" s="12"/>
      <c r="AO214" s="12"/>
      <c r="AP214" s="12"/>
    </row>
    <row r="215" spans="1:42" customFormat="1" ht="12.95" customHeight="1" x14ac:dyDescent="0.25">
      <c r="B215" s="31"/>
      <c r="C215" s="31"/>
      <c r="D215" s="31"/>
      <c r="E215" s="31" t="s">
        <v>813</v>
      </c>
      <c r="F215" s="31" t="s">
        <v>759</v>
      </c>
      <c r="G215" s="31"/>
      <c r="H215" s="31"/>
      <c r="I215" s="107" t="s">
        <v>736</v>
      </c>
      <c r="J215" s="104"/>
      <c r="K215" s="99">
        <f>$K$203*1.7</f>
        <v>35.699999999999996</v>
      </c>
      <c r="L215" s="99">
        <f>$K$203*1.7</f>
        <v>35.699999999999996</v>
      </c>
      <c r="M215" s="105"/>
      <c r="N215" s="104"/>
      <c r="O215" s="249"/>
      <c r="P215" s="31"/>
      <c r="Q215" s="31"/>
      <c r="R215" s="126"/>
      <c r="S215" s="31"/>
      <c r="T215" s="31"/>
      <c r="U215" s="31"/>
      <c r="V215" s="31"/>
      <c r="W215" s="31"/>
      <c r="X215" s="31"/>
      <c r="Y215" s="31"/>
      <c r="Z215" s="31"/>
      <c r="AA215" s="270">
        <f>K215*94*0.8</f>
        <v>2684.64</v>
      </c>
      <c r="AB215" s="270"/>
      <c r="AD215" s="344"/>
      <c r="AE215" s="345"/>
      <c r="AF215" s="345"/>
      <c r="AG215" s="345"/>
      <c r="AH215" s="346"/>
      <c r="AI215" s="12"/>
      <c r="AJ215" s="12"/>
      <c r="AK215" s="12"/>
      <c r="AL215" s="12"/>
      <c r="AM215" s="12"/>
      <c r="AN215" s="12"/>
      <c r="AO215" s="12"/>
      <c r="AP215" s="12"/>
    </row>
    <row r="216" spans="1:42" customFormat="1" ht="12.95" customHeight="1" x14ac:dyDescent="0.25">
      <c r="B216" s="31"/>
      <c r="C216" s="31"/>
      <c r="D216" s="31"/>
      <c r="E216" s="31"/>
      <c r="F216" s="31" t="s">
        <v>808</v>
      </c>
      <c r="G216" s="31"/>
      <c r="H216" s="31"/>
      <c r="I216" s="107"/>
      <c r="J216" s="104"/>
      <c r="K216" s="99"/>
      <c r="L216" s="99"/>
      <c r="M216" s="105"/>
      <c r="N216" s="104"/>
      <c r="O216" s="249"/>
      <c r="P216" s="31"/>
      <c r="Q216" s="31"/>
      <c r="R216" s="126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D216" s="344"/>
      <c r="AE216" s="345"/>
      <c r="AF216" s="345"/>
      <c r="AG216" s="345"/>
      <c r="AH216" s="346"/>
      <c r="AI216" s="12"/>
      <c r="AJ216" s="12"/>
      <c r="AK216" s="12"/>
      <c r="AL216" s="12"/>
      <c r="AM216" s="12"/>
      <c r="AN216" s="12"/>
      <c r="AO216" s="12"/>
      <c r="AP216" s="12"/>
    </row>
    <row r="217" spans="1:42" customFormat="1" ht="12.95" customHeight="1" x14ac:dyDescent="0.25">
      <c r="A217" s="52"/>
      <c r="B217" s="246"/>
      <c r="C217" s="98" t="s">
        <v>814</v>
      </c>
      <c r="D217" s="98" t="s">
        <v>815</v>
      </c>
      <c r="E217" s="98" t="s">
        <v>690</v>
      </c>
      <c r="F217" s="98"/>
      <c r="G217" s="98" t="s">
        <v>1312</v>
      </c>
      <c r="H217" s="98"/>
      <c r="I217" s="260" t="s">
        <v>736</v>
      </c>
      <c r="J217" s="261"/>
      <c r="K217" s="98">
        <f>AE$217*$AH217</f>
        <v>9</v>
      </c>
      <c r="L217" s="284">
        <f>AF$217*$AH217</f>
        <v>7.3972602739726012</v>
      </c>
      <c r="M217" s="284">
        <f>AG$217*$AH217</f>
        <v>6.6666666666666652</v>
      </c>
      <c r="N217" s="263">
        <f>M217*0.995^50</f>
        <v>5.1887503804576145</v>
      </c>
      <c r="O217" s="268"/>
      <c r="P217" s="98">
        <f>BaseYear+1</f>
        <v>2011</v>
      </c>
      <c r="Q217" s="31"/>
      <c r="R217" s="126"/>
      <c r="S217" s="31"/>
      <c r="T217" s="31">
        <v>1</v>
      </c>
      <c r="U217" s="31">
        <v>0.9</v>
      </c>
      <c r="V217" s="31">
        <v>25</v>
      </c>
      <c r="W217" s="270">
        <v>427.14285714285722</v>
      </c>
      <c r="X217" s="31">
        <v>12.4</v>
      </c>
      <c r="Y217" s="31"/>
      <c r="Z217" s="31"/>
      <c r="AA217" s="126"/>
      <c r="AB217" s="31"/>
      <c r="AD217" s="347">
        <f>AE217*1.1</f>
        <v>9.9</v>
      </c>
      <c r="AE217" s="345">
        <f>9.5-AE218</f>
        <v>9</v>
      </c>
      <c r="AF217" s="351">
        <f>20*(1/0.73-1)</f>
        <v>7.3972602739726012</v>
      </c>
      <c r="AG217" s="348">
        <f>20*(1/0.75-1)</f>
        <v>6.6666666666666652</v>
      </c>
      <c r="AH217" s="346">
        <v>1</v>
      </c>
      <c r="AI217" s="12"/>
      <c r="AJ217" s="12"/>
      <c r="AK217" s="12"/>
      <c r="AL217" s="12"/>
      <c r="AM217" s="12"/>
      <c r="AN217" s="12"/>
      <c r="AO217" s="12"/>
      <c r="AP217" s="12"/>
    </row>
    <row r="218" spans="1:42" customFormat="1" ht="12.95" customHeight="1" x14ac:dyDescent="0.25">
      <c r="B218" s="31"/>
      <c r="C218" s="31"/>
      <c r="D218" s="31"/>
      <c r="E218" s="31" t="s">
        <v>280</v>
      </c>
      <c r="F218" s="31"/>
      <c r="G218" s="31"/>
      <c r="H218" s="31"/>
      <c r="I218" s="107" t="s">
        <v>736</v>
      </c>
      <c r="J218" s="104"/>
      <c r="K218" s="101">
        <f>AE218*0.9</f>
        <v>0.45</v>
      </c>
      <c r="L218" s="101">
        <f>AF218*0.9</f>
        <v>0.42690748412273122</v>
      </c>
      <c r="M218" s="101">
        <f>AG218*0.9</f>
        <v>0.40500000000000003</v>
      </c>
      <c r="N218" s="104"/>
      <c r="O218" s="249"/>
      <c r="P218" s="31"/>
      <c r="Q218" s="31"/>
      <c r="R218" s="126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D218" s="344">
        <f>AE218*1.1</f>
        <v>0.55000000000000004</v>
      </c>
      <c r="AE218" s="345">
        <v>0.5</v>
      </c>
      <c r="AF218" s="348">
        <f>SQRT(AG218*AE218)</f>
        <v>0.47434164902525688</v>
      </c>
      <c r="AG218" s="345">
        <v>0.45</v>
      </c>
      <c r="AH218" s="346"/>
      <c r="AI218" s="12"/>
      <c r="AJ218" s="12"/>
      <c r="AK218" s="12"/>
      <c r="AL218" s="12"/>
      <c r="AM218" s="12"/>
      <c r="AN218" s="12"/>
      <c r="AO218" s="12"/>
      <c r="AP218" s="12"/>
    </row>
    <row r="219" spans="1:42" customFormat="1" ht="12.95" customHeight="1" x14ac:dyDescent="0.25">
      <c r="B219" s="31"/>
      <c r="C219" s="31"/>
      <c r="D219" s="31"/>
      <c r="E219" s="31" t="s">
        <v>807</v>
      </c>
      <c r="F219" s="31"/>
      <c r="G219" s="31"/>
      <c r="H219" s="31"/>
      <c r="I219" s="107" t="s">
        <v>736</v>
      </c>
      <c r="J219" s="104"/>
      <c r="K219" s="99">
        <v>20</v>
      </c>
      <c r="L219" s="99">
        <v>20</v>
      </c>
      <c r="M219" s="105"/>
      <c r="N219" s="104"/>
      <c r="O219" s="249"/>
      <c r="P219" s="31"/>
      <c r="Q219" s="31"/>
      <c r="R219" s="126"/>
      <c r="S219" s="31"/>
      <c r="T219" s="31"/>
      <c r="U219" s="31"/>
      <c r="V219" s="31"/>
      <c r="W219" s="31"/>
      <c r="X219" s="31"/>
      <c r="Y219" s="31"/>
      <c r="Z219" s="31"/>
      <c r="AA219" s="31"/>
      <c r="AB219" s="270">
        <f>K219*56*0.05</f>
        <v>56</v>
      </c>
      <c r="AD219" s="344"/>
      <c r="AE219" s="345"/>
      <c r="AF219" s="345"/>
      <c r="AG219" s="345"/>
      <c r="AH219" s="346"/>
      <c r="AI219" s="12"/>
      <c r="AJ219" s="12"/>
      <c r="AK219" s="12"/>
      <c r="AL219" s="12"/>
      <c r="AM219" s="12"/>
      <c r="AN219" s="12"/>
      <c r="AO219" s="12"/>
      <c r="AP219" s="12"/>
    </row>
    <row r="220" spans="1:42" customFormat="1" ht="12.95" customHeight="1" x14ac:dyDescent="0.25">
      <c r="B220" s="31"/>
      <c r="C220" s="31"/>
      <c r="D220" s="31"/>
      <c r="E220" s="31"/>
      <c r="F220" s="31" t="s">
        <v>816</v>
      </c>
      <c r="G220" s="31"/>
      <c r="H220" s="31"/>
      <c r="I220" s="107"/>
      <c r="J220" s="104"/>
      <c r="K220" s="99"/>
      <c r="L220" s="99"/>
      <c r="M220" s="105"/>
      <c r="N220" s="104"/>
      <c r="O220" s="249"/>
      <c r="P220" s="31"/>
      <c r="Q220" s="31"/>
      <c r="R220" s="126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D220" s="344"/>
      <c r="AE220" s="345"/>
      <c r="AF220" s="345"/>
      <c r="AG220" s="345"/>
      <c r="AH220" s="346"/>
      <c r="AI220" s="12"/>
      <c r="AJ220" s="12"/>
      <c r="AK220" s="12"/>
      <c r="AL220" s="12"/>
      <c r="AM220" s="12"/>
      <c r="AN220" s="12"/>
      <c r="AO220" s="12"/>
      <c r="AP220" s="12"/>
    </row>
    <row r="221" spans="1:42" customFormat="1" ht="12.95" customHeight="1" x14ac:dyDescent="0.25">
      <c r="A221" s="52"/>
      <c r="B221" s="246"/>
      <c r="C221" s="98" t="s">
        <v>817</v>
      </c>
      <c r="D221" s="98" t="s">
        <v>818</v>
      </c>
      <c r="E221" s="98" t="s">
        <v>691</v>
      </c>
      <c r="F221" s="98"/>
      <c r="G221" s="98" t="s">
        <v>1308</v>
      </c>
      <c r="H221" s="98"/>
      <c r="I221" s="260" t="s">
        <v>736</v>
      </c>
      <c r="J221" s="261"/>
      <c r="K221" s="98">
        <f>AE$221*$AH221</f>
        <v>14.5</v>
      </c>
      <c r="L221" s="284">
        <f>AF$221*$AH221</f>
        <v>12.131570384744094</v>
      </c>
      <c r="M221" s="284">
        <f>AG$221*$AH221</f>
        <v>10.149999999999999</v>
      </c>
      <c r="N221" s="263">
        <f>M221*0.995^50</f>
        <v>7.8998724542467187</v>
      </c>
      <c r="O221" s="268"/>
      <c r="P221" s="98">
        <f>BaseYear+1</f>
        <v>2011</v>
      </c>
      <c r="Q221" s="31"/>
      <c r="R221" s="126"/>
      <c r="S221" s="31"/>
      <c r="T221" s="31">
        <v>1</v>
      </c>
      <c r="U221" s="31">
        <v>0.9</v>
      </c>
      <c r="V221" s="31">
        <v>25</v>
      </c>
      <c r="W221" s="270">
        <v>943.8</v>
      </c>
      <c r="X221" s="31">
        <v>24.8</v>
      </c>
      <c r="Y221" s="31"/>
      <c r="Z221" s="31"/>
      <c r="AA221" s="31"/>
      <c r="AB221" s="31"/>
      <c r="AD221" s="347">
        <f>AE221*1.05</f>
        <v>15.225000000000001</v>
      </c>
      <c r="AE221" s="345">
        <v>14.5</v>
      </c>
      <c r="AF221" s="348">
        <f>SQRT(AG221*AE221)</f>
        <v>12.131570384744094</v>
      </c>
      <c r="AG221" s="345">
        <f>AE221*0.7</f>
        <v>10.149999999999999</v>
      </c>
      <c r="AH221" s="346">
        <v>1</v>
      </c>
      <c r="AI221" s="12"/>
      <c r="AJ221" s="12"/>
      <c r="AK221" s="12"/>
      <c r="AL221" s="12"/>
      <c r="AM221" s="12"/>
      <c r="AN221" s="12"/>
      <c r="AO221" s="12"/>
      <c r="AP221" s="12"/>
    </row>
    <row r="222" spans="1:42" customFormat="1" ht="12.95" customHeight="1" x14ac:dyDescent="0.25">
      <c r="B222" s="31"/>
      <c r="C222" s="31"/>
      <c r="D222" s="31"/>
      <c r="E222" s="31" t="s">
        <v>280</v>
      </c>
      <c r="F222" s="31"/>
      <c r="G222" s="31"/>
      <c r="H222" s="31"/>
      <c r="I222" s="107" t="s">
        <v>736</v>
      </c>
      <c r="J222" s="104"/>
      <c r="K222" s="101">
        <f>AE222*0.9</f>
        <v>0.45</v>
      </c>
      <c r="L222" s="101">
        <f>AF222*0.9</f>
        <v>0.42690748412273122</v>
      </c>
      <c r="M222" s="101">
        <f>AG222*0.9</f>
        <v>0.40500000000000003</v>
      </c>
      <c r="N222" s="104"/>
      <c r="O222" s="249"/>
      <c r="P222" s="31"/>
      <c r="Q222" s="31"/>
      <c r="R222" s="126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D222" s="344">
        <f>AE222*1.1</f>
        <v>0.55000000000000004</v>
      </c>
      <c r="AE222" s="345">
        <v>0.5</v>
      </c>
      <c r="AF222" s="348">
        <f>SQRT(AG222*AE222)</f>
        <v>0.47434164902525688</v>
      </c>
      <c r="AG222" s="345">
        <v>0.45</v>
      </c>
      <c r="AH222" s="346"/>
      <c r="AI222" s="12"/>
      <c r="AJ222" s="12"/>
      <c r="AK222" s="12"/>
      <c r="AL222" s="12"/>
      <c r="AM222" s="12"/>
      <c r="AN222" s="12"/>
      <c r="AO222" s="12"/>
      <c r="AP222" s="12"/>
    </row>
    <row r="223" spans="1:42" customFormat="1" ht="12.95" customHeight="1" x14ac:dyDescent="0.25">
      <c r="B223" s="31"/>
      <c r="C223" s="31"/>
      <c r="D223" s="31"/>
      <c r="E223" s="31" t="s">
        <v>813</v>
      </c>
      <c r="F223" s="31"/>
      <c r="G223" s="31"/>
      <c r="H223" s="31"/>
      <c r="I223" s="107" t="s">
        <v>736</v>
      </c>
      <c r="J223" s="104"/>
      <c r="K223" s="99">
        <v>20</v>
      </c>
      <c r="L223" s="99">
        <v>20</v>
      </c>
      <c r="M223" s="105"/>
      <c r="N223" s="104"/>
      <c r="O223" s="249"/>
      <c r="P223" s="31"/>
      <c r="Q223" s="31"/>
      <c r="R223" s="126"/>
      <c r="S223" s="31"/>
      <c r="T223" s="31"/>
      <c r="U223" s="31"/>
      <c r="V223" s="31"/>
      <c r="W223" s="31"/>
      <c r="X223" s="31"/>
      <c r="Y223" s="31"/>
      <c r="Z223" s="31"/>
      <c r="AA223" s="31"/>
      <c r="AB223" s="270">
        <f>K223*94*0.05</f>
        <v>94</v>
      </c>
      <c r="AD223" s="344"/>
      <c r="AE223" s="345"/>
      <c r="AF223" s="345"/>
      <c r="AG223" s="345"/>
      <c r="AH223" s="346"/>
      <c r="AI223" s="12"/>
      <c r="AJ223" s="12"/>
      <c r="AK223" s="12"/>
      <c r="AL223" s="12"/>
      <c r="AM223" s="12"/>
      <c r="AN223" s="12"/>
      <c r="AO223" s="12"/>
      <c r="AP223" s="12"/>
    </row>
    <row r="224" spans="1:42" customFormat="1" ht="12.95" customHeight="1" x14ac:dyDescent="0.25">
      <c r="A224" s="57"/>
      <c r="B224" s="279"/>
      <c r="C224" s="279"/>
      <c r="D224" s="279"/>
      <c r="E224" s="279"/>
      <c r="F224" s="279" t="s">
        <v>816</v>
      </c>
      <c r="G224" s="99"/>
      <c r="H224" s="99"/>
      <c r="I224" s="100"/>
      <c r="J224" s="104"/>
      <c r="K224" s="99"/>
      <c r="L224" s="99"/>
      <c r="M224" s="105"/>
      <c r="N224" s="104"/>
      <c r="O224" s="249"/>
      <c r="P224" s="99"/>
      <c r="Q224" s="99"/>
      <c r="R224" s="126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D224" s="344"/>
      <c r="AE224" s="345"/>
      <c r="AF224" s="345"/>
      <c r="AG224" s="345"/>
      <c r="AH224" s="346"/>
      <c r="AI224" s="12"/>
      <c r="AJ224" s="12"/>
      <c r="AK224" s="12"/>
      <c r="AL224" s="12"/>
      <c r="AM224" s="12"/>
      <c r="AN224" s="12"/>
      <c r="AO224" s="12"/>
      <c r="AP224" s="12"/>
    </row>
    <row r="225" spans="1:42" customFormat="1" ht="12.95" customHeight="1" x14ac:dyDescent="0.25">
      <c r="A225" s="52"/>
      <c r="B225" s="246"/>
      <c r="C225" s="98" t="s">
        <v>819</v>
      </c>
      <c r="D225" s="98" t="s">
        <v>820</v>
      </c>
      <c r="E225" s="98" t="s">
        <v>691</v>
      </c>
      <c r="F225" s="98"/>
      <c r="G225" s="98" t="s">
        <v>1316</v>
      </c>
      <c r="H225" s="98"/>
      <c r="I225" s="260" t="s">
        <v>736</v>
      </c>
      <c r="J225" s="261"/>
      <c r="K225" s="287">
        <f>K221*1.1</f>
        <v>15.950000000000001</v>
      </c>
      <c r="L225" s="287">
        <f>L221*1.1</f>
        <v>13.344727423218504</v>
      </c>
      <c r="M225" s="287">
        <f>M221*1.1</f>
        <v>11.164999999999999</v>
      </c>
      <c r="N225" s="263">
        <f>M225*0.995^50</f>
        <v>8.6898596996713913</v>
      </c>
      <c r="O225" s="268"/>
      <c r="P225" s="98">
        <v>2015</v>
      </c>
      <c r="Q225" s="99"/>
      <c r="R225" s="126"/>
      <c r="S225" s="99"/>
      <c r="T225" s="99">
        <v>1</v>
      </c>
      <c r="U225" s="31">
        <v>0.9</v>
      </c>
      <c r="V225" s="31">
        <v>25</v>
      </c>
      <c r="W225" s="266">
        <v>1075.9319999999998</v>
      </c>
      <c r="X225" s="31">
        <v>29.76</v>
      </c>
      <c r="Y225" s="31">
        <v>1.24</v>
      </c>
      <c r="Z225" s="99"/>
      <c r="AA225" s="99"/>
      <c r="AB225" s="99"/>
      <c r="AD225" s="344"/>
      <c r="AE225" s="345"/>
      <c r="AF225" s="345"/>
      <c r="AG225" s="345"/>
      <c r="AH225" s="346"/>
      <c r="AI225" s="12"/>
      <c r="AJ225" s="12"/>
      <c r="AK225" s="12"/>
      <c r="AL225" s="12"/>
      <c r="AM225" s="12"/>
      <c r="AN225" s="12"/>
      <c r="AO225" s="12"/>
      <c r="AP225" s="12"/>
    </row>
    <row r="226" spans="1:42" customFormat="1" ht="12.95" customHeight="1" x14ac:dyDescent="0.25">
      <c r="A226" s="3"/>
      <c r="B226" s="99"/>
      <c r="C226" s="99"/>
      <c r="D226" s="99"/>
      <c r="E226" s="31" t="s">
        <v>280</v>
      </c>
      <c r="F226" s="31"/>
      <c r="G226" s="99"/>
      <c r="H226" s="99"/>
      <c r="I226" s="107" t="s">
        <v>736</v>
      </c>
      <c r="J226" s="104"/>
      <c r="K226" s="101">
        <f>K222*1.2</f>
        <v>0.54</v>
      </c>
      <c r="L226" s="101">
        <f>L222*1.2</f>
        <v>0.51228898094727748</v>
      </c>
      <c r="M226" s="101">
        <f>M222*1.2</f>
        <v>0.48599999999999999</v>
      </c>
      <c r="N226" s="104"/>
      <c r="O226" s="249"/>
      <c r="P226" s="99"/>
      <c r="Q226" s="99"/>
      <c r="R226" s="126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D226" s="344"/>
      <c r="AE226" s="345"/>
      <c r="AF226" s="345"/>
      <c r="AG226" s="345"/>
      <c r="AH226" s="346"/>
      <c r="AI226" s="12"/>
      <c r="AJ226" s="12"/>
      <c r="AK226" s="12"/>
      <c r="AL226" s="12"/>
      <c r="AM226" s="12"/>
      <c r="AN226" s="12"/>
      <c r="AO226" s="12"/>
      <c r="AP226" s="12"/>
    </row>
    <row r="227" spans="1:42" customFormat="1" ht="12.95" customHeight="1" x14ac:dyDescent="0.25">
      <c r="A227" s="3"/>
      <c r="B227" s="99"/>
      <c r="C227" s="99"/>
      <c r="D227" s="99"/>
      <c r="E227" s="31" t="s">
        <v>813</v>
      </c>
      <c r="F227" s="31"/>
      <c r="G227" s="99"/>
      <c r="H227" s="99"/>
      <c r="I227" s="107" t="s">
        <v>736</v>
      </c>
      <c r="J227" s="104"/>
      <c r="K227" s="99">
        <v>20</v>
      </c>
      <c r="L227" s="99">
        <v>20</v>
      </c>
      <c r="M227" s="105"/>
      <c r="N227" s="104"/>
      <c r="O227" s="249"/>
      <c r="P227" s="99"/>
      <c r="Q227" s="99"/>
      <c r="R227" s="126"/>
      <c r="S227" s="99"/>
      <c r="T227" s="99"/>
      <c r="U227" s="99"/>
      <c r="V227" s="99"/>
      <c r="W227" s="99"/>
      <c r="X227" s="99"/>
      <c r="Y227" s="99"/>
      <c r="Z227" s="99"/>
      <c r="AA227" s="99"/>
      <c r="AB227" s="270">
        <f>K227*94*0.05</f>
        <v>94</v>
      </c>
      <c r="AD227" s="344"/>
      <c r="AE227" s="345"/>
      <c r="AF227" s="345"/>
      <c r="AG227" s="345"/>
      <c r="AH227" s="346"/>
      <c r="AI227" s="12"/>
      <c r="AJ227" s="12"/>
      <c r="AK227" s="12"/>
      <c r="AL227" s="12"/>
      <c r="AM227" s="12"/>
      <c r="AN227" s="12"/>
      <c r="AO227" s="12"/>
      <c r="AP227" s="12"/>
    </row>
    <row r="228" spans="1:42" customFormat="1" ht="12.95" customHeight="1" x14ac:dyDescent="0.25">
      <c r="A228" s="3"/>
      <c r="B228" s="99"/>
      <c r="C228" s="99"/>
      <c r="D228" s="99"/>
      <c r="E228" s="107"/>
      <c r="F228" s="31" t="s">
        <v>764</v>
      </c>
      <c r="G228" s="99"/>
      <c r="H228" s="247" t="s">
        <v>821</v>
      </c>
      <c r="I228" s="107" t="s">
        <v>765</v>
      </c>
      <c r="J228" s="104"/>
      <c r="K228" s="266">
        <f>(K225*94+$AB$227)*0.9</f>
        <v>1433.9700000000003</v>
      </c>
      <c r="L228" s="266">
        <f>(L225*94+$AB$227)*0.9</f>
        <v>1213.5639400042853</v>
      </c>
      <c r="M228" s="253">
        <f>(M225*94+$AB$227)*0.9</f>
        <v>1029.1590000000001</v>
      </c>
      <c r="N228" s="280">
        <f>(N225*94+$AB$227)*0.9</f>
        <v>819.7621305921997</v>
      </c>
      <c r="O228" s="249"/>
      <c r="P228" s="99"/>
      <c r="Q228" s="99"/>
      <c r="R228" s="126"/>
      <c r="S228" s="99"/>
      <c r="T228" s="99"/>
      <c r="U228" s="99"/>
      <c r="V228" s="99"/>
      <c r="W228" s="99"/>
      <c r="X228" s="99"/>
      <c r="Y228" s="99"/>
      <c r="Z228" s="99"/>
      <c r="AA228" s="274"/>
      <c r="AB228" s="99"/>
      <c r="AD228" s="344"/>
      <c r="AE228" s="345"/>
      <c r="AF228" s="345"/>
      <c r="AG228" s="345"/>
      <c r="AH228" s="346"/>
      <c r="AI228" s="12"/>
      <c r="AJ228" s="12"/>
      <c r="AK228" s="12"/>
      <c r="AL228" s="12"/>
      <c r="AM228" s="12"/>
      <c r="AN228" s="12"/>
      <c r="AO228" s="12"/>
      <c r="AP228" s="12"/>
    </row>
    <row r="229" spans="1:42" customFormat="1" ht="12.95" customHeight="1" x14ac:dyDescent="0.25">
      <c r="A229" s="3"/>
      <c r="B229" s="99"/>
      <c r="C229" s="99"/>
      <c r="D229" s="99"/>
      <c r="E229" s="279"/>
      <c r="F229" s="279" t="s">
        <v>816</v>
      </c>
      <c r="G229" s="99"/>
      <c r="H229" s="99"/>
      <c r="I229" s="100"/>
      <c r="J229" s="104"/>
      <c r="K229" s="99"/>
      <c r="L229" s="99"/>
      <c r="M229" s="105"/>
      <c r="N229" s="104"/>
      <c r="O229" s="249"/>
      <c r="P229" s="99"/>
      <c r="Q229" s="99"/>
      <c r="R229" s="126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D229" s="344"/>
      <c r="AE229" s="345"/>
      <c r="AF229" s="345"/>
      <c r="AG229" s="345"/>
      <c r="AH229" s="346"/>
      <c r="AI229" s="12"/>
      <c r="AJ229" s="12"/>
      <c r="AK229" s="12"/>
      <c r="AL229" s="12"/>
      <c r="AM229" s="12"/>
      <c r="AN229" s="12"/>
      <c r="AO229" s="12"/>
      <c r="AP229" s="12"/>
    </row>
    <row r="230" spans="1:42" customFormat="1" ht="12.95" customHeight="1" x14ac:dyDescent="0.25">
      <c r="A230" s="52"/>
      <c r="B230" s="246"/>
      <c r="C230" s="98" t="s">
        <v>822</v>
      </c>
      <c r="D230" s="98" t="s">
        <v>823</v>
      </c>
      <c r="E230" s="98" t="s">
        <v>281</v>
      </c>
      <c r="F230" s="98"/>
      <c r="G230" s="98" t="s">
        <v>1313</v>
      </c>
      <c r="H230" s="98"/>
      <c r="I230" s="260" t="s">
        <v>736</v>
      </c>
      <c r="J230" s="261"/>
      <c r="K230" s="287">
        <f t="shared" ref="K230:M232" si="11">AE230</f>
        <v>8.4</v>
      </c>
      <c r="L230" s="287">
        <f t="shared" si="11"/>
        <v>7.9049999999999994</v>
      </c>
      <c r="M230" s="287">
        <f t="shared" si="11"/>
        <v>7.4347499999999993</v>
      </c>
      <c r="N230" s="263">
        <f>M230*0.999^50</f>
        <v>7.0719760442378803</v>
      </c>
      <c r="O230" s="268"/>
      <c r="P230" s="98">
        <f>BaseYear+1</f>
        <v>2011</v>
      </c>
      <c r="Q230" s="99"/>
      <c r="R230" s="126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D230" s="344">
        <f>AD233-AD232</f>
        <v>8.6</v>
      </c>
      <c r="AE230" s="345">
        <f>AE233-AE232</f>
        <v>8.4</v>
      </c>
      <c r="AF230" s="351">
        <f>AF233-AF232</f>
        <v>7.9049999999999994</v>
      </c>
      <c r="AG230" s="351">
        <f>AG233-AG232</f>
        <v>7.4347499999999993</v>
      </c>
      <c r="AH230" s="346"/>
      <c r="AI230" s="12"/>
      <c r="AJ230" s="12"/>
      <c r="AK230" s="12"/>
      <c r="AL230" s="12"/>
      <c r="AM230" s="12"/>
      <c r="AN230" s="12"/>
      <c r="AO230" s="12"/>
      <c r="AP230" s="12"/>
    </row>
    <row r="231" spans="1:42" customFormat="1" ht="12.95" customHeight="1" x14ac:dyDescent="0.25">
      <c r="A231" s="3"/>
      <c r="B231" s="99"/>
      <c r="C231" s="99"/>
      <c r="D231" s="99"/>
      <c r="E231" s="99" t="s">
        <v>278</v>
      </c>
      <c r="F231" s="99"/>
      <c r="G231" s="99"/>
      <c r="H231" s="99"/>
      <c r="I231" s="107" t="s">
        <v>736</v>
      </c>
      <c r="J231" s="104"/>
      <c r="K231" s="101">
        <f t="shared" si="11"/>
        <v>2.09</v>
      </c>
      <c r="L231" s="101">
        <f t="shared" si="11"/>
        <v>1.881</v>
      </c>
      <c r="M231" s="101">
        <f t="shared" si="11"/>
        <v>1.6929000000000001</v>
      </c>
      <c r="N231" s="117">
        <f>M231*0.995^50</f>
        <v>1.3176053278615047</v>
      </c>
      <c r="O231" s="249"/>
      <c r="P231" s="99"/>
      <c r="Q231" s="99"/>
      <c r="R231" s="126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D231" s="344">
        <v>2.2000000000000002</v>
      </c>
      <c r="AE231" s="351">
        <f>AD231*0.95</f>
        <v>2.09</v>
      </c>
      <c r="AF231" s="351">
        <f>AE231*0.9</f>
        <v>1.881</v>
      </c>
      <c r="AG231" s="351">
        <f>AF231*0.9</f>
        <v>1.6929000000000001</v>
      </c>
      <c r="AH231" s="346"/>
      <c r="AI231" s="12"/>
      <c r="AJ231" s="12"/>
      <c r="AK231" s="12"/>
      <c r="AL231" s="12"/>
      <c r="AM231" s="12"/>
      <c r="AN231" s="12"/>
      <c r="AO231" s="12"/>
      <c r="AP231" s="12"/>
    </row>
    <row r="232" spans="1:42" customFormat="1" ht="12.95" customHeight="1" x14ac:dyDescent="0.25">
      <c r="A232" s="3"/>
      <c r="B232" s="99"/>
      <c r="C232" s="99"/>
      <c r="D232" s="99"/>
      <c r="E232" s="99" t="s">
        <v>280</v>
      </c>
      <c r="F232" s="99"/>
      <c r="G232" s="99"/>
      <c r="H232" s="99"/>
      <c r="I232" s="107" t="s">
        <v>736</v>
      </c>
      <c r="J232" s="104"/>
      <c r="K232" s="99">
        <f t="shared" si="11"/>
        <v>1.5</v>
      </c>
      <c r="L232" s="99">
        <f t="shared" si="11"/>
        <v>1.5</v>
      </c>
      <c r="M232" s="99">
        <f t="shared" si="11"/>
        <v>1.5</v>
      </c>
      <c r="N232" s="104"/>
      <c r="O232" s="249"/>
      <c r="P232" s="99"/>
      <c r="Q232" s="99"/>
      <c r="R232" s="126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D232" s="344">
        <v>1.5</v>
      </c>
      <c r="AE232" s="345">
        <v>1.5</v>
      </c>
      <c r="AF232" s="345">
        <v>1.5</v>
      </c>
      <c r="AG232" s="345">
        <v>1.5</v>
      </c>
      <c r="AH232" s="346"/>
      <c r="AI232" s="12"/>
      <c r="AJ232" s="12"/>
      <c r="AK232" s="12"/>
      <c r="AL232" s="12"/>
      <c r="AM232" s="12"/>
      <c r="AN232" s="12"/>
      <c r="AO232" s="12"/>
      <c r="AP232" s="12"/>
    </row>
    <row r="233" spans="1:42" customFormat="1" ht="12.95" customHeight="1" x14ac:dyDescent="0.25">
      <c r="A233" s="3"/>
      <c r="B233" s="99"/>
      <c r="C233" s="99"/>
      <c r="D233" s="99"/>
      <c r="E233" s="99" t="s">
        <v>738</v>
      </c>
      <c r="F233" s="99"/>
      <c r="G233" s="99"/>
      <c r="H233" s="107"/>
      <c r="I233" s="107" t="s">
        <v>736</v>
      </c>
      <c r="J233" s="104"/>
      <c r="K233" s="253">
        <v>0</v>
      </c>
      <c r="L233" s="99"/>
      <c r="M233" s="105"/>
      <c r="N233" s="104"/>
      <c r="O233" s="249">
        <v>2</v>
      </c>
      <c r="P233" s="99"/>
      <c r="Q233" s="99"/>
      <c r="R233" s="126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D233" s="344">
        <v>10.1</v>
      </c>
      <c r="AE233" s="345">
        <v>9.9</v>
      </c>
      <c r="AF233" s="351">
        <f>AE233*0.95</f>
        <v>9.4049999999999994</v>
      </c>
      <c r="AG233" s="351">
        <f>AF233*0.95</f>
        <v>8.9347499999999993</v>
      </c>
      <c r="AH233" s="346"/>
      <c r="AI233" s="12"/>
      <c r="AJ233" s="12"/>
      <c r="AK233" s="12"/>
      <c r="AL233" s="12"/>
      <c r="AM233" s="12"/>
      <c r="AN233" s="12"/>
      <c r="AO233" s="12"/>
      <c r="AP233" s="12"/>
    </row>
    <row r="234" spans="1:42" customFormat="1" ht="12.95" customHeight="1" x14ac:dyDescent="0.25">
      <c r="A234" s="3"/>
      <c r="B234" s="99"/>
      <c r="C234" s="99"/>
      <c r="D234" s="99"/>
      <c r="E234" s="99"/>
      <c r="F234" s="99" t="s">
        <v>1149</v>
      </c>
      <c r="G234" s="99"/>
      <c r="H234" s="99"/>
      <c r="I234" s="107" t="s">
        <v>741</v>
      </c>
      <c r="J234" s="104"/>
      <c r="K234" s="99">
        <v>3</v>
      </c>
      <c r="L234" s="99"/>
      <c r="M234" s="105"/>
      <c r="N234" s="104"/>
      <c r="O234" s="249"/>
      <c r="P234" s="99"/>
      <c r="Q234" s="99"/>
      <c r="R234" s="126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D234" s="344"/>
      <c r="AE234" s="345"/>
      <c r="AF234" s="351"/>
      <c r="AG234" s="351"/>
      <c r="AH234" s="346"/>
      <c r="AI234" s="12"/>
      <c r="AJ234" s="12"/>
      <c r="AK234" s="12"/>
      <c r="AL234" s="12"/>
      <c r="AM234" s="12"/>
      <c r="AN234" s="12"/>
      <c r="AO234" s="12"/>
      <c r="AP234" s="12"/>
    </row>
    <row r="235" spans="1:42" customFormat="1" ht="12.95" customHeight="1" x14ac:dyDescent="0.25">
      <c r="A235" s="3"/>
      <c r="B235" s="99"/>
      <c r="C235" s="99"/>
      <c r="D235" s="99"/>
      <c r="E235" s="99"/>
      <c r="F235" s="99" t="s">
        <v>824</v>
      </c>
      <c r="G235" s="99"/>
      <c r="H235" s="99"/>
      <c r="I235" s="107" t="s">
        <v>319</v>
      </c>
      <c r="J235" s="104"/>
      <c r="K235" s="99">
        <v>1144</v>
      </c>
      <c r="L235" s="99">
        <v>1072.5</v>
      </c>
      <c r="M235" s="99">
        <v>1040</v>
      </c>
      <c r="N235" s="104"/>
      <c r="O235" s="249"/>
      <c r="P235" s="99"/>
      <c r="Q235" s="99"/>
      <c r="R235" s="126"/>
      <c r="S235" s="99"/>
      <c r="T235" s="99">
        <v>1</v>
      </c>
      <c r="U235" s="99">
        <v>0.9</v>
      </c>
      <c r="V235" s="31">
        <v>30</v>
      </c>
      <c r="W235" s="99"/>
      <c r="X235" s="99">
        <v>124</v>
      </c>
      <c r="Y235" s="99">
        <v>106.02</v>
      </c>
      <c r="Z235" s="99"/>
      <c r="AA235" s="99"/>
      <c r="AB235" s="99"/>
      <c r="AD235" s="344"/>
      <c r="AE235" s="345"/>
      <c r="AF235" s="345"/>
      <c r="AG235" s="345"/>
      <c r="AH235" s="346"/>
      <c r="AI235" s="12"/>
      <c r="AJ235" s="12"/>
      <c r="AK235" s="12"/>
      <c r="AL235" s="12"/>
      <c r="AM235" s="12"/>
      <c r="AN235" s="12"/>
      <c r="AO235" s="12"/>
      <c r="AP235" s="12"/>
    </row>
    <row r="236" spans="1:42" customFormat="1" ht="12.95" customHeight="1" x14ac:dyDescent="0.25">
      <c r="A236" s="52"/>
      <c r="B236" s="246"/>
      <c r="C236" s="98" t="s">
        <v>825</v>
      </c>
      <c r="D236" s="98" t="s">
        <v>826</v>
      </c>
      <c r="E236" s="98" t="s">
        <v>281</v>
      </c>
      <c r="F236" s="98"/>
      <c r="G236" s="98" t="s">
        <v>1313</v>
      </c>
      <c r="H236" s="98"/>
      <c r="I236" s="260" t="s">
        <v>736</v>
      </c>
      <c r="J236" s="261"/>
      <c r="K236" s="98">
        <f t="shared" ref="K236:M238" si="12">AE236</f>
        <v>7.2</v>
      </c>
      <c r="L236" s="287">
        <f t="shared" si="12"/>
        <v>6.984</v>
      </c>
      <c r="M236" s="287">
        <f t="shared" si="12"/>
        <v>6.7744799999999996</v>
      </c>
      <c r="N236" s="263">
        <f>M236*0.999^50</f>
        <v>6.443923504108227</v>
      </c>
      <c r="O236" s="268"/>
      <c r="P236" s="98">
        <f>BaseYear+1</f>
        <v>2011</v>
      </c>
      <c r="Q236" s="99"/>
      <c r="R236" s="126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D236" s="344">
        <f>9-AD238</f>
        <v>7.5</v>
      </c>
      <c r="AE236" s="351">
        <v>7.2</v>
      </c>
      <c r="AF236" s="351">
        <f>AE236*0.97</f>
        <v>6.984</v>
      </c>
      <c r="AG236" s="351">
        <f>AF236*0.97</f>
        <v>6.7744799999999996</v>
      </c>
      <c r="AH236" s="346"/>
      <c r="AI236" s="12"/>
      <c r="AJ236" s="12"/>
      <c r="AK236" s="12"/>
      <c r="AL236" s="12"/>
      <c r="AM236" s="12"/>
      <c r="AN236" s="12"/>
      <c r="AO236" s="12"/>
      <c r="AP236" s="12"/>
    </row>
    <row r="237" spans="1:42" customFormat="1" ht="12.95" customHeight="1" x14ac:dyDescent="0.25">
      <c r="A237" s="3"/>
      <c r="B237" s="99"/>
      <c r="C237" s="99"/>
      <c r="D237" s="99"/>
      <c r="E237" s="99" t="s">
        <v>278</v>
      </c>
      <c r="F237" s="99"/>
      <c r="G237" s="99"/>
      <c r="H237" s="99"/>
      <c r="I237" s="107" t="s">
        <v>736</v>
      </c>
      <c r="J237" s="104"/>
      <c r="K237" s="101">
        <f t="shared" si="12"/>
        <v>0.66499999999999992</v>
      </c>
      <c r="L237" s="101">
        <f t="shared" si="12"/>
        <v>0.59849999999999992</v>
      </c>
      <c r="M237" s="101">
        <f t="shared" si="12"/>
        <v>0.53864999999999996</v>
      </c>
      <c r="N237" s="117">
        <f>M237*0.995^50</f>
        <v>0.41923805886502419</v>
      </c>
      <c r="O237" s="249"/>
      <c r="P237" s="99"/>
      <c r="Q237" s="99"/>
      <c r="R237" s="126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D237" s="344">
        <v>0.7</v>
      </c>
      <c r="AE237" s="351">
        <f>AD237*0.95</f>
        <v>0.66499999999999992</v>
      </c>
      <c r="AF237" s="351">
        <f>AE237*0.9</f>
        <v>0.59849999999999992</v>
      </c>
      <c r="AG237" s="351">
        <f>AF237*0.9</f>
        <v>0.53864999999999996</v>
      </c>
      <c r="AH237" s="346"/>
      <c r="AI237" s="12"/>
      <c r="AJ237" s="12"/>
      <c r="AK237" s="12"/>
      <c r="AL237" s="12"/>
      <c r="AM237" s="12"/>
      <c r="AN237" s="12"/>
      <c r="AO237" s="12"/>
      <c r="AP237" s="12"/>
    </row>
    <row r="238" spans="1:42" customFormat="1" ht="12.95" customHeight="1" x14ac:dyDescent="0.25">
      <c r="A238" s="3"/>
      <c r="B238" s="99"/>
      <c r="C238" s="99"/>
      <c r="D238" s="99"/>
      <c r="E238" s="99" t="s">
        <v>280</v>
      </c>
      <c r="F238" s="99"/>
      <c r="G238" s="99"/>
      <c r="H238" s="99"/>
      <c r="I238" s="107" t="s">
        <v>736</v>
      </c>
      <c r="J238" s="104"/>
      <c r="K238" s="99">
        <f t="shared" si="12"/>
        <v>1.5</v>
      </c>
      <c r="L238" s="99">
        <f t="shared" si="12"/>
        <v>1.5</v>
      </c>
      <c r="M238" s="99">
        <f t="shared" si="12"/>
        <v>1.5</v>
      </c>
      <c r="N238" s="104"/>
      <c r="O238" s="249"/>
      <c r="P238" s="99"/>
      <c r="Q238" s="99"/>
      <c r="R238" s="126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D238" s="344">
        <v>1.5</v>
      </c>
      <c r="AE238" s="345">
        <v>1.5</v>
      </c>
      <c r="AF238" s="345">
        <v>1.5</v>
      </c>
      <c r="AG238" s="345">
        <v>1.5</v>
      </c>
      <c r="AH238" s="346"/>
      <c r="AI238" s="12"/>
      <c r="AJ238" s="12"/>
      <c r="AK238" s="12"/>
      <c r="AL238" s="12"/>
      <c r="AM238" s="12"/>
      <c r="AN238" s="12"/>
      <c r="AO238" s="12"/>
      <c r="AP238" s="12"/>
    </row>
    <row r="239" spans="1:42" customFormat="1" ht="12.95" customHeight="1" x14ac:dyDescent="0.25">
      <c r="A239" s="3"/>
      <c r="B239" s="99"/>
      <c r="C239" s="99"/>
      <c r="D239" s="99"/>
      <c r="E239" s="99" t="s">
        <v>738</v>
      </c>
      <c r="F239" s="99"/>
      <c r="G239" s="99"/>
      <c r="H239" s="107"/>
      <c r="I239" s="107" t="s">
        <v>736</v>
      </c>
      <c r="J239" s="104"/>
      <c r="K239" s="253">
        <v>0</v>
      </c>
      <c r="L239" s="99"/>
      <c r="M239" s="105"/>
      <c r="N239" s="104"/>
      <c r="O239" s="249">
        <v>2</v>
      </c>
      <c r="P239" s="99"/>
      <c r="Q239" s="99"/>
      <c r="R239" s="126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D239" s="344"/>
      <c r="AE239" s="345"/>
      <c r="AF239" s="351">
        <f>SUM(AF238,AF236)</f>
        <v>8.484</v>
      </c>
      <c r="AG239" s="345"/>
      <c r="AH239" s="346"/>
      <c r="AI239" s="12"/>
      <c r="AJ239" s="12"/>
      <c r="AK239" s="12"/>
      <c r="AL239" s="12"/>
      <c r="AM239" s="12"/>
      <c r="AN239" s="12"/>
      <c r="AO239" s="12"/>
      <c r="AP239" s="12"/>
    </row>
    <row r="240" spans="1:42" customFormat="1" ht="12.95" customHeight="1" x14ac:dyDescent="0.25">
      <c r="A240" s="3"/>
      <c r="B240" s="99"/>
      <c r="C240" s="99"/>
      <c r="D240" s="99"/>
      <c r="E240" s="99"/>
      <c r="F240" s="99" t="s">
        <v>1149</v>
      </c>
      <c r="G240" s="99"/>
      <c r="H240" s="99"/>
      <c r="I240" s="107" t="s">
        <v>741</v>
      </c>
      <c r="J240" s="104"/>
      <c r="K240" s="99">
        <v>3</v>
      </c>
      <c r="L240" s="99"/>
      <c r="M240" s="105"/>
      <c r="N240" s="104"/>
      <c r="O240" s="249"/>
      <c r="P240" s="99"/>
      <c r="Q240" s="99"/>
      <c r="R240" s="126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D240" s="344"/>
      <c r="AE240" s="345"/>
      <c r="AF240" s="345"/>
      <c r="AG240" s="345"/>
      <c r="AH240" s="346"/>
      <c r="AI240" s="12"/>
      <c r="AJ240" s="12"/>
      <c r="AK240" s="12"/>
      <c r="AL240" s="12"/>
      <c r="AM240" s="12"/>
      <c r="AN240" s="12"/>
      <c r="AO240" s="12"/>
      <c r="AP240" s="12"/>
    </row>
    <row r="241" spans="1:42" customFormat="1" ht="12.95" customHeight="1" x14ac:dyDescent="0.25">
      <c r="A241" s="3"/>
      <c r="B241" s="99"/>
      <c r="C241" s="99"/>
      <c r="D241" s="99"/>
      <c r="E241" s="99"/>
      <c r="F241" s="99" t="s">
        <v>824</v>
      </c>
      <c r="G241" s="99"/>
      <c r="H241" s="99"/>
      <c r="I241" s="107" t="s">
        <v>319</v>
      </c>
      <c r="J241" s="104"/>
      <c r="K241" s="99">
        <v>1358.5</v>
      </c>
      <c r="L241" s="99">
        <v>1287</v>
      </c>
      <c r="M241" s="99">
        <v>1261</v>
      </c>
      <c r="N241" s="104"/>
      <c r="O241" s="249"/>
      <c r="P241" s="99"/>
      <c r="Q241" s="99"/>
      <c r="R241" s="126"/>
      <c r="S241" s="99"/>
      <c r="T241" s="99">
        <v>1</v>
      </c>
      <c r="U241" s="99">
        <v>0.9</v>
      </c>
      <c r="V241" s="31">
        <v>30</v>
      </c>
      <c r="W241" s="99"/>
      <c r="X241" s="99">
        <v>124</v>
      </c>
      <c r="Y241" s="99">
        <v>106.02</v>
      </c>
      <c r="Z241" s="99"/>
      <c r="AA241" s="99"/>
      <c r="AB241" s="99"/>
      <c r="AD241" s="344"/>
      <c r="AE241" s="345"/>
      <c r="AF241" s="345"/>
      <c r="AG241" s="345"/>
      <c r="AH241" s="346"/>
      <c r="AI241" s="12"/>
      <c r="AJ241" s="12"/>
      <c r="AK241" s="12"/>
      <c r="AL241" s="12"/>
      <c r="AM241" s="12"/>
      <c r="AN241" s="12"/>
      <c r="AO241" s="12"/>
      <c r="AP241" s="12"/>
    </row>
    <row r="242" spans="1:42" customFormat="1" ht="12.95" customHeight="1" x14ac:dyDescent="0.25">
      <c r="A242" s="52"/>
      <c r="B242" s="246"/>
      <c r="C242" s="98" t="s">
        <v>827</v>
      </c>
      <c r="D242" s="98" t="s">
        <v>828</v>
      </c>
      <c r="E242" s="98" t="s">
        <v>281</v>
      </c>
      <c r="F242" s="98"/>
      <c r="G242" s="98" t="s">
        <v>1313</v>
      </c>
      <c r="H242" s="98"/>
      <c r="I242" s="260" t="s">
        <v>736</v>
      </c>
      <c r="J242" s="261"/>
      <c r="K242" s="98">
        <f t="shared" ref="K242:M244" si="13">AE242</f>
        <v>6.52</v>
      </c>
      <c r="L242" s="287">
        <f t="shared" si="13"/>
        <v>5.9984000000000002</v>
      </c>
      <c r="M242" s="287">
        <f t="shared" si="13"/>
        <v>5.2186079999999997</v>
      </c>
      <c r="N242" s="263">
        <f>M242*0.998^50</f>
        <v>4.721518982410406</v>
      </c>
      <c r="O242" s="268"/>
      <c r="P242" s="98">
        <v>2015</v>
      </c>
      <c r="Q242" s="99"/>
      <c r="R242" s="126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D242" s="344"/>
      <c r="AE242" s="351">
        <v>6.52</v>
      </c>
      <c r="AF242" s="351">
        <f>AE242*0.92</f>
        <v>5.9984000000000002</v>
      </c>
      <c r="AG242" s="351">
        <f>AF242*0.87</f>
        <v>5.2186079999999997</v>
      </c>
      <c r="AH242" s="346"/>
      <c r="AI242" s="12"/>
      <c r="AJ242" s="12"/>
      <c r="AK242" s="12"/>
      <c r="AL242" s="12"/>
      <c r="AM242" s="12"/>
      <c r="AN242" s="12"/>
      <c r="AO242" s="12"/>
      <c r="AP242" s="12"/>
    </row>
    <row r="243" spans="1:42" customFormat="1" ht="12.95" customHeight="1" x14ac:dyDescent="0.25">
      <c r="A243" s="3"/>
      <c r="B243" s="99"/>
      <c r="C243" s="99"/>
      <c r="D243" s="99"/>
      <c r="E243" s="99" t="s">
        <v>278</v>
      </c>
      <c r="F243" s="99"/>
      <c r="G243" s="99"/>
      <c r="H243" s="99"/>
      <c r="I243" s="107" t="s">
        <v>736</v>
      </c>
      <c r="J243" s="104"/>
      <c r="K243" s="101">
        <f t="shared" si="13"/>
        <v>0.3</v>
      </c>
      <c r="L243" s="101">
        <f t="shared" si="13"/>
        <v>0.27</v>
      </c>
      <c r="M243" s="101">
        <f t="shared" si="13"/>
        <v>0.24300000000000002</v>
      </c>
      <c r="N243" s="117">
        <f>M243*0.995^50</f>
        <v>0.1891299513676801</v>
      </c>
      <c r="O243" s="249"/>
      <c r="P243" s="99"/>
      <c r="Q243" s="99"/>
      <c r="R243" s="126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D243" s="344"/>
      <c r="AE243" s="351">
        <v>0.3</v>
      </c>
      <c r="AF243" s="351">
        <f>AE243*0.9</f>
        <v>0.27</v>
      </c>
      <c r="AG243" s="351">
        <f>AF243*0.9</f>
        <v>0.24300000000000002</v>
      </c>
      <c r="AH243" s="346"/>
      <c r="AI243" s="12"/>
      <c r="AJ243" s="12"/>
      <c r="AK243" s="12"/>
      <c r="AL243" s="12"/>
      <c r="AM243" s="12"/>
      <c r="AN243" s="12"/>
      <c r="AO243" s="12"/>
      <c r="AP243" s="12"/>
    </row>
    <row r="244" spans="1:42" customFormat="1" ht="12.95" customHeight="1" x14ac:dyDescent="0.25">
      <c r="A244" s="3"/>
      <c r="B244" s="99"/>
      <c r="C244" s="99"/>
      <c r="D244" s="99"/>
      <c r="E244" s="99" t="s">
        <v>280</v>
      </c>
      <c r="F244" s="99"/>
      <c r="G244" s="99"/>
      <c r="H244" s="99"/>
      <c r="I244" s="107" t="s">
        <v>736</v>
      </c>
      <c r="J244" s="104"/>
      <c r="K244" s="99">
        <f t="shared" si="13"/>
        <v>1.5</v>
      </c>
      <c r="L244" s="99">
        <f t="shared" si="13"/>
        <v>1.5</v>
      </c>
      <c r="M244" s="99">
        <f t="shared" si="13"/>
        <v>1.5</v>
      </c>
      <c r="N244" s="104"/>
      <c r="O244" s="249"/>
      <c r="P244" s="99"/>
      <c r="Q244" s="99"/>
      <c r="R244" s="126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D244" s="344"/>
      <c r="AE244" s="345">
        <v>1.5</v>
      </c>
      <c r="AF244" s="345">
        <v>1.5</v>
      </c>
      <c r="AG244" s="345">
        <v>1.5</v>
      </c>
      <c r="AH244" s="346"/>
      <c r="AI244" s="12"/>
      <c r="AJ244" s="12"/>
      <c r="AK244" s="12"/>
      <c r="AL244" s="12"/>
      <c r="AM244" s="12"/>
      <c r="AN244" s="12"/>
      <c r="AO244" s="12"/>
      <c r="AP244" s="12"/>
    </row>
    <row r="245" spans="1:42" customFormat="1" ht="12.95" customHeight="1" x14ac:dyDescent="0.25">
      <c r="A245" s="3"/>
      <c r="B245" s="99"/>
      <c r="C245" s="99"/>
      <c r="D245" s="99"/>
      <c r="E245" s="99" t="s">
        <v>738</v>
      </c>
      <c r="F245" s="99"/>
      <c r="G245" s="99"/>
      <c r="H245" s="107"/>
      <c r="I245" s="107" t="s">
        <v>736</v>
      </c>
      <c r="J245" s="104"/>
      <c r="K245" s="253">
        <v>0</v>
      </c>
      <c r="L245" s="253"/>
      <c r="M245" s="105"/>
      <c r="N245" s="104"/>
      <c r="O245" s="249">
        <v>2</v>
      </c>
      <c r="P245" s="99"/>
      <c r="Q245" s="99"/>
      <c r="R245" s="126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D245" s="344"/>
      <c r="AE245" s="348">
        <f>SUM(AE244,AE242)</f>
        <v>8.02</v>
      </c>
      <c r="AF245" s="348">
        <f>SUM(AF244,AF242)</f>
        <v>7.4984000000000002</v>
      </c>
      <c r="AG245" s="348">
        <f>SUM(AG244,AG242)</f>
        <v>6.7186079999999997</v>
      </c>
      <c r="AH245" s="346"/>
      <c r="AI245" s="12"/>
      <c r="AJ245" s="12"/>
      <c r="AK245" s="12"/>
      <c r="AL245" s="12"/>
      <c r="AM245" s="12"/>
      <c r="AN245" s="12"/>
      <c r="AO245" s="12"/>
      <c r="AP245" s="12"/>
    </row>
    <row r="246" spans="1:42" customFormat="1" ht="12.95" customHeight="1" x14ac:dyDescent="0.25">
      <c r="A246" s="3"/>
      <c r="B246" s="99"/>
      <c r="C246" s="99"/>
      <c r="D246" s="99"/>
      <c r="E246" s="99"/>
      <c r="F246" s="99" t="s">
        <v>1149</v>
      </c>
      <c r="G246" s="99"/>
      <c r="H246" s="99"/>
      <c r="I246" s="107" t="s">
        <v>741</v>
      </c>
      <c r="J246" s="104"/>
      <c r="K246" s="99">
        <v>3</v>
      </c>
      <c r="L246" s="99"/>
      <c r="M246" s="105"/>
      <c r="N246" s="104"/>
      <c r="O246" s="249"/>
      <c r="P246" s="99"/>
      <c r="Q246" s="99"/>
      <c r="R246" s="126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D246" s="344"/>
      <c r="AE246" s="345"/>
      <c r="AF246" s="345"/>
      <c r="AG246" s="345"/>
      <c r="AH246" s="346"/>
      <c r="AI246" s="12"/>
      <c r="AJ246" s="12"/>
      <c r="AK246" s="12"/>
      <c r="AL246" s="12"/>
      <c r="AM246" s="12"/>
      <c r="AN246" s="12"/>
      <c r="AO246" s="12"/>
      <c r="AP246" s="12"/>
    </row>
    <row r="247" spans="1:42" customFormat="1" ht="12.95" customHeight="1" x14ac:dyDescent="0.25">
      <c r="A247" s="3"/>
      <c r="B247" s="99"/>
      <c r="C247" s="99"/>
      <c r="D247" s="99"/>
      <c r="E247" s="99"/>
      <c r="F247" s="99" t="s">
        <v>824</v>
      </c>
      <c r="G247" s="99"/>
      <c r="H247" s="99"/>
      <c r="I247" s="107" t="s">
        <v>319</v>
      </c>
      <c r="J247" s="104"/>
      <c r="K247" s="266">
        <v>1706.3150000000001</v>
      </c>
      <c r="L247" s="266"/>
      <c r="M247" s="99">
        <v>1261</v>
      </c>
      <c r="N247" s="104"/>
      <c r="O247" s="249"/>
      <c r="P247" s="99"/>
      <c r="Q247" s="99"/>
      <c r="R247" s="126"/>
      <c r="S247" s="99"/>
      <c r="T247" s="99">
        <v>1</v>
      </c>
      <c r="U247" s="99">
        <v>0.9</v>
      </c>
      <c r="V247" s="31">
        <v>30</v>
      </c>
      <c r="W247" s="99"/>
      <c r="X247" s="99">
        <v>111.6</v>
      </c>
      <c r="Y247" s="99">
        <v>106.02</v>
      </c>
      <c r="Z247" s="99"/>
      <c r="AA247" s="99"/>
      <c r="AB247" s="99"/>
      <c r="AD247" s="344"/>
      <c r="AE247" s="345"/>
      <c r="AF247" s="345"/>
      <c r="AG247" s="345"/>
      <c r="AH247" s="346"/>
      <c r="AI247" s="12"/>
      <c r="AJ247" s="12"/>
      <c r="AK247" s="12"/>
      <c r="AL247" s="12"/>
      <c r="AM247" s="12"/>
      <c r="AN247" s="12"/>
      <c r="AO247" s="12"/>
      <c r="AP247" s="12"/>
    </row>
    <row r="248" spans="1:42" customFormat="1" ht="12.95" customHeight="1" x14ac:dyDescent="0.25">
      <c r="A248" s="52"/>
      <c r="B248" s="246"/>
      <c r="C248" s="98" t="s">
        <v>829</v>
      </c>
      <c r="D248" s="98" t="s">
        <v>830</v>
      </c>
      <c r="E248" s="98" t="s">
        <v>1068</v>
      </c>
      <c r="F248" s="98" t="s">
        <v>547</v>
      </c>
      <c r="G248" s="98" t="s">
        <v>1314</v>
      </c>
      <c r="H248" s="98"/>
      <c r="I248" s="260" t="s">
        <v>736</v>
      </c>
      <c r="J248" s="261"/>
      <c r="K248" s="284">
        <v>1.9186599999999998</v>
      </c>
      <c r="L248" s="284">
        <f>K248*0.998^10</f>
        <v>1.8806303233176513</v>
      </c>
      <c r="M248" s="284">
        <f>L248*0.997^10</f>
        <v>1.824967007531465</v>
      </c>
      <c r="N248" s="283">
        <f>M248*0.9</f>
        <v>1.6424703067783186</v>
      </c>
      <c r="O248" s="268"/>
      <c r="P248" s="98">
        <f>BaseYear+1</f>
        <v>2011</v>
      </c>
      <c r="Q248" s="99"/>
      <c r="R248" s="126"/>
      <c r="S248" s="99">
        <v>1</v>
      </c>
      <c r="T248" s="126"/>
      <c r="U248" s="126"/>
      <c r="V248" s="126"/>
      <c r="W248" s="126"/>
      <c r="X248" s="126"/>
      <c r="Y248" s="126"/>
      <c r="Z248" s="99"/>
      <c r="AA248" s="99"/>
      <c r="AB248" s="99"/>
      <c r="AD248" s="344"/>
      <c r="AE248" s="345"/>
      <c r="AF248" s="345"/>
      <c r="AG248" s="345"/>
      <c r="AH248" s="346"/>
      <c r="AI248" s="12"/>
      <c r="AJ248" s="12"/>
      <c r="AK248" s="12"/>
      <c r="AL248" s="12"/>
      <c r="AM248" s="12"/>
      <c r="AN248" s="12"/>
      <c r="AO248" s="12"/>
      <c r="AP248" s="12"/>
    </row>
    <row r="249" spans="1:42" customFormat="1" ht="12.95" customHeight="1" x14ac:dyDescent="0.25">
      <c r="A249" s="3"/>
      <c r="B249" s="99"/>
      <c r="C249" s="126"/>
      <c r="D249" s="99"/>
      <c r="E249" s="99" t="s">
        <v>1066</v>
      </c>
      <c r="F249" s="99" t="s">
        <v>833</v>
      </c>
      <c r="G249" s="99"/>
      <c r="H249" s="99"/>
      <c r="I249" s="100" t="s">
        <v>736</v>
      </c>
      <c r="J249" s="104"/>
      <c r="K249" s="99">
        <v>9.6999999999999993</v>
      </c>
      <c r="L249" s="101">
        <f>K249*0.92</f>
        <v>8.9239999999999995</v>
      </c>
      <c r="M249" s="101">
        <f>L249*0.92</f>
        <v>8.2100799999999996</v>
      </c>
      <c r="N249" s="117">
        <f>M249*0.85</f>
        <v>6.9785679999999992</v>
      </c>
      <c r="O249" s="249"/>
      <c r="P249" s="99"/>
      <c r="Q249" s="99"/>
      <c r="R249" s="126"/>
      <c r="S249" s="99"/>
      <c r="T249" s="99">
        <v>1</v>
      </c>
      <c r="U249" s="99">
        <v>0.9</v>
      </c>
      <c r="V249" s="31">
        <v>30</v>
      </c>
      <c r="W249" s="266">
        <v>1949.8050000000001</v>
      </c>
      <c r="X249" s="99">
        <v>55.8</v>
      </c>
      <c r="Y249" s="99"/>
      <c r="Z249" s="99"/>
      <c r="AA249" s="99"/>
      <c r="AB249" s="99"/>
      <c r="AD249" s="344"/>
      <c r="AE249" s="345"/>
      <c r="AF249" s="345"/>
      <c r="AG249" s="345"/>
      <c r="AH249" s="346"/>
      <c r="AI249" s="12"/>
      <c r="AJ249" s="12"/>
      <c r="AK249" s="12"/>
      <c r="AL249" s="12"/>
      <c r="AM249" s="12"/>
      <c r="AN249" s="12"/>
      <c r="AO249" s="12"/>
      <c r="AP249" s="12"/>
    </row>
    <row r="250" spans="1:42" customFormat="1" ht="12.95" customHeight="1" x14ac:dyDescent="0.25">
      <c r="A250" s="3"/>
      <c r="B250" s="99"/>
      <c r="C250" s="126"/>
      <c r="D250" s="99"/>
      <c r="E250" s="99" t="s">
        <v>1067</v>
      </c>
      <c r="F250" s="99"/>
      <c r="G250" s="99"/>
      <c r="H250" s="99"/>
      <c r="I250" s="100" t="s">
        <v>736</v>
      </c>
      <c r="J250" s="104"/>
      <c r="K250" s="101">
        <v>1.55</v>
      </c>
      <c r="L250" s="99">
        <v>1.5</v>
      </c>
      <c r="M250" s="99">
        <v>1.4</v>
      </c>
      <c r="N250" s="104">
        <f>M250*0.85</f>
        <v>1.19</v>
      </c>
      <c r="O250" s="249"/>
      <c r="P250" s="99"/>
      <c r="Q250" s="99"/>
      <c r="R250" s="126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D250" s="344"/>
      <c r="AE250" s="345"/>
      <c r="AF250" s="345"/>
      <c r="AG250" s="345"/>
      <c r="AH250" s="346"/>
      <c r="AI250" s="12"/>
      <c r="AJ250" s="12"/>
      <c r="AK250" s="12"/>
      <c r="AL250" s="12"/>
      <c r="AM250" s="12"/>
      <c r="AN250" s="12"/>
      <c r="AO250" s="12"/>
      <c r="AP250" s="12"/>
    </row>
    <row r="251" spans="1:42" customFormat="1" ht="12.95" customHeight="1" x14ac:dyDescent="0.25">
      <c r="A251" s="3"/>
      <c r="B251" s="99"/>
      <c r="C251" s="126"/>
      <c r="D251" s="99"/>
      <c r="E251" s="99" t="s">
        <v>831</v>
      </c>
      <c r="F251" s="99" t="s">
        <v>832</v>
      </c>
      <c r="G251" s="99"/>
      <c r="H251" s="99"/>
      <c r="I251" s="100" t="s">
        <v>736</v>
      </c>
      <c r="J251" s="104"/>
      <c r="K251" s="99">
        <v>5.0999999999999996</v>
      </c>
      <c r="L251" s="99"/>
      <c r="M251" s="105"/>
      <c r="N251" s="104"/>
      <c r="O251" s="249"/>
      <c r="P251" s="99"/>
      <c r="Q251" s="99"/>
      <c r="R251" s="126"/>
      <c r="S251" s="99">
        <v>0.8</v>
      </c>
      <c r="T251" s="99"/>
      <c r="U251" s="99"/>
      <c r="V251" s="99"/>
      <c r="W251" s="99"/>
      <c r="X251" s="99"/>
      <c r="Y251" s="99"/>
      <c r="Z251" s="99"/>
      <c r="AA251" s="99"/>
      <c r="AB251" s="99"/>
      <c r="AD251" s="344"/>
      <c r="AE251" s="345"/>
      <c r="AF251" s="345"/>
      <c r="AG251" s="345"/>
      <c r="AH251" s="346"/>
      <c r="AI251" s="12"/>
      <c r="AJ251" s="12"/>
      <c r="AK251" s="12"/>
      <c r="AL251" s="12"/>
      <c r="AM251" s="12"/>
      <c r="AN251" s="12"/>
      <c r="AO251" s="12"/>
      <c r="AP251" s="12"/>
    </row>
    <row r="252" spans="1:42" customFormat="1" ht="12.95" customHeight="1" x14ac:dyDescent="0.25">
      <c r="A252" s="3"/>
      <c r="B252" s="99"/>
      <c r="C252" s="99"/>
      <c r="D252" s="99"/>
      <c r="E252" s="99"/>
      <c r="F252" s="99" t="s">
        <v>545</v>
      </c>
      <c r="G252" s="99"/>
      <c r="H252" s="99"/>
      <c r="I252" s="107" t="s">
        <v>741</v>
      </c>
      <c r="J252" s="104"/>
      <c r="K252" s="101">
        <v>18.29295306659283</v>
      </c>
      <c r="L252" s="101">
        <v>18.29295306659283</v>
      </c>
      <c r="M252" s="101">
        <v>18.29295306659283</v>
      </c>
      <c r="N252" s="117">
        <v>18.29295306659283</v>
      </c>
      <c r="O252" s="249"/>
      <c r="P252" s="99"/>
      <c r="Q252" s="99"/>
      <c r="R252" s="126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D252" s="344"/>
      <c r="AE252" s="345"/>
      <c r="AF252" s="345"/>
      <c r="AG252" s="345"/>
      <c r="AH252" s="346"/>
      <c r="AI252" s="12"/>
      <c r="AJ252" s="12"/>
      <c r="AK252" s="12"/>
      <c r="AL252" s="12"/>
      <c r="AM252" s="12"/>
      <c r="AN252" s="12"/>
      <c r="AO252" s="12"/>
      <c r="AP252" s="12"/>
    </row>
    <row r="253" spans="1:42" customFormat="1" ht="12.95" customHeight="1" x14ac:dyDescent="0.25">
      <c r="A253" s="52"/>
      <c r="B253" s="246"/>
      <c r="C253" s="98" t="s">
        <v>546</v>
      </c>
      <c r="D253" s="98" t="s">
        <v>830</v>
      </c>
      <c r="E253" s="98" t="s">
        <v>1068</v>
      </c>
      <c r="F253" s="98" t="s">
        <v>548</v>
      </c>
      <c r="G253" s="98" t="s">
        <v>1314</v>
      </c>
      <c r="H253" s="98"/>
      <c r="I253" s="260" t="s">
        <v>736</v>
      </c>
      <c r="J253" s="261"/>
      <c r="K253" s="284">
        <v>1.9186599999999998</v>
      </c>
      <c r="L253" s="284">
        <f>K253*0.998^10</f>
        <v>1.8806303233176513</v>
      </c>
      <c r="M253" s="284">
        <f>L253*0.997^10</f>
        <v>1.824967007531465</v>
      </c>
      <c r="N253" s="283">
        <f>M253*0.9</f>
        <v>1.6424703067783186</v>
      </c>
      <c r="O253" s="268"/>
      <c r="P253" s="98">
        <f>BaseYear+1</f>
        <v>2011</v>
      </c>
      <c r="Q253" s="99"/>
      <c r="R253" s="126"/>
      <c r="S253" s="99">
        <v>1</v>
      </c>
      <c r="T253" s="126"/>
      <c r="U253" s="126"/>
      <c r="V253" s="126"/>
      <c r="W253" s="126"/>
      <c r="X253" s="126"/>
      <c r="Y253" s="126"/>
      <c r="Z253" s="99"/>
      <c r="AA253" s="99"/>
      <c r="AB253" s="99"/>
      <c r="AD253" s="344"/>
      <c r="AE253" s="345"/>
      <c r="AF253" s="345"/>
      <c r="AG253" s="345"/>
      <c r="AH253" s="346"/>
      <c r="AI253" s="12"/>
      <c r="AJ253" s="12"/>
      <c r="AK253" s="12"/>
      <c r="AL253" s="12"/>
      <c r="AM253" s="12"/>
      <c r="AN253" s="12"/>
      <c r="AO253" s="12"/>
      <c r="AP253" s="12"/>
    </row>
    <row r="254" spans="1:42" customFormat="1" ht="12.95" customHeight="1" x14ac:dyDescent="0.25">
      <c r="A254" s="3"/>
      <c r="B254" s="99"/>
      <c r="C254" s="126"/>
      <c r="D254" s="99"/>
      <c r="E254" s="99" t="s">
        <v>1066</v>
      </c>
      <c r="F254" s="99" t="s">
        <v>833</v>
      </c>
      <c r="G254" s="99"/>
      <c r="H254" s="99"/>
      <c r="I254" s="100" t="s">
        <v>736</v>
      </c>
      <c r="J254" s="104"/>
      <c r="K254" s="99">
        <v>9.6999999999999993</v>
      </c>
      <c r="L254" s="101">
        <f>K254*0.92</f>
        <v>8.9239999999999995</v>
      </c>
      <c r="M254" s="101">
        <f>L254*0.92</f>
        <v>8.2100799999999996</v>
      </c>
      <c r="N254" s="117">
        <f>M254*0.85</f>
        <v>6.9785679999999992</v>
      </c>
      <c r="O254" s="249"/>
      <c r="P254" s="99"/>
      <c r="Q254" s="99"/>
      <c r="R254" s="126"/>
      <c r="S254" s="99"/>
      <c r="T254" s="99">
        <v>1</v>
      </c>
      <c r="U254" s="99">
        <v>0.9</v>
      </c>
      <c r="V254" s="31">
        <v>30</v>
      </c>
      <c r="W254" s="266">
        <v>1949.8050000000001</v>
      </c>
      <c r="X254" s="99">
        <v>55.8</v>
      </c>
      <c r="Y254" s="99"/>
      <c r="Z254" s="99"/>
      <c r="AA254" s="99"/>
      <c r="AB254" s="99"/>
      <c r="AD254" s="344"/>
      <c r="AE254" s="345"/>
      <c r="AF254" s="345"/>
      <c r="AG254" s="345"/>
      <c r="AH254" s="346"/>
      <c r="AI254" s="12"/>
      <c r="AJ254" s="12"/>
      <c r="AK254" s="12"/>
      <c r="AL254" s="12"/>
      <c r="AM254" s="12"/>
      <c r="AN254" s="12"/>
      <c r="AO254" s="12"/>
      <c r="AP254" s="12"/>
    </row>
    <row r="255" spans="1:42" customFormat="1" ht="12.95" customHeight="1" x14ac:dyDescent="0.25">
      <c r="A255" s="3"/>
      <c r="B255" s="99"/>
      <c r="C255" s="126"/>
      <c r="D255" s="99"/>
      <c r="E255" s="99" t="s">
        <v>1067</v>
      </c>
      <c r="F255" s="99"/>
      <c r="G255" s="99"/>
      <c r="H255" s="99"/>
      <c r="I255" s="100" t="s">
        <v>736</v>
      </c>
      <c r="J255" s="104"/>
      <c r="K255" s="102">
        <v>1.3719999999999999</v>
      </c>
      <c r="L255" s="101">
        <f>K255*0.95</f>
        <v>1.3033999999999999</v>
      </c>
      <c r="M255" s="101">
        <f>L255*0.95</f>
        <v>1.2382299999999999</v>
      </c>
      <c r="N255" s="117">
        <f>M255*0.9</f>
        <v>1.1144069999999999</v>
      </c>
      <c r="O255" s="249"/>
      <c r="P255" s="99"/>
      <c r="Q255" s="99"/>
      <c r="R255" s="126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D255" s="344"/>
      <c r="AE255" s="345"/>
      <c r="AF255" s="345"/>
      <c r="AG255" s="345"/>
      <c r="AH255" s="346"/>
      <c r="AI255" s="12"/>
      <c r="AJ255" s="12"/>
      <c r="AK255" s="12"/>
      <c r="AL255" s="12"/>
      <c r="AM255" s="12"/>
      <c r="AN255" s="12"/>
      <c r="AO255" s="12"/>
      <c r="AP255" s="12"/>
    </row>
    <row r="256" spans="1:42" customFormat="1" ht="12.95" customHeight="1" x14ac:dyDescent="0.25">
      <c r="A256" s="3"/>
      <c r="B256" s="99"/>
      <c r="C256" s="126"/>
      <c r="D256" s="99"/>
      <c r="E256" s="99" t="s">
        <v>831</v>
      </c>
      <c r="F256" s="99" t="s">
        <v>832</v>
      </c>
      <c r="G256" s="99"/>
      <c r="H256" s="99"/>
      <c r="I256" s="100" t="s">
        <v>736</v>
      </c>
      <c r="J256" s="104"/>
      <c r="K256" s="99">
        <v>5.0999999999999996</v>
      </c>
      <c r="L256" s="99"/>
      <c r="M256" s="105"/>
      <c r="N256" s="104"/>
      <c r="O256" s="249"/>
      <c r="P256" s="99"/>
      <c r="Q256" s="99"/>
      <c r="R256" s="126"/>
      <c r="S256" s="99">
        <v>0.8</v>
      </c>
      <c r="T256" s="99"/>
      <c r="U256" s="99"/>
      <c r="V256" s="99"/>
      <c r="W256" s="99"/>
      <c r="X256" s="99"/>
      <c r="Y256" s="99"/>
      <c r="Z256" s="99"/>
      <c r="AA256" s="99"/>
      <c r="AB256" s="99"/>
      <c r="AD256" s="344"/>
      <c r="AE256" s="345"/>
      <c r="AF256" s="345"/>
      <c r="AG256" s="345"/>
      <c r="AH256" s="346"/>
      <c r="AI256" s="12"/>
      <c r="AJ256" s="12"/>
      <c r="AK256" s="12"/>
      <c r="AL256" s="12"/>
      <c r="AM256" s="12"/>
      <c r="AN256" s="12"/>
      <c r="AO256" s="12"/>
      <c r="AP256" s="12"/>
    </row>
    <row r="257" spans="1:42" customFormat="1" ht="12.95" customHeight="1" x14ac:dyDescent="0.25">
      <c r="A257" s="3"/>
      <c r="B257" s="99"/>
      <c r="C257" s="99"/>
      <c r="D257" s="99"/>
      <c r="E257" s="99"/>
      <c r="F257" s="99" t="s">
        <v>545</v>
      </c>
      <c r="G257" s="99"/>
      <c r="H257" s="99"/>
      <c r="I257" s="107" t="s">
        <v>741</v>
      </c>
      <c r="J257" s="104"/>
      <c r="K257" s="101">
        <v>18.29295306659283</v>
      </c>
      <c r="L257" s="101">
        <v>18.29295306659283</v>
      </c>
      <c r="M257" s="101">
        <v>18.29295306659283</v>
      </c>
      <c r="N257" s="117">
        <v>18.29295306659283</v>
      </c>
      <c r="O257" s="249"/>
      <c r="P257" s="99"/>
      <c r="Q257" s="99"/>
      <c r="R257" s="126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D257" s="344"/>
      <c r="AE257" s="345"/>
      <c r="AF257" s="345"/>
      <c r="AG257" s="345"/>
      <c r="AH257" s="346"/>
      <c r="AI257" s="12"/>
      <c r="AJ257" s="12"/>
      <c r="AK257" s="12"/>
      <c r="AL257" s="12"/>
      <c r="AM257" s="12"/>
      <c r="AN257" s="12"/>
      <c r="AO257" s="12"/>
      <c r="AP257" s="12"/>
    </row>
    <row r="258" spans="1:42" customFormat="1" ht="12.95" customHeight="1" x14ac:dyDescent="0.25">
      <c r="A258" s="52"/>
      <c r="B258" s="246"/>
      <c r="C258" s="98" t="s">
        <v>549</v>
      </c>
      <c r="D258" s="98" t="s">
        <v>830</v>
      </c>
      <c r="E258" s="98" t="s">
        <v>1068</v>
      </c>
      <c r="F258" s="98" t="s">
        <v>550</v>
      </c>
      <c r="G258" s="98" t="s">
        <v>1314</v>
      </c>
      <c r="H258" s="98"/>
      <c r="I258" s="260" t="s">
        <v>736</v>
      </c>
      <c r="J258" s="261"/>
      <c r="K258" s="284">
        <v>1.9186599999999998</v>
      </c>
      <c r="L258" s="284">
        <f>K258*0.998^10</f>
        <v>1.8806303233176513</v>
      </c>
      <c r="M258" s="284">
        <f>L258*0.997^10</f>
        <v>1.824967007531465</v>
      </c>
      <c r="N258" s="283">
        <f>M258*0.9</f>
        <v>1.6424703067783186</v>
      </c>
      <c r="O258" s="268"/>
      <c r="P258" s="98">
        <f>BaseYear+1</f>
        <v>2011</v>
      </c>
      <c r="Q258" s="99"/>
      <c r="R258" s="126"/>
      <c r="S258" s="99">
        <v>1</v>
      </c>
      <c r="T258" s="126"/>
      <c r="U258" s="126"/>
      <c r="V258" s="126"/>
      <c r="W258" s="126"/>
      <c r="X258" s="126"/>
      <c r="Y258" s="126"/>
      <c r="Z258" s="99"/>
      <c r="AA258" s="99"/>
      <c r="AB258" s="99"/>
      <c r="AD258" s="344"/>
      <c r="AE258" s="345"/>
      <c r="AF258" s="345"/>
      <c r="AG258" s="345"/>
      <c r="AH258" s="346"/>
      <c r="AI258" s="12"/>
      <c r="AJ258" s="12"/>
      <c r="AK258" s="12"/>
      <c r="AL258" s="12"/>
      <c r="AM258" s="12"/>
      <c r="AN258" s="12"/>
      <c r="AO258" s="12"/>
      <c r="AP258" s="12"/>
    </row>
    <row r="259" spans="1:42" customFormat="1" ht="12.95" customHeight="1" x14ac:dyDescent="0.25">
      <c r="A259" s="3"/>
      <c r="B259" s="99"/>
      <c r="C259" s="126"/>
      <c r="D259" s="99"/>
      <c r="E259" s="99" t="s">
        <v>1066</v>
      </c>
      <c r="F259" s="99" t="s">
        <v>833</v>
      </c>
      <c r="G259" s="99"/>
      <c r="H259" s="99"/>
      <c r="I259" s="100" t="s">
        <v>736</v>
      </c>
      <c r="J259" s="104"/>
      <c r="K259" s="99">
        <v>9.6999999999999993</v>
      </c>
      <c r="L259" s="101">
        <f>K259*0.92</f>
        <v>8.9239999999999995</v>
      </c>
      <c r="M259" s="101">
        <f>L259*0.92</f>
        <v>8.2100799999999996</v>
      </c>
      <c r="N259" s="117">
        <f>M259*0.85</f>
        <v>6.9785679999999992</v>
      </c>
      <c r="O259" s="249"/>
      <c r="P259" s="99"/>
      <c r="Q259" s="99"/>
      <c r="R259" s="126"/>
      <c r="S259" s="99"/>
      <c r="T259" s="99">
        <v>1</v>
      </c>
      <c r="U259" s="99">
        <v>0.9</v>
      </c>
      <c r="V259" s="31">
        <v>30</v>
      </c>
      <c r="W259" s="266">
        <v>1949.8050000000001</v>
      </c>
      <c r="X259" s="99">
        <v>55.8</v>
      </c>
      <c r="Y259" s="99"/>
      <c r="Z259" s="99"/>
      <c r="AA259" s="99"/>
      <c r="AB259" s="99"/>
      <c r="AD259" s="344"/>
      <c r="AE259" s="345"/>
      <c r="AF259" s="345"/>
      <c r="AG259" s="345"/>
      <c r="AH259" s="346"/>
      <c r="AI259" s="12"/>
      <c r="AJ259" s="12"/>
      <c r="AK259" s="12"/>
      <c r="AL259" s="12"/>
      <c r="AM259" s="12"/>
      <c r="AN259" s="12"/>
      <c r="AO259" s="12"/>
      <c r="AP259" s="12"/>
    </row>
    <row r="260" spans="1:42" customFormat="1" ht="12.95" customHeight="1" x14ac:dyDescent="0.25">
      <c r="A260" s="3"/>
      <c r="B260" s="99"/>
      <c r="C260" s="126"/>
      <c r="D260" s="99"/>
      <c r="E260" s="99" t="s">
        <v>1067</v>
      </c>
      <c r="F260" s="99"/>
      <c r="G260" s="99"/>
      <c r="H260" s="99"/>
      <c r="I260" s="100" t="s">
        <v>736</v>
      </c>
      <c r="J260" s="104"/>
      <c r="K260" s="102">
        <v>1.4994000000000001</v>
      </c>
      <c r="L260" s="101">
        <f>K260*0.95</f>
        <v>1.4244300000000001</v>
      </c>
      <c r="M260" s="101">
        <f>L260*0.95</f>
        <v>1.3532085</v>
      </c>
      <c r="N260" s="117">
        <f>M260*0.9</f>
        <v>1.21788765</v>
      </c>
      <c r="O260" s="249"/>
      <c r="P260" s="99"/>
      <c r="Q260" s="99"/>
      <c r="R260" s="126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D260" s="344"/>
      <c r="AE260" s="345"/>
      <c r="AF260" s="345"/>
      <c r="AG260" s="345"/>
      <c r="AH260" s="346"/>
      <c r="AI260" s="12"/>
      <c r="AJ260" s="12"/>
      <c r="AK260" s="12"/>
      <c r="AL260" s="12"/>
      <c r="AM260" s="12"/>
      <c r="AN260" s="12"/>
      <c r="AO260" s="12"/>
      <c r="AP260" s="12"/>
    </row>
    <row r="261" spans="1:42" customFormat="1" ht="12.95" customHeight="1" x14ac:dyDescent="0.25">
      <c r="A261" s="3"/>
      <c r="B261" s="99"/>
      <c r="C261" s="126"/>
      <c r="D261" s="99"/>
      <c r="E261" s="99" t="s">
        <v>831</v>
      </c>
      <c r="F261" s="99" t="s">
        <v>832</v>
      </c>
      <c r="G261" s="99"/>
      <c r="H261" s="99"/>
      <c r="I261" s="100" t="s">
        <v>736</v>
      </c>
      <c r="J261" s="104"/>
      <c r="K261" s="99">
        <v>5.0999999999999996</v>
      </c>
      <c r="L261" s="99"/>
      <c r="M261" s="105"/>
      <c r="N261" s="104"/>
      <c r="O261" s="249"/>
      <c r="P261" s="99"/>
      <c r="Q261" s="99"/>
      <c r="R261" s="126"/>
      <c r="S261" s="99">
        <v>0.8</v>
      </c>
      <c r="T261" s="99"/>
      <c r="U261" s="99"/>
      <c r="V261" s="99"/>
      <c r="W261" s="99"/>
      <c r="X261" s="99"/>
      <c r="Y261" s="99"/>
      <c r="Z261" s="99"/>
      <c r="AA261" s="99"/>
      <c r="AB261" s="99"/>
      <c r="AD261" s="344"/>
      <c r="AE261" s="345"/>
      <c r="AF261" s="345"/>
      <c r="AG261" s="345"/>
      <c r="AH261" s="346"/>
      <c r="AI261" s="12"/>
      <c r="AJ261" s="12"/>
      <c r="AK261" s="12"/>
      <c r="AL261" s="12"/>
      <c r="AM261" s="12"/>
      <c r="AN261" s="12"/>
      <c r="AO261" s="12"/>
      <c r="AP261" s="12"/>
    </row>
    <row r="262" spans="1:42" customFormat="1" ht="12.95" customHeight="1" x14ac:dyDescent="0.25">
      <c r="A262" s="3"/>
      <c r="B262" s="99"/>
      <c r="C262" s="99"/>
      <c r="D262" s="99"/>
      <c r="E262" s="99"/>
      <c r="F262" s="99" t="s">
        <v>545</v>
      </c>
      <c r="G262" s="99"/>
      <c r="H262" s="99"/>
      <c r="I262" s="107" t="s">
        <v>741</v>
      </c>
      <c r="J262" s="104"/>
      <c r="K262" s="101">
        <v>18.29295306659283</v>
      </c>
      <c r="L262" s="101">
        <v>18.29295306659283</v>
      </c>
      <c r="M262" s="101">
        <v>18.29295306659283</v>
      </c>
      <c r="N262" s="117">
        <v>18.29295306659283</v>
      </c>
      <c r="O262" s="249"/>
      <c r="P262" s="99"/>
      <c r="Q262" s="99"/>
      <c r="R262" s="126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D262" s="344"/>
      <c r="AE262" s="345"/>
      <c r="AF262" s="345"/>
      <c r="AG262" s="345"/>
      <c r="AH262" s="346"/>
      <c r="AI262" s="12"/>
      <c r="AJ262" s="12"/>
      <c r="AK262" s="12"/>
      <c r="AL262" s="12"/>
      <c r="AM262" s="12"/>
      <c r="AN262" s="12"/>
      <c r="AO262" s="12"/>
      <c r="AP262" s="12"/>
    </row>
    <row r="263" spans="1:42" customFormat="1" ht="12.95" customHeight="1" x14ac:dyDescent="0.25">
      <c r="A263" s="52"/>
      <c r="B263" s="246"/>
      <c r="C263" s="98" t="s">
        <v>560</v>
      </c>
      <c r="D263" s="98" t="s">
        <v>830</v>
      </c>
      <c r="E263" s="98" t="s">
        <v>1068</v>
      </c>
      <c r="F263" s="98" t="s">
        <v>551</v>
      </c>
      <c r="G263" s="98" t="s">
        <v>1314</v>
      </c>
      <c r="H263" s="98"/>
      <c r="I263" s="260" t="s">
        <v>736</v>
      </c>
      <c r="J263" s="261"/>
      <c r="K263" s="284">
        <v>1.9186599999999998</v>
      </c>
      <c r="L263" s="284">
        <f>K263*0.998^10</f>
        <v>1.8806303233176513</v>
      </c>
      <c r="M263" s="284">
        <f>L263*0.997^10</f>
        <v>1.824967007531465</v>
      </c>
      <c r="N263" s="283">
        <f>M263*0.9</f>
        <v>1.6424703067783186</v>
      </c>
      <c r="O263" s="268"/>
      <c r="P263" s="98">
        <f>BaseYear+1</f>
        <v>2011</v>
      </c>
      <c r="Q263" s="99"/>
      <c r="R263" s="126"/>
      <c r="S263" s="99">
        <v>1</v>
      </c>
      <c r="T263" s="126"/>
      <c r="U263" s="126"/>
      <c r="V263" s="126"/>
      <c r="W263" s="126"/>
      <c r="X263" s="126"/>
      <c r="Y263" s="126"/>
      <c r="Z263" s="99"/>
      <c r="AA263" s="99"/>
      <c r="AB263" s="99"/>
      <c r="AD263" s="344"/>
      <c r="AE263" s="345"/>
      <c r="AF263" s="345"/>
      <c r="AG263" s="345"/>
      <c r="AH263" s="346"/>
      <c r="AI263" s="12"/>
      <c r="AJ263" s="12"/>
      <c r="AK263" s="12"/>
      <c r="AL263" s="12"/>
      <c r="AM263" s="12"/>
      <c r="AN263" s="12"/>
      <c r="AO263" s="12"/>
      <c r="AP263" s="12"/>
    </row>
    <row r="264" spans="1:42" customFormat="1" ht="12.95" customHeight="1" x14ac:dyDescent="0.25">
      <c r="A264" s="3"/>
      <c r="B264" s="99"/>
      <c r="C264" s="126"/>
      <c r="D264" s="99"/>
      <c r="E264" s="99" t="s">
        <v>1066</v>
      </c>
      <c r="F264" s="99" t="s">
        <v>833</v>
      </c>
      <c r="G264" s="99"/>
      <c r="H264" s="99"/>
      <c r="I264" s="100" t="s">
        <v>736</v>
      </c>
      <c r="J264" s="104"/>
      <c r="K264" s="99">
        <v>9.6999999999999993</v>
      </c>
      <c r="L264" s="101">
        <f>K264*0.92</f>
        <v>8.9239999999999995</v>
      </c>
      <c r="M264" s="101">
        <f>L264*0.92</f>
        <v>8.2100799999999996</v>
      </c>
      <c r="N264" s="117">
        <f>M264*0.85</f>
        <v>6.9785679999999992</v>
      </c>
      <c r="O264" s="249"/>
      <c r="P264" s="99"/>
      <c r="Q264" s="99"/>
      <c r="R264" s="126"/>
      <c r="S264" s="99"/>
      <c r="T264" s="99">
        <v>1</v>
      </c>
      <c r="U264" s="99">
        <v>0.9</v>
      </c>
      <c r="V264" s="31">
        <v>30</v>
      </c>
      <c r="W264" s="266">
        <v>1949.8050000000001</v>
      </c>
      <c r="X264" s="99">
        <v>55.8</v>
      </c>
      <c r="Y264" s="99"/>
      <c r="Z264" s="99"/>
      <c r="AA264" s="99"/>
      <c r="AB264" s="99"/>
      <c r="AD264" s="344"/>
      <c r="AE264" s="345"/>
      <c r="AF264" s="345"/>
      <c r="AG264" s="345"/>
      <c r="AH264" s="346"/>
      <c r="AI264" s="12"/>
      <c r="AJ264" s="12"/>
      <c r="AK264" s="12"/>
      <c r="AL264" s="12"/>
      <c r="AM264" s="12"/>
      <c r="AN264" s="12"/>
      <c r="AO264" s="12"/>
      <c r="AP264" s="12"/>
    </row>
    <row r="265" spans="1:42" customFormat="1" ht="12.95" customHeight="1" x14ac:dyDescent="0.25">
      <c r="A265" s="3"/>
      <c r="B265" s="99"/>
      <c r="C265" s="126"/>
      <c r="D265" s="99"/>
      <c r="E265" s="99" t="s">
        <v>1067</v>
      </c>
      <c r="F265" s="99"/>
      <c r="G265" s="99"/>
      <c r="H265" s="99"/>
      <c r="I265" s="100" t="s">
        <v>736</v>
      </c>
      <c r="J265" s="104"/>
      <c r="K265" s="101">
        <v>0.1</v>
      </c>
      <c r="L265" s="99">
        <v>0.1</v>
      </c>
      <c r="M265" s="99">
        <v>0.1</v>
      </c>
      <c r="N265" s="104">
        <v>0.1</v>
      </c>
      <c r="O265" s="249"/>
      <c r="P265" s="99"/>
      <c r="Q265" s="99"/>
      <c r="R265" s="126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D265" s="344"/>
      <c r="AE265" s="345"/>
      <c r="AF265" s="345"/>
      <c r="AG265" s="345"/>
      <c r="AH265" s="346"/>
      <c r="AI265" s="12"/>
      <c r="AJ265" s="12"/>
      <c r="AK265" s="12"/>
      <c r="AL265" s="12"/>
      <c r="AM265" s="12"/>
      <c r="AN265" s="12"/>
      <c r="AO265" s="12"/>
      <c r="AP265" s="12"/>
    </row>
    <row r="266" spans="1:42" customFormat="1" ht="12.95" customHeight="1" x14ac:dyDescent="0.25">
      <c r="A266" s="3"/>
      <c r="B266" s="99"/>
      <c r="C266" s="126"/>
      <c r="D266" s="99"/>
      <c r="E266" s="99" t="s">
        <v>831</v>
      </c>
      <c r="F266" s="99" t="s">
        <v>832</v>
      </c>
      <c r="G266" s="99"/>
      <c r="H266" s="99"/>
      <c r="I266" s="100" t="s">
        <v>736</v>
      </c>
      <c r="J266" s="104"/>
      <c r="K266" s="99">
        <v>2.9</v>
      </c>
      <c r="L266" s="99"/>
      <c r="M266" s="105"/>
      <c r="N266" s="104"/>
      <c r="O266" s="249"/>
      <c r="P266" s="99"/>
      <c r="Q266" s="99"/>
      <c r="R266" s="126"/>
      <c r="S266" s="99">
        <v>0.8</v>
      </c>
      <c r="T266" s="99"/>
      <c r="U266" s="99"/>
      <c r="V266" s="99"/>
      <c r="W266" s="99"/>
      <c r="X266" s="99"/>
      <c r="Y266" s="99"/>
      <c r="Z266" s="99"/>
      <c r="AA266" s="99"/>
      <c r="AB266" s="99"/>
      <c r="AD266" s="344"/>
      <c r="AE266" s="345"/>
      <c r="AF266" s="345"/>
      <c r="AG266" s="345"/>
      <c r="AH266" s="346"/>
      <c r="AI266" s="12"/>
      <c r="AJ266" s="12"/>
      <c r="AK266" s="12"/>
      <c r="AL266" s="12"/>
      <c r="AM266" s="12"/>
      <c r="AN266" s="12"/>
      <c r="AO266" s="12"/>
      <c r="AP266" s="12"/>
    </row>
    <row r="267" spans="1:42" customFormat="1" ht="12.95" customHeight="1" x14ac:dyDescent="0.25">
      <c r="A267" s="3"/>
      <c r="B267" s="99"/>
      <c r="C267" s="99"/>
      <c r="D267" s="99"/>
      <c r="E267" s="99"/>
      <c r="F267" s="99" t="s">
        <v>545</v>
      </c>
      <c r="G267" s="99"/>
      <c r="H267" s="99"/>
      <c r="I267" s="107" t="s">
        <v>741</v>
      </c>
      <c r="J267" s="104"/>
      <c r="K267" s="101">
        <v>3</v>
      </c>
      <c r="L267" s="101"/>
      <c r="M267" s="101"/>
      <c r="N267" s="117"/>
      <c r="O267" s="249"/>
      <c r="P267" s="99"/>
      <c r="Q267" s="99"/>
      <c r="R267" s="126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D267" s="344"/>
      <c r="AE267" s="345"/>
      <c r="AF267" s="345"/>
      <c r="AG267" s="345"/>
      <c r="AH267" s="346"/>
      <c r="AI267" s="12"/>
      <c r="AJ267" s="12"/>
      <c r="AK267" s="12"/>
      <c r="AL267" s="12"/>
      <c r="AM267" s="12"/>
      <c r="AN267" s="12"/>
      <c r="AO267" s="12"/>
      <c r="AP267" s="12"/>
    </row>
    <row r="268" spans="1:42" customFormat="1" ht="12.95" customHeight="1" x14ac:dyDescent="0.25">
      <c r="A268" s="52"/>
      <c r="B268" s="246"/>
      <c r="C268" s="98" t="s">
        <v>834</v>
      </c>
      <c r="D268" s="98" t="s">
        <v>835</v>
      </c>
      <c r="E268" s="98" t="s">
        <v>844</v>
      </c>
      <c r="F268" s="98" t="s">
        <v>552</v>
      </c>
      <c r="G268" s="98" t="s">
        <v>1314</v>
      </c>
      <c r="H268" s="98"/>
      <c r="I268" s="260" t="s">
        <v>736</v>
      </c>
      <c r="J268" s="261"/>
      <c r="K268" s="287">
        <f>AF273*0.98</f>
        <v>11.007359999999998</v>
      </c>
      <c r="L268" s="284">
        <f>K268*0.996^20</f>
        <v>10.1594439570429</v>
      </c>
      <c r="M268" s="284">
        <f>L268*0.9975^20</f>
        <v>9.6633570412620333</v>
      </c>
      <c r="N268" s="263">
        <f>M268*0.9</f>
        <v>8.6970213371358298</v>
      </c>
      <c r="O268" s="268"/>
      <c r="P268" s="98">
        <f>BaseYear+1</f>
        <v>2011</v>
      </c>
      <c r="Q268" s="99"/>
      <c r="R268" s="126"/>
      <c r="S268" s="99">
        <v>1</v>
      </c>
      <c r="T268" s="99"/>
      <c r="U268" s="99"/>
      <c r="V268" s="99"/>
      <c r="W268" s="99"/>
      <c r="X268" s="99"/>
      <c r="Y268" s="99"/>
      <c r="Z268" s="99"/>
      <c r="AA268" s="99"/>
      <c r="AB268" s="99"/>
      <c r="AD268" s="344"/>
      <c r="AE268" s="345">
        <v>2010</v>
      </c>
      <c r="AF268" s="345">
        <v>2010</v>
      </c>
      <c r="AG268" s="345"/>
      <c r="AH268" s="346"/>
      <c r="AI268" s="12"/>
      <c r="AJ268" s="12"/>
      <c r="AK268" s="12"/>
      <c r="AL268" s="12"/>
      <c r="AM268" s="12"/>
      <c r="AN268" s="12"/>
      <c r="AO268" s="12"/>
      <c r="AP268" s="12"/>
    </row>
    <row r="269" spans="1:42" customFormat="1" ht="12.95" customHeight="1" x14ac:dyDescent="0.25">
      <c r="A269" s="3"/>
      <c r="B269" s="99"/>
      <c r="C269" s="126"/>
      <c r="D269" s="99"/>
      <c r="E269" s="99"/>
      <c r="F269" s="99" t="s">
        <v>833</v>
      </c>
      <c r="G269" s="99"/>
      <c r="H269" s="99"/>
      <c r="I269" s="107" t="s">
        <v>319</v>
      </c>
      <c r="J269" s="104"/>
      <c r="K269" s="99"/>
      <c r="L269" s="99"/>
      <c r="M269" s="105"/>
      <c r="N269" s="104"/>
      <c r="O269" s="249"/>
      <c r="P269" s="99"/>
      <c r="Q269" s="99"/>
      <c r="R269" s="126"/>
      <c r="S269" s="99"/>
      <c r="T269" s="99">
        <v>1</v>
      </c>
      <c r="U269" s="99">
        <v>0.9</v>
      </c>
      <c r="V269" s="31">
        <v>30</v>
      </c>
      <c r="W269" s="99">
        <v>448.5</v>
      </c>
      <c r="X269" s="266">
        <v>22.815999999999999</v>
      </c>
      <c r="Y269" s="99"/>
      <c r="Z269" s="99"/>
      <c r="AA269" s="99"/>
      <c r="AB269" s="99"/>
      <c r="AD269" s="344"/>
      <c r="AE269" s="345" t="s">
        <v>216</v>
      </c>
      <c r="AF269" s="345" t="s">
        <v>217</v>
      </c>
      <c r="AG269" s="345"/>
      <c r="AH269" s="346"/>
      <c r="AI269" s="12"/>
      <c r="AJ269" s="12"/>
      <c r="AK269" s="12"/>
      <c r="AL269" s="12"/>
      <c r="AM269" s="12"/>
      <c r="AN269" s="12"/>
      <c r="AO269" s="12"/>
      <c r="AP269" s="12"/>
    </row>
    <row r="270" spans="1:42" customFormat="1" ht="12.95" customHeight="1" x14ac:dyDescent="0.25">
      <c r="A270" s="3"/>
      <c r="B270" s="99"/>
      <c r="C270" s="126"/>
      <c r="D270" s="99"/>
      <c r="E270" s="99"/>
      <c r="F270" s="99" t="s">
        <v>1066</v>
      </c>
      <c r="G270" s="99"/>
      <c r="H270" s="99"/>
      <c r="I270" s="100" t="s">
        <v>741</v>
      </c>
      <c r="J270" s="104"/>
      <c r="K270" s="101">
        <v>2.5</v>
      </c>
      <c r="L270" s="101">
        <f>L268*0.35</f>
        <v>3.5558053849650144</v>
      </c>
      <c r="M270" s="101">
        <f>M268*0.4</f>
        <v>3.8653428165048136</v>
      </c>
      <c r="N270" s="117">
        <f>N268*0.4</f>
        <v>3.4788085348543323</v>
      </c>
      <c r="O270" s="249"/>
      <c r="P270" s="99"/>
      <c r="Q270" s="99"/>
      <c r="R270" s="126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D270" s="344" t="s">
        <v>218</v>
      </c>
      <c r="AE270" s="363">
        <v>1500</v>
      </c>
      <c r="AF270" s="345">
        <f>AE270*3.6/1000</f>
        <v>5.4</v>
      </c>
      <c r="AG270" s="345"/>
      <c r="AH270" s="346"/>
      <c r="AI270" s="12"/>
      <c r="AJ270" s="12"/>
      <c r="AK270" s="12"/>
      <c r="AL270" s="12"/>
      <c r="AM270" s="12"/>
      <c r="AN270" s="12"/>
      <c r="AO270" s="12"/>
      <c r="AP270" s="12"/>
    </row>
    <row r="271" spans="1:42" customFormat="1" ht="12.95" customHeight="1" x14ac:dyDescent="0.25">
      <c r="A271" s="3"/>
      <c r="B271" s="99"/>
      <c r="C271" s="126"/>
      <c r="D271" s="99"/>
      <c r="E271" s="99" t="s">
        <v>831</v>
      </c>
      <c r="F271" s="99" t="s">
        <v>832</v>
      </c>
      <c r="G271" s="99"/>
      <c r="H271" s="99"/>
      <c r="I271" s="100" t="s">
        <v>736</v>
      </c>
      <c r="J271" s="104"/>
      <c r="K271" s="99">
        <v>2.8</v>
      </c>
      <c r="L271" s="271"/>
      <c r="M271" s="271"/>
      <c r="N271" s="104"/>
      <c r="O271" s="249"/>
      <c r="P271" s="99"/>
      <c r="Q271" s="99"/>
      <c r="R271" s="126"/>
      <c r="S271" s="99">
        <v>0.2</v>
      </c>
      <c r="T271" s="99"/>
      <c r="U271" s="99"/>
      <c r="V271" s="99"/>
      <c r="W271" s="99"/>
      <c r="X271" s="99"/>
      <c r="Y271" s="99"/>
      <c r="Z271" s="99"/>
      <c r="AA271" s="99"/>
      <c r="AB271" s="99"/>
      <c r="AD271" s="344" t="s">
        <v>219</v>
      </c>
      <c r="AE271" s="363">
        <v>2040</v>
      </c>
      <c r="AF271" s="345">
        <f>AE271*3.6/1000</f>
        <v>7.3440000000000003</v>
      </c>
      <c r="AG271" s="345"/>
      <c r="AH271" s="346"/>
      <c r="AI271" s="12"/>
      <c r="AJ271" s="12"/>
      <c r="AK271" s="12"/>
      <c r="AL271" s="12"/>
      <c r="AM271" s="12"/>
      <c r="AN271" s="12"/>
      <c r="AO271" s="12"/>
      <c r="AP271" s="12"/>
    </row>
    <row r="272" spans="1:42" customFormat="1" ht="12.95" customHeight="1" x14ac:dyDescent="0.25">
      <c r="A272" s="52"/>
      <c r="B272" s="246"/>
      <c r="C272" s="98" t="s">
        <v>836</v>
      </c>
      <c r="D272" s="98" t="s">
        <v>835</v>
      </c>
      <c r="E272" s="98" t="s">
        <v>844</v>
      </c>
      <c r="F272" s="98" t="s">
        <v>554</v>
      </c>
      <c r="G272" s="98" t="s">
        <v>1314</v>
      </c>
      <c r="H272" s="98"/>
      <c r="I272" s="260" t="s">
        <v>736</v>
      </c>
      <c r="J272" s="261"/>
      <c r="K272" s="287">
        <f>AF272</f>
        <v>8.1720000000000006</v>
      </c>
      <c r="L272" s="284">
        <f>K272*0.996^20</f>
        <v>7.5424966583226674</v>
      </c>
      <c r="M272" s="284">
        <f>L272*0.9975^20</f>
        <v>7.174195605594198</v>
      </c>
      <c r="N272" s="263">
        <f>M272*0.9</f>
        <v>6.4567760450347782</v>
      </c>
      <c r="O272" s="268"/>
      <c r="P272" s="98">
        <f>BaseYear+1</f>
        <v>2011</v>
      </c>
      <c r="Q272" s="99"/>
      <c r="R272" s="126"/>
      <c r="S272" s="99">
        <v>1</v>
      </c>
      <c r="T272" s="99"/>
      <c r="U272" s="99"/>
      <c r="V272" s="99"/>
      <c r="W272" s="99"/>
      <c r="X272" s="99"/>
      <c r="Y272" s="99"/>
      <c r="Z272" s="99"/>
      <c r="AA272" s="99"/>
      <c r="AB272" s="99"/>
      <c r="AD272" s="344" t="s">
        <v>220</v>
      </c>
      <c r="AE272" s="363">
        <v>2270</v>
      </c>
      <c r="AF272" s="345">
        <f>AE272*3.6/1000</f>
        <v>8.1720000000000006</v>
      </c>
      <c r="AG272" s="345"/>
      <c r="AH272" s="346"/>
      <c r="AI272" s="12"/>
      <c r="AJ272" s="12"/>
      <c r="AK272" s="12"/>
      <c r="AL272" s="12"/>
      <c r="AM272" s="12"/>
      <c r="AN272" s="12"/>
      <c r="AO272" s="12"/>
      <c r="AP272" s="12"/>
    </row>
    <row r="273" spans="1:42" customFormat="1" ht="12.95" customHeight="1" x14ac:dyDescent="0.25">
      <c r="A273" s="3"/>
      <c r="B273" s="99"/>
      <c r="C273" s="126"/>
      <c r="D273" s="99"/>
      <c r="E273" s="99"/>
      <c r="F273" s="99" t="s">
        <v>833</v>
      </c>
      <c r="G273" s="99"/>
      <c r="H273" s="99"/>
      <c r="I273" s="107" t="s">
        <v>319</v>
      </c>
      <c r="J273" s="104"/>
      <c r="K273" s="99"/>
      <c r="L273" s="99"/>
      <c r="M273" s="105"/>
      <c r="N273" s="104"/>
      <c r="O273" s="249"/>
      <c r="P273" s="99"/>
      <c r="Q273" s="99"/>
      <c r="R273" s="126"/>
      <c r="S273" s="99"/>
      <c r="T273" s="99">
        <v>1</v>
      </c>
      <c r="U273" s="99">
        <v>0.9</v>
      </c>
      <c r="V273" s="31">
        <v>30</v>
      </c>
      <c r="W273" s="99">
        <v>448.5</v>
      </c>
      <c r="X273" s="266">
        <v>22.815999999999999</v>
      </c>
      <c r="Y273" s="99"/>
      <c r="Z273" s="99"/>
      <c r="AA273" s="99"/>
      <c r="AB273" s="99"/>
      <c r="AD273" s="344" t="s">
        <v>221</v>
      </c>
      <c r="AE273" s="363">
        <v>3120</v>
      </c>
      <c r="AF273" s="345">
        <f>AE273*3.6/1000</f>
        <v>11.231999999999999</v>
      </c>
      <c r="AG273" s="345"/>
      <c r="AH273" s="346"/>
      <c r="AI273" s="12"/>
      <c r="AJ273" s="12"/>
      <c r="AK273" s="12"/>
      <c r="AL273" s="12"/>
      <c r="AM273" s="12"/>
      <c r="AN273" s="12"/>
      <c r="AO273" s="12"/>
      <c r="AP273" s="12"/>
    </row>
    <row r="274" spans="1:42" customFormat="1" ht="12.95" customHeight="1" x14ac:dyDescent="0.25">
      <c r="A274" s="3"/>
      <c r="B274" s="99"/>
      <c r="C274" s="126"/>
      <c r="D274" s="99"/>
      <c r="E274" s="99"/>
      <c r="F274" s="99" t="s">
        <v>1066</v>
      </c>
      <c r="G274" s="99"/>
      <c r="H274" s="99"/>
      <c r="I274" s="100" t="s">
        <v>741</v>
      </c>
      <c r="J274" s="104"/>
      <c r="K274" s="101">
        <v>2.5</v>
      </c>
      <c r="L274" s="101">
        <f>L272*0.35</f>
        <v>2.6398738304129332</v>
      </c>
      <c r="M274" s="101">
        <f>M272*0.4</f>
        <v>2.8696782422376792</v>
      </c>
      <c r="N274" s="117">
        <f>N272*0.4</f>
        <v>2.5827104180139115</v>
      </c>
      <c r="O274" s="249"/>
      <c r="P274" s="99"/>
      <c r="Q274" s="99"/>
      <c r="R274" s="126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D274" s="344"/>
      <c r="AE274" s="345"/>
      <c r="AF274" s="345"/>
      <c r="AG274" s="345"/>
      <c r="AH274" s="346"/>
      <c r="AI274" s="12"/>
      <c r="AJ274" s="12"/>
      <c r="AK274" s="12"/>
      <c r="AL274" s="12"/>
      <c r="AM274" s="12"/>
      <c r="AN274" s="12"/>
      <c r="AO274" s="12"/>
      <c r="AP274" s="12"/>
    </row>
    <row r="275" spans="1:42" customFormat="1" ht="12.95" customHeight="1" x14ac:dyDescent="0.25">
      <c r="A275" s="3"/>
      <c r="B275" s="99"/>
      <c r="C275" s="126"/>
      <c r="D275" s="99"/>
      <c r="E275" s="99" t="s">
        <v>831</v>
      </c>
      <c r="F275" s="99" t="s">
        <v>832</v>
      </c>
      <c r="G275" s="99"/>
      <c r="H275" s="99"/>
      <c r="I275" s="100" t="s">
        <v>736</v>
      </c>
      <c r="J275" s="104"/>
      <c r="K275" s="99">
        <v>2.8</v>
      </c>
      <c r="L275" s="271"/>
      <c r="M275" s="271"/>
      <c r="N275" s="104"/>
      <c r="O275" s="249"/>
      <c r="P275" s="99"/>
      <c r="Q275" s="99"/>
      <c r="R275" s="126"/>
      <c r="S275" s="99">
        <v>0.2</v>
      </c>
      <c r="T275" s="99"/>
      <c r="U275" s="99"/>
      <c r="V275" s="99"/>
      <c r="W275" s="99"/>
      <c r="X275" s="99"/>
      <c r="Y275" s="99"/>
      <c r="Z275" s="99"/>
      <c r="AA275" s="99"/>
      <c r="AB275" s="99"/>
      <c r="AD275" s="344"/>
      <c r="AE275" s="345"/>
      <c r="AF275" s="345"/>
      <c r="AG275" s="345"/>
      <c r="AH275" s="346"/>
      <c r="AI275" s="12"/>
      <c r="AJ275" s="12"/>
      <c r="AK275" s="12"/>
      <c r="AL275" s="12"/>
      <c r="AM275" s="12"/>
      <c r="AN275" s="12"/>
      <c r="AO275" s="12"/>
      <c r="AP275" s="12"/>
    </row>
    <row r="276" spans="1:42" customFormat="1" ht="12.95" customHeight="1" x14ac:dyDescent="0.25">
      <c r="A276" s="52"/>
      <c r="B276" s="246"/>
      <c r="C276" s="98" t="s">
        <v>555</v>
      </c>
      <c r="D276" s="98" t="s">
        <v>835</v>
      </c>
      <c r="E276" s="98" t="s">
        <v>844</v>
      </c>
      <c r="F276" s="98" t="s">
        <v>557</v>
      </c>
      <c r="G276" s="98" t="s">
        <v>1314</v>
      </c>
      <c r="H276" s="98"/>
      <c r="I276" s="260" t="s">
        <v>736</v>
      </c>
      <c r="J276" s="261"/>
      <c r="K276" s="287">
        <f>AF271</f>
        <v>7.3440000000000003</v>
      </c>
      <c r="L276" s="284">
        <f>K276*0.9975^20</f>
        <v>6.9853915638592561</v>
      </c>
      <c r="M276" s="284">
        <f>L276*0.9975^20</f>
        <v>6.6442940223905316</v>
      </c>
      <c r="N276" s="263">
        <f>M276*0.9</f>
        <v>5.9798646201514787</v>
      </c>
      <c r="O276" s="268"/>
      <c r="P276" s="98">
        <f>BaseYear+1</f>
        <v>2011</v>
      </c>
      <c r="Q276" s="99"/>
      <c r="R276" s="126"/>
      <c r="S276" s="99">
        <v>1</v>
      </c>
      <c r="T276" s="99"/>
      <c r="U276" s="99"/>
      <c r="V276" s="99"/>
      <c r="W276" s="99"/>
      <c r="X276" s="99"/>
      <c r="Y276" s="99"/>
      <c r="Z276" s="99"/>
      <c r="AA276" s="99"/>
      <c r="AB276" s="99"/>
      <c r="AD276" s="344"/>
      <c r="AE276" s="345"/>
      <c r="AF276" s="345"/>
      <c r="AG276" s="345"/>
      <c r="AH276" s="346"/>
      <c r="AI276" s="12"/>
      <c r="AJ276" s="12"/>
      <c r="AK276" s="12"/>
      <c r="AL276" s="12"/>
      <c r="AM276" s="12"/>
      <c r="AN276" s="12"/>
      <c r="AO276" s="12"/>
      <c r="AP276" s="12"/>
    </row>
    <row r="277" spans="1:42" customFormat="1" ht="12.95" customHeight="1" x14ac:dyDescent="0.25">
      <c r="A277" s="3"/>
      <c r="B277" s="99"/>
      <c r="C277" s="126"/>
      <c r="D277" s="99"/>
      <c r="E277" s="99"/>
      <c r="F277" s="99" t="s">
        <v>833</v>
      </c>
      <c r="G277" s="99"/>
      <c r="H277" s="99"/>
      <c r="I277" s="107" t="s">
        <v>319</v>
      </c>
      <c r="J277" s="104"/>
      <c r="K277" s="99"/>
      <c r="L277" s="99"/>
      <c r="M277" s="105"/>
      <c r="N277" s="104"/>
      <c r="O277" s="249"/>
      <c r="P277" s="99"/>
      <c r="Q277" s="99"/>
      <c r="R277" s="126"/>
      <c r="S277" s="99"/>
      <c r="T277" s="99">
        <v>1</v>
      </c>
      <c r="U277" s="99">
        <v>0.9</v>
      </c>
      <c r="V277" s="31">
        <v>30</v>
      </c>
      <c r="W277" s="99">
        <v>448.5</v>
      </c>
      <c r="X277" s="266">
        <v>22.815999999999999</v>
      </c>
      <c r="Y277" s="99"/>
      <c r="Z277" s="99"/>
      <c r="AA277" s="99"/>
      <c r="AB277" s="99"/>
      <c r="AD277" s="344"/>
      <c r="AE277" s="345"/>
      <c r="AF277" s="345"/>
      <c r="AG277" s="345"/>
      <c r="AH277" s="346"/>
      <c r="AI277" s="12"/>
      <c r="AJ277" s="12"/>
      <c r="AK277" s="12"/>
      <c r="AL277" s="12"/>
      <c r="AM277" s="12"/>
      <c r="AN277" s="12"/>
      <c r="AO277" s="12"/>
      <c r="AP277" s="12"/>
    </row>
    <row r="278" spans="1:42" customFormat="1" ht="12.95" customHeight="1" x14ac:dyDescent="0.25">
      <c r="A278" s="3"/>
      <c r="B278" s="99"/>
      <c r="C278" s="126"/>
      <c r="D278" s="99"/>
      <c r="E278" s="99"/>
      <c r="F278" s="99" t="s">
        <v>1066</v>
      </c>
      <c r="G278" s="99"/>
      <c r="H278" s="99"/>
      <c r="I278" s="100" t="s">
        <v>741</v>
      </c>
      <c r="J278" s="104"/>
      <c r="K278" s="101">
        <v>2.5</v>
      </c>
      <c r="L278" s="101">
        <f>L276*0.35</f>
        <v>2.4448870473507394</v>
      </c>
      <c r="M278" s="101">
        <f>M276*0.4</f>
        <v>2.6577176089562129</v>
      </c>
      <c r="N278" s="117">
        <f>N276*0.4</f>
        <v>2.3919458480605917</v>
      </c>
      <c r="O278" s="249"/>
      <c r="P278" s="99"/>
      <c r="Q278" s="99"/>
      <c r="R278" s="126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D278" s="344"/>
      <c r="AE278" s="345"/>
      <c r="AF278" s="345"/>
      <c r="AG278" s="345"/>
      <c r="AH278" s="346"/>
      <c r="AI278" s="12"/>
      <c r="AJ278" s="12"/>
      <c r="AK278" s="12"/>
      <c r="AL278" s="12"/>
      <c r="AM278" s="12"/>
      <c r="AN278" s="12"/>
      <c r="AO278" s="12"/>
      <c r="AP278" s="12"/>
    </row>
    <row r="279" spans="1:42" customFormat="1" ht="12.95" customHeight="1" x14ac:dyDescent="0.25">
      <c r="A279" s="3"/>
      <c r="B279" s="99"/>
      <c r="C279" s="126"/>
      <c r="D279" s="99"/>
      <c r="E279" s="99" t="s">
        <v>831</v>
      </c>
      <c r="F279" s="99" t="s">
        <v>832</v>
      </c>
      <c r="G279" s="99"/>
      <c r="H279" s="99"/>
      <c r="I279" s="100" t="s">
        <v>736</v>
      </c>
      <c r="J279" s="104"/>
      <c r="K279" s="99">
        <v>2.8</v>
      </c>
      <c r="L279" s="271"/>
      <c r="M279" s="271"/>
      <c r="N279" s="104"/>
      <c r="O279" s="249"/>
      <c r="P279" s="99"/>
      <c r="Q279" s="99"/>
      <c r="R279" s="126"/>
      <c r="S279" s="99">
        <v>0.2</v>
      </c>
      <c r="T279" s="99"/>
      <c r="U279" s="99"/>
      <c r="V279" s="99"/>
      <c r="W279" s="99"/>
      <c r="X279" s="99"/>
      <c r="Y279" s="99"/>
      <c r="Z279" s="99"/>
      <c r="AA279" s="99"/>
      <c r="AB279" s="99"/>
      <c r="AD279" s="344"/>
      <c r="AE279" s="345"/>
      <c r="AF279" s="345"/>
      <c r="AG279" s="345"/>
      <c r="AH279" s="346"/>
      <c r="AI279" s="12"/>
      <c r="AJ279" s="12"/>
      <c r="AK279" s="12"/>
      <c r="AL279" s="12"/>
      <c r="AM279" s="12"/>
      <c r="AN279" s="12"/>
      <c r="AO279" s="12"/>
      <c r="AP279" s="12"/>
    </row>
    <row r="280" spans="1:42" customFormat="1" ht="12.95" customHeight="1" x14ac:dyDescent="0.25">
      <c r="A280" s="52"/>
      <c r="B280" s="246"/>
      <c r="C280" s="98" t="s">
        <v>556</v>
      </c>
      <c r="D280" s="98" t="s">
        <v>835</v>
      </c>
      <c r="E280" s="98" t="s">
        <v>844</v>
      </c>
      <c r="F280" s="98" t="s">
        <v>558</v>
      </c>
      <c r="G280" s="98" t="s">
        <v>1314</v>
      </c>
      <c r="H280" s="98"/>
      <c r="I280" s="260" t="s">
        <v>736</v>
      </c>
      <c r="J280" s="261"/>
      <c r="K280" s="98">
        <f>AF270</f>
        <v>5.4</v>
      </c>
      <c r="L280" s="284">
        <f>K280*0.9975^20</f>
        <v>5.1363173263671005</v>
      </c>
      <c r="M280" s="284">
        <f>L280*0.9975^20</f>
        <v>4.8855103105812736</v>
      </c>
      <c r="N280" s="263">
        <f>M280*0.9</f>
        <v>4.3969592795231467</v>
      </c>
      <c r="O280" s="268"/>
      <c r="P280" s="98">
        <f>BaseYear+1</f>
        <v>2011</v>
      </c>
      <c r="Q280" s="99"/>
      <c r="R280" s="126"/>
      <c r="S280" s="99">
        <v>1</v>
      </c>
      <c r="T280" s="99"/>
      <c r="U280" s="99"/>
      <c r="V280" s="99"/>
      <c r="W280" s="99"/>
      <c r="X280" s="99"/>
      <c r="Y280" s="99"/>
      <c r="Z280" s="99"/>
      <c r="AA280" s="99"/>
      <c r="AB280" s="99"/>
      <c r="AD280" s="344"/>
      <c r="AE280" s="345"/>
      <c r="AF280" s="345"/>
      <c r="AG280" s="345"/>
      <c r="AH280" s="346"/>
      <c r="AI280" s="12"/>
      <c r="AJ280" s="12"/>
      <c r="AK280" s="12"/>
      <c r="AL280" s="12"/>
      <c r="AM280" s="12"/>
      <c r="AN280" s="12"/>
      <c r="AO280" s="12"/>
      <c r="AP280" s="12"/>
    </row>
    <row r="281" spans="1:42" customFormat="1" ht="12.95" customHeight="1" x14ac:dyDescent="0.25">
      <c r="A281" s="3"/>
      <c r="B281" s="99"/>
      <c r="C281" s="126"/>
      <c r="D281" s="99"/>
      <c r="E281" s="99"/>
      <c r="F281" s="99" t="s">
        <v>833</v>
      </c>
      <c r="G281" s="99"/>
      <c r="H281" s="99"/>
      <c r="I281" s="107" t="s">
        <v>319</v>
      </c>
      <c r="J281" s="104"/>
      <c r="K281" s="99"/>
      <c r="L281" s="99"/>
      <c r="M281" s="105"/>
      <c r="N281" s="104"/>
      <c r="O281" s="249"/>
      <c r="P281" s="99"/>
      <c r="Q281" s="99"/>
      <c r="R281" s="126"/>
      <c r="S281" s="99"/>
      <c r="T281" s="99">
        <v>1</v>
      </c>
      <c r="U281" s="99">
        <v>0.9</v>
      </c>
      <c r="V281" s="31">
        <v>30</v>
      </c>
      <c r="W281" s="99">
        <v>448.5</v>
      </c>
      <c r="X281" s="266">
        <v>22.815999999999999</v>
      </c>
      <c r="Y281" s="99"/>
      <c r="Z281" s="99"/>
      <c r="AA281" s="99"/>
      <c r="AB281" s="99"/>
      <c r="AD281" s="344"/>
      <c r="AE281" s="345"/>
      <c r="AF281" s="345"/>
      <c r="AG281" s="345"/>
      <c r="AH281" s="346"/>
      <c r="AI281" s="12"/>
      <c r="AJ281" s="12"/>
      <c r="AK281" s="12"/>
      <c r="AL281" s="12"/>
      <c r="AM281" s="12"/>
      <c r="AN281" s="12"/>
      <c r="AO281" s="12"/>
      <c r="AP281" s="12"/>
    </row>
    <row r="282" spans="1:42" customFormat="1" ht="12.95" customHeight="1" x14ac:dyDescent="0.25">
      <c r="A282" s="3"/>
      <c r="B282" s="99"/>
      <c r="C282" s="126"/>
      <c r="D282" s="99"/>
      <c r="E282" s="99"/>
      <c r="F282" s="99" t="s">
        <v>1066</v>
      </c>
      <c r="G282" s="99"/>
      <c r="H282" s="99"/>
      <c r="I282" s="100" t="s">
        <v>741</v>
      </c>
      <c r="J282" s="104"/>
      <c r="K282" s="101">
        <v>2.5</v>
      </c>
      <c r="L282" s="101">
        <f>L280*0.35</f>
        <v>1.797711064228485</v>
      </c>
      <c r="M282" s="101">
        <f>M280*0.4</f>
        <v>1.9542041242325094</v>
      </c>
      <c r="N282" s="117">
        <f>N280*0.4</f>
        <v>1.7587837118092589</v>
      </c>
      <c r="O282" s="249"/>
      <c r="P282" s="99"/>
      <c r="Q282" s="99"/>
      <c r="R282" s="126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D282" s="344"/>
      <c r="AE282" s="345"/>
      <c r="AF282" s="345"/>
      <c r="AG282" s="345"/>
      <c r="AH282" s="346"/>
      <c r="AI282" s="12"/>
      <c r="AJ282" s="12"/>
      <c r="AK282" s="12"/>
      <c r="AL282" s="12"/>
      <c r="AM282" s="12"/>
      <c r="AN282" s="12"/>
      <c r="AO282" s="12"/>
      <c r="AP282" s="12"/>
    </row>
    <row r="283" spans="1:42" customFormat="1" ht="12.95" customHeight="1" x14ac:dyDescent="0.25">
      <c r="A283" s="3"/>
      <c r="B283" s="99"/>
      <c r="C283" s="126"/>
      <c r="D283" s="99"/>
      <c r="E283" s="99" t="s">
        <v>831</v>
      </c>
      <c r="F283" s="99" t="s">
        <v>832</v>
      </c>
      <c r="G283" s="99"/>
      <c r="H283" s="99"/>
      <c r="I283" s="100" t="s">
        <v>736</v>
      </c>
      <c r="J283" s="104"/>
      <c r="K283" s="99">
        <v>2.8</v>
      </c>
      <c r="L283" s="271"/>
      <c r="M283" s="271"/>
      <c r="N283" s="104"/>
      <c r="O283" s="249"/>
      <c r="P283" s="99"/>
      <c r="Q283" s="99"/>
      <c r="R283" s="126"/>
      <c r="S283" s="99">
        <v>0.2</v>
      </c>
      <c r="T283" s="99"/>
      <c r="U283" s="99"/>
      <c r="V283" s="99"/>
      <c r="W283" s="99"/>
      <c r="X283" s="99"/>
      <c r="Y283" s="99"/>
      <c r="Z283" s="99"/>
      <c r="AA283" s="99"/>
      <c r="AB283" s="99"/>
      <c r="AD283" s="344"/>
      <c r="AE283" s="345"/>
      <c r="AF283" s="345"/>
      <c r="AG283" s="345"/>
      <c r="AH283" s="346"/>
      <c r="AI283" s="12"/>
      <c r="AJ283" s="12"/>
      <c r="AK283" s="12"/>
      <c r="AL283" s="12"/>
      <c r="AM283" s="12"/>
      <c r="AN283" s="12"/>
      <c r="AO283" s="12"/>
      <c r="AP283" s="12"/>
    </row>
    <row r="284" spans="1:42" customFormat="1" ht="12.95" customHeight="1" x14ac:dyDescent="0.25">
      <c r="A284" s="52"/>
      <c r="B284" s="246"/>
      <c r="C284" s="98" t="s">
        <v>553</v>
      </c>
      <c r="D284" s="98" t="s">
        <v>837</v>
      </c>
      <c r="E284" s="98" t="s">
        <v>844</v>
      </c>
      <c r="F284" s="98" t="s">
        <v>552</v>
      </c>
      <c r="G284" s="98" t="s">
        <v>1315</v>
      </c>
      <c r="H284" s="98"/>
      <c r="I284" s="260" t="s">
        <v>736</v>
      </c>
      <c r="J284" s="261"/>
      <c r="K284" s="287">
        <f>K268*0.8</f>
        <v>8.8058879999999995</v>
      </c>
      <c r="L284" s="287">
        <f>L268*0.75</f>
        <v>7.6195829677821747</v>
      </c>
      <c r="M284" s="287">
        <f>M268*0.7</f>
        <v>6.7643499288834228</v>
      </c>
      <c r="N284" s="263">
        <f>N268*0.7</f>
        <v>6.0879149359950802</v>
      </c>
      <c r="O284" s="268"/>
      <c r="P284" s="98">
        <v>2020</v>
      </c>
      <c r="Q284" s="99"/>
      <c r="R284" s="126"/>
      <c r="S284" s="99">
        <v>1</v>
      </c>
      <c r="T284" s="99"/>
      <c r="U284" s="99"/>
      <c r="V284" s="99"/>
      <c r="W284" s="99"/>
      <c r="X284" s="99"/>
      <c r="Y284" s="99"/>
      <c r="Z284" s="99"/>
      <c r="AA284" s="99"/>
      <c r="AB284" s="99"/>
      <c r="AD284" s="344"/>
      <c r="AE284" s="345"/>
      <c r="AF284" s="345"/>
      <c r="AG284" s="345"/>
      <c r="AH284" s="346"/>
      <c r="AI284" s="12"/>
      <c r="AJ284" s="12"/>
      <c r="AK284" s="12"/>
      <c r="AL284" s="12"/>
      <c r="AM284" s="12"/>
      <c r="AN284" s="12"/>
      <c r="AO284" s="12"/>
      <c r="AP284" s="12"/>
    </row>
    <row r="285" spans="1:42" customFormat="1" ht="12.95" customHeight="1" x14ac:dyDescent="0.25">
      <c r="A285" s="3"/>
      <c r="B285" s="99"/>
      <c r="C285" s="99"/>
      <c r="D285" s="99"/>
      <c r="E285" s="99"/>
      <c r="F285" s="99" t="s">
        <v>833</v>
      </c>
      <c r="G285" s="99"/>
      <c r="H285" s="99"/>
      <c r="I285" s="107" t="s">
        <v>319</v>
      </c>
      <c r="J285" s="104"/>
      <c r="K285" s="99">
        <v>526.5</v>
      </c>
      <c r="L285" s="99">
        <v>507</v>
      </c>
      <c r="M285" s="99">
        <v>500.5</v>
      </c>
      <c r="N285" s="104"/>
      <c r="O285" s="249"/>
      <c r="P285" s="99"/>
      <c r="Q285" s="99"/>
      <c r="R285" s="126"/>
      <c r="S285" s="99"/>
      <c r="T285" s="99">
        <v>1</v>
      </c>
      <c r="U285" s="99">
        <v>0.9</v>
      </c>
      <c r="V285" s="31">
        <v>30</v>
      </c>
      <c r="W285" s="107"/>
      <c r="X285" s="266">
        <v>27.776</v>
      </c>
      <c r="Y285" s="99">
        <v>18.600000000000001</v>
      </c>
      <c r="Z285" s="99"/>
      <c r="AA285" s="99"/>
      <c r="AB285" s="99"/>
      <c r="AD285" s="344"/>
      <c r="AE285" s="345"/>
      <c r="AF285" s="345"/>
      <c r="AG285" s="345"/>
      <c r="AH285" s="346"/>
      <c r="AI285" s="12"/>
      <c r="AJ285" s="12"/>
      <c r="AK285" s="12"/>
      <c r="AL285" s="12"/>
      <c r="AM285" s="12"/>
      <c r="AN285" s="12"/>
      <c r="AO285" s="12"/>
      <c r="AP285" s="12"/>
    </row>
    <row r="286" spans="1:42" customFormat="1" ht="12.95" customHeight="1" x14ac:dyDescent="0.25">
      <c r="A286" s="3"/>
      <c r="B286" s="99"/>
      <c r="C286" s="126"/>
      <c r="D286" s="99"/>
      <c r="E286" s="99"/>
      <c r="F286" s="99" t="s">
        <v>1066</v>
      </c>
      <c r="G286" s="99"/>
      <c r="H286" s="99"/>
      <c r="I286" s="100" t="s">
        <v>741</v>
      </c>
      <c r="J286" s="104"/>
      <c r="K286" s="101">
        <f>K284/K268*K270*0.9</f>
        <v>1.8</v>
      </c>
      <c r="L286" s="101">
        <f>L284/L268*L270*0.9</f>
        <v>2.4001686348513851</v>
      </c>
      <c r="M286" s="101">
        <f>M284/M268*M270*0.9</f>
        <v>2.4351659743980325</v>
      </c>
      <c r="N286" s="117">
        <f>N284/N268*N270*0.9</f>
        <v>2.1916493769582295</v>
      </c>
      <c r="O286" s="249"/>
      <c r="P286" s="99"/>
      <c r="Q286" s="99"/>
      <c r="R286" s="126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D286" s="344"/>
      <c r="AE286" s="345"/>
      <c r="AF286" s="345"/>
      <c r="AG286" s="345"/>
      <c r="AH286" s="346"/>
      <c r="AI286" s="12"/>
      <c r="AJ286" s="12"/>
      <c r="AK286" s="12"/>
      <c r="AL286" s="12"/>
      <c r="AM286" s="12"/>
      <c r="AN286" s="12"/>
      <c r="AO286" s="12"/>
      <c r="AP286" s="12"/>
    </row>
    <row r="287" spans="1:42" customFormat="1" ht="12.95" customHeight="1" x14ac:dyDescent="0.25">
      <c r="A287" s="3"/>
      <c r="B287" s="99"/>
      <c r="C287" s="126"/>
      <c r="D287" s="99"/>
      <c r="E287" s="99" t="s">
        <v>831</v>
      </c>
      <c r="F287" s="99" t="s">
        <v>832</v>
      </c>
      <c r="G287" s="99"/>
      <c r="H287" s="99"/>
      <c r="I287" s="100" t="s">
        <v>736</v>
      </c>
      <c r="J287" s="104"/>
      <c r="K287" s="99">
        <v>2.8</v>
      </c>
      <c r="L287" s="126"/>
      <c r="M287" s="126"/>
      <c r="N287" s="104"/>
      <c r="O287" s="249"/>
      <c r="P287" s="99"/>
      <c r="Q287" s="99"/>
      <c r="R287" s="126"/>
      <c r="S287" s="99">
        <v>0.2</v>
      </c>
      <c r="T287" s="99"/>
      <c r="U287" s="99"/>
      <c r="V287" s="99"/>
      <c r="W287" s="99"/>
      <c r="X287" s="99"/>
      <c r="Y287" s="99"/>
      <c r="Z287" s="99"/>
      <c r="AA287" s="99"/>
      <c r="AB287" s="99"/>
      <c r="AD287" s="344"/>
      <c r="AE287" s="345"/>
      <c r="AF287" s="345"/>
      <c r="AG287" s="345"/>
      <c r="AH287" s="346"/>
      <c r="AI287" s="12"/>
      <c r="AJ287" s="12"/>
      <c r="AK287" s="12"/>
      <c r="AL287" s="12"/>
      <c r="AM287" s="12"/>
      <c r="AN287" s="12"/>
      <c r="AO287" s="12"/>
      <c r="AP287" s="12"/>
    </row>
    <row r="288" spans="1:42" customFormat="1" ht="12.95" customHeight="1" x14ac:dyDescent="0.25">
      <c r="A288" s="52"/>
      <c r="B288" s="246"/>
      <c r="C288" s="98" t="s">
        <v>1202</v>
      </c>
      <c r="D288" s="98" t="s">
        <v>1203</v>
      </c>
      <c r="E288" s="98" t="s">
        <v>844</v>
      </c>
      <c r="F288" s="98" t="s">
        <v>552</v>
      </c>
      <c r="G288" s="98" t="s">
        <v>1315</v>
      </c>
      <c r="H288" s="98"/>
      <c r="I288" s="260" t="s">
        <v>736</v>
      </c>
      <c r="J288" s="261"/>
      <c r="K288" s="287">
        <f>K268*0.7</f>
        <v>7.7051519999999982</v>
      </c>
      <c r="L288" s="287">
        <f>L268*0.6</f>
        <v>6.0956663742257398</v>
      </c>
      <c r="M288" s="287">
        <f>M268*0.5</f>
        <v>4.8316785206310167</v>
      </c>
      <c r="N288" s="263">
        <f>N268*0.5</f>
        <v>4.3485106685679149</v>
      </c>
      <c r="O288" s="268"/>
      <c r="P288" s="98">
        <v>2060</v>
      </c>
      <c r="Q288" s="99"/>
      <c r="R288" s="126"/>
      <c r="S288" s="99">
        <v>1</v>
      </c>
      <c r="T288" s="99"/>
      <c r="U288" s="99"/>
      <c r="V288" s="99"/>
      <c r="W288" s="99"/>
      <c r="X288" s="99"/>
      <c r="Y288" s="99"/>
      <c r="Z288" s="99"/>
      <c r="AA288" s="99"/>
      <c r="AB288" s="99"/>
      <c r="AD288" s="344"/>
      <c r="AE288" s="345"/>
      <c r="AF288" s="345"/>
      <c r="AG288" s="345"/>
      <c r="AH288" s="346"/>
      <c r="AI288" s="12"/>
      <c r="AJ288" s="12"/>
      <c r="AK288" s="12"/>
      <c r="AL288" s="12"/>
      <c r="AM288" s="12"/>
      <c r="AN288" s="12"/>
      <c r="AO288" s="12"/>
      <c r="AP288" s="12"/>
    </row>
    <row r="289" spans="1:42" customFormat="1" ht="12.95" customHeight="1" x14ac:dyDescent="0.25">
      <c r="A289" s="3"/>
      <c r="B289" s="99"/>
      <c r="C289" s="99"/>
      <c r="D289" s="99"/>
      <c r="E289" s="99"/>
      <c r="F289" s="99" t="s">
        <v>833</v>
      </c>
      <c r="G289" s="99"/>
      <c r="H289" s="99"/>
      <c r="I289" s="107" t="s">
        <v>319</v>
      </c>
      <c r="J289" s="104"/>
      <c r="K289" s="99">
        <v>526.5</v>
      </c>
      <c r="L289" s="99">
        <v>520</v>
      </c>
      <c r="M289" s="99">
        <v>513.5</v>
      </c>
      <c r="N289" s="104"/>
      <c r="O289" s="249"/>
      <c r="P289" s="99"/>
      <c r="Q289" s="99"/>
      <c r="R289" s="126"/>
      <c r="S289" s="99"/>
      <c r="T289" s="99">
        <v>1</v>
      </c>
      <c r="U289" s="99">
        <v>0.9</v>
      </c>
      <c r="V289" s="31">
        <v>30</v>
      </c>
      <c r="W289" s="107"/>
      <c r="X289" s="266">
        <v>27.776</v>
      </c>
      <c r="Y289" s="99">
        <v>18.600000000000001</v>
      </c>
      <c r="Z289" s="99"/>
      <c r="AA289" s="99"/>
      <c r="AB289" s="99"/>
      <c r="AD289" s="344"/>
      <c r="AE289" s="345"/>
      <c r="AF289" s="345"/>
      <c r="AG289" s="345"/>
      <c r="AH289" s="346"/>
      <c r="AI289" s="12"/>
      <c r="AJ289" s="12"/>
      <c r="AK289" s="12"/>
      <c r="AL289" s="12"/>
      <c r="AM289" s="12"/>
      <c r="AN289" s="12"/>
      <c r="AO289" s="12"/>
      <c r="AP289" s="12"/>
    </row>
    <row r="290" spans="1:42" customFormat="1" ht="12.95" customHeight="1" x14ac:dyDescent="0.25">
      <c r="A290" s="3"/>
      <c r="B290" s="99"/>
      <c r="C290" s="126"/>
      <c r="D290" s="99"/>
      <c r="E290" s="99"/>
      <c r="F290" s="99" t="s">
        <v>1066</v>
      </c>
      <c r="G290" s="99"/>
      <c r="H290" s="99"/>
      <c r="I290" s="100" t="s">
        <v>741</v>
      </c>
      <c r="J290" s="104"/>
      <c r="K290" s="101">
        <f>K288/K268*K270*0.95</f>
        <v>1.6624999999999999</v>
      </c>
      <c r="L290" s="101">
        <f>L288/L268*L270*0.95</f>
        <v>2.0268090694300578</v>
      </c>
      <c r="M290" s="101">
        <f>M288/M268*M270*0.95</f>
        <v>1.8360378378397864</v>
      </c>
      <c r="N290" s="117">
        <f>N288/N268*N270*0.95</f>
        <v>1.6524340540558078</v>
      </c>
      <c r="O290" s="249"/>
      <c r="P290" s="99"/>
      <c r="Q290" s="99"/>
      <c r="R290" s="126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D290" s="344"/>
      <c r="AE290" s="345"/>
      <c r="AF290" s="345"/>
      <c r="AG290" s="345"/>
      <c r="AH290" s="346"/>
      <c r="AI290" s="12"/>
      <c r="AJ290" s="12"/>
      <c r="AK290" s="12"/>
      <c r="AL290" s="12"/>
      <c r="AM290" s="12"/>
      <c r="AN290" s="12"/>
      <c r="AO290" s="12"/>
      <c r="AP290" s="12"/>
    </row>
    <row r="291" spans="1:42" customFormat="1" ht="12.95" customHeight="1" x14ac:dyDescent="0.25">
      <c r="A291" s="3"/>
      <c r="B291" s="99"/>
      <c r="C291" s="126"/>
      <c r="D291" s="99"/>
      <c r="E291" s="99" t="s">
        <v>831</v>
      </c>
      <c r="F291" s="99" t="s">
        <v>832</v>
      </c>
      <c r="G291" s="99"/>
      <c r="H291" s="99"/>
      <c r="I291" s="100" t="s">
        <v>736</v>
      </c>
      <c r="J291" s="104"/>
      <c r="K291" s="99">
        <v>2.8</v>
      </c>
      <c r="L291" s="126"/>
      <c r="M291" s="126"/>
      <c r="N291" s="104"/>
      <c r="O291" s="249"/>
      <c r="P291" s="99"/>
      <c r="Q291" s="99"/>
      <c r="R291" s="126"/>
      <c r="S291" s="99">
        <v>0.2</v>
      </c>
      <c r="T291" s="99"/>
      <c r="U291" s="99"/>
      <c r="V291" s="99"/>
      <c r="W291" s="99"/>
      <c r="X291" s="99"/>
      <c r="Y291" s="99"/>
      <c r="Z291" s="99"/>
      <c r="AA291" s="99"/>
      <c r="AB291" s="99"/>
      <c r="AD291" s="344"/>
      <c r="AE291" s="345"/>
      <c r="AF291" s="345"/>
      <c r="AG291" s="345"/>
      <c r="AH291" s="346"/>
      <c r="AI291" s="12"/>
      <c r="AJ291" s="12"/>
      <c r="AK291" s="12"/>
      <c r="AL291" s="12"/>
      <c r="AM291" s="12"/>
      <c r="AN291" s="12"/>
      <c r="AO291" s="12"/>
      <c r="AP291" s="12"/>
    </row>
    <row r="292" spans="1:42" customFormat="1" ht="12.95" customHeight="1" x14ac:dyDescent="0.25">
      <c r="A292" s="52"/>
      <c r="B292" s="246"/>
      <c r="C292" s="98" t="s">
        <v>838</v>
      </c>
      <c r="D292" s="98" t="s">
        <v>839</v>
      </c>
      <c r="E292" s="98" t="s">
        <v>1068</v>
      </c>
      <c r="F292" s="98"/>
      <c r="G292" s="98" t="s">
        <v>1314</v>
      </c>
      <c r="H292" s="98"/>
      <c r="I292" s="260" t="s">
        <v>736</v>
      </c>
      <c r="J292" s="261"/>
      <c r="K292" s="287">
        <v>1.2150000000000001</v>
      </c>
      <c r="L292" s="284">
        <f>K292*0.9985^20</f>
        <v>1.1790647674462822</v>
      </c>
      <c r="M292" s="284">
        <f>L292*0.9985^20</f>
        <v>1.1441923669408687</v>
      </c>
      <c r="N292" s="283">
        <f>M292*0.9</f>
        <v>1.0297731302467819</v>
      </c>
      <c r="O292" s="268"/>
      <c r="P292" s="98">
        <f>BaseYear+1</f>
        <v>2011</v>
      </c>
      <c r="Q292" s="99"/>
      <c r="R292" s="126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D292" s="344"/>
      <c r="AE292" s="345"/>
      <c r="AF292" s="345"/>
      <c r="AG292" s="345"/>
      <c r="AH292" s="346"/>
      <c r="AI292" s="12"/>
      <c r="AJ292" s="12"/>
      <c r="AK292" s="12"/>
      <c r="AL292" s="12"/>
      <c r="AM292" s="12"/>
      <c r="AN292" s="12"/>
      <c r="AO292" s="12"/>
      <c r="AP292" s="12"/>
    </row>
    <row r="293" spans="1:42" customFormat="1" ht="12.95" customHeight="1" x14ac:dyDescent="0.25">
      <c r="A293" s="3"/>
      <c r="B293" s="99"/>
      <c r="C293" s="99"/>
      <c r="D293" s="99"/>
      <c r="E293" s="99" t="s">
        <v>1066</v>
      </c>
      <c r="F293" s="99" t="s">
        <v>833</v>
      </c>
      <c r="G293" s="99"/>
      <c r="H293" s="99"/>
      <c r="I293" s="100" t="s">
        <v>736</v>
      </c>
      <c r="J293" s="104"/>
      <c r="K293" s="99">
        <v>0.97</v>
      </c>
      <c r="L293" s="101">
        <f>K293*0.92</f>
        <v>0.89239999999999997</v>
      </c>
      <c r="M293" s="101">
        <f>L293*0.92</f>
        <v>0.82100799999999996</v>
      </c>
      <c r="N293" s="117">
        <f>M293*0.85</f>
        <v>0.69785679999999994</v>
      </c>
      <c r="O293" s="249"/>
      <c r="P293" s="99"/>
      <c r="Q293" s="99"/>
      <c r="R293" s="126"/>
      <c r="S293" s="99"/>
      <c r="T293" s="99">
        <v>1</v>
      </c>
      <c r="U293" s="99">
        <v>0.9</v>
      </c>
      <c r="V293" s="31">
        <v>30</v>
      </c>
      <c r="W293" s="266">
        <v>1091.3499999999999</v>
      </c>
      <c r="X293" s="99">
        <v>52.08</v>
      </c>
      <c r="Y293" s="99"/>
      <c r="Z293" s="99"/>
      <c r="AA293" s="99"/>
      <c r="AB293" s="99"/>
      <c r="AD293" s="344"/>
      <c r="AE293" s="345"/>
      <c r="AF293" s="345"/>
      <c r="AG293" s="345"/>
      <c r="AH293" s="346"/>
      <c r="AI293" s="12"/>
      <c r="AJ293" s="12"/>
      <c r="AK293" s="12"/>
      <c r="AL293" s="12"/>
      <c r="AM293" s="12"/>
      <c r="AN293" s="12"/>
      <c r="AO293" s="12"/>
      <c r="AP293" s="12"/>
    </row>
    <row r="294" spans="1:42" customFormat="1" ht="12.95" customHeight="1" x14ac:dyDescent="0.25">
      <c r="A294" s="3"/>
      <c r="B294" s="99"/>
      <c r="C294" s="99"/>
      <c r="D294" s="99"/>
      <c r="E294" s="99" t="s">
        <v>840</v>
      </c>
      <c r="F294" s="99"/>
      <c r="G294" s="99"/>
      <c r="H294" s="99"/>
      <c r="I294" s="100" t="s">
        <v>736</v>
      </c>
      <c r="J294" s="104"/>
      <c r="K294" s="101">
        <v>0.76</v>
      </c>
      <c r="L294" s="101">
        <f>K294*0.9</f>
        <v>0.68400000000000005</v>
      </c>
      <c r="M294" s="101">
        <f>L294*0.9</f>
        <v>0.61560000000000004</v>
      </c>
      <c r="N294" s="117">
        <f>M294*0.8</f>
        <v>0.49248000000000003</v>
      </c>
      <c r="O294" s="249"/>
      <c r="P294" s="99"/>
      <c r="Q294" s="99"/>
      <c r="R294" s="126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D294" s="344"/>
      <c r="AE294" s="345"/>
      <c r="AF294" s="345"/>
      <c r="AG294" s="345"/>
      <c r="AH294" s="346"/>
      <c r="AI294" s="12"/>
      <c r="AJ294" s="12"/>
      <c r="AK294" s="12"/>
      <c r="AL294" s="12"/>
      <c r="AM294" s="12"/>
      <c r="AN294" s="12"/>
      <c r="AO294" s="12"/>
      <c r="AP294" s="12"/>
    </row>
    <row r="295" spans="1:42" customFormat="1" ht="12.95" customHeight="1" x14ac:dyDescent="0.25">
      <c r="A295" s="3"/>
      <c r="B295" s="99"/>
      <c r="C295" s="126"/>
      <c r="D295" s="99"/>
      <c r="E295" s="99" t="s">
        <v>841</v>
      </c>
      <c r="F295" s="99"/>
      <c r="G295" s="99"/>
      <c r="H295" s="99"/>
      <c r="I295" s="100" t="s">
        <v>736</v>
      </c>
      <c r="J295" s="104"/>
      <c r="K295" s="101">
        <f>1/0.9</f>
        <v>1.1111111111111112</v>
      </c>
      <c r="L295" s="99"/>
      <c r="M295" s="105"/>
      <c r="N295" s="104"/>
      <c r="O295" s="249"/>
      <c r="P295" s="99"/>
      <c r="Q295" s="99"/>
      <c r="R295" s="126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D295" s="344"/>
      <c r="AE295" s="345"/>
      <c r="AF295" s="345"/>
      <c r="AG295" s="345"/>
      <c r="AH295" s="346"/>
      <c r="AI295" s="12"/>
      <c r="AJ295" s="12"/>
      <c r="AK295" s="12"/>
      <c r="AL295" s="12"/>
      <c r="AM295" s="12"/>
      <c r="AN295" s="12"/>
      <c r="AO295" s="12"/>
      <c r="AP295" s="12"/>
    </row>
    <row r="296" spans="1:42" customFormat="1" ht="12.95" customHeight="1" x14ac:dyDescent="0.25">
      <c r="A296" s="52"/>
      <c r="B296" s="246"/>
      <c r="C296" s="98" t="s">
        <v>842</v>
      </c>
      <c r="D296" s="98" t="s">
        <v>872</v>
      </c>
      <c r="E296" s="98" t="s">
        <v>1068</v>
      </c>
      <c r="F296" s="98"/>
      <c r="G296" s="98" t="s">
        <v>1314</v>
      </c>
      <c r="H296" s="98"/>
      <c r="I296" s="260" t="s">
        <v>736</v>
      </c>
      <c r="J296" s="261"/>
      <c r="K296" s="287">
        <v>2.3464314966624813</v>
      </c>
      <c r="L296" s="287">
        <f>K296*0.9985^20*0.99354^20</f>
        <v>2.0002136852356172</v>
      </c>
      <c r="M296" s="284">
        <f>L296*0.9985^20</f>
        <v>1.9410547190330896</v>
      </c>
      <c r="N296" s="283">
        <f>M296*0.9</f>
        <v>1.7469492471297807</v>
      </c>
      <c r="O296" s="268"/>
      <c r="P296" s="98">
        <f>BaseYear+1</f>
        <v>2011</v>
      </c>
      <c r="Q296" s="99"/>
      <c r="R296" s="126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D296" s="344"/>
      <c r="AE296" s="345"/>
      <c r="AF296" s="345"/>
      <c r="AG296" s="345"/>
      <c r="AH296" s="346"/>
      <c r="AI296" s="12"/>
      <c r="AJ296" s="12"/>
      <c r="AK296" s="12"/>
      <c r="AL296" s="12"/>
      <c r="AM296" s="12"/>
      <c r="AN296" s="12"/>
      <c r="AO296" s="12"/>
      <c r="AP296" s="12"/>
    </row>
    <row r="297" spans="1:42" customFormat="1" ht="12.95" customHeight="1" x14ac:dyDescent="0.25">
      <c r="A297" s="3"/>
      <c r="B297" s="99"/>
      <c r="C297" s="99"/>
      <c r="D297" s="99"/>
      <c r="E297" s="99" t="s">
        <v>1066</v>
      </c>
      <c r="F297" s="99" t="s">
        <v>873</v>
      </c>
      <c r="G297" s="99"/>
      <c r="H297" s="99"/>
      <c r="I297" s="100" t="s">
        <v>736</v>
      </c>
      <c r="J297" s="104"/>
      <c r="K297" s="101">
        <v>6.3049999999999997</v>
      </c>
      <c r="L297" s="101">
        <f>K297*0.9</f>
        <v>5.6745000000000001</v>
      </c>
      <c r="M297" s="101">
        <f>L297*0.9</f>
        <v>5.1070500000000001</v>
      </c>
      <c r="N297" s="117">
        <f>M297*0.8</f>
        <v>4.0856400000000006</v>
      </c>
      <c r="O297" s="249"/>
      <c r="P297" s="99"/>
      <c r="Q297" s="99"/>
      <c r="R297" s="126"/>
      <c r="S297" s="99"/>
      <c r="T297" s="99">
        <v>1</v>
      </c>
      <c r="U297" s="99">
        <v>0.9</v>
      </c>
      <c r="V297" s="99">
        <v>30</v>
      </c>
      <c r="W297" s="99">
        <v>1690</v>
      </c>
      <c r="X297" s="99">
        <v>80.599999999999994</v>
      </c>
      <c r="Y297" s="99"/>
      <c r="Z297" s="99"/>
      <c r="AA297" s="99"/>
      <c r="AB297" s="99"/>
      <c r="AD297" s="344"/>
      <c r="AE297" s="345"/>
      <c r="AF297" s="345"/>
      <c r="AG297" s="345"/>
      <c r="AH297" s="346"/>
      <c r="AI297" s="12"/>
      <c r="AJ297" s="12"/>
      <c r="AK297" s="12"/>
      <c r="AL297" s="12"/>
      <c r="AM297" s="12"/>
      <c r="AN297" s="12"/>
      <c r="AO297" s="12"/>
      <c r="AP297" s="12"/>
    </row>
    <row r="298" spans="1:42" customFormat="1" ht="12.95" customHeight="1" x14ac:dyDescent="0.25">
      <c r="A298" s="3"/>
      <c r="B298" s="99"/>
      <c r="C298" s="99"/>
      <c r="D298" s="99"/>
      <c r="E298" s="99" t="s">
        <v>840</v>
      </c>
      <c r="F298" s="99"/>
      <c r="G298" s="99"/>
      <c r="H298" s="99"/>
      <c r="I298" s="100" t="s">
        <v>736</v>
      </c>
      <c r="J298" s="104"/>
      <c r="K298" s="99">
        <v>0.4</v>
      </c>
      <c r="L298" s="99"/>
      <c r="M298" s="105"/>
      <c r="N298" s="104"/>
      <c r="O298" s="249"/>
      <c r="P298" s="99"/>
      <c r="Q298" s="99"/>
      <c r="R298" s="126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D298" s="344"/>
      <c r="AE298" s="345"/>
      <c r="AF298" s="345"/>
      <c r="AG298" s="345"/>
      <c r="AH298" s="346"/>
      <c r="AI298" s="12"/>
      <c r="AJ298" s="12"/>
      <c r="AK298" s="12"/>
      <c r="AL298" s="12"/>
      <c r="AM298" s="12"/>
      <c r="AN298" s="12"/>
      <c r="AO298" s="12"/>
      <c r="AP298" s="12"/>
    </row>
    <row r="299" spans="1:42" customFormat="1" ht="12.95" customHeight="1" x14ac:dyDescent="0.25">
      <c r="A299" s="3"/>
      <c r="B299" s="99"/>
      <c r="C299" s="99"/>
      <c r="D299" s="99"/>
      <c r="E299" s="99" t="s">
        <v>543</v>
      </c>
      <c r="F299" s="99"/>
      <c r="G299" s="99"/>
      <c r="H299" s="99"/>
      <c r="I299" s="100" t="s">
        <v>559</v>
      </c>
      <c r="J299" s="104"/>
      <c r="K299" s="99">
        <v>1</v>
      </c>
      <c r="L299" s="99"/>
      <c r="M299" s="105"/>
      <c r="N299" s="104"/>
      <c r="O299" s="249"/>
      <c r="P299" s="99"/>
      <c r="Q299" s="99"/>
      <c r="R299" s="126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D299" s="344"/>
      <c r="AE299" s="345"/>
      <c r="AF299" s="345"/>
      <c r="AG299" s="345"/>
      <c r="AH299" s="346"/>
      <c r="AI299" s="12"/>
      <c r="AJ299" s="12"/>
      <c r="AK299" s="12"/>
      <c r="AL299" s="12"/>
      <c r="AM299" s="12"/>
      <c r="AN299" s="12"/>
      <c r="AO299" s="12"/>
      <c r="AP299" s="12"/>
    </row>
    <row r="300" spans="1:42" customFormat="1" ht="12.95" customHeight="1" x14ac:dyDescent="0.25">
      <c r="A300" s="3"/>
      <c r="B300" s="99"/>
      <c r="C300" s="99"/>
      <c r="D300" s="99"/>
      <c r="E300" s="99" t="s">
        <v>544</v>
      </c>
      <c r="F300" s="99"/>
      <c r="G300" s="99"/>
      <c r="H300" s="99"/>
      <c r="I300" s="100" t="s">
        <v>559</v>
      </c>
      <c r="J300" s="104"/>
      <c r="K300" s="99">
        <v>1</v>
      </c>
      <c r="L300" s="99"/>
      <c r="M300" s="105"/>
      <c r="N300" s="104"/>
      <c r="O300" s="249"/>
      <c r="P300" s="99"/>
      <c r="Q300" s="99"/>
      <c r="R300" s="126"/>
      <c r="S300" s="99"/>
      <c r="T300" s="126"/>
      <c r="U300" s="126"/>
      <c r="V300" s="126"/>
      <c r="W300" s="126"/>
      <c r="X300" s="126"/>
      <c r="Y300" s="99"/>
      <c r="Z300" s="99"/>
      <c r="AA300" s="99"/>
      <c r="AB300" s="99"/>
      <c r="AD300" s="344"/>
      <c r="AE300" s="345"/>
      <c r="AF300" s="345"/>
      <c r="AG300" s="345"/>
      <c r="AH300" s="346"/>
      <c r="AI300" s="12"/>
      <c r="AJ300" s="12"/>
      <c r="AK300" s="12"/>
      <c r="AL300" s="12"/>
      <c r="AM300" s="12"/>
      <c r="AN300" s="12"/>
      <c r="AO300" s="12"/>
      <c r="AP300" s="12"/>
    </row>
    <row r="301" spans="1:42" customFormat="1" ht="12.95" customHeight="1" x14ac:dyDescent="0.25">
      <c r="A301" s="52"/>
      <c r="B301" s="246"/>
      <c r="C301" s="98" t="s">
        <v>1021</v>
      </c>
      <c r="D301" s="98" t="s">
        <v>1022</v>
      </c>
      <c r="E301" s="98" t="s">
        <v>1068</v>
      </c>
      <c r="F301" s="98"/>
      <c r="G301" s="98" t="s">
        <v>1314</v>
      </c>
      <c r="H301" s="98"/>
      <c r="I301" s="260" t="s">
        <v>736</v>
      </c>
      <c r="J301" s="261"/>
      <c r="K301" s="287">
        <f>K296</f>
        <v>2.3464314966624813</v>
      </c>
      <c r="L301" s="284">
        <f>0.7*3.6*0.67</f>
        <v>1.6884000000000001</v>
      </c>
      <c r="M301" s="284">
        <f>0.7*3.6*0.6</f>
        <v>1.512</v>
      </c>
      <c r="N301" s="283">
        <f>M301*0.997^50</f>
        <v>1.3010970936257291</v>
      </c>
      <c r="O301" s="268"/>
      <c r="P301" s="98">
        <v>2070</v>
      </c>
      <c r="Q301" s="99"/>
      <c r="R301" s="126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D301" s="344"/>
      <c r="AE301" s="345"/>
      <c r="AF301" s="345"/>
      <c r="AG301" s="345"/>
      <c r="AH301" s="346"/>
      <c r="AI301" s="12"/>
      <c r="AJ301" s="12"/>
      <c r="AK301" s="12"/>
      <c r="AL301" s="12"/>
      <c r="AM301" s="12"/>
      <c r="AN301" s="12"/>
      <c r="AO301" s="12"/>
      <c r="AP301" s="12"/>
    </row>
    <row r="302" spans="1:42" customFormat="1" ht="12.95" customHeight="1" x14ac:dyDescent="0.25">
      <c r="A302" s="3"/>
      <c r="B302" s="99"/>
      <c r="C302" s="99"/>
      <c r="D302" s="99"/>
      <c r="E302" s="99" t="s">
        <v>1066</v>
      </c>
      <c r="F302" s="99" t="s">
        <v>873</v>
      </c>
      <c r="G302" s="99"/>
      <c r="H302" s="99"/>
      <c r="I302" s="100" t="s">
        <v>736</v>
      </c>
      <c r="J302" s="104"/>
      <c r="K302" s="101">
        <f>K297</f>
        <v>6.3049999999999997</v>
      </c>
      <c r="L302" s="101">
        <f>6.5*0.67</f>
        <v>4.3550000000000004</v>
      </c>
      <c r="M302" s="101">
        <f>M297/L297*L302</f>
        <v>3.9195000000000007</v>
      </c>
      <c r="N302" s="103">
        <f>M302*0.997^50</f>
        <v>3.3727844302024113</v>
      </c>
      <c r="O302" s="249"/>
      <c r="P302" s="99"/>
      <c r="Q302" s="99"/>
      <c r="R302" s="126"/>
      <c r="S302" s="99"/>
      <c r="T302" s="99">
        <v>1</v>
      </c>
      <c r="U302" s="99">
        <v>0.9</v>
      </c>
      <c r="V302" s="99">
        <v>30</v>
      </c>
      <c r="W302" s="266">
        <v>1774.5</v>
      </c>
      <c r="X302" s="266">
        <v>84.63</v>
      </c>
      <c r="Y302" s="99"/>
      <c r="Z302" s="99"/>
      <c r="AA302" s="99"/>
      <c r="AB302" s="99"/>
      <c r="AD302" s="344"/>
      <c r="AE302" s="345"/>
      <c r="AF302" s="345"/>
      <c r="AG302" s="345"/>
      <c r="AH302" s="346"/>
      <c r="AI302" s="12"/>
      <c r="AJ302" s="12"/>
      <c r="AK302" s="12"/>
      <c r="AL302" s="12"/>
      <c r="AM302" s="12"/>
      <c r="AN302" s="12"/>
      <c r="AO302" s="12"/>
      <c r="AP302" s="12"/>
    </row>
    <row r="303" spans="1:42" customFormat="1" ht="12.95" customHeight="1" x14ac:dyDescent="0.25">
      <c r="A303" s="3"/>
      <c r="B303" s="99"/>
      <c r="C303" s="99"/>
      <c r="D303" s="99"/>
      <c r="E303" s="99" t="s">
        <v>840</v>
      </c>
      <c r="F303" s="99"/>
      <c r="G303" s="99"/>
      <c r="H303" s="99"/>
      <c r="I303" s="100" t="s">
        <v>736</v>
      </c>
      <c r="J303" s="104"/>
      <c r="K303" s="101">
        <f>K298</f>
        <v>0.4</v>
      </c>
      <c r="L303" s="99">
        <f>K303*0.85</f>
        <v>0.34</v>
      </c>
      <c r="M303" s="99">
        <f>K303*0.75</f>
        <v>0.30000000000000004</v>
      </c>
      <c r="N303" s="104"/>
      <c r="O303" s="249"/>
      <c r="P303" s="99"/>
      <c r="Q303" s="99"/>
      <c r="R303" s="126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D303" s="344"/>
      <c r="AE303" s="345"/>
      <c r="AF303" s="345"/>
      <c r="AG303" s="345"/>
      <c r="AH303" s="346"/>
      <c r="AI303" s="12"/>
      <c r="AJ303" s="12"/>
      <c r="AK303" s="12"/>
      <c r="AL303" s="12"/>
      <c r="AM303" s="12"/>
      <c r="AN303" s="12"/>
      <c r="AO303" s="12"/>
      <c r="AP303" s="12"/>
    </row>
    <row r="304" spans="1:42" customFormat="1" ht="12.95" customHeight="1" x14ac:dyDescent="0.25">
      <c r="A304" s="3"/>
      <c r="B304" s="99"/>
      <c r="C304" s="99"/>
      <c r="D304" s="99"/>
      <c r="E304" s="99" t="s">
        <v>543</v>
      </c>
      <c r="F304" s="99"/>
      <c r="G304" s="99"/>
      <c r="H304" s="99"/>
      <c r="I304" s="100" t="s">
        <v>559</v>
      </c>
      <c r="J304" s="104"/>
      <c r="K304" s="101">
        <f>K299</f>
        <v>1</v>
      </c>
      <c r="L304" s="99"/>
      <c r="M304" s="105"/>
      <c r="N304" s="104"/>
      <c r="O304" s="249"/>
      <c r="P304" s="99"/>
      <c r="Q304" s="99"/>
      <c r="R304" s="126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D304" s="344"/>
      <c r="AE304" s="345"/>
      <c r="AF304" s="345"/>
      <c r="AG304" s="345"/>
      <c r="AH304" s="346"/>
      <c r="AI304" s="12"/>
      <c r="AJ304" s="12"/>
      <c r="AK304" s="12"/>
      <c r="AL304" s="12"/>
      <c r="AM304" s="12"/>
      <c r="AN304" s="12"/>
      <c r="AO304" s="12"/>
      <c r="AP304" s="12"/>
    </row>
    <row r="305" spans="1:42" ht="12.95" customHeight="1" x14ac:dyDescent="0.25">
      <c r="A305" s="3"/>
      <c r="B305" s="99"/>
      <c r="C305" s="99"/>
      <c r="D305" s="99"/>
      <c r="E305" s="99" t="s">
        <v>544</v>
      </c>
      <c r="F305" s="99"/>
      <c r="G305" s="99"/>
      <c r="H305" s="99"/>
      <c r="I305" s="100" t="s">
        <v>559</v>
      </c>
      <c r="J305" s="104"/>
      <c r="K305" s="101">
        <f>K300</f>
        <v>1</v>
      </c>
      <c r="L305" s="99"/>
      <c r="M305" s="105"/>
      <c r="N305" s="104"/>
      <c r="O305" s="249"/>
      <c r="P305" s="99"/>
      <c r="Q305" s="99"/>
      <c r="R305" s="126"/>
      <c r="S305" s="99"/>
      <c r="T305" s="126"/>
      <c r="U305" s="126"/>
      <c r="V305" s="126"/>
      <c r="W305" s="126"/>
      <c r="X305" s="126"/>
      <c r="Y305" s="99"/>
      <c r="Z305" s="99"/>
      <c r="AA305" s="99"/>
      <c r="AB305" s="99"/>
      <c r="AC305"/>
      <c r="AD305" s="344"/>
      <c r="AE305" s="345"/>
      <c r="AF305" s="345"/>
      <c r="AG305" s="345"/>
      <c r="AH305" s="346"/>
    </row>
    <row r="306" spans="1:42" ht="12.95" customHeight="1" x14ac:dyDescent="0.25">
      <c r="A306" s="3"/>
      <c r="B306" s="99"/>
      <c r="C306" s="98" t="s">
        <v>622</v>
      </c>
      <c r="D306" s="98" t="s">
        <v>623</v>
      </c>
      <c r="E306" s="98" t="s">
        <v>844</v>
      </c>
      <c r="F306" s="98"/>
      <c r="G306" s="98" t="s">
        <v>1314</v>
      </c>
      <c r="H306" s="98"/>
      <c r="I306" s="260" t="s">
        <v>736</v>
      </c>
      <c r="J306" s="261"/>
      <c r="K306" s="287">
        <f>K297*0.3</f>
        <v>1.8914999999999997</v>
      </c>
      <c r="L306" s="284">
        <f>L297*0.3</f>
        <v>1.70235</v>
      </c>
      <c r="M306" s="284">
        <f>M297*0.3</f>
        <v>1.5321149999999999</v>
      </c>
      <c r="N306" s="283">
        <f>N297*0.3</f>
        <v>1.2256920000000002</v>
      </c>
      <c r="O306" s="268"/>
      <c r="P306" s="98">
        <v>2070</v>
      </c>
      <c r="Q306" s="99"/>
      <c r="R306" s="126"/>
      <c r="S306" s="99"/>
      <c r="T306" s="99"/>
      <c r="U306" s="99"/>
      <c r="V306" s="99"/>
      <c r="W306" s="266"/>
      <c r="X306" s="266"/>
      <c r="Y306" s="99"/>
      <c r="Z306" s="99"/>
      <c r="AA306" s="99"/>
      <c r="AB306" s="99"/>
      <c r="AC306"/>
      <c r="AD306" s="344"/>
      <c r="AE306" s="345"/>
      <c r="AF306" s="345"/>
      <c r="AG306" s="345"/>
      <c r="AH306" s="346"/>
    </row>
    <row r="307" spans="1:42" ht="12.95" customHeight="1" x14ac:dyDescent="0.25">
      <c r="A307" s="3"/>
      <c r="B307" s="99"/>
      <c r="C307" s="99"/>
      <c r="D307" s="99"/>
      <c r="E307" s="99" t="s">
        <v>1068</v>
      </c>
      <c r="F307" s="99"/>
      <c r="G307" s="99"/>
      <c r="H307" s="99"/>
      <c r="I307" s="100" t="s">
        <v>736</v>
      </c>
      <c r="J307" s="104"/>
      <c r="K307" s="101">
        <f>K301</f>
        <v>2.3464314966624813</v>
      </c>
      <c r="L307" s="102">
        <f>L301</f>
        <v>1.6884000000000001</v>
      </c>
      <c r="M307" s="102">
        <f>M301</f>
        <v>1.512</v>
      </c>
      <c r="N307" s="103">
        <f>N301</f>
        <v>1.3010970936257291</v>
      </c>
      <c r="O307" s="249"/>
      <c r="P307" s="31"/>
      <c r="Q307" s="99"/>
      <c r="R307" s="126"/>
      <c r="S307" s="99"/>
      <c r="T307" s="99"/>
      <c r="U307" s="99"/>
      <c r="V307" s="99"/>
      <c r="W307" s="266"/>
      <c r="X307" s="266"/>
      <c r="Y307" s="99"/>
      <c r="Z307" s="99"/>
      <c r="AA307" s="99"/>
      <c r="AB307" s="99"/>
      <c r="AC307"/>
      <c r="AD307" s="344"/>
      <c r="AE307" s="345"/>
      <c r="AF307" s="345"/>
      <c r="AG307" s="345"/>
      <c r="AH307" s="346"/>
    </row>
    <row r="308" spans="1:42" ht="12.95" customHeight="1" x14ac:dyDescent="0.25">
      <c r="A308" s="3"/>
      <c r="B308" s="99"/>
      <c r="C308" s="99"/>
      <c r="D308" s="99"/>
      <c r="E308" s="99" t="s">
        <v>1066</v>
      </c>
      <c r="F308" s="99" t="s">
        <v>873</v>
      </c>
      <c r="G308" s="99"/>
      <c r="H308" s="99"/>
      <c r="I308" s="100" t="s">
        <v>736</v>
      </c>
      <c r="J308" s="104"/>
      <c r="K308" s="101">
        <f>K297*0.3</f>
        <v>1.8914999999999997</v>
      </c>
      <c r="L308" s="101">
        <f>L297*0.32</f>
        <v>1.8158400000000001</v>
      </c>
      <c r="M308" s="101">
        <f>M297*0.32</f>
        <v>1.6342560000000002</v>
      </c>
      <c r="N308" s="117">
        <f>N297*0.32</f>
        <v>1.3074048000000003</v>
      </c>
      <c r="O308" s="249"/>
      <c r="P308" s="99"/>
      <c r="Q308" s="99"/>
      <c r="R308" s="126"/>
      <c r="S308" s="99"/>
      <c r="T308" s="99">
        <v>1</v>
      </c>
      <c r="U308" s="99">
        <v>0.9</v>
      </c>
      <c r="V308" s="99">
        <v>30</v>
      </c>
      <c r="W308" s="266">
        <v>1863.2249999999999</v>
      </c>
      <c r="X308" s="266">
        <v>88.861500000000007</v>
      </c>
      <c r="Y308" s="99"/>
      <c r="Z308" s="99"/>
      <c r="AA308" s="99"/>
      <c r="AB308" s="99"/>
      <c r="AC308"/>
      <c r="AD308" s="344"/>
      <c r="AE308" s="345"/>
      <c r="AF308" s="345"/>
      <c r="AG308" s="345"/>
      <c r="AH308" s="346"/>
    </row>
    <row r="309" spans="1:42" ht="12.95" customHeight="1" x14ac:dyDescent="0.25">
      <c r="A309" s="3"/>
      <c r="B309" s="99"/>
      <c r="C309" s="99"/>
      <c r="D309" s="99"/>
      <c r="E309" s="99" t="s">
        <v>840</v>
      </c>
      <c r="F309" s="99"/>
      <c r="G309" s="99"/>
      <c r="H309" s="99"/>
      <c r="I309" s="100" t="s">
        <v>736</v>
      </c>
      <c r="J309" s="104"/>
      <c r="K309" s="101">
        <f>K303</f>
        <v>0.4</v>
      </c>
      <c r="L309" s="99">
        <f>K309*0.6</f>
        <v>0.24</v>
      </c>
      <c r="M309" s="99">
        <f>K309*0.4</f>
        <v>0.16000000000000003</v>
      </c>
      <c r="N309" s="104"/>
      <c r="O309" s="249"/>
      <c r="P309" s="99"/>
      <c r="Q309" s="99"/>
      <c r="R309" s="126"/>
      <c r="S309" s="99"/>
      <c r="T309" s="126"/>
      <c r="U309" s="126"/>
      <c r="V309" s="126"/>
      <c r="W309" s="126"/>
      <c r="X309" s="126"/>
      <c r="Y309" s="99"/>
      <c r="Z309" s="99"/>
      <c r="AA309" s="99"/>
      <c r="AB309" s="99"/>
      <c r="AC309"/>
      <c r="AD309" s="344"/>
      <c r="AE309" s="345"/>
      <c r="AF309" s="345"/>
      <c r="AG309" s="345"/>
      <c r="AH309" s="346"/>
    </row>
    <row r="310" spans="1:42" ht="12.95" customHeight="1" x14ac:dyDescent="0.25">
      <c r="A310" s="3"/>
      <c r="B310" s="99"/>
      <c r="C310" s="99"/>
      <c r="D310" s="99"/>
      <c r="E310" s="99" t="s">
        <v>543</v>
      </c>
      <c r="F310" s="99"/>
      <c r="G310" s="99"/>
      <c r="H310" s="99"/>
      <c r="I310" s="100" t="s">
        <v>559</v>
      </c>
      <c r="J310" s="104"/>
      <c r="K310" s="101">
        <f>K304</f>
        <v>1</v>
      </c>
      <c r="L310" s="99"/>
      <c r="M310" s="105"/>
      <c r="N310" s="104"/>
      <c r="O310" s="249"/>
      <c r="P310" s="99"/>
      <c r="Q310" s="99"/>
      <c r="R310" s="126"/>
      <c r="S310" s="99"/>
      <c r="T310" s="126"/>
      <c r="U310" s="126"/>
      <c r="V310" s="126"/>
      <c r="W310" s="126"/>
      <c r="X310" s="126"/>
      <c r="Y310" s="99"/>
      <c r="Z310" s="99"/>
      <c r="AA310" s="99"/>
      <c r="AB310" s="99"/>
      <c r="AC310"/>
      <c r="AD310" s="344"/>
      <c r="AE310" s="345"/>
      <c r="AF310" s="345"/>
      <c r="AG310" s="345"/>
      <c r="AH310" s="346"/>
    </row>
    <row r="311" spans="1:42" customFormat="1" ht="12.95" customHeight="1" x14ac:dyDescent="0.25">
      <c r="B311" s="31"/>
      <c r="C311" s="99"/>
      <c r="D311" s="99"/>
      <c r="E311" s="99" t="s">
        <v>544</v>
      </c>
      <c r="F311" s="99"/>
      <c r="G311" s="99"/>
      <c r="H311" s="99"/>
      <c r="I311" s="100" t="s">
        <v>559</v>
      </c>
      <c r="J311" s="104"/>
      <c r="K311" s="101">
        <f>K305</f>
        <v>1</v>
      </c>
      <c r="L311" s="99"/>
      <c r="M311" s="105"/>
      <c r="N311" s="104"/>
      <c r="O311" s="249"/>
      <c r="P311" s="99"/>
      <c r="Q311" s="99"/>
      <c r="R311" s="126"/>
      <c r="S311" s="99"/>
      <c r="T311" s="126"/>
      <c r="U311" s="126"/>
      <c r="V311" s="126"/>
      <c r="W311" s="126"/>
      <c r="X311" s="126"/>
      <c r="Y311" s="31"/>
      <c r="Z311" s="31"/>
      <c r="AA311" s="31"/>
      <c r="AB311" s="31"/>
      <c r="AD311" s="344"/>
      <c r="AE311" s="345"/>
      <c r="AF311" s="345"/>
      <c r="AG311" s="345"/>
      <c r="AH311" s="346"/>
      <c r="AI311" s="12"/>
      <c r="AJ311" s="12"/>
      <c r="AK311" s="12"/>
      <c r="AL311" s="12"/>
      <c r="AM311" s="12"/>
      <c r="AN311" s="12"/>
      <c r="AO311" s="12"/>
      <c r="AP311" s="12"/>
    </row>
    <row r="312" spans="1:42" customFormat="1" x14ac:dyDescent="0.25">
      <c r="I312" s="7"/>
      <c r="J312" s="7"/>
      <c r="K312" s="3"/>
      <c r="L312" s="3"/>
      <c r="M312" s="50"/>
      <c r="N312" s="51"/>
      <c r="AD312" s="3"/>
      <c r="AE312" s="3"/>
      <c r="AF312" s="3"/>
      <c r="AG312" s="3"/>
      <c r="AH312" s="3"/>
      <c r="AI312" s="50"/>
      <c r="AJ312" s="12"/>
      <c r="AK312" s="12"/>
      <c r="AL312" s="12"/>
      <c r="AM312" s="12"/>
      <c r="AN312" s="12"/>
      <c r="AO312" s="12"/>
      <c r="AP312" s="12"/>
    </row>
    <row r="313" spans="1:42" customFormat="1" x14ac:dyDescent="0.25">
      <c r="C313" s="23"/>
      <c r="I313" s="7"/>
      <c r="J313" s="7"/>
      <c r="K313" s="3"/>
      <c r="L313" s="3"/>
      <c r="M313" s="50"/>
      <c r="N313" s="51"/>
      <c r="AD313" s="3"/>
      <c r="AE313" s="3"/>
      <c r="AF313" s="3"/>
      <c r="AG313" s="3"/>
      <c r="AH313" s="3"/>
      <c r="AI313" s="50"/>
      <c r="AJ313" s="12"/>
      <c r="AK313" s="12"/>
      <c r="AL313" s="12"/>
      <c r="AM313" s="12"/>
      <c r="AN313" s="12"/>
      <c r="AO313" s="12"/>
      <c r="AP313" s="12"/>
    </row>
    <row r="314" spans="1:42" customFormat="1" x14ac:dyDescent="0.25">
      <c r="B314" s="397" t="s">
        <v>1332</v>
      </c>
      <c r="C314" s="395"/>
      <c r="D314" s="396"/>
      <c r="I314" s="7"/>
      <c r="J314" s="23" t="s">
        <v>82</v>
      </c>
      <c r="K314" s="3"/>
      <c r="L314" s="3"/>
      <c r="M314" s="50"/>
      <c r="N314" s="51"/>
      <c r="AD314" s="3"/>
      <c r="AE314" s="3"/>
      <c r="AF314" s="3"/>
      <c r="AG314" s="3"/>
      <c r="AH314" s="3"/>
      <c r="AI314" s="50"/>
      <c r="AJ314" s="12"/>
      <c r="AK314" s="12"/>
      <c r="AL314" s="12"/>
      <c r="AM314" s="12"/>
      <c r="AN314" s="12"/>
      <c r="AO314" s="12"/>
      <c r="AP314" s="12"/>
    </row>
    <row r="315" spans="1:42" customFormat="1" ht="28.5" customHeight="1" thickBot="1" x14ac:dyDescent="0.3">
      <c r="A315" s="23"/>
      <c r="B315" s="116" t="s">
        <v>254</v>
      </c>
      <c r="C315" s="20" t="s">
        <v>1126</v>
      </c>
      <c r="D315" s="20" t="s">
        <v>1127</v>
      </c>
      <c r="E315" s="21" t="s">
        <v>1128</v>
      </c>
      <c r="F315" s="21" t="s">
        <v>289</v>
      </c>
      <c r="G315" s="20" t="s">
        <v>682</v>
      </c>
      <c r="H315" s="21" t="s">
        <v>1154</v>
      </c>
      <c r="I315" s="21" t="s">
        <v>942</v>
      </c>
      <c r="J315" s="49" t="s">
        <v>943</v>
      </c>
      <c r="K315" s="46">
        <v>2010</v>
      </c>
      <c r="L315" s="46">
        <v>2030</v>
      </c>
      <c r="M315" s="46">
        <v>2050</v>
      </c>
      <c r="N315" s="47">
        <v>2100</v>
      </c>
      <c r="O315" s="131" t="s">
        <v>726</v>
      </c>
      <c r="P315" s="22" t="s">
        <v>318</v>
      </c>
      <c r="Q315" s="20" t="s">
        <v>323</v>
      </c>
      <c r="R315" s="20" t="s">
        <v>1130</v>
      </c>
      <c r="S315" s="20" t="s">
        <v>1129</v>
      </c>
      <c r="T315" s="20" t="s">
        <v>698</v>
      </c>
      <c r="U315" s="20" t="s">
        <v>329</v>
      </c>
      <c r="V315" s="20" t="s">
        <v>541</v>
      </c>
      <c r="W315" s="20" t="s">
        <v>319</v>
      </c>
      <c r="X315" s="20" t="s">
        <v>320</v>
      </c>
      <c r="Y315" s="20" t="s">
        <v>321</v>
      </c>
      <c r="Z315" s="20" t="s">
        <v>724</v>
      </c>
      <c r="AA315" s="20" t="s">
        <v>711</v>
      </c>
      <c r="AB315" s="20" t="s">
        <v>1321</v>
      </c>
      <c r="AC315" s="20" t="s">
        <v>1322</v>
      </c>
      <c r="AD315" s="49" t="s">
        <v>874</v>
      </c>
      <c r="AE315" s="3"/>
      <c r="AF315" s="12"/>
      <c r="AG315" s="3"/>
      <c r="AH315" s="3"/>
      <c r="AI315" s="50"/>
      <c r="AJ315" s="12"/>
      <c r="AK315" s="12"/>
      <c r="AL315" s="12"/>
      <c r="AM315" s="12"/>
      <c r="AN315" s="12"/>
      <c r="AO315" s="12"/>
      <c r="AP315" s="12"/>
    </row>
    <row r="316" spans="1:42" s="7" customFormat="1" ht="12.75" x14ac:dyDescent="0.2">
      <c r="A316" s="23"/>
      <c r="B316" s="293"/>
      <c r="C316" s="134" t="s">
        <v>642</v>
      </c>
      <c r="D316" s="134" t="s">
        <v>875</v>
      </c>
      <c r="E316" s="134" t="s">
        <v>688</v>
      </c>
      <c r="F316" s="134"/>
      <c r="G316" s="134" t="s">
        <v>876</v>
      </c>
      <c r="H316" s="134" t="str">
        <f>E316</f>
        <v>INDHFO</v>
      </c>
      <c r="I316" s="134" t="s">
        <v>735</v>
      </c>
      <c r="J316" s="294"/>
      <c r="K316" s="110">
        <v>0.85675335913957629</v>
      </c>
      <c r="L316" s="110">
        <v>0.86698413651044437</v>
      </c>
      <c r="M316" s="110">
        <v>0.88430763877736573</v>
      </c>
      <c r="N316" s="295">
        <v>0.92</v>
      </c>
      <c r="O316" s="294"/>
      <c r="P316" s="134">
        <f>BaseYear+6</f>
        <v>2016</v>
      </c>
      <c r="Q316" s="134"/>
      <c r="R316" s="134"/>
      <c r="S316" s="134"/>
      <c r="T316" s="134">
        <v>1</v>
      </c>
      <c r="U316" s="134">
        <v>0.8</v>
      </c>
      <c r="V316" s="134">
        <v>25</v>
      </c>
      <c r="W316" s="296">
        <v>10.725</v>
      </c>
      <c r="X316" s="296">
        <v>0.93</v>
      </c>
      <c r="Y316" s="134"/>
      <c r="Z316" s="134"/>
      <c r="AA316" s="134"/>
      <c r="AB316" s="134"/>
      <c r="AC316" s="297"/>
      <c r="AD316" s="298"/>
      <c r="AE316" s="9"/>
      <c r="AG316" s="9"/>
      <c r="AH316" s="9"/>
      <c r="AI316" s="11"/>
    </row>
    <row r="317" spans="1:42" s="7" customFormat="1" ht="12.75" x14ac:dyDescent="0.2">
      <c r="A317" s="23"/>
      <c r="B317" s="293"/>
      <c r="C317" s="134"/>
      <c r="D317" s="134"/>
      <c r="E317" s="134"/>
      <c r="F317" s="134" t="s">
        <v>282</v>
      </c>
      <c r="G317" s="134"/>
      <c r="H317" s="134"/>
      <c r="I317" s="134"/>
      <c r="J317" s="294"/>
      <c r="K317" s="110"/>
      <c r="L317" s="110"/>
      <c r="M317" s="110"/>
      <c r="N317" s="295"/>
      <c r="O317" s="294"/>
      <c r="P317" s="134"/>
      <c r="Q317" s="134"/>
      <c r="R317" s="134"/>
      <c r="S317" s="134"/>
      <c r="T317" s="134"/>
      <c r="U317" s="134"/>
      <c r="V317" s="134"/>
      <c r="W317" s="296"/>
      <c r="X317" s="296"/>
      <c r="Y317" s="134"/>
      <c r="Z317" s="134"/>
      <c r="AA317" s="134"/>
      <c r="AB317" s="134"/>
      <c r="AC317" s="294"/>
      <c r="AD317" s="299"/>
      <c r="AE317" s="9"/>
      <c r="AG317" s="9"/>
      <c r="AH317" s="9"/>
      <c r="AI317" s="11"/>
    </row>
    <row r="318" spans="1:42" s="7" customFormat="1" ht="12.75" x14ac:dyDescent="0.2">
      <c r="A318" s="23"/>
      <c r="B318" s="293"/>
      <c r="C318" s="134" t="s">
        <v>643</v>
      </c>
      <c r="D318" s="134" t="s">
        <v>877</v>
      </c>
      <c r="E318" s="134" t="s">
        <v>689</v>
      </c>
      <c r="F318" s="134"/>
      <c r="G318" s="134" t="s">
        <v>876</v>
      </c>
      <c r="H318" s="134" t="str">
        <f>E318</f>
        <v>INDOIL</v>
      </c>
      <c r="I318" s="134" t="s">
        <v>735</v>
      </c>
      <c r="J318" s="294"/>
      <c r="K318" s="110">
        <v>0.85859789323161284</v>
      </c>
      <c r="L318" s="110">
        <v>0.87165807477642432</v>
      </c>
      <c r="M318" s="110">
        <v>0.89386799920346172</v>
      </c>
      <c r="N318" s="295">
        <v>0.94</v>
      </c>
      <c r="O318" s="294"/>
      <c r="P318" s="134">
        <f>BaseYear+6</f>
        <v>2016</v>
      </c>
      <c r="Q318" s="134"/>
      <c r="R318" s="134"/>
      <c r="S318" s="134"/>
      <c r="T318" s="134">
        <v>1</v>
      </c>
      <c r="U318" s="134">
        <v>0.8</v>
      </c>
      <c r="V318" s="134">
        <v>25</v>
      </c>
      <c r="W318" s="296">
        <v>10.725</v>
      </c>
      <c r="X318" s="296">
        <v>0.93</v>
      </c>
      <c r="Y318" s="134"/>
      <c r="Z318" s="134"/>
      <c r="AA318" s="134"/>
      <c r="AB318" s="134"/>
      <c r="AC318" s="294"/>
      <c r="AD318" s="299"/>
      <c r="AE318" s="9"/>
      <c r="AG318" s="9"/>
      <c r="AH318" s="9"/>
      <c r="AI318" s="11"/>
    </row>
    <row r="319" spans="1:42" s="7" customFormat="1" ht="12.75" x14ac:dyDescent="0.2">
      <c r="A319" s="23"/>
      <c r="B319" s="293"/>
      <c r="C319" s="134"/>
      <c r="D319" s="134"/>
      <c r="E319" s="134"/>
      <c r="F319" s="134" t="s">
        <v>282</v>
      </c>
      <c r="G319" s="134"/>
      <c r="H319" s="134"/>
      <c r="I319" s="134"/>
      <c r="J319" s="294"/>
      <c r="K319" s="110"/>
      <c r="L319" s="110"/>
      <c r="M319" s="110"/>
      <c r="N319" s="295"/>
      <c r="O319" s="29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294"/>
      <c r="AD319" s="299"/>
      <c r="AE319" s="9"/>
      <c r="AG319" s="9"/>
      <c r="AH319" s="9"/>
      <c r="AI319" s="11"/>
    </row>
    <row r="320" spans="1:42" s="7" customFormat="1" ht="12.75" x14ac:dyDescent="0.2">
      <c r="A320" s="23"/>
      <c r="B320" s="293"/>
      <c r="C320" s="134" t="s">
        <v>644</v>
      </c>
      <c r="D320" s="134" t="s">
        <v>645</v>
      </c>
      <c r="E320" s="134" t="s">
        <v>690</v>
      </c>
      <c r="F320" s="134"/>
      <c r="G320" s="134" t="s">
        <v>876</v>
      </c>
      <c r="H320" s="134" t="str">
        <f>E320</f>
        <v>INDNGA</v>
      </c>
      <c r="I320" s="134" t="s">
        <v>735</v>
      </c>
      <c r="J320" s="294"/>
      <c r="K320" s="110">
        <v>0.90769692891639753</v>
      </c>
      <c r="L320" s="110">
        <v>0.91936592034669218</v>
      </c>
      <c r="M320" s="110">
        <v>0.93914855054991164</v>
      </c>
      <c r="N320" s="295">
        <v>0.98</v>
      </c>
      <c r="O320" s="294"/>
      <c r="P320" s="134">
        <f>BaseYear+1</f>
        <v>2011</v>
      </c>
      <c r="Q320" s="134"/>
      <c r="R320" s="134"/>
      <c r="S320" s="134"/>
      <c r="T320" s="134">
        <v>1</v>
      </c>
      <c r="U320" s="134">
        <v>0.8</v>
      </c>
      <c r="V320" s="134">
        <v>25</v>
      </c>
      <c r="W320" s="134">
        <v>7.15</v>
      </c>
      <c r="X320" s="134">
        <v>0.62</v>
      </c>
      <c r="Y320" s="134"/>
      <c r="Z320" s="134"/>
      <c r="AA320" s="134"/>
      <c r="AB320" s="134"/>
      <c r="AC320" s="294"/>
      <c r="AD320" s="299"/>
      <c r="AE320" s="9"/>
      <c r="AG320" s="9"/>
      <c r="AH320" s="9"/>
      <c r="AI320" s="11"/>
    </row>
    <row r="321" spans="1:35" s="7" customFormat="1" ht="12.75" x14ac:dyDescent="0.2">
      <c r="A321" s="23"/>
      <c r="B321" s="293"/>
      <c r="C321" s="134"/>
      <c r="D321" s="134"/>
      <c r="E321" s="134"/>
      <c r="F321" s="134" t="s">
        <v>282</v>
      </c>
      <c r="G321" s="134"/>
      <c r="H321" s="134"/>
      <c r="I321" s="134"/>
      <c r="J321" s="294"/>
      <c r="K321" s="110"/>
      <c r="L321" s="110"/>
      <c r="M321" s="110"/>
      <c r="N321" s="295"/>
      <c r="O321" s="29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294"/>
      <c r="AD321" s="299"/>
      <c r="AE321" s="9"/>
      <c r="AG321" s="9"/>
      <c r="AH321" s="9"/>
      <c r="AI321" s="11"/>
    </row>
    <row r="322" spans="1:35" s="7" customFormat="1" ht="12.75" x14ac:dyDescent="0.2">
      <c r="A322" s="23"/>
      <c r="B322" s="293"/>
      <c r="C322" s="134" t="s">
        <v>261</v>
      </c>
      <c r="D322" s="134" t="s">
        <v>262</v>
      </c>
      <c r="E322" s="134" t="s">
        <v>691</v>
      </c>
      <c r="F322" s="134"/>
      <c r="G322" s="134" t="s">
        <v>876</v>
      </c>
      <c r="H322" s="134" t="str">
        <f>E322</f>
        <v>INDCOA</v>
      </c>
      <c r="I322" s="134" t="s">
        <v>735</v>
      </c>
      <c r="J322" s="294"/>
      <c r="K322" s="110">
        <v>0.80857440333692965</v>
      </c>
      <c r="L322" s="110">
        <v>0.82160862916070188</v>
      </c>
      <c r="M322" s="110">
        <v>0.84380092438915955</v>
      </c>
      <c r="N322" s="295">
        <v>0.89</v>
      </c>
      <c r="O322" s="294"/>
      <c r="P322" s="134">
        <f>BaseYear+6</f>
        <v>2016</v>
      </c>
      <c r="Q322" s="134"/>
      <c r="R322" s="134"/>
      <c r="S322" s="134"/>
      <c r="T322" s="134">
        <v>1</v>
      </c>
      <c r="U322" s="134">
        <v>0.8</v>
      </c>
      <c r="V322" s="134">
        <v>25</v>
      </c>
      <c r="W322" s="296">
        <v>14.3</v>
      </c>
      <c r="X322" s="296">
        <v>1.24</v>
      </c>
      <c r="Y322" s="134"/>
      <c r="Z322" s="134"/>
      <c r="AA322" s="134"/>
      <c r="AB322" s="134"/>
      <c r="AC322" s="294"/>
      <c r="AD322" s="299"/>
      <c r="AE322" s="9"/>
      <c r="AG322" s="9"/>
      <c r="AH322" s="9"/>
      <c r="AI322" s="11"/>
    </row>
    <row r="323" spans="1:35" s="7" customFormat="1" ht="12.75" x14ac:dyDescent="0.2">
      <c r="A323" s="23"/>
      <c r="B323" s="293"/>
      <c r="C323" s="134"/>
      <c r="D323" s="134"/>
      <c r="E323" s="134"/>
      <c r="F323" s="134" t="s">
        <v>282</v>
      </c>
      <c r="G323" s="134"/>
      <c r="H323" s="134"/>
      <c r="I323" s="134"/>
      <c r="J323" s="294"/>
      <c r="K323" s="110"/>
      <c r="L323" s="110"/>
      <c r="M323" s="110"/>
      <c r="N323" s="295"/>
      <c r="O323" s="29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294"/>
      <c r="AD323" s="299"/>
      <c r="AE323" s="9"/>
      <c r="AG323" s="9"/>
      <c r="AH323" s="9"/>
      <c r="AI323" s="11"/>
    </row>
    <row r="324" spans="1:35" s="7" customFormat="1" ht="12.75" x14ac:dyDescent="0.2">
      <c r="A324" s="23"/>
      <c r="B324" s="293"/>
      <c r="C324" s="134" t="s">
        <v>263</v>
      </c>
      <c r="D324" s="134" t="s">
        <v>264</v>
      </c>
      <c r="E324" s="134" t="s">
        <v>1006</v>
      </c>
      <c r="F324" s="134"/>
      <c r="G324" s="134" t="s">
        <v>876</v>
      </c>
      <c r="H324" s="134" t="str">
        <f>E324</f>
        <v>INDCOK</v>
      </c>
      <c r="I324" s="134" t="s">
        <v>735</v>
      </c>
      <c r="J324" s="294"/>
      <c r="K324" s="110">
        <v>0.80857440333692965</v>
      </c>
      <c r="L324" s="110">
        <v>0.82160862916070188</v>
      </c>
      <c r="M324" s="110">
        <v>0.84380092438915955</v>
      </c>
      <c r="N324" s="295">
        <v>0.89</v>
      </c>
      <c r="O324" s="294"/>
      <c r="P324" s="134">
        <f>BaseYear+6</f>
        <v>2016</v>
      </c>
      <c r="Q324" s="134"/>
      <c r="R324" s="134"/>
      <c r="S324" s="134"/>
      <c r="T324" s="134">
        <v>1</v>
      </c>
      <c r="U324" s="134">
        <v>0.8</v>
      </c>
      <c r="V324" s="134">
        <v>25</v>
      </c>
      <c r="W324" s="296">
        <v>14.3</v>
      </c>
      <c r="X324" s="296">
        <v>1.24</v>
      </c>
      <c r="Y324" s="134"/>
      <c r="Z324" s="134"/>
      <c r="AA324" s="134"/>
      <c r="AB324" s="134"/>
      <c r="AC324" s="294"/>
      <c r="AD324" s="299"/>
      <c r="AE324" s="9"/>
      <c r="AG324" s="9"/>
      <c r="AH324" s="9"/>
      <c r="AI324" s="11"/>
    </row>
    <row r="325" spans="1:35" s="7" customFormat="1" ht="12.75" x14ac:dyDescent="0.2">
      <c r="A325" s="23"/>
      <c r="B325" s="293"/>
      <c r="C325" s="134"/>
      <c r="D325" s="134"/>
      <c r="E325" s="134"/>
      <c r="F325" s="134" t="s">
        <v>282</v>
      </c>
      <c r="G325" s="134"/>
      <c r="H325" s="134"/>
      <c r="I325" s="134"/>
      <c r="J325" s="294"/>
      <c r="K325" s="110"/>
      <c r="L325" s="110"/>
      <c r="M325" s="110"/>
      <c r="N325" s="295"/>
      <c r="O325" s="29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294"/>
      <c r="AD325" s="299"/>
      <c r="AE325" s="9"/>
      <c r="AG325" s="9"/>
      <c r="AH325" s="9"/>
      <c r="AI325" s="11"/>
    </row>
    <row r="326" spans="1:35" s="7" customFormat="1" ht="12.75" x14ac:dyDescent="0.2">
      <c r="A326" s="23"/>
      <c r="B326" s="293"/>
      <c r="C326" s="134" t="s">
        <v>646</v>
      </c>
      <c r="D326" s="134" t="s">
        <v>878</v>
      </c>
      <c r="E326" s="134" t="s">
        <v>843</v>
      </c>
      <c r="F326" s="134"/>
      <c r="G326" s="134" t="s">
        <v>879</v>
      </c>
      <c r="H326" s="134" t="str">
        <f>E326</f>
        <v>ICHELC</v>
      </c>
      <c r="I326" s="134" t="s">
        <v>735</v>
      </c>
      <c r="J326" s="294"/>
      <c r="K326" s="110">
        <v>1</v>
      </c>
      <c r="L326" s="110">
        <v>1</v>
      </c>
      <c r="M326" s="110">
        <v>1</v>
      </c>
      <c r="N326" s="295">
        <v>1</v>
      </c>
      <c r="O326" s="294"/>
      <c r="P326" s="134">
        <f>BaseYear+1</f>
        <v>2011</v>
      </c>
      <c r="Q326" s="134"/>
      <c r="R326" s="134"/>
      <c r="S326" s="134"/>
      <c r="T326" s="134">
        <v>1</v>
      </c>
      <c r="U326" s="134">
        <v>0.8</v>
      </c>
      <c r="V326" s="134">
        <v>25</v>
      </c>
      <c r="W326" s="134">
        <v>4.29</v>
      </c>
      <c r="X326" s="134">
        <v>0.372</v>
      </c>
      <c r="Y326" s="134"/>
      <c r="Z326" s="134"/>
      <c r="AA326" s="134"/>
      <c r="AB326" s="134"/>
      <c r="AC326" s="294"/>
      <c r="AD326" s="299"/>
      <c r="AE326" s="9"/>
      <c r="AG326" s="9"/>
      <c r="AH326" s="9"/>
      <c r="AI326" s="11"/>
    </row>
    <row r="327" spans="1:35" s="7" customFormat="1" ht="12.75" x14ac:dyDescent="0.2">
      <c r="A327" s="23"/>
      <c r="B327" s="293"/>
      <c r="C327" s="134"/>
      <c r="D327" s="134"/>
      <c r="E327" s="134"/>
      <c r="F327" s="134" t="s">
        <v>282</v>
      </c>
      <c r="G327" s="134"/>
      <c r="H327" s="134"/>
      <c r="I327" s="134"/>
      <c r="J327" s="294"/>
      <c r="K327" s="110"/>
      <c r="L327" s="110"/>
      <c r="M327" s="110"/>
      <c r="N327" s="295"/>
      <c r="O327" s="29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294"/>
      <c r="AD327" s="299"/>
      <c r="AE327" s="9"/>
      <c r="AG327" s="9"/>
      <c r="AH327" s="9"/>
      <c r="AI327" s="11"/>
    </row>
    <row r="328" spans="1:35" s="7" customFormat="1" ht="12.75" x14ac:dyDescent="0.2">
      <c r="A328" s="23"/>
      <c r="B328" s="293"/>
      <c r="C328" s="134" t="s">
        <v>647</v>
      </c>
      <c r="D328" s="134" t="s">
        <v>648</v>
      </c>
      <c r="E328" s="134" t="s">
        <v>693</v>
      </c>
      <c r="F328" s="134"/>
      <c r="G328" s="134" t="s">
        <v>876</v>
      </c>
      <c r="H328" s="134" t="str">
        <f>E328</f>
        <v>INDLPG</v>
      </c>
      <c r="I328" s="134" t="s">
        <v>735</v>
      </c>
      <c r="J328" s="294"/>
      <c r="K328" s="110">
        <v>0.90676642681239872</v>
      </c>
      <c r="L328" s="110">
        <v>0.91701157088090313</v>
      </c>
      <c r="M328" s="110">
        <v>0.93434469014384625</v>
      </c>
      <c r="N328" s="295">
        <v>0.97</v>
      </c>
      <c r="O328" s="294"/>
      <c r="P328" s="134">
        <f>BaseYear+6</f>
        <v>2016</v>
      </c>
      <c r="Q328" s="134"/>
      <c r="R328" s="134"/>
      <c r="S328" s="134"/>
      <c r="T328" s="134">
        <v>1</v>
      </c>
      <c r="U328" s="134">
        <v>0.8</v>
      </c>
      <c r="V328" s="134">
        <v>25</v>
      </c>
      <c r="W328" s="134">
        <v>7.15</v>
      </c>
      <c r="X328" s="134">
        <v>0.62</v>
      </c>
      <c r="Y328" s="134"/>
      <c r="Z328" s="134"/>
      <c r="AA328" s="134"/>
      <c r="AB328" s="134"/>
      <c r="AC328" s="294"/>
      <c r="AD328" s="299"/>
      <c r="AE328" s="9"/>
      <c r="AG328" s="9"/>
      <c r="AH328" s="9"/>
      <c r="AI328" s="11"/>
    </row>
    <row r="329" spans="1:35" s="7" customFormat="1" ht="12.75" x14ac:dyDescent="0.2">
      <c r="A329" s="23"/>
      <c r="B329" s="293"/>
      <c r="C329" s="134"/>
      <c r="D329" s="134"/>
      <c r="E329" s="134"/>
      <c r="F329" s="134" t="s">
        <v>282</v>
      </c>
      <c r="G329" s="134"/>
      <c r="H329" s="134"/>
      <c r="I329" s="134"/>
      <c r="J329" s="294"/>
      <c r="K329" s="110"/>
      <c r="L329" s="110"/>
      <c r="M329" s="110"/>
      <c r="N329" s="295"/>
      <c r="O329" s="29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294"/>
      <c r="AD329" s="299"/>
      <c r="AE329" s="9"/>
      <c r="AG329" s="9"/>
      <c r="AH329" s="9"/>
      <c r="AI329" s="11"/>
    </row>
    <row r="330" spans="1:35" s="7" customFormat="1" ht="12.75" x14ac:dyDescent="0.2">
      <c r="A330" s="23"/>
      <c r="B330" s="293"/>
      <c r="C330" s="134" t="s">
        <v>265</v>
      </c>
      <c r="D330" s="134" t="s">
        <v>266</v>
      </c>
      <c r="E330" s="134" t="s">
        <v>980</v>
      </c>
      <c r="F330" s="134"/>
      <c r="G330" s="134" t="s">
        <v>876</v>
      </c>
      <c r="H330" s="134" t="str">
        <f>E330</f>
        <v>INDETH</v>
      </c>
      <c r="I330" s="134" t="s">
        <v>735</v>
      </c>
      <c r="J330" s="294"/>
      <c r="K330" s="110">
        <v>0.90676642681239872</v>
      </c>
      <c r="L330" s="110">
        <v>0.91701157088090313</v>
      </c>
      <c r="M330" s="110">
        <v>0.93434469014384625</v>
      </c>
      <c r="N330" s="295">
        <v>0.97</v>
      </c>
      <c r="O330" s="294"/>
      <c r="P330" s="134">
        <f>BaseYear+6</f>
        <v>2016</v>
      </c>
      <c r="Q330" s="134"/>
      <c r="R330" s="134"/>
      <c r="S330" s="134"/>
      <c r="T330" s="134">
        <v>1</v>
      </c>
      <c r="U330" s="134">
        <v>0.8</v>
      </c>
      <c r="V330" s="134">
        <v>25</v>
      </c>
      <c r="W330" s="134">
        <v>7.15</v>
      </c>
      <c r="X330" s="134">
        <v>0.62</v>
      </c>
      <c r="Y330" s="134"/>
      <c r="Z330" s="134"/>
      <c r="AA330" s="134"/>
      <c r="AB330" s="134"/>
      <c r="AC330" s="294"/>
      <c r="AD330" s="299"/>
      <c r="AE330" s="9"/>
      <c r="AG330" s="9"/>
      <c r="AH330" s="9"/>
      <c r="AI330" s="11"/>
    </row>
    <row r="331" spans="1:35" s="7" customFormat="1" ht="12.75" x14ac:dyDescent="0.2">
      <c r="A331" s="23"/>
      <c r="B331" s="293"/>
      <c r="C331" s="134"/>
      <c r="D331" s="134"/>
      <c r="E331" s="134"/>
      <c r="F331" s="134" t="s">
        <v>282</v>
      </c>
      <c r="G331" s="134"/>
      <c r="H331" s="134"/>
      <c r="I331" s="134"/>
      <c r="J331" s="294"/>
      <c r="K331" s="110"/>
      <c r="L331" s="110"/>
      <c r="M331" s="110"/>
      <c r="N331" s="295"/>
      <c r="O331" s="29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294"/>
      <c r="AD331" s="299"/>
      <c r="AE331" s="9"/>
      <c r="AG331" s="9"/>
      <c r="AH331" s="9"/>
      <c r="AI331" s="11"/>
    </row>
    <row r="332" spans="1:35" s="7" customFormat="1" ht="12.75" x14ac:dyDescent="0.2">
      <c r="A332" s="52"/>
      <c r="B332" s="300"/>
      <c r="C332" s="301" t="s">
        <v>979</v>
      </c>
      <c r="D332" s="301" t="s">
        <v>880</v>
      </c>
      <c r="E332" s="301" t="s">
        <v>696</v>
      </c>
      <c r="F332" s="301"/>
      <c r="G332" s="302" t="s">
        <v>881</v>
      </c>
      <c r="H332" s="302"/>
      <c r="I332" s="302" t="s">
        <v>736</v>
      </c>
      <c r="J332" s="303"/>
      <c r="K332" s="302">
        <v>1</v>
      </c>
      <c r="L332" s="302"/>
      <c r="M332" s="302"/>
      <c r="N332" s="303"/>
      <c r="O332" s="303"/>
      <c r="P332" s="302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294"/>
      <c r="AD332" s="299"/>
      <c r="AE332" s="9"/>
      <c r="AG332" s="9"/>
      <c r="AH332" s="9"/>
      <c r="AI332" s="11"/>
    </row>
    <row r="333" spans="1:35" s="7" customFormat="1" ht="12.75" x14ac:dyDescent="0.2">
      <c r="A333" s="23"/>
      <c r="B333" s="293"/>
      <c r="C333" s="134"/>
      <c r="D333" s="134"/>
      <c r="E333" s="134"/>
      <c r="F333" s="134" t="s">
        <v>797</v>
      </c>
      <c r="G333" s="134"/>
      <c r="H333" s="134"/>
      <c r="I333" s="134"/>
      <c r="J333" s="294"/>
      <c r="K333" s="304"/>
      <c r="L333" s="304"/>
      <c r="M333" s="304"/>
      <c r="N333" s="294"/>
      <c r="O333" s="29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294"/>
      <c r="AD333" s="299"/>
      <c r="AE333" s="9"/>
      <c r="AG333" s="9"/>
      <c r="AH333" s="9"/>
      <c r="AI333" s="11"/>
    </row>
    <row r="334" spans="1:35" s="7" customFormat="1" ht="12.75" x14ac:dyDescent="0.2">
      <c r="A334" s="23"/>
      <c r="B334" s="293"/>
      <c r="C334" s="134" t="s">
        <v>649</v>
      </c>
      <c r="D334" s="134" t="s">
        <v>882</v>
      </c>
      <c r="E334" s="134" t="s">
        <v>694</v>
      </c>
      <c r="F334" s="134"/>
      <c r="G334" s="134" t="s">
        <v>881</v>
      </c>
      <c r="H334" s="134"/>
      <c r="I334" s="134" t="s">
        <v>736</v>
      </c>
      <c r="J334" s="294"/>
      <c r="K334" s="304">
        <v>1</v>
      </c>
      <c r="L334" s="304"/>
      <c r="M334" s="304"/>
      <c r="N334" s="294"/>
      <c r="O334" s="29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294"/>
      <c r="AD334" s="299"/>
      <c r="AE334" s="9"/>
      <c r="AG334" s="9"/>
      <c r="AH334" s="9"/>
      <c r="AI334" s="11"/>
    </row>
    <row r="335" spans="1:35" s="7" customFormat="1" ht="12.75" x14ac:dyDescent="0.2">
      <c r="A335" s="23"/>
      <c r="B335" s="293"/>
      <c r="C335" s="134"/>
      <c r="D335" s="134"/>
      <c r="E335" s="134"/>
      <c r="F335" s="134" t="s">
        <v>807</v>
      </c>
      <c r="G335" s="134"/>
      <c r="H335" s="134"/>
      <c r="I335" s="134"/>
      <c r="J335" s="294"/>
      <c r="K335" s="304"/>
      <c r="L335" s="304"/>
      <c r="M335" s="304"/>
      <c r="N335" s="294"/>
      <c r="O335" s="29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294"/>
      <c r="AD335" s="299"/>
      <c r="AE335" s="9"/>
      <c r="AG335" s="9"/>
      <c r="AH335" s="9"/>
      <c r="AI335" s="11"/>
    </row>
    <row r="336" spans="1:35" s="7" customFormat="1" ht="12.75" x14ac:dyDescent="0.2">
      <c r="A336" s="23"/>
      <c r="B336" s="293"/>
      <c r="C336" s="134" t="s">
        <v>981</v>
      </c>
      <c r="D336" s="134" t="s">
        <v>883</v>
      </c>
      <c r="E336" s="134" t="s">
        <v>697</v>
      </c>
      <c r="F336" s="134"/>
      <c r="G336" s="134" t="s">
        <v>881</v>
      </c>
      <c r="H336" s="134"/>
      <c r="I336" s="134" t="s">
        <v>736</v>
      </c>
      <c r="J336" s="294"/>
      <c r="K336" s="304">
        <v>1</v>
      </c>
      <c r="L336" s="304"/>
      <c r="M336" s="304"/>
      <c r="N336" s="294"/>
      <c r="O336" s="29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294"/>
      <c r="AD336" s="299"/>
      <c r="AE336" s="9"/>
      <c r="AG336" s="9"/>
      <c r="AH336" s="9"/>
      <c r="AI336" s="11"/>
    </row>
    <row r="337" spans="1:35" s="7" customFormat="1" ht="12.75" x14ac:dyDescent="0.2">
      <c r="A337" s="23"/>
      <c r="B337" s="293"/>
      <c r="C337" s="134"/>
      <c r="D337" s="134"/>
      <c r="E337" s="134"/>
      <c r="F337" s="134" t="s">
        <v>801</v>
      </c>
      <c r="G337" s="134"/>
      <c r="H337" s="134"/>
      <c r="I337" s="134"/>
      <c r="J337" s="294"/>
      <c r="K337" s="304"/>
      <c r="L337" s="304"/>
      <c r="M337" s="304"/>
      <c r="N337" s="294"/>
      <c r="O337" s="29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294"/>
      <c r="AD337" s="299"/>
      <c r="AE337" s="9"/>
      <c r="AG337" s="9"/>
      <c r="AH337" s="9"/>
      <c r="AI337" s="11"/>
    </row>
    <row r="338" spans="1:35" s="7" customFormat="1" ht="12.75" x14ac:dyDescent="0.2">
      <c r="A338" s="23"/>
      <c r="B338" s="293"/>
      <c r="C338" s="134" t="s">
        <v>1361</v>
      </c>
      <c r="D338" s="134" t="s">
        <v>1362</v>
      </c>
      <c r="E338" s="134" t="s">
        <v>1363</v>
      </c>
      <c r="F338" s="134"/>
      <c r="G338" s="134" t="s">
        <v>881</v>
      </c>
      <c r="H338" s="134"/>
      <c r="I338" s="134" t="s">
        <v>736</v>
      </c>
      <c r="J338" s="294"/>
      <c r="K338" s="304">
        <v>1</v>
      </c>
      <c r="L338" s="304"/>
      <c r="M338" s="304"/>
      <c r="N338" s="294"/>
      <c r="O338" s="29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294"/>
      <c r="AD338" s="299"/>
      <c r="AE338" s="9"/>
      <c r="AG338" s="9"/>
      <c r="AH338" s="9"/>
      <c r="AI338" s="11"/>
    </row>
    <row r="339" spans="1:35" s="7" customFormat="1" ht="12.75" x14ac:dyDescent="0.2">
      <c r="A339" s="23"/>
      <c r="B339" s="293"/>
      <c r="C339" s="134"/>
      <c r="D339" s="134"/>
      <c r="E339" s="134"/>
      <c r="F339" s="134" t="s">
        <v>1364</v>
      </c>
      <c r="G339" s="134"/>
      <c r="H339" s="134"/>
      <c r="I339" s="134"/>
      <c r="J339" s="294"/>
      <c r="K339" s="304"/>
      <c r="L339" s="304"/>
      <c r="M339" s="304"/>
      <c r="N339" s="294"/>
      <c r="O339" s="29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294"/>
      <c r="AD339" s="299"/>
      <c r="AE339" s="9"/>
      <c r="AG339" s="9"/>
      <c r="AH339" s="9"/>
      <c r="AI339" s="11"/>
    </row>
    <row r="340" spans="1:35" s="7" customFormat="1" ht="12.75" x14ac:dyDescent="0.2">
      <c r="A340" s="23"/>
      <c r="B340" s="293"/>
      <c r="C340" s="134" t="s">
        <v>650</v>
      </c>
      <c r="D340" s="134" t="s">
        <v>884</v>
      </c>
      <c r="E340" s="134" t="s">
        <v>695</v>
      </c>
      <c r="F340" s="134"/>
      <c r="G340" s="134" t="s">
        <v>881</v>
      </c>
      <c r="H340" s="134"/>
      <c r="I340" s="134" t="s">
        <v>736</v>
      </c>
      <c r="J340" s="294"/>
      <c r="K340" s="304">
        <v>1</v>
      </c>
      <c r="L340" s="304"/>
      <c r="M340" s="304"/>
      <c r="N340" s="294"/>
      <c r="O340" s="29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294"/>
      <c r="AD340" s="299"/>
      <c r="AE340" s="9"/>
      <c r="AG340" s="9"/>
      <c r="AH340" s="9"/>
      <c r="AI340" s="11"/>
    </row>
    <row r="341" spans="1:35" s="7" customFormat="1" ht="12.75" x14ac:dyDescent="0.2">
      <c r="A341" s="23"/>
      <c r="B341" s="293"/>
      <c r="C341" s="134"/>
      <c r="D341" s="134"/>
      <c r="E341" s="134"/>
      <c r="F341" s="134" t="s">
        <v>813</v>
      </c>
      <c r="G341" s="134"/>
      <c r="H341" s="134"/>
      <c r="I341" s="134"/>
      <c r="J341" s="294"/>
      <c r="K341" s="304"/>
      <c r="L341" s="304"/>
      <c r="M341" s="304"/>
      <c r="N341" s="294"/>
      <c r="O341" s="29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294"/>
      <c r="AD341" s="299"/>
      <c r="AE341" s="9"/>
      <c r="AG341" s="9"/>
      <c r="AH341" s="9"/>
      <c r="AI341" s="11"/>
    </row>
    <row r="342" spans="1:35" s="7" customFormat="1" ht="12.75" x14ac:dyDescent="0.2">
      <c r="A342" s="52"/>
      <c r="B342" s="300"/>
      <c r="C342" s="301" t="s">
        <v>1071</v>
      </c>
      <c r="D342" s="301" t="s">
        <v>1072</v>
      </c>
      <c r="E342" s="301" t="s">
        <v>688</v>
      </c>
      <c r="F342" s="301"/>
      <c r="G342" s="302" t="s">
        <v>885</v>
      </c>
      <c r="H342" s="302" t="str">
        <f>E342</f>
        <v>INDHFO</v>
      </c>
      <c r="I342" s="302" t="s">
        <v>735</v>
      </c>
      <c r="J342" s="303"/>
      <c r="K342" s="305">
        <v>0.91426984436932468</v>
      </c>
      <c r="L342" s="305">
        <f>(L$114/K$114)^0.7*K342</f>
        <v>0.98232236503896486</v>
      </c>
      <c r="M342" s="305">
        <f>(M$114/L$114)^0.7*L342</f>
        <v>1.0554402890990957</v>
      </c>
      <c r="N342" s="306">
        <f>M342*1.08</f>
        <v>1.1398755122270234</v>
      </c>
      <c r="O342" s="303"/>
      <c r="P342" s="302">
        <f>BaseYear+6</f>
        <v>2016</v>
      </c>
      <c r="Q342" s="134"/>
      <c r="R342" s="134"/>
      <c r="S342" s="134"/>
      <c r="T342" s="134">
        <v>1</v>
      </c>
      <c r="U342" s="134">
        <v>0.8</v>
      </c>
      <c r="V342" s="134">
        <v>30</v>
      </c>
      <c r="W342" s="296">
        <v>96.94770551850165</v>
      </c>
      <c r="X342" s="296">
        <v>6.2</v>
      </c>
      <c r="Y342" s="134"/>
      <c r="Z342" s="134"/>
      <c r="AA342" s="134"/>
      <c r="AB342" s="134"/>
      <c r="AC342" s="294"/>
      <c r="AD342" s="299"/>
      <c r="AE342" s="9"/>
      <c r="AG342" s="9"/>
      <c r="AH342" s="9"/>
      <c r="AI342" s="11"/>
    </row>
    <row r="343" spans="1:35" s="7" customFormat="1" ht="12.75" x14ac:dyDescent="0.2">
      <c r="A343" s="23"/>
      <c r="B343" s="293"/>
      <c r="C343" s="134"/>
      <c r="D343" s="134"/>
      <c r="E343" s="134"/>
      <c r="F343" s="134" t="s">
        <v>1067</v>
      </c>
      <c r="G343" s="134"/>
      <c r="H343" s="134"/>
      <c r="I343" s="134"/>
      <c r="J343" s="294"/>
      <c r="K343" s="304"/>
      <c r="L343" s="304"/>
      <c r="M343" s="304"/>
      <c r="N343" s="294"/>
      <c r="O343" s="294"/>
      <c r="P343" s="134"/>
      <c r="Q343" s="134"/>
      <c r="R343" s="134"/>
      <c r="S343" s="134"/>
      <c r="T343" s="134"/>
      <c r="U343" s="134"/>
      <c r="V343" s="134"/>
      <c r="W343" s="134"/>
      <c r="X343" s="296"/>
      <c r="Y343" s="134"/>
      <c r="Z343" s="134"/>
      <c r="AA343" s="134"/>
      <c r="AB343" s="134"/>
      <c r="AC343" s="294"/>
      <c r="AD343" s="299"/>
      <c r="AE343" s="9"/>
      <c r="AG343" s="9"/>
      <c r="AH343" s="9"/>
      <c r="AI343" s="11"/>
    </row>
    <row r="344" spans="1:35" s="7" customFormat="1" ht="12.75" x14ac:dyDescent="0.2">
      <c r="A344" s="23"/>
      <c r="B344" s="293"/>
      <c r="C344" s="134" t="s">
        <v>1073</v>
      </c>
      <c r="D344" s="134" t="s">
        <v>1074</v>
      </c>
      <c r="E344" s="134" t="s">
        <v>690</v>
      </c>
      <c r="F344" s="134"/>
      <c r="G344" s="134" t="s">
        <v>885</v>
      </c>
      <c r="H344" s="134" t="str">
        <f>E344</f>
        <v>INDNGA</v>
      </c>
      <c r="I344" s="134" t="s">
        <v>735</v>
      </c>
      <c r="J344" s="294"/>
      <c r="K344" s="110">
        <v>0.91426984436932468</v>
      </c>
      <c r="L344" s="110">
        <f>L342</f>
        <v>0.98232236503896486</v>
      </c>
      <c r="M344" s="110">
        <f>M342</f>
        <v>1.0554402890990957</v>
      </c>
      <c r="N344" s="295">
        <f>N342</f>
        <v>1.1398755122270234</v>
      </c>
      <c r="O344" s="294"/>
      <c r="P344" s="134">
        <f>BaseYear+1</f>
        <v>2011</v>
      </c>
      <c r="Q344" s="134"/>
      <c r="R344" s="134"/>
      <c r="S344" s="134"/>
      <c r="T344" s="134">
        <v>1</v>
      </c>
      <c r="U344" s="134">
        <v>0.8</v>
      </c>
      <c r="V344" s="134">
        <v>30</v>
      </c>
      <c r="W344" s="296">
        <v>96.94770551850165</v>
      </c>
      <c r="X344" s="296">
        <v>6.2</v>
      </c>
      <c r="Y344" s="134"/>
      <c r="Z344" s="134"/>
      <c r="AA344" s="134"/>
      <c r="AB344" s="134"/>
      <c r="AC344" s="294"/>
      <c r="AD344" s="299"/>
      <c r="AE344" s="9"/>
      <c r="AG344" s="9"/>
      <c r="AH344" s="9"/>
      <c r="AI344" s="11"/>
    </row>
    <row r="345" spans="1:35" s="7" customFormat="1" ht="12.75" x14ac:dyDescent="0.2">
      <c r="A345" s="23"/>
      <c r="B345" s="293"/>
      <c r="C345" s="134"/>
      <c r="D345" s="134"/>
      <c r="E345" s="134"/>
      <c r="F345" s="134" t="s">
        <v>1067</v>
      </c>
      <c r="G345" s="134"/>
      <c r="H345" s="134"/>
      <c r="I345" s="134"/>
      <c r="J345" s="294"/>
      <c r="K345" s="304"/>
      <c r="L345" s="304"/>
      <c r="M345" s="304"/>
      <c r="N345" s="294"/>
      <c r="O345" s="29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294"/>
      <c r="AD345" s="299"/>
      <c r="AE345" s="9"/>
      <c r="AG345" s="9"/>
      <c r="AH345" s="9"/>
      <c r="AI345" s="11"/>
    </row>
    <row r="346" spans="1:35" s="7" customFormat="1" ht="12.75" x14ac:dyDescent="0.2">
      <c r="A346" s="23"/>
      <c r="B346" s="293"/>
      <c r="C346" s="134" t="s">
        <v>999</v>
      </c>
      <c r="D346" s="134" t="s">
        <v>1000</v>
      </c>
      <c r="E346" s="134" t="s">
        <v>1070</v>
      </c>
      <c r="F346" s="134"/>
      <c r="G346" s="134" t="s">
        <v>1320</v>
      </c>
      <c r="H346" s="134" t="str">
        <f>E346</f>
        <v>INDBIO</v>
      </c>
      <c r="I346" s="134" t="s">
        <v>735</v>
      </c>
      <c r="J346" s="294"/>
      <c r="K346" s="110">
        <v>0.81268430610606635</v>
      </c>
      <c r="L346" s="110">
        <f>L342/K342*K346</f>
        <v>0.87317543559019095</v>
      </c>
      <c r="M346" s="110">
        <f>M342/L342*L346</f>
        <v>0.93816914586586275</v>
      </c>
      <c r="N346" s="295">
        <f>N342/M342*M346</f>
        <v>1.0132226775351318</v>
      </c>
      <c r="O346" s="294"/>
      <c r="P346" s="134">
        <f>BaseYear+6</f>
        <v>2016</v>
      </c>
      <c r="Q346" s="134"/>
      <c r="R346" s="134"/>
      <c r="S346" s="134"/>
      <c r="T346" s="134">
        <v>1</v>
      </c>
      <c r="U346" s="134">
        <v>0.8</v>
      </c>
      <c r="V346" s="134">
        <v>30</v>
      </c>
      <c r="W346" s="296">
        <v>196.12520826392887</v>
      </c>
      <c r="X346" s="296">
        <v>12.5426</v>
      </c>
      <c r="Y346" s="134"/>
      <c r="Z346" s="134"/>
      <c r="AA346" s="134"/>
      <c r="AB346" s="134"/>
      <c r="AC346" s="294"/>
      <c r="AD346" s="299"/>
      <c r="AE346" s="9"/>
      <c r="AG346" s="9"/>
      <c r="AH346" s="9"/>
      <c r="AI346" s="11"/>
    </row>
    <row r="347" spans="1:35" s="7" customFormat="1" ht="12.75" x14ac:dyDescent="0.2">
      <c r="A347" s="23"/>
      <c r="B347" s="293"/>
      <c r="C347" s="134"/>
      <c r="D347" s="134"/>
      <c r="E347" s="134"/>
      <c r="F347" s="134" t="s">
        <v>1067</v>
      </c>
      <c r="G347" s="134"/>
      <c r="H347" s="134"/>
      <c r="I347" s="134"/>
      <c r="J347" s="294"/>
      <c r="K347" s="304"/>
      <c r="L347" s="304"/>
      <c r="M347" s="304"/>
      <c r="N347" s="294"/>
      <c r="O347" s="29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294"/>
      <c r="AD347" s="299"/>
      <c r="AE347" s="9"/>
      <c r="AG347" s="9"/>
      <c r="AH347" s="9"/>
      <c r="AI347" s="11"/>
    </row>
    <row r="348" spans="1:35" s="7" customFormat="1" ht="12.75" x14ac:dyDescent="0.2">
      <c r="A348" s="23"/>
      <c r="B348" s="293"/>
      <c r="C348" s="134" t="s">
        <v>19</v>
      </c>
      <c r="D348" s="134" t="s">
        <v>1074</v>
      </c>
      <c r="E348" s="134" t="s">
        <v>690</v>
      </c>
      <c r="F348" s="134"/>
      <c r="G348" s="134" t="s">
        <v>876</v>
      </c>
      <c r="H348" s="134" t="str">
        <f>E348</f>
        <v>INDNGA</v>
      </c>
      <c r="I348" s="134" t="s">
        <v>735</v>
      </c>
      <c r="J348" s="294"/>
      <c r="K348" s="304">
        <v>0.83</v>
      </c>
      <c r="L348" s="304">
        <v>0.85</v>
      </c>
      <c r="M348" s="304">
        <v>0.87</v>
      </c>
      <c r="N348" s="294">
        <v>0.9</v>
      </c>
      <c r="O348" s="294"/>
      <c r="P348" s="134">
        <f>BaseYear+6</f>
        <v>2016</v>
      </c>
      <c r="Q348" s="134"/>
      <c r="R348" s="134"/>
      <c r="S348" s="134"/>
      <c r="T348" s="134">
        <v>1</v>
      </c>
      <c r="U348" s="134">
        <v>0.8</v>
      </c>
      <c r="V348" s="134">
        <v>30</v>
      </c>
      <c r="W348" s="134">
        <v>7.15</v>
      </c>
      <c r="X348" s="134">
        <v>0.62</v>
      </c>
      <c r="Y348" s="134"/>
      <c r="Z348" s="134"/>
      <c r="AA348" s="134"/>
      <c r="AB348" s="134"/>
      <c r="AC348" s="294"/>
      <c r="AD348" s="299"/>
      <c r="AE348" s="9"/>
      <c r="AG348" s="9"/>
      <c r="AH348" s="9"/>
      <c r="AI348" s="11"/>
    </row>
    <row r="349" spans="1:35" s="7" customFormat="1" ht="12.75" x14ac:dyDescent="0.2">
      <c r="A349" s="23"/>
      <c r="B349" s="293"/>
      <c r="C349" s="134"/>
      <c r="D349" s="134"/>
      <c r="E349" s="134"/>
      <c r="F349" s="134" t="s">
        <v>840</v>
      </c>
      <c r="G349" s="134"/>
      <c r="H349" s="134"/>
      <c r="I349" s="134"/>
      <c r="J349" s="294"/>
      <c r="K349" s="304"/>
      <c r="L349" s="304"/>
      <c r="M349" s="304"/>
      <c r="N349" s="294"/>
      <c r="O349" s="29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294"/>
      <c r="AD349" s="299"/>
      <c r="AE349" s="9"/>
      <c r="AG349" s="9"/>
      <c r="AH349" s="9"/>
      <c r="AI349" s="11"/>
    </row>
    <row r="350" spans="1:35" s="7" customFormat="1" ht="12.75" x14ac:dyDescent="0.2">
      <c r="A350" s="23"/>
      <c r="B350" s="293"/>
      <c r="C350" s="134" t="s">
        <v>886</v>
      </c>
      <c r="D350" s="134" t="s">
        <v>1075</v>
      </c>
      <c r="E350" s="134" t="s">
        <v>844</v>
      </c>
      <c r="F350" s="134"/>
      <c r="G350" s="134" t="s">
        <v>876</v>
      </c>
      <c r="H350" s="134" t="str">
        <f>E350</f>
        <v>ILPELC</v>
      </c>
      <c r="I350" s="134" t="s">
        <v>735</v>
      </c>
      <c r="J350" s="294"/>
      <c r="K350" s="304">
        <v>0.91</v>
      </c>
      <c r="L350" s="304">
        <v>0.92</v>
      </c>
      <c r="M350" s="304">
        <v>0.94</v>
      </c>
      <c r="N350" s="294">
        <v>0.96</v>
      </c>
      <c r="O350" s="294"/>
      <c r="P350" s="134">
        <f>BaseYear</f>
        <v>2010</v>
      </c>
      <c r="Q350" s="134"/>
      <c r="R350" s="134"/>
      <c r="S350" s="134"/>
      <c r="T350" s="134">
        <v>1</v>
      </c>
      <c r="U350" s="134">
        <v>0.8</v>
      </c>
      <c r="V350" s="134">
        <v>30</v>
      </c>
      <c r="W350" s="134">
        <v>5.72</v>
      </c>
      <c r="X350" s="134">
        <v>0.496</v>
      </c>
      <c r="Y350" s="134"/>
      <c r="Z350" s="134"/>
      <c r="AA350" s="134"/>
      <c r="AB350" s="134"/>
      <c r="AC350" s="294"/>
      <c r="AD350" s="299"/>
      <c r="AE350" s="9"/>
      <c r="AG350" s="9"/>
      <c r="AH350" s="9"/>
      <c r="AI350" s="11"/>
    </row>
    <row r="351" spans="1:35" s="7" customFormat="1" ht="12.75" x14ac:dyDescent="0.2">
      <c r="A351" s="23"/>
      <c r="B351" s="293"/>
      <c r="C351" s="134"/>
      <c r="D351" s="134"/>
      <c r="E351" s="134"/>
      <c r="F351" s="134" t="s">
        <v>840</v>
      </c>
      <c r="G351" s="134"/>
      <c r="H351" s="134"/>
      <c r="I351" s="134"/>
      <c r="J351" s="294"/>
      <c r="K351" s="304"/>
      <c r="L351" s="304"/>
      <c r="M351" s="304"/>
      <c r="N351" s="294"/>
      <c r="O351" s="29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294"/>
      <c r="AD351" s="299"/>
      <c r="AE351" s="9"/>
      <c r="AG351" s="9"/>
      <c r="AH351" s="9"/>
      <c r="AI351" s="11"/>
    </row>
    <row r="352" spans="1:35" s="7" customFormat="1" ht="12.75" x14ac:dyDescent="0.2">
      <c r="A352" s="23"/>
      <c r="B352" s="293"/>
      <c r="C352" s="134" t="s">
        <v>887</v>
      </c>
      <c r="D352" s="134" t="s">
        <v>1078</v>
      </c>
      <c r="E352" s="134" t="s">
        <v>693</v>
      </c>
      <c r="F352" s="134"/>
      <c r="G352" s="134" t="s">
        <v>876</v>
      </c>
      <c r="H352" s="134" t="str">
        <f>E352</f>
        <v>INDLPG</v>
      </c>
      <c r="I352" s="134" t="s">
        <v>735</v>
      </c>
      <c r="J352" s="294"/>
      <c r="K352" s="304">
        <v>0.83</v>
      </c>
      <c r="L352" s="304">
        <v>0.85</v>
      </c>
      <c r="M352" s="304">
        <v>0.87</v>
      </c>
      <c r="N352" s="294">
        <v>0.9</v>
      </c>
      <c r="O352" s="294"/>
      <c r="P352" s="134">
        <f>BaseYear+6</f>
        <v>2016</v>
      </c>
      <c r="Q352" s="134"/>
      <c r="R352" s="134"/>
      <c r="S352" s="134"/>
      <c r="T352" s="134">
        <v>1</v>
      </c>
      <c r="U352" s="134">
        <v>0.8</v>
      </c>
      <c r="V352" s="134">
        <v>30</v>
      </c>
      <c r="W352" s="134">
        <v>7.15</v>
      </c>
      <c r="X352" s="134">
        <v>0.62</v>
      </c>
      <c r="Y352" s="134"/>
      <c r="Z352" s="134"/>
      <c r="AA352" s="134"/>
      <c r="AB352" s="134"/>
      <c r="AC352" s="294"/>
      <c r="AD352" s="299"/>
      <c r="AE352" s="9"/>
      <c r="AG352" s="9"/>
      <c r="AH352" s="9"/>
      <c r="AI352" s="11"/>
    </row>
    <row r="353" spans="1:35" s="7" customFormat="1" ht="12.75" x14ac:dyDescent="0.2">
      <c r="A353" s="23"/>
      <c r="B353" s="293"/>
      <c r="C353" s="134"/>
      <c r="D353" s="134"/>
      <c r="E353" s="134"/>
      <c r="F353" s="134" t="s">
        <v>840</v>
      </c>
      <c r="G353" s="134"/>
      <c r="H353" s="134"/>
      <c r="I353" s="134"/>
      <c r="J353" s="294"/>
      <c r="K353" s="304"/>
      <c r="L353" s="304"/>
      <c r="M353" s="304"/>
      <c r="N353" s="294"/>
      <c r="O353" s="29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294"/>
      <c r="AD353" s="299"/>
      <c r="AE353" s="9"/>
      <c r="AG353" s="9"/>
      <c r="AH353" s="9"/>
      <c r="AI353" s="11"/>
    </row>
    <row r="354" spans="1:35" s="7" customFormat="1" ht="12.75" x14ac:dyDescent="0.2">
      <c r="A354" s="52"/>
      <c r="B354" s="300"/>
      <c r="C354" s="301" t="s">
        <v>1079</v>
      </c>
      <c r="D354" s="301" t="s">
        <v>1080</v>
      </c>
      <c r="E354" s="301" t="s">
        <v>688</v>
      </c>
      <c r="F354" s="301"/>
      <c r="G354" s="302"/>
      <c r="H354" s="302" t="s">
        <v>1153</v>
      </c>
      <c r="I354" s="302" t="s">
        <v>735</v>
      </c>
      <c r="J354" s="303"/>
      <c r="K354" s="305">
        <v>0.88</v>
      </c>
      <c r="L354" s="305"/>
      <c r="M354" s="305">
        <v>0.92585551940795741</v>
      </c>
      <c r="N354" s="306">
        <v>0.97410050320247576</v>
      </c>
      <c r="O354" s="303"/>
      <c r="P354" s="302">
        <f>BaseYear+6</f>
        <v>2016</v>
      </c>
      <c r="Q354" s="134"/>
      <c r="R354" s="134"/>
      <c r="S354" s="134"/>
      <c r="T354" s="134">
        <v>1</v>
      </c>
      <c r="U354" s="134">
        <v>0.35</v>
      </c>
      <c r="V354" s="134">
        <v>25</v>
      </c>
      <c r="W354" s="134">
        <v>5.72</v>
      </c>
      <c r="X354" s="134">
        <v>8.6800000000000002E-2</v>
      </c>
      <c r="Y354" s="134"/>
      <c r="Z354" s="134">
        <v>0.496</v>
      </c>
      <c r="AA354" s="134"/>
      <c r="AB354" s="134"/>
      <c r="AC354" s="294"/>
      <c r="AD354" s="299"/>
      <c r="AE354" s="9"/>
      <c r="AG354" s="9"/>
      <c r="AH354" s="9"/>
      <c r="AI354" s="11"/>
    </row>
    <row r="355" spans="1:35" s="7" customFormat="1" ht="12.75" x14ac:dyDescent="0.2">
      <c r="A355" s="23"/>
      <c r="B355" s="293"/>
      <c r="C355" s="134"/>
      <c r="D355" s="134"/>
      <c r="E355" s="134"/>
      <c r="F355" s="134" t="s">
        <v>1069</v>
      </c>
      <c r="G355" s="134"/>
      <c r="H355" s="134"/>
      <c r="I355" s="134"/>
      <c r="J355" s="294"/>
      <c r="K355" s="110"/>
      <c r="L355" s="110"/>
      <c r="M355" s="110"/>
      <c r="N355" s="295"/>
      <c r="O355" s="29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294"/>
      <c r="AD355" s="299"/>
      <c r="AE355" s="9"/>
      <c r="AG355" s="9"/>
      <c r="AH355" s="9"/>
      <c r="AI355" s="11"/>
    </row>
    <row r="356" spans="1:35" s="7" customFormat="1" ht="12.75" x14ac:dyDescent="0.2">
      <c r="A356" s="23"/>
      <c r="B356" s="293"/>
      <c r="C356" s="134" t="s">
        <v>1081</v>
      </c>
      <c r="D356" s="134" t="s">
        <v>1082</v>
      </c>
      <c r="E356" s="134" t="s">
        <v>689</v>
      </c>
      <c r="F356" s="134"/>
      <c r="G356" s="134"/>
      <c r="H356" s="134" t="s">
        <v>1153</v>
      </c>
      <c r="I356" s="134" t="s">
        <v>735</v>
      </c>
      <c r="J356" s="294"/>
      <c r="K356" s="110">
        <v>0.93</v>
      </c>
      <c r="L356" s="110"/>
      <c r="M356" s="110">
        <v>0.97591673209260132</v>
      </c>
      <c r="N356" s="295">
        <v>1.0241005032024757</v>
      </c>
      <c r="O356" s="294"/>
      <c r="P356" s="134">
        <f>BaseYear+6</f>
        <v>2016</v>
      </c>
      <c r="Q356" s="134"/>
      <c r="R356" s="134"/>
      <c r="S356" s="134"/>
      <c r="T356" s="134">
        <v>1</v>
      </c>
      <c r="U356" s="134">
        <v>0.35</v>
      </c>
      <c r="V356" s="134">
        <v>25</v>
      </c>
      <c r="W356" s="134">
        <v>5.72</v>
      </c>
      <c r="X356" s="134">
        <v>8.6800000000000002E-2</v>
      </c>
      <c r="Y356" s="134"/>
      <c r="Z356" s="134">
        <v>0.62</v>
      </c>
      <c r="AA356" s="134"/>
      <c r="AB356" s="134"/>
      <c r="AC356" s="294"/>
      <c r="AD356" s="299"/>
      <c r="AE356" s="9"/>
      <c r="AG356" s="9"/>
      <c r="AH356" s="9"/>
      <c r="AI356" s="11"/>
    </row>
    <row r="357" spans="1:35" s="7" customFormat="1" ht="12.75" x14ac:dyDescent="0.2">
      <c r="A357" s="23"/>
      <c r="B357" s="293"/>
      <c r="C357" s="134"/>
      <c r="D357" s="134"/>
      <c r="E357" s="134"/>
      <c r="F357" s="134" t="s">
        <v>1069</v>
      </c>
      <c r="G357" s="134"/>
      <c r="H357" s="134"/>
      <c r="I357" s="134"/>
      <c r="J357" s="294"/>
      <c r="K357" s="110"/>
      <c r="L357" s="110"/>
      <c r="M357" s="110"/>
      <c r="N357" s="295"/>
      <c r="O357" s="29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294"/>
      <c r="AD357" s="299"/>
      <c r="AE357" s="9"/>
      <c r="AG357" s="9"/>
      <c r="AH357" s="9"/>
      <c r="AI357" s="11"/>
    </row>
    <row r="358" spans="1:35" s="7" customFormat="1" ht="12.75" x14ac:dyDescent="0.2">
      <c r="A358" s="23"/>
      <c r="B358" s="293"/>
      <c r="C358" s="134" t="s">
        <v>1083</v>
      </c>
      <c r="D358" s="134" t="s">
        <v>1084</v>
      </c>
      <c r="E358" s="134" t="s">
        <v>690</v>
      </c>
      <c r="F358" s="134"/>
      <c r="G358" s="134"/>
      <c r="H358" s="134" t="s">
        <v>1153</v>
      </c>
      <c r="I358" s="134" t="s">
        <v>735</v>
      </c>
      <c r="J358" s="294"/>
      <c r="K358" s="110">
        <v>0.95</v>
      </c>
      <c r="L358" s="110"/>
      <c r="M358" s="110">
        <v>0.99593949517144453</v>
      </c>
      <c r="N358" s="295">
        <v>1.0441005032024757</v>
      </c>
      <c r="O358" s="294"/>
      <c r="P358" s="134">
        <f>BaseYear+1</f>
        <v>2011</v>
      </c>
      <c r="Q358" s="134"/>
      <c r="R358" s="134"/>
      <c r="S358" s="134"/>
      <c r="T358" s="134">
        <v>1</v>
      </c>
      <c r="U358" s="134">
        <v>0.35</v>
      </c>
      <c r="V358" s="134">
        <v>25</v>
      </c>
      <c r="W358" s="134">
        <v>4.16</v>
      </c>
      <c r="X358" s="134">
        <v>7.4399999999999994E-2</v>
      </c>
      <c r="Y358" s="134"/>
      <c r="Z358" s="134">
        <v>0.99199999999999999</v>
      </c>
      <c r="AA358" s="134"/>
      <c r="AB358" s="134"/>
      <c r="AC358" s="294"/>
      <c r="AD358" s="299"/>
      <c r="AE358" s="9"/>
      <c r="AG358" s="9"/>
      <c r="AH358" s="9"/>
      <c r="AI358" s="11"/>
    </row>
    <row r="359" spans="1:35" s="7" customFormat="1" ht="12.75" x14ac:dyDescent="0.2">
      <c r="A359" s="23"/>
      <c r="B359" s="293"/>
      <c r="C359" s="134"/>
      <c r="D359" s="134"/>
      <c r="E359" s="134"/>
      <c r="F359" s="134" t="s">
        <v>1069</v>
      </c>
      <c r="G359" s="134"/>
      <c r="H359" s="134"/>
      <c r="I359" s="134"/>
      <c r="J359" s="294"/>
      <c r="K359" s="110"/>
      <c r="L359" s="110"/>
      <c r="M359" s="110"/>
      <c r="N359" s="295"/>
      <c r="O359" s="29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294"/>
      <c r="AD359" s="299"/>
      <c r="AE359" s="9"/>
      <c r="AG359" s="9"/>
      <c r="AH359" s="9"/>
      <c r="AI359" s="11"/>
    </row>
    <row r="360" spans="1:35" s="7" customFormat="1" ht="12.75" x14ac:dyDescent="0.2">
      <c r="A360" s="23"/>
      <c r="B360" s="293"/>
      <c r="C360" s="134" t="s">
        <v>1085</v>
      </c>
      <c r="D360" s="134" t="s">
        <v>1086</v>
      </c>
      <c r="E360" s="134" t="s">
        <v>844</v>
      </c>
      <c r="F360" s="134"/>
      <c r="G360" s="134"/>
      <c r="H360" s="134" t="s">
        <v>1153</v>
      </c>
      <c r="I360" s="134" t="s">
        <v>735</v>
      </c>
      <c r="J360" s="294"/>
      <c r="K360" s="110">
        <v>0.95</v>
      </c>
      <c r="L360" s="110"/>
      <c r="M360" s="110">
        <v>0.95</v>
      </c>
      <c r="N360" s="295">
        <v>0.95</v>
      </c>
      <c r="O360" s="294"/>
      <c r="P360" s="134">
        <f>BaseYear</f>
        <v>2010</v>
      </c>
      <c r="Q360" s="134"/>
      <c r="R360" s="134"/>
      <c r="S360" s="134"/>
      <c r="T360" s="134">
        <v>1</v>
      </c>
      <c r="U360" s="134">
        <v>0.35</v>
      </c>
      <c r="V360" s="134">
        <v>25</v>
      </c>
      <c r="W360" s="134">
        <v>1.95</v>
      </c>
      <c r="X360" s="134">
        <v>0</v>
      </c>
      <c r="Y360" s="134"/>
      <c r="Z360" s="134">
        <v>0.496</v>
      </c>
      <c r="AA360" s="134"/>
      <c r="AB360" s="134"/>
      <c r="AC360" s="294"/>
      <c r="AD360" s="299"/>
      <c r="AE360" s="9"/>
      <c r="AG360" s="9"/>
      <c r="AH360" s="9"/>
      <c r="AI360" s="11"/>
    </row>
    <row r="361" spans="1:35" s="7" customFormat="1" ht="12.75" x14ac:dyDescent="0.2">
      <c r="A361" s="23"/>
      <c r="B361" s="293"/>
      <c r="C361" s="134"/>
      <c r="D361" s="134"/>
      <c r="E361" s="134"/>
      <c r="F361" s="134" t="s">
        <v>1069</v>
      </c>
      <c r="G361" s="134"/>
      <c r="H361" s="134"/>
      <c r="I361" s="134"/>
      <c r="J361" s="294"/>
      <c r="K361" s="110"/>
      <c r="L361" s="110"/>
      <c r="M361" s="110"/>
      <c r="N361" s="295"/>
      <c r="O361" s="29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294"/>
      <c r="AD361" s="299"/>
      <c r="AE361" s="9"/>
      <c r="AG361" s="9"/>
      <c r="AH361" s="9"/>
      <c r="AI361" s="11"/>
    </row>
    <row r="362" spans="1:35" s="7" customFormat="1" ht="12.75" x14ac:dyDescent="0.2">
      <c r="A362" s="23"/>
      <c r="B362" s="293"/>
      <c r="C362" s="134" t="s">
        <v>1087</v>
      </c>
      <c r="D362" s="134" t="s">
        <v>1088</v>
      </c>
      <c r="E362" s="134" t="s">
        <v>693</v>
      </c>
      <c r="F362" s="134"/>
      <c r="G362" s="134"/>
      <c r="H362" s="134" t="s">
        <v>1153</v>
      </c>
      <c r="I362" s="134" t="s">
        <v>735</v>
      </c>
      <c r="J362" s="294"/>
      <c r="K362" s="110">
        <v>0.93</v>
      </c>
      <c r="L362" s="110"/>
      <c r="M362" s="110">
        <v>0.97591673209260132</v>
      </c>
      <c r="N362" s="295">
        <v>1.0241005032024757</v>
      </c>
      <c r="O362" s="294"/>
      <c r="P362" s="134">
        <f>BaseYear+6</f>
        <v>2016</v>
      </c>
      <c r="Q362" s="134"/>
      <c r="R362" s="134"/>
      <c r="S362" s="134"/>
      <c r="T362" s="134">
        <v>1</v>
      </c>
      <c r="U362" s="134">
        <v>0.35</v>
      </c>
      <c r="V362" s="134">
        <v>25</v>
      </c>
      <c r="W362" s="134">
        <v>5.72</v>
      </c>
      <c r="X362" s="134">
        <v>8.6800000000000002E-2</v>
      </c>
      <c r="Y362" s="134"/>
      <c r="Z362" s="134">
        <v>0.99199999999999999</v>
      </c>
      <c r="AA362" s="134"/>
      <c r="AB362" s="134"/>
      <c r="AC362" s="294"/>
      <c r="AD362" s="299"/>
      <c r="AE362" s="9"/>
      <c r="AG362" s="9"/>
      <c r="AH362" s="9"/>
      <c r="AI362" s="11"/>
    </row>
    <row r="363" spans="1:35" s="7" customFormat="1" ht="12.75" x14ac:dyDescent="0.2">
      <c r="A363" s="23"/>
      <c r="B363" s="293"/>
      <c r="C363" s="134"/>
      <c r="D363" s="134"/>
      <c r="E363" s="134"/>
      <c r="F363" s="134" t="s">
        <v>1069</v>
      </c>
      <c r="G363" s="134"/>
      <c r="H363" s="134"/>
      <c r="I363" s="134"/>
      <c r="J363" s="294"/>
      <c r="K363" s="110"/>
      <c r="L363" s="110"/>
      <c r="M363" s="110"/>
      <c r="N363" s="295"/>
      <c r="O363" s="29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294"/>
      <c r="AD363" s="299"/>
      <c r="AE363" s="9"/>
      <c r="AG363" s="9"/>
      <c r="AH363" s="9"/>
      <c r="AI363" s="11"/>
    </row>
    <row r="364" spans="1:35" s="7" customFormat="1" ht="12.75" x14ac:dyDescent="0.2">
      <c r="A364" s="23"/>
      <c r="B364" s="293"/>
      <c r="C364" s="134" t="s">
        <v>1089</v>
      </c>
      <c r="D364" s="134" t="s">
        <v>1090</v>
      </c>
      <c r="E364" s="134" t="s">
        <v>691</v>
      </c>
      <c r="F364" s="134"/>
      <c r="G364" s="134"/>
      <c r="H364" s="134" t="s">
        <v>1153</v>
      </c>
      <c r="I364" s="134" t="s">
        <v>735</v>
      </c>
      <c r="J364" s="294"/>
      <c r="K364" s="110">
        <v>0.82</v>
      </c>
      <c r="L364" s="110"/>
      <c r="M364" s="110">
        <v>0.85861308317883511</v>
      </c>
      <c r="N364" s="295">
        <v>0.89904442269007956</v>
      </c>
      <c r="O364" s="294"/>
      <c r="P364" s="134">
        <f>BaseYear+6</f>
        <v>2016</v>
      </c>
      <c r="Q364" s="134"/>
      <c r="R364" s="134"/>
      <c r="S364" s="134"/>
      <c r="T364" s="134">
        <v>1</v>
      </c>
      <c r="U364" s="134">
        <v>0.35</v>
      </c>
      <c r="V364" s="134">
        <v>25</v>
      </c>
      <c r="W364" s="134">
        <v>15.6</v>
      </c>
      <c r="X364" s="134">
        <v>0.13639999999999999</v>
      </c>
      <c r="Y364" s="134"/>
      <c r="Z364" s="134">
        <v>1.24</v>
      </c>
      <c r="AA364" s="134"/>
      <c r="AB364" s="134"/>
      <c r="AC364" s="294"/>
      <c r="AD364" s="299"/>
      <c r="AE364" s="9"/>
      <c r="AG364" s="9"/>
      <c r="AH364" s="9"/>
      <c r="AI364" s="11"/>
    </row>
    <row r="365" spans="1:35" s="7" customFormat="1" ht="12.75" x14ac:dyDescent="0.2">
      <c r="A365" s="23"/>
      <c r="B365" s="293"/>
      <c r="C365" s="134"/>
      <c r="D365" s="134"/>
      <c r="E365" s="134"/>
      <c r="F365" s="134" t="s">
        <v>1069</v>
      </c>
      <c r="G365" s="134"/>
      <c r="H365" s="134"/>
      <c r="I365" s="134"/>
      <c r="J365" s="294"/>
      <c r="K365" s="110"/>
      <c r="L365" s="110"/>
      <c r="M365" s="110"/>
      <c r="N365" s="295"/>
      <c r="O365" s="29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294"/>
      <c r="AD365" s="299"/>
      <c r="AE365" s="9"/>
      <c r="AG365" s="9"/>
      <c r="AH365" s="9"/>
      <c r="AI365" s="11"/>
    </row>
    <row r="366" spans="1:35" s="7" customFormat="1" ht="12.75" x14ac:dyDescent="0.2">
      <c r="A366" s="23"/>
      <c r="B366" s="293"/>
      <c r="C366" s="134" t="s">
        <v>1091</v>
      </c>
      <c r="D366" s="134" t="s">
        <v>1092</v>
      </c>
      <c r="E366" s="134" t="s">
        <v>1006</v>
      </c>
      <c r="F366" s="134"/>
      <c r="G366" s="134"/>
      <c r="H366" s="134" t="s">
        <v>1153</v>
      </c>
      <c r="I366" s="134" t="s">
        <v>735</v>
      </c>
      <c r="J366" s="294"/>
      <c r="K366" s="110">
        <v>0.82</v>
      </c>
      <c r="L366" s="110"/>
      <c r="M366" s="110">
        <v>0.85861308317883511</v>
      </c>
      <c r="N366" s="295">
        <v>0.89904442269007956</v>
      </c>
      <c r="O366" s="294"/>
      <c r="P366" s="134">
        <f>BaseYear+6</f>
        <v>2016</v>
      </c>
      <c r="Q366" s="134"/>
      <c r="R366" s="134"/>
      <c r="S366" s="134"/>
      <c r="T366" s="134">
        <v>1</v>
      </c>
      <c r="U366" s="134">
        <v>0.35</v>
      </c>
      <c r="V366" s="134">
        <v>25</v>
      </c>
      <c r="W366" s="134">
        <v>15.6</v>
      </c>
      <c r="X366" s="134">
        <v>0.13639999999999999</v>
      </c>
      <c r="Y366" s="134"/>
      <c r="Z366" s="134">
        <v>1.24</v>
      </c>
      <c r="AA366" s="134"/>
      <c r="AB366" s="134"/>
      <c r="AC366" s="294"/>
      <c r="AD366" s="299"/>
      <c r="AE366" s="9"/>
      <c r="AG366" s="9"/>
      <c r="AH366" s="9"/>
      <c r="AI366" s="11"/>
    </row>
    <row r="367" spans="1:35" s="7" customFormat="1" ht="12.75" x14ac:dyDescent="0.2">
      <c r="A367" s="23"/>
      <c r="B367" s="293"/>
      <c r="C367" s="134"/>
      <c r="D367" s="134"/>
      <c r="E367" s="134"/>
      <c r="F367" s="134" t="s">
        <v>1069</v>
      </c>
      <c r="G367" s="134"/>
      <c r="H367" s="134"/>
      <c r="I367" s="134"/>
      <c r="J367" s="294"/>
      <c r="K367" s="110"/>
      <c r="L367" s="110"/>
      <c r="M367" s="110"/>
      <c r="N367" s="295"/>
      <c r="O367" s="29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294"/>
      <c r="AD367" s="299"/>
      <c r="AE367" s="9"/>
      <c r="AG367" s="9"/>
      <c r="AH367" s="9"/>
      <c r="AI367" s="11"/>
    </row>
    <row r="368" spans="1:35" s="7" customFormat="1" ht="12.75" x14ac:dyDescent="0.2">
      <c r="A368" s="23"/>
      <c r="B368" s="293"/>
      <c r="C368" s="134" t="s">
        <v>1001</v>
      </c>
      <c r="D368" s="134" t="s">
        <v>1002</v>
      </c>
      <c r="E368" s="134" t="s">
        <v>1070</v>
      </c>
      <c r="F368" s="134"/>
      <c r="G368" s="134"/>
      <c r="H368" s="134" t="s">
        <v>1153</v>
      </c>
      <c r="I368" s="134" t="s">
        <v>735</v>
      </c>
      <c r="J368" s="294"/>
      <c r="K368" s="110">
        <v>0.8</v>
      </c>
      <c r="L368" s="110"/>
      <c r="M368" s="110">
        <v>0.83859140119134512</v>
      </c>
      <c r="N368" s="295">
        <v>0.87904442269007954</v>
      </c>
      <c r="O368" s="294"/>
      <c r="P368" s="134">
        <f>BaseYear+6</f>
        <v>2016</v>
      </c>
      <c r="Q368" s="134"/>
      <c r="R368" s="134"/>
      <c r="S368" s="134"/>
      <c r="T368" s="134">
        <v>1</v>
      </c>
      <c r="U368" s="134">
        <v>0.35</v>
      </c>
      <c r="V368" s="134">
        <v>25</v>
      </c>
      <c r="W368" s="134">
        <v>15.6</v>
      </c>
      <c r="X368" s="134">
        <v>0.13639999999999999</v>
      </c>
      <c r="Y368" s="134"/>
      <c r="Z368" s="134">
        <v>1.24</v>
      </c>
      <c r="AA368" s="134"/>
      <c r="AB368" s="134"/>
      <c r="AC368" s="294"/>
      <c r="AD368" s="299"/>
      <c r="AE368" s="9"/>
      <c r="AG368" s="9"/>
      <c r="AH368" s="9"/>
      <c r="AI368" s="11"/>
    </row>
    <row r="369" spans="1:35" s="7" customFormat="1" ht="12.75" x14ac:dyDescent="0.2">
      <c r="A369" s="23"/>
      <c r="B369" s="293"/>
      <c r="C369" s="134"/>
      <c r="D369" s="134"/>
      <c r="E369" s="134"/>
      <c r="F369" s="134" t="s">
        <v>1069</v>
      </c>
      <c r="G369" s="134"/>
      <c r="H369" s="134"/>
      <c r="I369" s="134"/>
      <c r="J369" s="294"/>
      <c r="K369" s="304"/>
      <c r="L369" s="304"/>
      <c r="M369" s="304"/>
      <c r="N369" s="294"/>
      <c r="O369" s="29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294"/>
      <c r="AD369" s="299"/>
      <c r="AE369" s="9"/>
      <c r="AG369" s="9"/>
      <c r="AH369" s="9"/>
      <c r="AI369" s="11"/>
    </row>
    <row r="370" spans="1:35" s="7" customFormat="1" ht="12.75" x14ac:dyDescent="0.2">
      <c r="A370" s="52"/>
      <c r="B370" s="300"/>
      <c r="C370" s="301" t="s">
        <v>846</v>
      </c>
      <c r="D370" s="301" t="s">
        <v>888</v>
      </c>
      <c r="E370" s="301" t="s">
        <v>689</v>
      </c>
      <c r="F370" s="301"/>
      <c r="G370" s="302" t="s">
        <v>876</v>
      </c>
      <c r="H370" s="302"/>
      <c r="I370" s="302"/>
      <c r="J370" s="303"/>
      <c r="K370" s="302"/>
      <c r="L370" s="302"/>
      <c r="M370" s="302"/>
      <c r="N370" s="302"/>
      <c r="O370" s="303"/>
      <c r="P370" s="302">
        <f>BaseYear+6</f>
        <v>2016</v>
      </c>
      <c r="Q370" s="134"/>
      <c r="R370" s="134"/>
      <c r="S370" s="134"/>
      <c r="T370" s="134">
        <v>1</v>
      </c>
      <c r="U370" s="134">
        <v>0.7</v>
      </c>
      <c r="V370" s="134">
        <v>15</v>
      </c>
      <c r="W370" s="307">
        <v>9.509500000000001</v>
      </c>
      <c r="X370" s="307">
        <v>0.90706000000000009</v>
      </c>
      <c r="Y370" s="134"/>
      <c r="Z370" s="134"/>
      <c r="AA370" s="134"/>
      <c r="AB370" s="134"/>
      <c r="AC370" s="294"/>
      <c r="AD370" s="299"/>
      <c r="AE370" s="9"/>
      <c r="AG370" s="9"/>
      <c r="AH370" s="9"/>
      <c r="AI370" s="11"/>
    </row>
    <row r="371" spans="1:35" s="7" customFormat="1" ht="12.75" x14ac:dyDescent="0.2">
      <c r="A371" s="24"/>
      <c r="B371" s="293"/>
      <c r="C371" s="134"/>
      <c r="D371" s="134"/>
      <c r="E371" s="134"/>
      <c r="F371" s="134" t="str">
        <f>LEFT(C370,4)</f>
        <v>IMIS</v>
      </c>
      <c r="G371" s="134"/>
      <c r="H371" s="134"/>
      <c r="I371" s="134" t="s">
        <v>741</v>
      </c>
      <c r="J371" s="294"/>
      <c r="K371" s="110">
        <v>0.36</v>
      </c>
      <c r="L371" s="110">
        <v>0.38</v>
      </c>
      <c r="M371" s="110">
        <v>0.4</v>
      </c>
      <c r="N371" s="295">
        <v>0.42</v>
      </c>
      <c r="O371" s="294"/>
      <c r="P371" s="134"/>
      <c r="Q371" s="134"/>
      <c r="R371" s="134"/>
      <c r="S371" s="134"/>
      <c r="T371" s="134"/>
      <c r="U371" s="134"/>
      <c r="V371" s="134"/>
      <c r="W371" s="307"/>
      <c r="X371" s="307"/>
      <c r="Y371" s="134"/>
      <c r="Z371" s="134"/>
      <c r="AA371" s="134"/>
      <c r="AB371" s="134"/>
      <c r="AC371" s="294"/>
      <c r="AD371" s="299"/>
      <c r="AE371" s="9"/>
      <c r="AG371" s="9"/>
      <c r="AH371" s="9"/>
      <c r="AI371" s="11"/>
    </row>
    <row r="372" spans="1:35" s="7" customFormat="1" ht="12.75" x14ac:dyDescent="0.2">
      <c r="A372" s="23"/>
      <c r="B372" s="293"/>
      <c r="C372" s="134" t="s">
        <v>847</v>
      </c>
      <c r="D372" s="134" t="s">
        <v>891</v>
      </c>
      <c r="E372" s="134" t="s">
        <v>693</v>
      </c>
      <c r="F372" s="134"/>
      <c r="G372" s="134" t="s">
        <v>876</v>
      </c>
      <c r="H372" s="134"/>
      <c r="I372" s="134"/>
      <c r="J372" s="294"/>
      <c r="K372" s="110"/>
      <c r="L372" s="110"/>
      <c r="M372" s="110"/>
      <c r="N372" s="295"/>
      <c r="O372" s="294"/>
      <c r="P372" s="134">
        <f>BaseYear+6</f>
        <v>2016</v>
      </c>
      <c r="Q372" s="134"/>
      <c r="R372" s="134"/>
      <c r="S372" s="134"/>
      <c r="T372" s="134">
        <v>1</v>
      </c>
      <c r="U372" s="134">
        <v>0.7</v>
      </c>
      <c r="V372" s="134">
        <v>15</v>
      </c>
      <c r="W372" s="307">
        <v>10.260249999999999</v>
      </c>
      <c r="X372" s="307">
        <v>0.97867000000000004</v>
      </c>
      <c r="Y372" s="134"/>
      <c r="Z372" s="134"/>
      <c r="AA372" s="134"/>
      <c r="AB372" s="134"/>
      <c r="AC372" s="294"/>
      <c r="AD372" s="299"/>
      <c r="AE372" s="9"/>
      <c r="AG372" s="9"/>
      <c r="AH372" s="9"/>
      <c r="AI372" s="11"/>
    </row>
    <row r="373" spans="1:35" s="7" customFormat="1" ht="12.75" x14ac:dyDescent="0.2">
      <c r="A373" s="24"/>
      <c r="B373" s="293"/>
      <c r="C373" s="304"/>
      <c r="D373" s="134"/>
      <c r="E373" s="134"/>
      <c r="F373" s="134" t="str">
        <f>LEFT(C372,4)</f>
        <v>IMIS</v>
      </c>
      <c r="G373" s="134"/>
      <c r="H373" s="134"/>
      <c r="I373" s="134" t="s">
        <v>741</v>
      </c>
      <c r="J373" s="294"/>
      <c r="K373" s="110">
        <v>0.39</v>
      </c>
      <c r="L373" s="110">
        <v>0.41</v>
      </c>
      <c r="M373" s="110">
        <v>0.44</v>
      </c>
      <c r="N373" s="295">
        <v>0.46</v>
      </c>
      <c r="O373" s="294"/>
      <c r="P373" s="134"/>
      <c r="Q373" s="134"/>
      <c r="R373" s="134"/>
      <c r="S373" s="134"/>
      <c r="T373" s="134"/>
      <c r="U373" s="134"/>
      <c r="V373" s="134"/>
      <c r="W373" s="134"/>
      <c r="X373" s="307"/>
      <c r="Y373" s="134"/>
      <c r="Z373" s="134"/>
      <c r="AA373" s="134"/>
      <c r="AB373" s="134"/>
      <c r="AC373" s="294"/>
      <c r="AD373" s="299"/>
      <c r="AE373" s="9"/>
      <c r="AG373" s="9"/>
      <c r="AH373" s="9"/>
      <c r="AI373" s="11"/>
    </row>
    <row r="374" spans="1:35" s="7" customFormat="1" ht="12.75" x14ac:dyDescent="0.2">
      <c r="A374" s="23"/>
      <c r="B374" s="293"/>
      <c r="C374" s="134" t="s">
        <v>850</v>
      </c>
      <c r="D374" s="134" t="s">
        <v>892</v>
      </c>
      <c r="E374" s="134" t="str">
        <f>"I"&amp;MID(C374,3,2)&amp;"ELC"</f>
        <v>IISELC</v>
      </c>
      <c r="F374" s="134"/>
      <c r="G374" s="134" t="s">
        <v>876</v>
      </c>
      <c r="H374" s="134"/>
      <c r="I374" s="134"/>
      <c r="J374" s="294"/>
      <c r="K374" s="308"/>
      <c r="L374" s="308"/>
      <c r="M374" s="304"/>
      <c r="N374" s="294"/>
      <c r="O374" s="294"/>
      <c r="P374" s="134">
        <f>BaseYear+100</f>
        <v>2110</v>
      </c>
      <c r="Q374" s="134"/>
      <c r="R374" s="134"/>
      <c r="S374" s="134"/>
      <c r="T374" s="134">
        <v>1</v>
      </c>
      <c r="U374" s="134">
        <v>0.7</v>
      </c>
      <c r="V374" s="134">
        <v>15</v>
      </c>
      <c r="W374" s="307">
        <v>0</v>
      </c>
      <c r="X374" s="307">
        <v>0</v>
      </c>
      <c r="Y374" s="134"/>
      <c r="Z374" s="134"/>
      <c r="AA374" s="134"/>
      <c r="AB374" s="134"/>
      <c r="AC374" s="294"/>
      <c r="AD374" s="299"/>
      <c r="AE374" s="9"/>
      <c r="AG374" s="9"/>
      <c r="AH374" s="9"/>
      <c r="AI374" s="11"/>
    </row>
    <row r="375" spans="1:35" s="7" customFormat="1" ht="12.75" x14ac:dyDescent="0.2">
      <c r="A375" s="23"/>
      <c r="B375" s="293"/>
      <c r="C375" s="134"/>
      <c r="D375" s="134"/>
      <c r="E375" s="134"/>
      <c r="F375" s="134" t="str">
        <f>LEFT(C374,4)</f>
        <v>IMIS</v>
      </c>
      <c r="G375" s="134"/>
      <c r="H375" s="134"/>
      <c r="I375" s="134" t="s">
        <v>741</v>
      </c>
      <c r="J375" s="294"/>
      <c r="K375" s="110">
        <v>0.86550026770960653</v>
      </c>
      <c r="L375" s="110">
        <f>1-(1-K375)*0.996^(L$4-K$4)</f>
        <v>0.8758610154985822</v>
      </c>
      <c r="M375" s="110">
        <f>1-(1-L375)*0.996^(M$4-L$4)</f>
        <v>0.88542365690534597</v>
      </c>
      <c r="N375" s="294"/>
      <c r="O375" s="294"/>
      <c r="P375" s="134"/>
      <c r="Q375" s="134"/>
      <c r="R375" s="134"/>
      <c r="S375" s="134"/>
      <c r="T375" s="134"/>
      <c r="U375" s="134"/>
      <c r="V375" s="134"/>
      <c r="W375" s="307"/>
      <c r="X375" s="307"/>
      <c r="Y375" s="134"/>
      <c r="Z375" s="134"/>
      <c r="AA375" s="134"/>
      <c r="AB375" s="134"/>
      <c r="AC375" s="294"/>
      <c r="AD375" s="299"/>
      <c r="AE375" s="9"/>
      <c r="AG375" s="9"/>
      <c r="AH375" s="9"/>
      <c r="AI375" s="11"/>
    </row>
    <row r="376" spans="1:35" s="7" customFormat="1" ht="12.75" x14ac:dyDescent="0.2">
      <c r="A376" s="23"/>
      <c r="B376" s="293"/>
      <c r="C376" s="134" t="s">
        <v>848</v>
      </c>
      <c r="D376" s="134" t="s">
        <v>893</v>
      </c>
      <c r="E376" s="134" t="str">
        <f>"I"&amp;MID(C376,3,2)&amp;"ELC"</f>
        <v>IISELC</v>
      </c>
      <c r="F376" s="134"/>
      <c r="G376" s="134" t="s">
        <v>879</v>
      </c>
      <c r="H376" s="134"/>
      <c r="I376" s="134"/>
      <c r="J376" s="294"/>
      <c r="K376" s="110"/>
      <c r="L376" s="110"/>
      <c r="M376" s="110"/>
      <c r="N376" s="294"/>
      <c r="O376" s="294"/>
      <c r="P376" s="134">
        <f>BaseYear+6</f>
        <v>2016</v>
      </c>
      <c r="Q376" s="134"/>
      <c r="R376" s="134"/>
      <c r="S376" s="134"/>
      <c r="T376" s="134">
        <v>1</v>
      </c>
      <c r="U376" s="134">
        <v>0.7</v>
      </c>
      <c r="V376" s="134">
        <v>15</v>
      </c>
      <c r="W376" s="307">
        <v>2.3472284513147388</v>
      </c>
      <c r="X376" s="307">
        <v>0.22388948304848277</v>
      </c>
      <c r="Y376" s="134"/>
      <c r="Z376" s="134"/>
      <c r="AA376" s="134"/>
      <c r="AB376" s="134"/>
      <c r="AC376" s="294"/>
      <c r="AD376" s="309"/>
      <c r="AE376" s="9"/>
      <c r="AG376" s="9"/>
      <c r="AH376" s="9"/>
      <c r="AI376" s="61"/>
    </row>
    <row r="377" spans="1:35" s="7" customFormat="1" ht="12.75" x14ac:dyDescent="0.2">
      <c r="A377" s="23"/>
      <c r="B377" s="293"/>
      <c r="C377" s="134"/>
      <c r="D377" s="134"/>
      <c r="E377" s="134"/>
      <c r="F377" s="134" t="str">
        <f>LEFT(C376,4)</f>
        <v>IMIS</v>
      </c>
      <c r="G377" s="134"/>
      <c r="H377" s="134"/>
      <c r="I377" s="134" t="s">
        <v>741</v>
      </c>
      <c r="J377" s="294"/>
      <c r="K377" s="110">
        <v>0.91525650848108087</v>
      </c>
      <c r="L377" s="110">
        <f>1-(1-K377)*0.994^(L$4-K$4)</f>
        <v>0.92486642716933254</v>
      </c>
      <c r="M377" s="110">
        <f>1-(1-L377)*0.994^(M$4-L$4)</f>
        <v>0.93338658031288524</v>
      </c>
      <c r="N377" s="294"/>
      <c r="O377" s="294"/>
      <c r="P377" s="134"/>
      <c r="Q377" s="134"/>
      <c r="R377" s="134"/>
      <c r="S377" s="134"/>
      <c r="T377" s="134"/>
      <c r="U377" s="134"/>
      <c r="V377" s="134"/>
      <c r="W377" s="307"/>
      <c r="X377" s="307"/>
      <c r="Y377" s="134"/>
      <c r="Z377" s="134"/>
      <c r="AA377" s="134"/>
      <c r="AB377" s="134"/>
      <c r="AC377" s="294"/>
      <c r="AD377" s="309"/>
      <c r="AE377" s="9"/>
      <c r="AG377" s="9"/>
      <c r="AH377" s="9"/>
      <c r="AI377" s="11"/>
    </row>
    <row r="378" spans="1:35" s="7" customFormat="1" ht="12.75" x14ac:dyDescent="0.2">
      <c r="A378" s="23"/>
      <c r="B378" s="293"/>
      <c r="C378" s="134" t="s">
        <v>849</v>
      </c>
      <c r="D378" s="134" t="s">
        <v>894</v>
      </c>
      <c r="E378" s="134" t="str">
        <f>"I"&amp;MID(C378,3,2)&amp;"ELC"</f>
        <v>IISELC</v>
      </c>
      <c r="F378" s="134"/>
      <c r="G378" s="134" t="s">
        <v>879</v>
      </c>
      <c r="H378" s="134"/>
      <c r="I378" s="134"/>
      <c r="J378" s="294"/>
      <c r="K378" s="110"/>
      <c r="L378" s="110"/>
      <c r="M378" s="110"/>
      <c r="N378" s="294"/>
      <c r="O378" s="294"/>
      <c r="P378" s="134">
        <f>BaseYear+6</f>
        <v>2016</v>
      </c>
      <c r="Q378" s="134"/>
      <c r="R378" s="134"/>
      <c r="S378" s="134"/>
      <c r="T378" s="134">
        <v>1</v>
      </c>
      <c r="U378" s="134">
        <v>0.7</v>
      </c>
      <c r="V378" s="134">
        <v>15</v>
      </c>
      <c r="W378" s="307">
        <v>4.0176193028282103</v>
      </c>
      <c r="X378" s="307">
        <v>0.3832190719620755</v>
      </c>
      <c r="Y378" s="134"/>
      <c r="Z378" s="134"/>
      <c r="AA378" s="134"/>
      <c r="AB378" s="134"/>
      <c r="AC378" s="294"/>
      <c r="AD378" s="309"/>
      <c r="AE378" s="9"/>
      <c r="AG378" s="9"/>
      <c r="AH378" s="9"/>
      <c r="AI378" s="61"/>
    </row>
    <row r="379" spans="1:35" s="7" customFormat="1" ht="12.75" x14ac:dyDescent="0.2">
      <c r="A379" s="23"/>
      <c r="B379" s="293"/>
      <c r="C379" s="134"/>
      <c r="D379" s="134"/>
      <c r="E379" s="134"/>
      <c r="F379" s="134" t="str">
        <f>LEFT(C378,4)</f>
        <v>IMIS</v>
      </c>
      <c r="G379" s="134"/>
      <c r="H379" s="134"/>
      <c r="I379" s="134" t="s">
        <v>741</v>
      </c>
      <c r="J379" s="294"/>
      <c r="K379" s="110">
        <v>0.94832211293039326</v>
      </c>
      <c r="L379" s="110">
        <f>1-(1-K379)*0.992^(L$4-K$4)</f>
        <v>0.95599133528740721</v>
      </c>
      <c r="M379" s="110">
        <f>1-(1-L379)*0.992^(M$4-L$4)</f>
        <v>0.96252241181655285</v>
      </c>
      <c r="N379" s="294"/>
      <c r="O379" s="29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294"/>
      <c r="AD379" s="299"/>
      <c r="AE379" s="9"/>
      <c r="AG379" s="9"/>
      <c r="AH379" s="9"/>
      <c r="AI379" s="11"/>
    </row>
    <row r="380" spans="1:35" s="7" customFormat="1" ht="12.75" x14ac:dyDescent="0.2">
      <c r="A380" s="23"/>
      <c r="B380" s="301"/>
      <c r="C380" s="301" t="s">
        <v>851</v>
      </c>
      <c r="D380" s="301" t="s">
        <v>888</v>
      </c>
      <c r="E380" s="301" t="s">
        <v>689</v>
      </c>
      <c r="F380" s="301"/>
      <c r="G380" s="302" t="s">
        <v>876</v>
      </c>
      <c r="H380" s="302"/>
      <c r="I380" s="302"/>
      <c r="J380" s="303"/>
      <c r="K380" s="310"/>
      <c r="L380" s="310"/>
      <c r="M380" s="302"/>
      <c r="N380" s="303"/>
      <c r="O380" s="303"/>
      <c r="P380" s="302">
        <f>BaseYear+6</f>
        <v>2016</v>
      </c>
      <c r="Q380" s="134"/>
      <c r="R380" s="134"/>
      <c r="S380" s="134"/>
      <c r="T380" s="134">
        <v>1</v>
      </c>
      <c r="U380" s="134">
        <v>0.7</v>
      </c>
      <c r="V380" s="134">
        <v>15</v>
      </c>
      <c r="W380" s="307">
        <v>9.509500000000001</v>
      </c>
      <c r="X380" s="307">
        <v>0.90706000000000009</v>
      </c>
      <c r="Y380" s="134"/>
      <c r="Z380" s="134"/>
      <c r="AA380" s="134"/>
      <c r="AB380" s="134"/>
      <c r="AC380" s="294"/>
      <c r="AD380" s="299"/>
      <c r="AE380" s="9"/>
      <c r="AG380" s="9"/>
      <c r="AH380" s="9"/>
      <c r="AI380" s="11"/>
    </row>
    <row r="381" spans="1:35" s="7" customFormat="1" ht="12.75" x14ac:dyDescent="0.2">
      <c r="A381" s="23"/>
      <c r="B381" s="293"/>
      <c r="C381" s="134"/>
      <c r="D381" s="134"/>
      <c r="E381" s="134"/>
      <c r="F381" s="134" t="str">
        <f>LEFT(C380,4)</f>
        <v>IMNF</v>
      </c>
      <c r="G381" s="134"/>
      <c r="H381" s="134"/>
      <c r="I381" s="134" t="s">
        <v>741</v>
      </c>
      <c r="J381" s="294"/>
      <c r="K381" s="110">
        <v>0.36</v>
      </c>
      <c r="L381" s="110">
        <v>0.38</v>
      </c>
      <c r="M381" s="110">
        <v>0.4</v>
      </c>
      <c r="N381" s="295">
        <v>0.42</v>
      </c>
      <c r="O381" s="294"/>
      <c r="P381" s="134"/>
      <c r="Q381" s="134"/>
      <c r="R381" s="134"/>
      <c r="S381" s="134"/>
      <c r="T381" s="134"/>
      <c r="U381" s="134"/>
      <c r="V381" s="134"/>
      <c r="W381" s="307"/>
      <c r="X381" s="307"/>
      <c r="Y381" s="134"/>
      <c r="Z381" s="134"/>
      <c r="AA381" s="134"/>
      <c r="AB381" s="134"/>
      <c r="AC381" s="294"/>
      <c r="AD381" s="299"/>
      <c r="AE381" s="9"/>
      <c r="AG381" s="9"/>
      <c r="AH381" s="9"/>
      <c r="AI381" s="11"/>
    </row>
    <row r="382" spans="1:35" s="7" customFormat="1" ht="12.75" x14ac:dyDescent="0.2">
      <c r="A382" s="23"/>
      <c r="B382" s="293"/>
      <c r="C382" s="134" t="s">
        <v>852</v>
      </c>
      <c r="D382" s="134" t="s">
        <v>889</v>
      </c>
      <c r="E382" s="134" t="s">
        <v>690</v>
      </c>
      <c r="F382" s="134"/>
      <c r="G382" s="134" t="s">
        <v>876</v>
      </c>
      <c r="H382" s="134"/>
      <c r="I382" s="134"/>
      <c r="J382" s="294"/>
      <c r="K382" s="110"/>
      <c r="L382" s="110"/>
      <c r="M382" s="110"/>
      <c r="N382" s="295"/>
      <c r="O382" s="294"/>
      <c r="P382" s="134">
        <f>BaseYear+6</f>
        <v>2016</v>
      </c>
      <c r="Q382" s="134"/>
      <c r="R382" s="134"/>
      <c r="S382" s="134"/>
      <c r="T382" s="134">
        <v>1</v>
      </c>
      <c r="U382" s="134">
        <v>0.7</v>
      </c>
      <c r="V382" s="134">
        <v>15</v>
      </c>
      <c r="W382" s="307">
        <v>10.260249999999999</v>
      </c>
      <c r="X382" s="307">
        <v>0.97867000000000004</v>
      </c>
      <c r="Y382" s="134"/>
      <c r="Z382" s="134"/>
      <c r="AA382" s="134"/>
      <c r="AB382" s="134"/>
      <c r="AC382" s="294"/>
      <c r="AD382" s="299"/>
      <c r="AE382" s="9"/>
      <c r="AG382" s="9"/>
      <c r="AH382" s="9"/>
      <c r="AI382" s="11"/>
    </row>
    <row r="383" spans="1:35" s="7" customFormat="1" ht="12.75" x14ac:dyDescent="0.2">
      <c r="A383" s="23"/>
      <c r="B383" s="293"/>
      <c r="C383" s="134"/>
      <c r="D383" s="134"/>
      <c r="E383" s="134"/>
      <c r="F383" s="134" t="str">
        <f>LEFT(C382,4)</f>
        <v>IMNF</v>
      </c>
      <c r="G383" s="134"/>
      <c r="H383" s="134"/>
      <c r="I383" s="134" t="s">
        <v>741</v>
      </c>
      <c r="J383" s="294"/>
      <c r="K383" s="110">
        <v>0.39</v>
      </c>
      <c r="L383" s="110">
        <v>0.41</v>
      </c>
      <c r="M383" s="110">
        <v>0.44</v>
      </c>
      <c r="N383" s="295">
        <v>0.46</v>
      </c>
      <c r="O383" s="294"/>
      <c r="P383" s="134"/>
      <c r="Q383" s="134"/>
      <c r="R383" s="134"/>
      <c r="S383" s="134"/>
      <c r="T383" s="134"/>
      <c r="U383" s="134"/>
      <c r="V383" s="134"/>
      <c r="W383" s="307"/>
      <c r="X383" s="307"/>
      <c r="Y383" s="134"/>
      <c r="Z383" s="134"/>
      <c r="AA383" s="134"/>
      <c r="AB383" s="134"/>
      <c r="AC383" s="294"/>
      <c r="AD383" s="299"/>
      <c r="AE383" s="9"/>
      <c r="AG383" s="9"/>
      <c r="AH383" s="9"/>
      <c r="AI383" s="11"/>
    </row>
    <row r="384" spans="1:35" s="7" customFormat="1" ht="12.75" x14ac:dyDescent="0.2">
      <c r="A384" s="23"/>
      <c r="B384" s="293"/>
      <c r="C384" s="134" t="s">
        <v>853</v>
      </c>
      <c r="D384" s="134" t="s">
        <v>891</v>
      </c>
      <c r="E384" s="134" t="s">
        <v>693</v>
      </c>
      <c r="F384" s="134"/>
      <c r="G384" s="134" t="s">
        <v>876</v>
      </c>
      <c r="H384" s="134"/>
      <c r="I384" s="134"/>
      <c r="J384" s="294"/>
      <c r="K384" s="110"/>
      <c r="L384" s="110"/>
      <c r="M384" s="110"/>
      <c r="N384" s="295"/>
      <c r="O384" s="294"/>
      <c r="P384" s="134">
        <f>BaseYear+6</f>
        <v>2016</v>
      </c>
      <c r="Q384" s="134"/>
      <c r="R384" s="134"/>
      <c r="S384" s="134"/>
      <c r="T384" s="134">
        <v>1</v>
      </c>
      <c r="U384" s="134">
        <v>0.7</v>
      </c>
      <c r="V384" s="134">
        <v>15</v>
      </c>
      <c r="W384" s="307">
        <v>10.260249999999999</v>
      </c>
      <c r="X384" s="307">
        <v>0.97867000000000004</v>
      </c>
      <c r="Y384" s="134"/>
      <c r="Z384" s="134"/>
      <c r="AA384" s="134"/>
      <c r="AB384" s="134"/>
      <c r="AC384" s="294"/>
      <c r="AD384" s="299"/>
      <c r="AE384" s="9"/>
      <c r="AG384" s="9"/>
      <c r="AH384" s="9"/>
      <c r="AI384" s="11"/>
    </row>
    <row r="385" spans="1:35" s="7" customFormat="1" ht="12.75" x14ac:dyDescent="0.2">
      <c r="A385" s="23"/>
      <c r="B385" s="293"/>
      <c r="C385" s="304"/>
      <c r="D385" s="134"/>
      <c r="E385" s="134"/>
      <c r="F385" s="134" t="str">
        <f>LEFT(C384,4)</f>
        <v>IMNF</v>
      </c>
      <c r="G385" s="134"/>
      <c r="H385" s="134"/>
      <c r="I385" s="134" t="s">
        <v>741</v>
      </c>
      <c r="J385" s="294"/>
      <c r="K385" s="110">
        <v>0.39</v>
      </c>
      <c r="L385" s="110">
        <v>0.41</v>
      </c>
      <c r="M385" s="110">
        <v>0.44</v>
      </c>
      <c r="N385" s="295">
        <v>0.46</v>
      </c>
      <c r="O385" s="294"/>
      <c r="P385" s="134"/>
      <c r="Q385" s="134"/>
      <c r="R385" s="134"/>
      <c r="S385" s="134"/>
      <c r="T385" s="134"/>
      <c r="U385" s="134"/>
      <c r="V385" s="134"/>
      <c r="W385" s="134"/>
      <c r="X385" s="307"/>
      <c r="Y385" s="134"/>
      <c r="Z385" s="134"/>
      <c r="AA385" s="134"/>
      <c r="AB385" s="134"/>
      <c r="AC385" s="294"/>
      <c r="AD385" s="299"/>
      <c r="AE385" s="9"/>
      <c r="AG385" s="9"/>
      <c r="AH385" s="9"/>
      <c r="AI385" s="11"/>
    </row>
    <row r="386" spans="1:35" s="7" customFormat="1" ht="12.75" x14ac:dyDescent="0.2">
      <c r="A386" s="23"/>
      <c r="B386" s="293"/>
      <c r="C386" s="134" t="s">
        <v>854</v>
      </c>
      <c r="D386" s="134" t="s">
        <v>893</v>
      </c>
      <c r="E386" s="134" t="str">
        <f>"I"&amp;MID(C386,3,2)&amp;"ELC"</f>
        <v>INFELC</v>
      </c>
      <c r="F386" s="134"/>
      <c r="G386" s="134" t="s">
        <v>879</v>
      </c>
      <c r="H386" s="134"/>
      <c r="I386" s="134"/>
      <c r="J386" s="294"/>
      <c r="K386" s="308"/>
      <c r="L386" s="308"/>
      <c r="M386" s="304"/>
      <c r="N386" s="294"/>
      <c r="O386" s="294"/>
      <c r="P386" s="134">
        <f>BaseYear+6</f>
        <v>2016</v>
      </c>
      <c r="Q386" s="134"/>
      <c r="R386" s="134"/>
      <c r="S386" s="134"/>
      <c r="T386" s="134">
        <v>1</v>
      </c>
      <c r="U386" s="134">
        <v>0.7</v>
      </c>
      <c r="V386" s="134">
        <v>15</v>
      </c>
      <c r="W386" s="307">
        <v>2.3472284513147388</v>
      </c>
      <c r="X386" s="307">
        <v>0.22388948304848277</v>
      </c>
      <c r="Y386" s="134"/>
      <c r="Z386" s="134"/>
      <c r="AA386" s="134"/>
      <c r="AB386" s="134"/>
      <c r="AC386" s="294"/>
      <c r="AD386" s="299"/>
      <c r="AE386" s="9"/>
      <c r="AG386" s="9"/>
      <c r="AH386" s="9"/>
      <c r="AI386" s="11"/>
    </row>
    <row r="387" spans="1:35" s="7" customFormat="1" ht="12.75" x14ac:dyDescent="0.2">
      <c r="A387" s="23"/>
      <c r="B387" s="293"/>
      <c r="C387" s="134"/>
      <c r="D387" s="134"/>
      <c r="E387" s="134"/>
      <c r="F387" s="134" t="str">
        <f>LEFT(C386,4)</f>
        <v>IMNF</v>
      </c>
      <c r="G387" s="134"/>
      <c r="H387" s="134"/>
      <c r="I387" s="134" t="s">
        <v>741</v>
      </c>
      <c r="J387" s="294"/>
      <c r="K387" s="110">
        <v>0.91525650848108087</v>
      </c>
      <c r="L387" s="110">
        <f>1-(1-K387)*0.994^(L$4-K$4)</f>
        <v>0.92486642716933254</v>
      </c>
      <c r="M387" s="110">
        <f>1-(1-L387)*0.994^(M$4-L$4)</f>
        <v>0.93338658031288524</v>
      </c>
      <c r="N387" s="294"/>
      <c r="O387" s="294"/>
      <c r="P387" s="134"/>
      <c r="Q387" s="134"/>
      <c r="R387" s="134"/>
      <c r="S387" s="134"/>
      <c r="T387" s="134"/>
      <c r="U387" s="134"/>
      <c r="V387" s="134"/>
      <c r="W387" s="307"/>
      <c r="X387" s="307"/>
      <c r="Y387" s="134"/>
      <c r="Z387" s="134"/>
      <c r="AA387" s="134"/>
      <c r="AB387" s="134"/>
      <c r="AC387" s="294"/>
      <c r="AD387" s="299"/>
      <c r="AE387" s="9"/>
      <c r="AG387" s="9"/>
      <c r="AH387" s="9"/>
      <c r="AI387" s="11"/>
    </row>
    <row r="388" spans="1:35" s="7" customFormat="1" ht="12.75" x14ac:dyDescent="0.2">
      <c r="A388" s="23"/>
      <c r="B388" s="293"/>
      <c r="C388" s="134" t="s">
        <v>855</v>
      </c>
      <c r="D388" s="134" t="s">
        <v>894</v>
      </c>
      <c r="E388" s="134" t="str">
        <f>"I"&amp;MID(C388,3,2)&amp;"ELC"</f>
        <v>INFELC</v>
      </c>
      <c r="F388" s="134"/>
      <c r="G388" s="134" t="s">
        <v>879</v>
      </c>
      <c r="H388" s="134"/>
      <c r="I388" s="134"/>
      <c r="J388" s="294"/>
      <c r="K388" s="110"/>
      <c r="L388" s="110"/>
      <c r="M388" s="110"/>
      <c r="N388" s="294"/>
      <c r="O388" s="294"/>
      <c r="P388" s="134">
        <f>BaseYear+6</f>
        <v>2016</v>
      </c>
      <c r="Q388" s="134"/>
      <c r="R388" s="134"/>
      <c r="S388" s="134"/>
      <c r="T388" s="134">
        <v>1</v>
      </c>
      <c r="U388" s="134">
        <v>0.7</v>
      </c>
      <c r="V388" s="134">
        <v>15</v>
      </c>
      <c r="W388" s="307">
        <v>4.0176193028282103</v>
      </c>
      <c r="X388" s="307">
        <v>0.3832190719620755</v>
      </c>
      <c r="Y388" s="134"/>
      <c r="Z388" s="134"/>
      <c r="AA388" s="134"/>
      <c r="AB388" s="134"/>
      <c r="AC388" s="294"/>
      <c r="AD388" s="299"/>
      <c r="AE388" s="9"/>
      <c r="AG388" s="9"/>
      <c r="AH388" s="9"/>
      <c r="AI388" s="11"/>
    </row>
    <row r="389" spans="1:35" s="7" customFormat="1" ht="12.75" x14ac:dyDescent="0.2">
      <c r="A389" s="23"/>
      <c r="B389" s="293"/>
      <c r="C389" s="134"/>
      <c r="D389" s="134"/>
      <c r="E389" s="134"/>
      <c r="F389" s="134" t="str">
        <f>LEFT(C388,4)</f>
        <v>IMNF</v>
      </c>
      <c r="G389" s="134"/>
      <c r="H389" s="134"/>
      <c r="I389" s="134" t="s">
        <v>741</v>
      </c>
      <c r="J389" s="294"/>
      <c r="K389" s="110">
        <v>0.94832211293039326</v>
      </c>
      <c r="L389" s="110">
        <f>1-(1-K389)*0.992^(L$4-K$4)</f>
        <v>0.95599133528740721</v>
      </c>
      <c r="M389" s="110">
        <f>1-(1-L389)*0.992^(M$4-L$4)</f>
        <v>0.96252241181655285</v>
      </c>
      <c r="N389" s="294"/>
      <c r="O389" s="29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294"/>
      <c r="AD389" s="299"/>
      <c r="AE389" s="9"/>
      <c r="AG389" s="9"/>
      <c r="AH389" s="9"/>
      <c r="AI389" s="11"/>
    </row>
    <row r="390" spans="1:35" s="7" customFormat="1" ht="12.75" x14ac:dyDescent="0.2">
      <c r="A390" s="23"/>
      <c r="B390" s="301"/>
      <c r="C390" s="301" t="s">
        <v>856</v>
      </c>
      <c r="D390" s="301" t="s">
        <v>888</v>
      </c>
      <c r="E390" s="301" t="s">
        <v>689</v>
      </c>
      <c r="F390" s="301"/>
      <c r="G390" s="302" t="s">
        <v>876</v>
      </c>
      <c r="H390" s="302"/>
      <c r="I390" s="302"/>
      <c r="J390" s="303"/>
      <c r="K390" s="310"/>
      <c r="L390" s="310"/>
      <c r="M390" s="302"/>
      <c r="N390" s="303"/>
      <c r="O390" s="303"/>
      <c r="P390" s="302">
        <f>BaseYear+6</f>
        <v>2016</v>
      </c>
      <c r="Q390" s="134"/>
      <c r="R390" s="134"/>
      <c r="S390" s="134"/>
      <c r="T390" s="134">
        <v>1</v>
      </c>
      <c r="U390" s="134">
        <v>0.7</v>
      </c>
      <c r="V390" s="134">
        <v>15</v>
      </c>
      <c r="W390" s="307">
        <v>9.509500000000001</v>
      </c>
      <c r="X390" s="307">
        <v>0.90706000000000009</v>
      </c>
      <c r="Y390" s="134"/>
      <c r="Z390" s="134"/>
      <c r="AA390" s="134"/>
      <c r="AB390" s="134"/>
      <c r="AC390" s="294"/>
      <c r="AD390" s="299"/>
      <c r="AE390" s="9"/>
      <c r="AG390" s="9"/>
      <c r="AH390" s="9"/>
      <c r="AI390" s="11"/>
    </row>
    <row r="391" spans="1:35" s="7" customFormat="1" ht="12.75" x14ac:dyDescent="0.2">
      <c r="A391" s="23"/>
      <c r="B391" s="293"/>
      <c r="C391" s="134"/>
      <c r="D391" s="134"/>
      <c r="E391" s="134"/>
      <c r="F391" s="134" t="str">
        <f>LEFT(C390,4)</f>
        <v>IMCH</v>
      </c>
      <c r="G391" s="134"/>
      <c r="H391" s="134"/>
      <c r="I391" s="134" t="s">
        <v>741</v>
      </c>
      <c r="J391" s="294"/>
      <c r="K391" s="110">
        <v>0.36</v>
      </c>
      <c r="L391" s="110">
        <v>0.38</v>
      </c>
      <c r="M391" s="110">
        <v>0.4</v>
      </c>
      <c r="N391" s="295">
        <v>0.42</v>
      </c>
      <c r="O391" s="294"/>
      <c r="P391" s="134"/>
      <c r="Q391" s="134"/>
      <c r="R391" s="134"/>
      <c r="S391" s="134"/>
      <c r="T391" s="134"/>
      <c r="U391" s="134"/>
      <c r="V391" s="134"/>
      <c r="W391" s="307"/>
      <c r="X391" s="307"/>
      <c r="Y391" s="134"/>
      <c r="Z391" s="134"/>
      <c r="AA391" s="134"/>
      <c r="AB391" s="134"/>
      <c r="AC391" s="294"/>
      <c r="AD391" s="299"/>
      <c r="AE391" s="9"/>
      <c r="AG391" s="9"/>
      <c r="AH391" s="9"/>
      <c r="AI391" s="11"/>
    </row>
    <row r="392" spans="1:35" s="7" customFormat="1" ht="12.75" x14ac:dyDescent="0.2">
      <c r="A392" s="23"/>
      <c r="B392" s="293"/>
      <c r="C392" s="134" t="s">
        <v>857</v>
      </c>
      <c r="D392" s="134" t="s">
        <v>889</v>
      </c>
      <c r="E392" s="134" t="s">
        <v>690</v>
      </c>
      <c r="F392" s="134"/>
      <c r="G392" s="134" t="s">
        <v>876</v>
      </c>
      <c r="H392" s="134"/>
      <c r="I392" s="134"/>
      <c r="J392" s="294"/>
      <c r="K392" s="110"/>
      <c r="L392" s="110"/>
      <c r="M392" s="110"/>
      <c r="N392" s="295"/>
      <c r="O392" s="294"/>
      <c r="P392" s="134">
        <f>BaseYear+6</f>
        <v>2016</v>
      </c>
      <c r="Q392" s="134"/>
      <c r="R392" s="134"/>
      <c r="S392" s="134"/>
      <c r="T392" s="134">
        <v>1</v>
      </c>
      <c r="U392" s="134">
        <v>0.7</v>
      </c>
      <c r="V392" s="134">
        <v>15</v>
      </c>
      <c r="W392" s="307">
        <v>10.260249999999999</v>
      </c>
      <c r="X392" s="307">
        <v>0.97867000000000004</v>
      </c>
      <c r="Y392" s="134"/>
      <c r="Z392" s="134"/>
      <c r="AA392" s="134"/>
      <c r="AB392" s="134"/>
      <c r="AC392" s="294"/>
      <c r="AD392" s="299"/>
      <c r="AE392" s="9"/>
      <c r="AG392" s="9"/>
      <c r="AH392" s="9"/>
      <c r="AI392" s="11"/>
    </row>
    <row r="393" spans="1:35" s="7" customFormat="1" ht="12.75" x14ac:dyDescent="0.2">
      <c r="A393" s="23"/>
      <c r="B393" s="293"/>
      <c r="C393" s="134"/>
      <c r="D393" s="134"/>
      <c r="E393" s="134"/>
      <c r="F393" s="134" t="str">
        <f>LEFT(C392,4)</f>
        <v>IMCH</v>
      </c>
      <c r="G393" s="134"/>
      <c r="H393" s="134"/>
      <c r="I393" s="134" t="s">
        <v>741</v>
      </c>
      <c r="J393" s="294"/>
      <c r="K393" s="110">
        <v>0.39</v>
      </c>
      <c r="L393" s="110">
        <v>0.41</v>
      </c>
      <c r="M393" s="110">
        <v>0.44</v>
      </c>
      <c r="N393" s="295">
        <v>0.46</v>
      </c>
      <c r="O393" s="294"/>
      <c r="P393" s="134"/>
      <c r="Q393" s="134"/>
      <c r="R393" s="134"/>
      <c r="S393" s="134"/>
      <c r="T393" s="134"/>
      <c r="U393" s="134"/>
      <c r="V393" s="134"/>
      <c r="W393" s="307"/>
      <c r="X393" s="307"/>
      <c r="Y393" s="134"/>
      <c r="Z393" s="134"/>
      <c r="AA393" s="134"/>
      <c r="AB393" s="134"/>
      <c r="AC393" s="294"/>
      <c r="AD393" s="299"/>
      <c r="AE393" s="9"/>
      <c r="AG393" s="9"/>
      <c r="AH393" s="9"/>
      <c r="AI393" s="11"/>
    </row>
    <row r="394" spans="1:35" s="7" customFormat="1" ht="12.75" x14ac:dyDescent="0.2">
      <c r="A394" s="23"/>
      <c r="B394" s="293"/>
      <c r="C394" s="134" t="s">
        <v>858</v>
      </c>
      <c r="D394" s="134" t="s">
        <v>891</v>
      </c>
      <c r="E394" s="134" t="s">
        <v>693</v>
      </c>
      <c r="F394" s="134"/>
      <c r="G394" s="134" t="s">
        <v>876</v>
      </c>
      <c r="H394" s="134"/>
      <c r="I394" s="134"/>
      <c r="J394" s="294"/>
      <c r="K394" s="110"/>
      <c r="L394" s="110"/>
      <c r="M394" s="110"/>
      <c r="N394" s="295"/>
      <c r="O394" s="294"/>
      <c r="P394" s="134">
        <f>BaseYear+6</f>
        <v>2016</v>
      </c>
      <c r="Q394" s="134"/>
      <c r="R394" s="134"/>
      <c r="S394" s="134"/>
      <c r="T394" s="134">
        <v>1</v>
      </c>
      <c r="U394" s="134">
        <v>0.7</v>
      </c>
      <c r="V394" s="134">
        <v>15</v>
      </c>
      <c r="W394" s="307">
        <v>10.260249999999999</v>
      </c>
      <c r="X394" s="307">
        <v>0.97867000000000004</v>
      </c>
      <c r="Y394" s="134"/>
      <c r="Z394" s="134"/>
      <c r="AA394" s="134"/>
      <c r="AB394" s="134"/>
      <c r="AC394" s="294"/>
      <c r="AD394" s="299"/>
      <c r="AE394" s="9"/>
      <c r="AG394" s="9"/>
      <c r="AH394" s="9"/>
      <c r="AI394" s="11"/>
    </row>
    <row r="395" spans="1:35" s="7" customFormat="1" ht="12.75" x14ac:dyDescent="0.2">
      <c r="A395" s="23"/>
      <c r="B395" s="293"/>
      <c r="C395" s="304"/>
      <c r="D395" s="134"/>
      <c r="E395" s="134"/>
      <c r="F395" s="134" t="str">
        <f>LEFT(C394,4)</f>
        <v>IMCH</v>
      </c>
      <c r="G395" s="134"/>
      <c r="H395" s="134"/>
      <c r="I395" s="134" t="s">
        <v>741</v>
      </c>
      <c r="J395" s="294"/>
      <c r="K395" s="110">
        <v>0.39</v>
      </c>
      <c r="L395" s="110">
        <v>0.41</v>
      </c>
      <c r="M395" s="110">
        <v>0.44</v>
      </c>
      <c r="N395" s="295">
        <v>0.46</v>
      </c>
      <c r="O395" s="294"/>
      <c r="P395" s="134"/>
      <c r="Q395" s="134"/>
      <c r="R395" s="134"/>
      <c r="S395" s="134"/>
      <c r="T395" s="134"/>
      <c r="U395" s="134"/>
      <c r="V395" s="134"/>
      <c r="W395" s="134"/>
      <c r="X395" s="307"/>
      <c r="Y395" s="134"/>
      <c r="Z395" s="134"/>
      <c r="AA395" s="134"/>
      <c r="AB395" s="134"/>
      <c r="AC395" s="294"/>
      <c r="AD395" s="299"/>
      <c r="AE395" s="9"/>
      <c r="AG395" s="9"/>
      <c r="AH395" s="9"/>
      <c r="AI395" s="11"/>
    </row>
    <row r="396" spans="1:35" s="7" customFormat="1" ht="12.75" x14ac:dyDescent="0.2">
      <c r="A396" s="23"/>
      <c r="B396" s="293"/>
      <c r="C396" s="134" t="s">
        <v>859</v>
      </c>
      <c r="D396" s="134" t="s">
        <v>893</v>
      </c>
      <c r="E396" s="134" t="str">
        <f>"I"&amp;MID(C396,3,2)&amp;"ELC"</f>
        <v>ICHELC</v>
      </c>
      <c r="F396" s="134"/>
      <c r="G396" s="134" t="s">
        <v>879</v>
      </c>
      <c r="H396" s="134"/>
      <c r="I396" s="134"/>
      <c r="J396" s="294"/>
      <c r="K396" s="308"/>
      <c r="L396" s="308"/>
      <c r="M396" s="304"/>
      <c r="N396" s="294"/>
      <c r="O396" s="294"/>
      <c r="P396" s="134">
        <f>BaseYear+6</f>
        <v>2016</v>
      </c>
      <c r="Q396" s="134"/>
      <c r="R396" s="134"/>
      <c r="S396" s="134"/>
      <c r="T396" s="134">
        <v>1</v>
      </c>
      <c r="U396" s="134">
        <v>0.7</v>
      </c>
      <c r="V396" s="134">
        <v>15</v>
      </c>
      <c r="W396" s="307">
        <v>2.3472284513147388</v>
      </c>
      <c r="X396" s="307">
        <v>0.22388948304848277</v>
      </c>
      <c r="Y396" s="134"/>
      <c r="Z396" s="134"/>
      <c r="AA396" s="134"/>
      <c r="AB396" s="134"/>
      <c r="AC396" s="294"/>
      <c r="AD396" s="299"/>
      <c r="AE396" s="9"/>
      <c r="AG396" s="9"/>
      <c r="AH396" s="9"/>
      <c r="AI396" s="11"/>
    </row>
    <row r="397" spans="1:35" s="7" customFormat="1" ht="12.75" x14ac:dyDescent="0.2">
      <c r="A397" s="23"/>
      <c r="B397" s="293"/>
      <c r="C397" s="134"/>
      <c r="D397" s="134"/>
      <c r="E397" s="134"/>
      <c r="F397" s="134" t="str">
        <f>LEFT(C396,4)</f>
        <v>IMCH</v>
      </c>
      <c r="G397" s="134"/>
      <c r="H397" s="134"/>
      <c r="I397" s="134" t="s">
        <v>741</v>
      </c>
      <c r="J397" s="294"/>
      <c r="K397" s="110">
        <v>0.91525650848108087</v>
      </c>
      <c r="L397" s="110">
        <f>1-(1-K397)*0.994^(L$4-K$4)</f>
        <v>0.92486642716933254</v>
      </c>
      <c r="M397" s="110">
        <f>1-(1-L397)*0.994^(M$4-L$4)</f>
        <v>0.93338658031288524</v>
      </c>
      <c r="N397" s="294"/>
      <c r="O397" s="294"/>
      <c r="P397" s="134"/>
      <c r="Q397" s="134"/>
      <c r="R397" s="134"/>
      <c r="S397" s="134"/>
      <c r="T397" s="134"/>
      <c r="U397" s="134"/>
      <c r="V397" s="134"/>
      <c r="W397" s="307"/>
      <c r="X397" s="307"/>
      <c r="Y397" s="134"/>
      <c r="Z397" s="134"/>
      <c r="AA397" s="134"/>
      <c r="AB397" s="134"/>
      <c r="AC397" s="294"/>
      <c r="AD397" s="299"/>
      <c r="AE397" s="9"/>
      <c r="AG397" s="9"/>
      <c r="AH397" s="9"/>
      <c r="AI397" s="11"/>
    </row>
    <row r="398" spans="1:35" s="7" customFormat="1" ht="12.75" x14ac:dyDescent="0.2">
      <c r="A398" s="23"/>
      <c r="B398" s="293"/>
      <c r="C398" s="134" t="s">
        <v>860</v>
      </c>
      <c r="D398" s="134" t="s">
        <v>894</v>
      </c>
      <c r="E398" s="134" t="str">
        <f>"I"&amp;MID(C398,3,2)&amp;"ELC"</f>
        <v>ICHELC</v>
      </c>
      <c r="F398" s="134"/>
      <c r="G398" s="134" t="s">
        <v>879</v>
      </c>
      <c r="H398" s="134"/>
      <c r="I398" s="134"/>
      <c r="J398" s="294"/>
      <c r="K398" s="110"/>
      <c r="L398" s="110"/>
      <c r="M398" s="110"/>
      <c r="N398" s="294"/>
      <c r="O398" s="294"/>
      <c r="P398" s="134">
        <f>BaseYear+6</f>
        <v>2016</v>
      </c>
      <c r="Q398" s="134"/>
      <c r="R398" s="134"/>
      <c r="S398" s="134"/>
      <c r="T398" s="134">
        <v>1</v>
      </c>
      <c r="U398" s="134">
        <v>0.7</v>
      </c>
      <c r="V398" s="134">
        <v>15</v>
      </c>
      <c r="W398" s="307">
        <v>4.0176193028282103</v>
      </c>
      <c r="X398" s="307">
        <v>0.3832190719620755</v>
      </c>
      <c r="Y398" s="134"/>
      <c r="Z398" s="134"/>
      <c r="AA398" s="134"/>
      <c r="AB398" s="134"/>
      <c r="AC398" s="294"/>
      <c r="AD398" s="299"/>
      <c r="AE398" s="9"/>
      <c r="AG398" s="9"/>
      <c r="AH398" s="9"/>
      <c r="AI398" s="11"/>
    </row>
    <row r="399" spans="1:35" s="7" customFormat="1" ht="12.75" x14ac:dyDescent="0.2">
      <c r="A399" s="23"/>
      <c r="B399" s="293"/>
      <c r="C399" s="134"/>
      <c r="D399" s="134"/>
      <c r="E399" s="134"/>
      <c r="F399" s="134" t="str">
        <f>LEFT(C398,4)</f>
        <v>IMCH</v>
      </c>
      <c r="G399" s="134"/>
      <c r="H399" s="134"/>
      <c r="I399" s="134" t="s">
        <v>741</v>
      </c>
      <c r="J399" s="294"/>
      <c r="K399" s="110">
        <v>0.94832211293039326</v>
      </c>
      <c r="L399" s="110">
        <f>1-(1-K399)*0.992^(L$4-K$4)</f>
        <v>0.95599133528740721</v>
      </c>
      <c r="M399" s="110">
        <f>1-(1-L399)*0.992^(M$4-L$4)</f>
        <v>0.96252241181655285</v>
      </c>
      <c r="N399" s="294"/>
      <c r="O399" s="29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294"/>
      <c r="AD399" s="299"/>
      <c r="AE399" s="9"/>
      <c r="AG399" s="9"/>
      <c r="AH399" s="9"/>
      <c r="AI399" s="11"/>
    </row>
    <row r="400" spans="1:35" s="7" customFormat="1" ht="12.75" x14ac:dyDescent="0.2">
      <c r="A400" s="23"/>
      <c r="B400" s="301"/>
      <c r="C400" s="301" t="s">
        <v>861</v>
      </c>
      <c r="D400" s="301" t="s">
        <v>888</v>
      </c>
      <c r="E400" s="301" t="s">
        <v>689</v>
      </c>
      <c r="F400" s="301"/>
      <c r="G400" s="302" t="s">
        <v>876</v>
      </c>
      <c r="H400" s="302"/>
      <c r="I400" s="302"/>
      <c r="J400" s="303"/>
      <c r="K400" s="310"/>
      <c r="L400" s="310"/>
      <c r="M400" s="302"/>
      <c r="N400" s="303"/>
      <c r="O400" s="303"/>
      <c r="P400" s="302">
        <f>BaseYear+6</f>
        <v>2016</v>
      </c>
      <c r="Q400" s="134"/>
      <c r="R400" s="134"/>
      <c r="S400" s="134"/>
      <c r="T400" s="134">
        <v>1</v>
      </c>
      <c r="U400" s="134">
        <v>0.7</v>
      </c>
      <c r="V400" s="134">
        <v>15</v>
      </c>
      <c r="W400" s="307">
        <v>9.509500000000001</v>
      </c>
      <c r="X400" s="307">
        <v>0.90706000000000009</v>
      </c>
      <c r="Y400" s="134"/>
      <c r="Z400" s="134"/>
      <c r="AA400" s="134"/>
      <c r="AB400" s="134"/>
      <c r="AC400" s="294"/>
      <c r="AD400" s="299"/>
      <c r="AE400" s="9"/>
      <c r="AG400" s="9"/>
      <c r="AH400" s="9"/>
      <c r="AI400" s="11"/>
    </row>
    <row r="401" spans="1:35" s="7" customFormat="1" ht="12.75" x14ac:dyDescent="0.2">
      <c r="A401" s="23"/>
      <c r="B401" s="293"/>
      <c r="C401" s="134"/>
      <c r="D401" s="134"/>
      <c r="E401" s="134"/>
      <c r="F401" s="134" t="str">
        <f>LEFT(C400,4)</f>
        <v>IMNM</v>
      </c>
      <c r="G401" s="134"/>
      <c r="H401" s="134"/>
      <c r="I401" s="134" t="s">
        <v>741</v>
      </c>
      <c r="J401" s="294"/>
      <c r="K401" s="110">
        <v>0.36</v>
      </c>
      <c r="L401" s="110">
        <v>0.38</v>
      </c>
      <c r="M401" s="110">
        <v>0.4</v>
      </c>
      <c r="N401" s="295">
        <v>0.42</v>
      </c>
      <c r="O401" s="294"/>
      <c r="P401" s="134"/>
      <c r="Q401" s="134"/>
      <c r="R401" s="134"/>
      <c r="S401" s="134"/>
      <c r="T401" s="134"/>
      <c r="U401" s="134"/>
      <c r="V401" s="134"/>
      <c r="W401" s="307"/>
      <c r="X401" s="307"/>
      <c r="Y401" s="134"/>
      <c r="Z401" s="134"/>
      <c r="AA401" s="134"/>
      <c r="AB401" s="134"/>
      <c r="AC401" s="294"/>
      <c r="AD401" s="299"/>
      <c r="AE401" s="9"/>
      <c r="AG401" s="9"/>
      <c r="AH401" s="9"/>
      <c r="AI401" s="11"/>
    </row>
    <row r="402" spans="1:35" s="7" customFormat="1" ht="12.75" x14ac:dyDescent="0.2">
      <c r="A402" s="23"/>
      <c r="B402" s="293"/>
      <c r="C402" s="134" t="s">
        <v>862</v>
      </c>
      <c r="D402" s="134" t="s">
        <v>889</v>
      </c>
      <c r="E402" s="134" t="s">
        <v>690</v>
      </c>
      <c r="F402" s="134"/>
      <c r="G402" s="134" t="s">
        <v>876</v>
      </c>
      <c r="H402" s="134"/>
      <c r="I402" s="134"/>
      <c r="J402" s="294"/>
      <c r="K402" s="110"/>
      <c r="L402" s="110"/>
      <c r="M402" s="110"/>
      <c r="N402" s="295"/>
      <c r="O402" s="294"/>
      <c r="P402" s="134">
        <f>BaseYear+6</f>
        <v>2016</v>
      </c>
      <c r="Q402" s="134"/>
      <c r="R402" s="134"/>
      <c r="S402" s="134"/>
      <c r="T402" s="134">
        <v>1</v>
      </c>
      <c r="U402" s="134">
        <v>0.7</v>
      </c>
      <c r="V402" s="134">
        <v>15</v>
      </c>
      <c r="W402" s="307">
        <v>10.260249999999999</v>
      </c>
      <c r="X402" s="307">
        <v>0.97867000000000004</v>
      </c>
      <c r="Y402" s="134"/>
      <c r="Z402" s="134"/>
      <c r="AA402" s="134"/>
      <c r="AB402" s="134"/>
      <c r="AC402" s="294"/>
      <c r="AD402" s="299"/>
      <c r="AE402" s="9"/>
      <c r="AG402" s="9"/>
      <c r="AH402" s="9"/>
      <c r="AI402" s="11"/>
    </row>
    <row r="403" spans="1:35" s="7" customFormat="1" ht="12.75" x14ac:dyDescent="0.2">
      <c r="A403" s="23"/>
      <c r="B403" s="293"/>
      <c r="C403" s="134"/>
      <c r="D403" s="134"/>
      <c r="E403" s="134"/>
      <c r="F403" s="134" t="str">
        <f>LEFT(C402,4)</f>
        <v>IMNM</v>
      </c>
      <c r="G403" s="134"/>
      <c r="H403" s="134"/>
      <c r="I403" s="134" t="s">
        <v>741</v>
      </c>
      <c r="J403" s="294"/>
      <c r="K403" s="110">
        <v>0.39</v>
      </c>
      <c r="L403" s="110">
        <v>0.41</v>
      </c>
      <c r="M403" s="110">
        <v>0.44</v>
      </c>
      <c r="N403" s="295">
        <v>0.46</v>
      </c>
      <c r="O403" s="294"/>
      <c r="P403" s="134"/>
      <c r="Q403" s="134"/>
      <c r="R403" s="134"/>
      <c r="S403" s="134"/>
      <c r="T403" s="134"/>
      <c r="U403" s="134"/>
      <c r="V403" s="134"/>
      <c r="W403" s="307"/>
      <c r="X403" s="307"/>
      <c r="Y403" s="134"/>
      <c r="Z403" s="134"/>
      <c r="AA403" s="134"/>
      <c r="AB403" s="134"/>
      <c r="AC403" s="294"/>
      <c r="AD403" s="299"/>
      <c r="AE403" s="9"/>
      <c r="AG403" s="9"/>
      <c r="AH403" s="9"/>
      <c r="AI403" s="11"/>
    </row>
    <row r="404" spans="1:35" s="7" customFormat="1" ht="12.75" x14ac:dyDescent="0.2">
      <c r="A404" s="23"/>
      <c r="B404" s="293"/>
      <c r="C404" s="134" t="s">
        <v>863</v>
      </c>
      <c r="D404" s="134" t="s">
        <v>891</v>
      </c>
      <c r="E404" s="134" t="s">
        <v>693</v>
      </c>
      <c r="F404" s="134"/>
      <c r="G404" s="134" t="s">
        <v>876</v>
      </c>
      <c r="H404" s="134"/>
      <c r="I404" s="134"/>
      <c r="J404" s="294"/>
      <c r="K404" s="110"/>
      <c r="L404" s="110"/>
      <c r="M404" s="110"/>
      <c r="N404" s="295"/>
      <c r="O404" s="294"/>
      <c r="P404" s="134">
        <f>BaseYear+6</f>
        <v>2016</v>
      </c>
      <c r="Q404" s="134"/>
      <c r="R404" s="134"/>
      <c r="S404" s="134"/>
      <c r="T404" s="134">
        <v>1</v>
      </c>
      <c r="U404" s="134">
        <v>0.7</v>
      </c>
      <c r="V404" s="134">
        <v>15</v>
      </c>
      <c r="W404" s="307">
        <v>10.260249999999999</v>
      </c>
      <c r="X404" s="307">
        <v>0.97867000000000004</v>
      </c>
      <c r="Y404" s="134"/>
      <c r="Z404" s="134"/>
      <c r="AA404" s="134"/>
      <c r="AB404" s="134"/>
      <c r="AC404" s="294"/>
      <c r="AD404" s="299"/>
      <c r="AE404" s="9"/>
      <c r="AG404" s="9"/>
      <c r="AH404" s="9"/>
      <c r="AI404" s="11"/>
    </row>
    <row r="405" spans="1:35" s="7" customFormat="1" ht="12.75" x14ac:dyDescent="0.2">
      <c r="A405" s="23"/>
      <c r="B405" s="293"/>
      <c r="C405" s="304"/>
      <c r="D405" s="134"/>
      <c r="E405" s="134"/>
      <c r="F405" s="134" t="str">
        <f>LEFT(C404,4)</f>
        <v>IMNM</v>
      </c>
      <c r="G405" s="134"/>
      <c r="H405" s="134"/>
      <c r="I405" s="134" t="s">
        <v>741</v>
      </c>
      <c r="J405" s="294"/>
      <c r="K405" s="110">
        <v>0.39</v>
      </c>
      <c r="L405" s="110">
        <v>0.41</v>
      </c>
      <c r="M405" s="110">
        <v>0.44</v>
      </c>
      <c r="N405" s="295">
        <v>0.46</v>
      </c>
      <c r="O405" s="294"/>
      <c r="P405" s="134"/>
      <c r="Q405" s="134"/>
      <c r="R405" s="134"/>
      <c r="S405" s="134"/>
      <c r="T405" s="134"/>
      <c r="U405" s="134"/>
      <c r="V405" s="134"/>
      <c r="W405" s="134"/>
      <c r="X405" s="307"/>
      <c r="Y405" s="134"/>
      <c r="Z405" s="134"/>
      <c r="AA405" s="134"/>
      <c r="AB405" s="134"/>
      <c r="AC405" s="294"/>
      <c r="AD405" s="299"/>
      <c r="AE405" s="9"/>
      <c r="AG405" s="9"/>
      <c r="AH405" s="9"/>
      <c r="AI405" s="11"/>
    </row>
    <row r="406" spans="1:35" s="7" customFormat="1" ht="12.75" x14ac:dyDescent="0.2">
      <c r="A406" s="23"/>
      <c r="B406" s="293"/>
      <c r="C406" s="134" t="s">
        <v>864</v>
      </c>
      <c r="D406" s="134" t="s">
        <v>893</v>
      </c>
      <c r="E406" s="134" t="str">
        <f>"I"&amp;MID(C406,3,2)&amp;"ELC"</f>
        <v>INMELC</v>
      </c>
      <c r="F406" s="134"/>
      <c r="G406" s="134" t="s">
        <v>879</v>
      </c>
      <c r="H406" s="134"/>
      <c r="I406" s="134"/>
      <c r="J406" s="294"/>
      <c r="K406" s="308"/>
      <c r="L406" s="308"/>
      <c r="M406" s="304"/>
      <c r="N406" s="294"/>
      <c r="O406" s="294"/>
      <c r="P406" s="134">
        <f>BaseYear+6</f>
        <v>2016</v>
      </c>
      <c r="Q406" s="134"/>
      <c r="R406" s="134"/>
      <c r="S406" s="134"/>
      <c r="T406" s="134">
        <v>1</v>
      </c>
      <c r="U406" s="134">
        <v>0.7</v>
      </c>
      <c r="V406" s="134">
        <v>15</v>
      </c>
      <c r="W406" s="307">
        <v>2.3472284513147388</v>
      </c>
      <c r="X406" s="307">
        <v>0.22388948304848277</v>
      </c>
      <c r="Y406" s="134"/>
      <c r="Z406" s="134"/>
      <c r="AA406" s="134"/>
      <c r="AB406" s="134"/>
      <c r="AC406" s="294"/>
      <c r="AD406" s="299"/>
      <c r="AE406" s="9"/>
      <c r="AG406" s="9"/>
      <c r="AH406" s="9"/>
      <c r="AI406" s="11"/>
    </row>
    <row r="407" spans="1:35" s="7" customFormat="1" ht="12.75" x14ac:dyDescent="0.2">
      <c r="A407" s="23"/>
      <c r="B407" s="293"/>
      <c r="C407" s="134"/>
      <c r="D407" s="134"/>
      <c r="E407" s="134"/>
      <c r="F407" s="134" t="str">
        <f>LEFT(C406,4)</f>
        <v>IMNM</v>
      </c>
      <c r="G407" s="134"/>
      <c r="H407" s="134"/>
      <c r="I407" s="134" t="s">
        <v>741</v>
      </c>
      <c r="J407" s="294"/>
      <c r="K407" s="110">
        <v>0.91525650848108087</v>
      </c>
      <c r="L407" s="110">
        <f>1-(1-K407)*0.994^(L$4-K$4)</f>
        <v>0.92486642716933254</v>
      </c>
      <c r="M407" s="110">
        <f>1-(1-L407)*0.994^(M$4-L$4)</f>
        <v>0.93338658031288524</v>
      </c>
      <c r="N407" s="294"/>
      <c r="O407" s="294"/>
      <c r="P407" s="134"/>
      <c r="Q407" s="134"/>
      <c r="R407" s="134"/>
      <c r="S407" s="134"/>
      <c r="T407" s="134"/>
      <c r="U407" s="134"/>
      <c r="V407" s="134"/>
      <c r="W407" s="307"/>
      <c r="X407" s="307"/>
      <c r="Y407" s="134"/>
      <c r="Z407" s="134"/>
      <c r="AA407" s="134"/>
      <c r="AB407" s="134"/>
      <c r="AC407" s="294"/>
      <c r="AD407" s="299"/>
      <c r="AE407" s="9"/>
      <c r="AG407" s="9"/>
      <c r="AH407" s="9"/>
      <c r="AI407" s="11"/>
    </row>
    <row r="408" spans="1:35" s="7" customFormat="1" ht="12.75" x14ac:dyDescent="0.2">
      <c r="A408" s="23"/>
      <c r="B408" s="293"/>
      <c r="C408" s="134" t="s">
        <v>865</v>
      </c>
      <c r="D408" s="134" t="s">
        <v>894</v>
      </c>
      <c r="E408" s="134" t="str">
        <f>"I"&amp;MID(C408,3,2)&amp;"ELC"</f>
        <v>INMELC</v>
      </c>
      <c r="F408" s="134"/>
      <c r="G408" s="134" t="s">
        <v>879</v>
      </c>
      <c r="H408" s="134"/>
      <c r="I408" s="134"/>
      <c r="J408" s="294"/>
      <c r="K408" s="110"/>
      <c r="L408" s="110"/>
      <c r="M408" s="110"/>
      <c r="N408" s="294"/>
      <c r="O408" s="294"/>
      <c r="P408" s="134">
        <f>BaseYear+6</f>
        <v>2016</v>
      </c>
      <c r="Q408" s="134"/>
      <c r="R408" s="134"/>
      <c r="S408" s="134"/>
      <c r="T408" s="134">
        <v>1</v>
      </c>
      <c r="U408" s="134">
        <v>0.7</v>
      </c>
      <c r="V408" s="134">
        <v>15</v>
      </c>
      <c r="W408" s="307">
        <v>4.0176193028282103</v>
      </c>
      <c r="X408" s="307">
        <v>0.3832190719620755</v>
      </c>
      <c r="Y408" s="134"/>
      <c r="Z408" s="134"/>
      <c r="AA408" s="134"/>
      <c r="AB408" s="134"/>
      <c r="AC408" s="294"/>
      <c r="AD408" s="299"/>
      <c r="AE408" s="9"/>
      <c r="AG408" s="9"/>
      <c r="AH408" s="9"/>
      <c r="AI408" s="11"/>
    </row>
    <row r="409" spans="1:35" s="7" customFormat="1" ht="12.75" x14ac:dyDescent="0.2">
      <c r="A409" s="23"/>
      <c r="B409" s="293"/>
      <c r="C409" s="134"/>
      <c r="D409" s="134"/>
      <c r="E409" s="134"/>
      <c r="F409" s="134" t="str">
        <f>LEFT(C408,4)</f>
        <v>IMNM</v>
      </c>
      <c r="G409" s="134"/>
      <c r="H409" s="134"/>
      <c r="I409" s="134" t="s">
        <v>741</v>
      </c>
      <c r="J409" s="294"/>
      <c r="K409" s="110">
        <v>0.94832211293039326</v>
      </c>
      <c r="L409" s="110">
        <f>1-(1-K409)*0.992^(L$4-K$4)</f>
        <v>0.95599133528740721</v>
      </c>
      <c r="M409" s="110">
        <f>1-(1-L409)*0.992^(M$4-L$4)</f>
        <v>0.96252241181655285</v>
      </c>
      <c r="N409" s="294"/>
      <c r="O409" s="29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294"/>
      <c r="AD409" s="299"/>
      <c r="AE409" s="9"/>
      <c r="AG409" s="9"/>
      <c r="AH409" s="9"/>
      <c r="AI409" s="11"/>
    </row>
    <row r="410" spans="1:35" s="7" customFormat="1" ht="12.75" x14ac:dyDescent="0.2">
      <c r="A410" s="23"/>
      <c r="B410" s="301"/>
      <c r="C410" s="301" t="s">
        <v>866</v>
      </c>
      <c r="D410" s="301" t="s">
        <v>888</v>
      </c>
      <c r="E410" s="301" t="s">
        <v>689</v>
      </c>
      <c r="F410" s="301"/>
      <c r="G410" s="302" t="s">
        <v>876</v>
      </c>
      <c r="H410" s="302"/>
      <c r="I410" s="302"/>
      <c r="J410" s="303"/>
      <c r="K410" s="310"/>
      <c r="L410" s="310"/>
      <c r="M410" s="302"/>
      <c r="N410" s="303"/>
      <c r="O410" s="303"/>
      <c r="P410" s="302">
        <f>BaseYear+6</f>
        <v>2016</v>
      </c>
      <c r="Q410" s="134"/>
      <c r="R410" s="134"/>
      <c r="S410" s="134"/>
      <c r="T410" s="134">
        <v>1</v>
      </c>
      <c r="U410" s="134">
        <v>0.7</v>
      </c>
      <c r="V410" s="134">
        <v>15</v>
      </c>
      <c r="W410" s="307">
        <v>9.509500000000001</v>
      </c>
      <c r="X410" s="307">
        <v>0.90706000000000009</v>
      </c>
      <c r="Y410" s="134"/>
      <c r="Z410" s="134"/>
      <c r="AA410" s="134"/>
      <c r="AB410" s="134"/>
      <c r="AC410" s="294"/>
      <c r="AD410" s="299"/>
      <c r="AE410" s="9"/>
      <c r="AG410" s="9"/>
      <c r="AH410" s="9"/>
      <c r="AI410" s="11"/>
    </row>
    <row r="411" spans="1:35" s="7" customFormat="1" ht="12.75" x14ac:dyDescent="0.2">
      <c r="A411" s="23"/>
      <c r="B411" s="293"/>
      <c r="C411" s="134"/>
      <c r="D411" s="134"/>
      <c r="E411" s="134"/>
      <c r="F411" s="134" t="str">
        <f>LEFT(C410,4)</f>
        <v>IMLP</v>
      </c>
      <c r="G411" s="134"/>
      <c r="H411" s="134"/>
      <c r="I411" s="134" t="s">
        <v>741</v>
      </c>
      <c r="J411" s="294"/>
      <c r="K411" s="110">
        <v>0.36</v>
      </c>
      <c r="L411" s="110">
        <v>0.38</v>
      </c>
      <c r="M411" s="110">
        <v>0.4</v>
      </c>
      <c r="N411" s="295">
        <v>0.42</v>
      </c>
      <c r="O411" s="294"/>
      <c r="P411" s="134"/>
      <c r="Q411" s="134"/>
      <c r="R411" s="134"/>
      <c r="S411" s="134"/>
      <c r="T411" s="134"/>
      <c r="U411" s="134"/>
      <c r="V411" s="134"/>
      <c r="W411" s="307"/>
      <c r="X411" s="307"/>
      <c r="Y411" s="134"/>
      <c r="Z411" s="134"/>
      <c r="AA411" s="134"/>
      <c r="AB411" s="134"/>
      <c r="AC411" s="294"/>
      <c r="AD411" s="299"/>
      <c r="AE411" s="9"/>
      <c r="AG411" s="9"/>
      <c r="AH411" s="9"/>
      <c r="AI411" s="11"/>
    </row>
    <row r="412" spans="1:35" s="7" customFormat="1" ht="12.75" x14ac:dyDescent="0.2">
      <c r="A412" s="23"/>
      <c r="B412" s="293"/>
      <c r="C412" s="134" t="s">
        <v>867</v>
      </c>
      <c r="D412" s="134" t="s">
        <v>889</v>
      </c>
      <c r="E412" s="134" t="s">
        <v>690</v>
      </c>
      <c r="F412" s="134" t="str">
        <f>F411</f>
        <v>IMLP</v>
      </c>
      <c r="G412" s="134" t="s">
        <v>876</v>
      </c>
      <c r="H412" s="134"/>
      <c r="I412" s="134" t="s">
        <v>958</v>
      </c>
      <c r="J412" s="311" t="s">
        <v>969</v>
      </c>
      <c r="K412" s="110">
        <v>0.06</v>
      </c>
      <c r="L412" s="110">
        <v>0.1</v>
      </c>
      <c r="M412" s="110">
        <v>0.15</v>
      </c>
      <c r="N412" s="295">
        <v>0.2</v>
      </c>
      <c r="O412" s="294"/>
      <c r="P412" s="134">
        <f>BaseYear+6</f>
        <v>2016</v>
      </c>
      <c r="Q412" s="134"/>
      <c r="R412" s="134"/>
      <c r="S412" s="134"/>
      <c r="T412" s="134">
        <v>1</v>
      </c>
      <c r="U412" s="134">
        <v>0.7</v>
      </c>
      <c r="V412" s="134">
        <v>15</v>
      </c>
      <c r="W412" s="307">
        <v>10.260249999999999</v>
      </c>
      <c r="X412" s="307">
        <v>0.97867000000000004</v>
      </c>
      <c r="Y412" s="134"/>
      <c r="Z412" s="134"/>
      <c r="AA412" s="134"/>
      <c r="AB412" s="134"/>
      <c r="AC412" s="294"/>
      <c r="AD412" s="299"/>
      <c r="AE412" s="9"/>
      <c r="AG412" s="9"/>
      <c r="AH412" s="9"/>
      <c r="AI412" s="11"/>
    </row>
    <row r="413" spans="1:35" s="7" customFormat="1" ht="12.75" x14ac:dyDescent="0.2">
      <c r="A413" s="23"/>
      <c r="B413" s="293"/>
      <c r="C413" s="134"/>
      <c r="D413" s="134"/>
      <c r="E413" s="134"/>
      <c r="F413" s="134" t="str">
        <f>LEFT(C412,4)</f>
        <v>IMLP</v>
      </c>
      <c r="G413" s="134"/>
      <c r="H413" s="134"/>
      <c r="I413" s="134" t="s">
        <v>741</v>
      </c>
      <c r="J413" s="294"/>
      <c r="K413" s="110">
        <v>0.39</v>
      </c>
      <c r="L413" s="110">
        <v>0.41</v>
      </c>
      <c r="M413" s="110">
        <v>0.44</v>
      </c>
      <c r="N413" s="295">
        <v>0.46</v>
      </c>
      <c r="O413" s="294"/>
      <c r="P413" s="134"/>
      <c r="Q413" s="134"/>
      <c r="R413" s="134"/>
      <c r="S413" s="134"/>
      <c r="T413" s="134"/>
      <c r="U413" s="134"/>
      <c r="V413" s="134"/>
      <c r="W413" s="307"/>
      <c r="X413" s="307"/>
      <c r="Y413" s="134"/>
      <c r="Z413" s="134"/>
      <c r="AA413" s="134"/>
      <c r="AB413" s="134"/>
      <c r="AC413" s="294"/>
      <c r="AD413" s="299"/>
      <c r="AE413" s="9"/>
      <c r="AG413" s="9"/>
      <c r="AH413" s="9"/>
      <c r="AI413" s="11"/>
    </row>
    <row r="414" spans="1:35" s="7" customFormat="1" ht="12.75" x14ac:dyDescent="0.2">
      <c r="A414" s="23"/>
      <c r="B414" s="293"/>
      <c r="C414" s="134" t="s">
        <v>868</v>
      </c>
      <c r="D414" s="134" t="s">
        <v>891</v>
      </c>
      <c r="E414" s="134" t="s">
        <v>693</v>
      </c>
      <c r="F414" s="134"/>
      <c r="G414" s="134" t="s">
        <v>876</v>
      </c>
      <c r="H414" s="134"/>
      <c r="I414" s="134"/>
      <c r="J414" s="294"/>
      <c r="K414" s="110"/>
      <c r="L414" s="110"/>
      <c r="M414" s="110"/>
      <c r="N414" s="295"/>
      <c r="O414" s="294"/>
      <c r="P414" s="134">
        <f>BaseYear+6</f>
        <v>2016</v>
      </c>
      <c r="Q414" s="134"/>
      <c r="R414" s="134"/>
      <c r="S414" s="134"/>
      <c r="T414" s="134">
        <v>1</v>
      </c>
      <c r="U414" s="134">
        <v>0.7</v>
      </c>
      <c r="V414" s="134">
        <v>15</v>
      </c>
      <c r="W414" s="307">
        <v>10.260249999999999</v>
      </c>
      <c r="X414" s="307">
        <v>0.97867000000000004</v>
      </c>
      <c r="Y414" s="134"/>
      <c r="Z414" s="134"/>
      <c r="AA414" s="134"/>
      <c r="AB414" s="134"/>
      <c r="AC414" s="294"/>
      <c r="AD414" s="299"/>
      <c r="AE414" s="9"/>
      <c r="AG414" s="9"/>
      <c r="AH414" s="9"/>
      <c r="AI414" s="11"/>
    </row>
    <row r="415" spans="1:35" s="7" customFormat="1" ht="12.75" x14ac:dyDescent="0.2">
      <c r="A415" s="23"/>
      <c r="B415" s="293"/>
      <c r="C415" s="304"/>
      <c r="D415" s="134"/>
      <c r="E415" s="134"/>
      <c r="F415" s="134" t="str">
        <f>LEFT(C414,4)</f>
        <v>IMLP</v>
      </c>
      <c r="G415" s="134"/>
      <c r="H415" s="134"/>
      <c r="I415" s="134" t="s">
        <v>741</v>
      </c>
      <c r="J415" s="294"/>
      <c r="K415" s="110">
        <v>0.39</v>
      </c>
      <c r="L415" s="110">
        <v>0.41</v>
      </c>
      <c r="M415" s="110">
        <v>0.44</v>
      </c>
      <c r="N415" s="295">
        <v>0.46</v>
      </c>
      <c r="O415" s="294"/>
      <c r="P415" s="134"/>
      <c r="Q415" s="134"/>
      <c r="R415" s="134"/>
      <c r="S415" s="134"/>
      <c r="T415" s="134"/>
      <c r="U415" s="134"/>
      <c r="V415" s="134"/>
      <c r="W415" s="134"/>
      <c r="X415" s="307"/>
      <c r="Y415" s="134"/>
      <c r="Z415" s="134"/>
      <c r="AA415" s="134"/>
      <c r="AB415" s="134"/>
      <c r="AC415" s="294"/>
      <c r="AD415" s="299"/>
      <c r="AE415" s="9"/>
      <c r="AG415" s="9"/>
      <c r="AH415" s="9"/>
      <c r="AI415" s="11"/>
    </row>
    <row r="416" spans="1:35" s="7" customFormat="1" ht="12.75" x14ac:dyDescent="0.2">
      <c r="A416" s="23"/>
      <c r="B416" s="293"/>
      <c r="C416" s="134" t="s">
        <v>869</v>
      </c>
      <c r="D416" s="134" t="s">
        <v>893</v>
      </c>
      <c r="E416" s="134" t="str">
        <f>"I"&amp;MID(C416,3,2)&amp;"ELC"</f>
        <v>ILPELC</v>
      </c>
      <c r="F416" s="134"/>
      <c r="G416" s="134" t="s">
        <v>879</v>
      </c>
      <c r="H416" s="134"/>
      <c r="I416" s="134"/>
      <c r="J416" s="294"/>
      <c r="K416" s="308"/>
      <c r="L416" s="308"/>
      <c r="M416" s="304"/>
      <c r="N416" s="294"/>
      <c r="O416" s="294"/>
      <c r="P416" s="134">
        <f>BaseYear+6</f>
        <v>2016</v>
      </c>
      <c r="Q416" s="134"/>
      <c r="R416" s="134"/>
      <c r="S416" s="134"/>
      <c r="T416" s="134">
        <v>1</v>
      </c>
      <c r="U416" s="134">
        <v>0.7</v>
      </c>
      <c r="V416" s="134">
        <v>15</v>
      </c>
      <c r="W416" s="307">
        <v>2.3472284513147388</v>
      </c>
      <c r="X416" s="307">
        <v>0.22388948304848277</v>
      </c>
      <c r="Y416" s="134"/>
      <c r="Z416" s="134"/>
      <c r="AA416" s="134"/>
      <c r="AB416" s="134"/>
      <c r="AC416" s="294"/>
      <c r="AD416" s="299"/>
      <c r="AE416" s="9"/>
      <c r="AG416" s="9"/>
      <c r="AH416" s="9"/>
      <c r="AI416" s="11"/>
    </row>
    <row r="417" spans="1:35" s="7" customFormat="1" ht="12.75" x14ac:dyDescent="0.2">
      <c r="A417" s="23"/>
      <c r="B417" s="293"/>
      <c r="C417" s="134"/>
      <c r="D417" s="134"/>
      <c r="E417" s="134"/>
      <c r="F417" s="134" t="str">
        <f>LEFT(C416,4)</f>
        <v>IMLP</v>
      </c>
      <c r="G417" s="134"/>
      <c r="H417" s="134"/>
      <c r="I417" s="134" t="s">
        <v>741</v>
      </c>
      <c r="J417" s="294"/>
      <c r="K417" s="110">
        <v>0.91525650848108087</v>
      </c>
      <c r="L417" s="110">
        <f>1-(1-K417)*0.994^(L$4-K$4)</f>
        <v>0.92486642716933254</v>
      </c>
      <c r="M417" s="110">
        <f>1-(1-L417)*0.994^(M$4-L$4)</f>
        <v>0.93338658031288524</v>
      </c>
      <c r="N417" s="294"/>
      <c r="O417" s="294"/>
      <c r="P417" s="134"/>
      <c r="Q417" s="134"/>
      <c r="R417" s="134"/>
      <c r="S417" s="134"/>
      <c r="T417" s="134"/>
      <c r="U417" s="134"/>
      <c r="V417" s="134"/>
      <c r="W417" s="307"/>
      <c r="X417" s="307"/>
      <c r="Y417" s="134"/>
      <c r="Z417" s="134"/>
      <c r="AA417" s="134"/>
      <c r="AB417" s="134"/>
      <c r="AC417" s="294"/>
      <c r="AD417" s="299"/>
      <c r="AE417" s="9"/>
      <c r="AG417" s="9"/>
      <c r="AH417" s="9"/>
      <c r="AI417" s="11"/>
    </row>
    <row r="418" spans="1:35" s="7" customFormat="1" ht="12.75" x14ac:dyDescent="0.2">
      <c r="A418" s="23"/>
      <c r="B418" s="293"/>
      <c r="C418" s="134" t="s">
        <v>870</v>
      </c>
      <c r="D418" s="134" t="s">
        <v>894</v>
      </c>
      <c r="E418" s="134" t="str">
        <f>"I"&amp;MID(C418,3,2)&amp;"ELC"</f>
        <v>ILPELC</v>
      </c>
      <c r="F418" s="134"/>
      <c r="G418" s="134" t="s">
        <v>879</v>
      </c>
      <c r="H418" s="134"/>
      <c r="I418" s="134"/>
      <c r="J418" s="294"/>
      <c r="K418" s="110"/>
      <c r="L418" s="110"/>
      <c r="M418" s="110"/>
      <c r="N418" s="294"/>
      <c r="O418" s="294"/>
      <c r="P418" s="134">
        <f>BaseYear+6</f>
        <v>2016</v>
      </c>
      <c r="Q418" s="134"/>
      <c r="R418" s="134"/>
      <c r="S418" s="134"/>
      <c r="T418" s="134">
        <v>1</v>
      </c>
      <c r="U418" s="134">
        <v>0.7</v>
      </c>
      <c r="V418" s="134">
        <v>15</v>
      </c>
      <c r="W418" s="307">
        <v>4.0176193028282103</v>
      </c>
      <c r="X418" s="307">
        <v>0.3832190719620755</v>
      </c>
      <c r="Y418" s="134"/>
      <c r="Z418" s="134"/>
      <c r="AA418" s="134"/>
      <c r="AB418" s="134"/>
      <c r="AC418" s="294"/>
      <c r="AD418" s="299"/>
      <c r="AE418" s="9"/>
      <c r="AG418" s="9"/>
      <c r="AH418" s="9"/>
      <c r="AI418" s="11"/>
    </row>
    <row r="419" spans="1:35" s="7" customFormat="1" ht="12.75" x14ac:dyDescent="0.2">
      <c r="A419" s="23"/>
      <c r="B419" s="293"/>
      <c r="C419" s="134"/>
      <c r="D419" s="134"/>
      <c r="E419" s="134"/>
      <c r="F419" s="134" t="str">
        <f>LEFT(C418,4)</f>
        <v>IMLP</v>
      </c>
      <c r="G419" s="134"/>
      <c r="H419" s="134"/>
      <c r="I419" s="134" t="s">
        <v>741</v>
      </c>
      <c r="J419" s="294"/>
      <c r="K419" s="110">
        <v>0.94832211293039326</v>
      </c>
      <c r="L419" s="110">
        <f>1-(1-K419)*0.992^(L$4-K$4)</f>
        <v>0.95599133528740721</v>
      </c>
      <c r="M419" s="110">
        <f>1-(1-L419)*0.992^(M$4-L$4)</f>
        <v>0.96252241181655285</v>
      </c>
      <c r="N419" s="294"/>
      <c r="O419" s="29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294"/>
      <c r="AD419" s="299"/>
      <c r="AE419" s="9"/>
      <c r="AG419" s="9"/>
      <c r="AH419" s="9"/>
      <c r="AI419" s="11"/>
    </row>
    <row r="420" spans="1:35" s="7" customFormat="1" ht="12.75" x14ac:dyDescent="0.2">
      <c r="A420" s="52"/>
      <c r="B420" s="300"/>
      <c r="C420" s="301" t="s">
        <v>364</v>
      </c>
      <c r="D420" s="301" t="s">
        <v>365</v>
      </c>
      <c r="E420" s="301" t="s">
        <v>258</v>
      </c>
      <c r="F420" s="301"/>
      <c r="G420" s="302" t="s">
        <v>876</v>
      </c>
      <c r="H420" s="302" t="s">
        <v>1153</v>
      </c>
      <c r="I420" s="302" t="s">
        <v>735</v>
      </c>
      <c r="J420" s="303"/>
      <c r="K420" s="310">
        <v>0.36</v>
      </c>
      <c r="L420" s="310">
        <v>0.38</v>
      </c>
      <c r="M420" s="302">
        <v>0.4</v>
      </c>
      <c r="N420" s="303">
        <v>0.42</v>
      </c>
      <c r="O420" s="303"/>
      <c r="P420" s="302">
        <f>BaseYear+6</f>
        <v>2016</v>
      </c>
      <c r="Q420" s="134"/>
      <c r="R420" s="134"/>
      <c r="S420" s="134"/>
      <c r="T420" s="134">
        <v>1</v>
      </c>
      <c r="U420" s="134">
        <v>0.7</v>
      </c>
      <c r="V420" s="134">
        <v>15</v>
      </c>
      <c r="W420" s="296">
        <v>10.935925000000001</v>
      </c>
      <c r="X420" s="307">
        <v>1.0431190000000001</v>
      </c>
      <c r="Y420" s="134"/>
      <c r="Z420" s="134">
        <v>0.62</v>
      </c>
      <c r="AA420" s="134"/>
      <c r="AB420" s="134"/>
      <c r="AC420" s="294"/>
      <c r="AD420" s="299"/>
      <c r="AE420" s="9"/>
      <c r="AG420" s="9"/>
      <c r="AH420" s="9"/>
      <c r="AI420" s="11"/>
    </row>
    <row r="421" spans="1:35" s="7" customFormat="1" ht="12.75" x14ac:dyDescent="0.2">
      <c r="A421" s="24"/>
      <c r="B421" s="293"/>
      <c r="C421" s="134"/>
      <c r="D421" s="134"/>
      <c r="E421" s="134"/>
      <c r="F421" s="134" t="s">
        <v>1095</v>
      </c>
      <c r="G421" s="134"/>
      <c r="H421" s="134"/>
      <c r="I421" s="134"/>
      <c r="J421" s="294"/>
      <c r="K421" s="110"/>
      <c r="L421" s="110"/>
      <c r="M421" s="110"/>
      <c r="N421" s="295"/>
      <c r="O421" s="294"/>
      <c r="P421" s="134"/>
      <c r="Q421" s="134"/>
      <c r="R421" s="134"/>
      <c r="S421" s="134"/>
      <c r="T421" s="134"/>
      <c r="U421" s="134"/>
      <c r="V421" s="134"/>
      <c r="W421" s="296"/>
      <c r="X421" s="134"/>
      <c r="Y421" s="134"/>
      <c r="Z421" s="296"/>
      <c r="AA421" s="134"/>
      <c r="AB421" s="134"/>
      <c r="AC421" s="294"/>
      <c r="AD421" s="299"/>
      <c r="AE421" s="9"/>
      <c r="AG421" s="9"/>
      <c r="AH421" s="9"/>
      <c r="AI421" s="11"/>
    </row>
    <row r="422" spans="1:35" s="7" customFormat="1" ht="12.75" x14ac:dyDescent="0.2">
      <c r="A422" s="23"/>
      <c r="B422" s="293"/>
      <c r="C422" s="134" t="s">
        <v>366</v>
      </c>
      <c r="D422" s="134" t="s">
        <v>367</v>
      </c>
      <c r="E422" s="134" t="s">
        <v>690</v>
      </c>
      <c r="F422" s="134"/>
      <c r="G422" s="134" t="s">
        <v>876</v>
      </c>
      <c r="H422" s="134" t="s">
        <v>1153</v>
      </c>
      <c r="I422" s="134" t="s">
        <v>735</v>
      </c>
      <c r="J422" s="294"/>
      <c r="K422" s="110">
        <v>0.39</v>
      </c>
      <c r="L422" s="110">
        <v>0.41</v>
      </c>
      <c r="M422" s="110">
        <v>0.44</v>
      </c>
      <c r="N422" s="295">
        <v>0.46</v>
      </c>
      <c r="O422" s="294"/>
      <c r="P422" s="134">
        <f>BaseYear+6</f>
        <v>2016</v>
      </c>
      <c r="Q422" s="134"/>
      <c r="R422" s="134"/>
      <c r="S422" s="134"/>
      <c r="T422" s="134">
        <v>1</v>
      </c>
      <c r="U422" s="134">
        <v>0.7</v>
      </c>
      <c r="V422" s="134">
        <v>15</v>
      </c>
      <c r="W422" s="296">
        <v>10.935925000000001</v>
      </c>
      <c r="X422" s="307">
        <v>1.0431190000000001</v>
      </c>
      <c r="Y422" s="134"/>
      <c r="Z422" s="307">
        <v>0.99199999999999999</v>
      </c>
      <c r="AA422" s="134"/>
      <c r="AB422" s="134"/>
      <c r="AC422" s="294"/>
      <c r="AD422" s="299"/>
      <c r="AE422" s="9"/>
      <c r="AG422" s="9"/>
      <c r="AH422" s="9"/>
      <c r="AI422" s="11"/>
    </row>
    <row r="423" spans="1:35" s="7" customFormat="1" ht="12.75" x14ac:dyDescent="0.2">
      <c r="A423" s="23"/>
      <c r="B423" s="293"/>
      <c r="C423" s="134"/>
      <c r="D423" s="134"/>
      <c r="E423" s="134"/>
      <c r="F423" s="134" t="s">
        <v>1095</v>
      </c>
      <c r="G423" s="134"/>
      <c r="H423" s="134"/>
      <c r="I423" s="134" t="s">
        <v>958</v>
      </c>
      <c r="J423" s="311" t="s">
        <v>969</v>
      </c>
      <c r="K423" s="110">
        <v>0.06</v>
      </c>
      <c r="L423" s="110">
        <v>0.1</v>
      </c>
      <c r="M423" s="110">
        <v>0.15</v>
      </c>
      <c r="N423" s="295">
        <v>0.2</v>
      </c>
      <c r="O423" s="294"/>
      <c r="P423" s="134"/>
      <c r="Q423" s="134"/>
      <c r="R423" s="134"/>
      <c r="S423" s="134"/>
      <c r="T423" s="134"/>
      <c r="U423" s="134"/>
      <c r="V423" s="134"/>
      <c r="W423" s="296"/>
      <c r="X423" s="134"/>
      <c r="Y423" s="134"/>
      <c r="Z423" s="134"/>
      <c r="AA423" s="134"/>
      <c r="AB423" s="134"/>
      <c r="AC423" s="294"/>
      <c r="AD423" s="299"/>
      <c r="AE423" s="9"/>
      <c r="AG423" s="9"/>
      <c r="AH423" s="9"/>
      <c r="AI423" s="11"/>
    </row>
    <row r="424" spans="1:35" s="7" customFormat="1" ht="12.75" x14ac:dyDescent="0.2">
      <c r="A424" s="23"/>
      <c r="B424" s="293"/>
      <c r="C424" s="134" t="s">
        <v>277</v>
      </c>
      <c r="D424" s="134" t="s">
        <v>914</v>
      </c>
      <c r="E424" s="134" t="s">
        <v>693</v>
      </c>
      <c r="F424" s="134"/>
      <c r="G424" s="134" t="s">
        <v>876</v>
      </c>
      <c r="H424" s="134" t="s">
        <v>1153</v>
      </c>
      <c r="I424" s="134" t="s">
        <v>735</v>
      </c>
      <c r="J424" s="294"/>
      <c r="K424" s="110">
        <v>0.39</v>
      </c>
      <c r="L424" s="110">
        <v>0.41</v>
      </c>
      <c r="M424" s="110">
        <v>0.44</v>
      </c>
      <c r="N424" s="295">
        <v>0.46</v>
      </c>
      <c r="O424" s="294"/>
      <c r="P424" s="134">
        <f>BaseYear+6</f>
        <v>2016</v>
      </c>
      <c r="Q424" s="134"/>
      <c r="R424" s="134"/>
      <c r="S424" s="134"/>
      <c r="T424" s="134">
        <v>1</v>
      </c>
      <c r="U424" s="134">
        <v>0.7</v>
      </c>
      <c r="V424" s="134">
        <v>15</v>
      </c>
      <c r="W424" s="296">
        <v>10.935925000000001</v>
      </c>
      <c r="X424" s="307">
        <v>1.0431190000000001</v>
      </c>
      <c r="Y424" s="134"/>
      <c r="Z424" s="134">
        <v>1.25</v>
      </c>
      <c r="AA424" s="134"/>
      <c r="AB424" s="134"/>
      <c r="AC424" s="294"/>
      <c r="AD424" s="299"/>
      <c r="AE424" s="9"/>
      <c r="AG424" s="9"/>
      <c r="AH424" s="9"/>
      <c r="AI424" s="11"/>
    </row>
    <row r="425" spans="1:35" s="7" customFormat="1" ht="12.75" x14ac:dyDescent="0.2">
      <c r="A425" s="24"/>
      <c r="B425" s="293"/>
      <c r="C425" s="304"/>
      <c r="D425" s="134"/>
      <c r="E425" s="134"/>
      <c r="F425" s="134" t="s">
        <v>1095</v>
      </c>
      <c r="G425" s="134"/>
      <c r="H425" s="134"/>
      <c r="I425" s="134"/>
      <c r="J425" s="294"/>
      <c r="K425" s="308"/>
      <c r="L425" s="308"/>
      <c r="M425" s="304"/>
      <c r="N425" s="294"/>
      <c r="O425" s="29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294"/>
      <c r="AD425" s="299"/>
      <c r="AE425" s="9"/>
      <c r="AG425" s="9"/>
      <c r="AH425" s="9"/>
      <c r="AI425" s="11"/>
    </row>
    <row r="426" spans="1:35" s="7" customFormat="1" ht="12.75" x14ac:dyDescent="0.2">
      <c r="A426" s="23"/>
      <c r="B426" s="293"/>
      <c r="C426" s="134" t="s">
        <v>368</v>
      </c>
      <c r="D426" s="134" t="s">
        <v>369</v>
      </c>
      <c r="E426" s="134" t="s">
        <v>385</v>
      </c>
      <c r="F426" s="134"/>
      <c r="G426" s="134" t="s">
        <v>876</v>
      </c>
      <c r="H426" s="134" t="s">
        <v>1153</v>
      </c>
      <c r="I426" s="134" t="s">
        <v>735</v>
      </c>
      <c r="J426" s="294"/>
      <c r="K426" s="110">
        <v>0.83651484538714227</v>
      </c>
      <c r="L426" s="110">
        <f>1-(1-K426)*0.996^(L$4-K$4)</f>
        <v>0.84910839055887866</v>
      </c>
      <c r="M426" s="110">
        <f>1-(1-L426)*0.994^(M$4-L$4)</f>
        <v>0.86621951108835171</v>
      </c>
      <c r="N426" s="295"/>
      <c r="O426" s="294"/>
      <c r="P426" s="134">
        <f>BaseYear+1</f>
        <v>2011</v>
      </c>
      <c r="Q426" s="134"/>
      <c r="R426" s="134"/>
      <c r="S426" s="134"/>
      <c r="T426" s="134">
        <v>1</v>
      </c>
      <c r="U426" s="134">
        <v>0.7</v>
      </c>
      <c r="V426" s="134">
        <v>15</v>
      </c>
      <c r="W426" s="307">
        <v>0</v>
      </c>
      <c r="X426" s="307">
        <v>0</v>
      </c>
      <c r="Y426" s="134"/>
      <c r="Z426" s="307">
        <v>0.248</v>
      </c>
      <c r="AA426" s="134"/>
      <c r="AB426" s="134"/>
      <c r="AC426" s="294"/>
      <c r="AD426" s="299"/>
      <c r="AE426" s="9"/>
      <c r="AG426" s="9"/>
      <c r="AH426" s="9"/>
      <c r="AI426" s="11"/>
    </row>
    <row r="427" spans="1:35" s="7" customFormat="1" ht="12.75" x14ac:dyDescent="0.2">
      <c r="A427" s="23"/>
      <c r="B427" s="293"/>
      <c r="C427" s="134"/>
      <c r="D427" s="134"/>
      <c r="E427" s="134"/>
      <c r="F427" s="134" t="s">
        <v>1095</v>
      </c>
      <c r="G427" s="134"/>
      <c r="H427" s="134"/>
      <c r="I427" s="134"/>
      <c r="J427" s="294"/>
      <c r="K427" s="110"/>
      <c r="L427" s="110"/>
      <c r="M427" s="110"/>
      <c r="N427" s="294"/>
      <c r="O427" s="294"/>
      <c r="P427" s="134"/>
      <c r="Q427" s="134"/>
      <c r="R427" s="134"/>
      <c r="S427" s="134"/>
      <c r="T427" s="134"/>
      <c r="U427" s="134"/>
      <c r="V427" s="134"/>
      <c r="W427" s="307"/>
      <c r="X427" s="307"/>
      <c r="Y427" s="134"/>
      <c r="Z427" s="307"/>
      <c r="AA427" s="134"/>
      <c r="AB427" s="134"/>
      <c r="AC427" s="294"/>
      <c r="AD427" s="299"/>
      <c r="AE427" s="9"/>
      <c r="AG427" s="9"/>
      <c r="AH427" s="9"/>
      <c r="AI427" s="11"/>
    </row>
    <row r="428" spans="1:35" s="7" customFormat="1" ht="12.75" x14ac:dyDescent="0.2">
      <c r="A428" s="23"/>
      <c r="B428" s="293"/>
      <c r="C428" s="134" t="s">
        <v>370</v>
      </c>
      <c r="D428" s="134" t="s">
        <v>1005</v>
      </c>
      <c r="E428" s="134" t="s">
        <v>385</v>
      </c>
      <c r="F428" s="134"/>
      <c r="G428" s="134" t="s">
        <v>879</v>
      </c>
      <c r="H428" s="134" t="s">
        <v>1153</v>
      </c>
      <c r="I428" s="134" t="s">
        <v>735</v>
      </c>
      <c r="J428" s="294"/>
      <c r="K428" s="110">
        <v>0.89537788564876508</v>
      </c>
      <c r="L428" s="110">
        <f>1-(1-K428)*0.992^(L$4-K$4)</f>
        <v>0.91090426073720132</v>
      </c>
      <c r="M428" s="110">
        <f>1-(1-L428)*0.992^(M$4-L$4)</f>
        <v>0.92412645448805253</v>
      </c>
      <c r="N428" s="294"/>
      <c r="O428" s="294"/>
      <c r="P428" s="134">
        <f>BaseYear+6</f>
        <v>2016</v>
      </c>
      <c r="Q428" s="134"/>
      <c r="R428" s="134"/>
      <c r="S428" s="134"/>
      <c r="T428" s="134">
        <v>1</v>
      </c>
      <c r="U428" s="134">
        <v>0.7</v>
      </c>
      <c r="V428" s="134">
        <v>15</v>
      </c>
      <c r="W428" s="307">
        <v>3.947822322105599</v>
      </c>
      <c r="X428" s="307">
        <v>0.37656151380084174</v>
      </c>
      <c r="Y428" s="134"/>
      <c r="Z428" s="307">
        <v>0.248</v>
      </c>
      <c r="AA428" s="134"/>
      <c r="AB428" s="134"/>
      <c r="AC428" s="294"/>
      <c r="AD428" s="299"/>
      <c r="AE428" s="9"/>
      <c r="AG428" s="9"/>
      <c r="AH428" s="9"/>
      <c r="AI428" s="61"/>
    </row>
    <row r="429" spans="1:35" s="7" customFormat="1" ht="12.75" x14ac:dyDescent="0.2">
      <c r="A429" s="23"/>
      <c r="B429" s="293"/>
      <c r="C429" s="134"/>
      <c r="D429" s="134"/>
      <c r="E429" s="134"/>
      <c r="F429" s="134" t="s">
        <v>1095</v>
      </c>
      <c r="G429" s="134"/>
      <c r="H429" s="134"/>
      <c r="I429" s="134"/>
      <c r="J429" s="294"/>
      <c r="K429" s="110"/>
      <c r="L429" s="110"/>
      <c r="M429" s="110"/>
      <c r="N429" s="294"/>
      <c r="O429" s="294"/>
      <c r="P429" s="134"/>
      <c r="Q429" s="134"/>
      <c r="R429" s="134"/>
      <c r="S429" s="134"/>
      <c r="T429" s="134"/>
      <c r="U429" s="134"/>
      <c r="V429" s="134"/>
      <c r="W429" s="307"/>
      <c r="X429" s="307"/>
      <c r="Y429" s="134"/>
      <c r="Z429" s="307"/>
      <c r="AA429" s="134"/>
      <c r="AB429" s="134"/>
      <c r="AC429" s="294"/>
      <c r="AD429" s="299"/>
      <c r="AE429" s="9"/>
      <c r="AG429" s="9"/>
      <c r="AH429" s="9"/>
      <c r="AI429" s="11"/>
    </row>
    <row r="430" spans="1:35" s="7" customFormat="1" ht="12.75" x14ac:dyDescent="0.2">
      <c r="A430" s="23"/>
      <c r="B430" s="293"/>
      <c r="C430" s="134" t="s">
        <v>371</v>
      </c>
      <c r="D430" s="134" t="s">
        <v>372</v>
      </c>
      <c r="E430" s="134" t="s">
        <v>385</v>
      </c>
      <c r="F430" s="134"/>
      <c r="G430" s="134" t="s">
        <v>879</v>
      </c>
      <c r="H430" s="134" t="s">
        <v>1153</v>
      </c>
      <c r="I430" s="134" t="s">
        <v>735</v>
      </c>
      <c r="J430" s="294"/>
      <c r="K430" s="110">
        <v>0.93474849620005296</v>
      </c>
      <c r="L430" s="110">
        <f>1-(1-K430)*0.991^(L$4-K$4)</f>
        <v>0.94554175835479293</v>
      </c>
      <c r="M430" s="110">
        <f>1-(1-L430)*0.99^(M$4-L$4)</f>
        <v>0.95545822634903876</v>
      </c>
      <c r="N430" s="294"/>
      <c r="O430" s="294"/>
      <c r="P430" s="134">
        <f>BaseYear+6</f>
        <v>2016</v>
      </c>
      <c r="Q430" s="134"/>
      <c r="R430" s="134"/>
      <c r="S430" s="134"/>
      <c r="T430" s="134">
        <v>1</v>
      </c>
      <c r="U430" s="134">
        <v>0.7</v>
      </c>
      <c r="V430" s="134">
        <v>15</v>
      </c>
      <c r="W430" s="307">
        <v>6.6190533340023228</v>
      </c>
      <c r="X430" s="307">
        <v>0.63135585647406767</v>
      </c>
      <c r="Y430" s="134"/>
      <c r="Z430" s="307">
        <v>0.248</v>
      </c>
      <c r="AA430" s="134"/>
      <c r="AB430" s="134"/>
      <c r="AC430" s="294"/>
      <c r="AD430" s="299"/>
      <c r="AE430" s="9"/>
      <c r="AG430" s="9"/>
      <c r="AH430" s="9"/>
      <c r="AI430" s="61"/>
    </row>
    <row r="431" spans="1:35" s="7" customFormat="1" ht="12.75" x14ac:dyDescent="0.2">
      <c r="A431" s="23"/>
      <c r="B431" s="293"/>
      <c r="C431" s="134"/>
      <c r="D431" s="134"/>
      <c r="E431" s="134"/>
      <c r="F431" s="134" t="s">
        <v>1095</v>
      </c>
      <c r="G431" s="134"/>
      <c r="H431" s="134"/>
      <c r="I431" s="134"/>
      <c r="J431" s="294"/>
      <c r="K431" s="308"/>
      <c r="L431" s="308"/>
      <c r="M431" s="304"/>
      <c r="N431" s="294"/>
      <c r="O431" s="29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294"/>
      <c r="AD431" s="299"/>
      <c r="AE431" s="9"/>
      <c r="AG431" s="9"/>
      <c r="AH431" s="9"/>
      <c r="AI431" s="11"/>
    </row>
    <row r="432" spans="1:35" customFormat="1" ht="12.75" x14ac:dyDescent="0.2"/>
    <row r="433" spans="1:35" customFormat="1" ht="12.75" x14ac:dyDescent="0.2"/>
    <row r="434" spans="1:35" customFormat="1" ht="12.75" x14ac:dyDescent="0.2"/>
    <row r="435" spans="1:35" customFormat="1" x14ac:dyDescent="0.25">
      <c r="B435" s="397" t="s">
        <v>1333</v>
      </c>
      <c r="C435" s="395"/>
      <c r="D435" s="396"/>
      <c r="J435" s="23" t="s">
        <v>82</v>
      </c>
    </row>
    <row r="436" spans="1:35" customFormat="1" ht="39" thickBot="1" x14ac:dyDescent="0.25">
      <c r="B436" s="116" t="s">
        <v>254</v>
      </c>
      <c r="C436" s="314" t="s">
        <v>1126</v>
      </c>
      <c r="D436" s="314" t="s">
        <v>1127</v>
      </c>
      <c r="E436" s="315" t="s">
        <v>1128</v>
      </c>
      <c r="F436" s="315" t="s">
        <v>289</v>
      </c>
      <c r="G436" s="314" t="s">
        <v>1301</v>
      </c>
      <c r="H436" s="315" t="s">
        <v>1154</v>
      </c>
      <c r="I436" s="315" t="s">
        <v>942</v>
      </c>
      <c r="J436" s="364" t="s">
        <v>943</v>
      </c>
      <c r="K436" s="316">
        <v>2020</v>
      </c>
      <c r="L436" s="316">
        <v>2035</v>
      </c>
      <c r="M436" s="316">
        <v>2050</v>
      </c>
      <c r="N436" s="316">
        <v>2100</v>
      </c>
      <c r="O436" s="317" t="s">
        <v>726</v>
      </c>
      <c r="P436" s="318" t="s">
        <v>318</v>
      </c>
      <c r="Q436" s="314" t="s">
        <v>735</v>
      </c>
      <c r="R436" s="314" t="s">
        <v>1130</v>
      </c>
      <c r="S436" s="314" t="s">
        <v>1129</v>
      </c>
      <c r="T436" s="314" t="s">
        <v>698</v>
      </c>
      <c r="U436" s="314" t="s">
        <v>329</v>
      </c>
      <c r="V436" s="314" t="s">
        <v>541</v>
      </c>
      <c r="W436" s="314" t="s">
        <v>319</v>
      </c>
      <c r="X436" s="314" t="s">
        <v>320</v>
      </c>
      <c r="Y436" s="314" t="s">
        <v>321</v>
      </c>
      <c r="Z436" s="314" t="s">
        <v>724</v>
      </c>
      <c r="AA436" s="20" t="s">
        <v>765</v>
      </c>
      <c r="AB436" s="20" t="s">
        <v>1321</v>
      </c>
      <c r="AC436" s="20" t="s">
        <v>1322</v>
      </c>
    </row>
    <row r="437" spans="1:35" customFormat="1" ht="12.75" x14ac:dyDescent="0.2">
      <c r="A437" s="52"/>
      <c r="B437" s="180"/>
      <c r="C437" s="180" t="s">
        <v>895</v>
      </c>
      <c r="D437" s="180" t="s">
        <v>896</v>
      </c>
      <c r="E437" s="180" t="s">
        <v>690</v>
      </c>
      <c r="F437" s="180"/>
      <c r="G437" s="320" t="s">
        <v>1303</v>
      </c>
      <c r="H437" s="180"/>
      <c r="I437" s="180" t="s">
        <v>319</v>
      </c>
      <c r="J437" s="181"/>
      <c r="K437" s="339">
        <v>2.1441616033586777</v>
      </c>
      <c r="L437" s="339">
        <v>1.949237821235162</v>
      </c>
      <c r="M437" s="339">
        <v>1.949237821235162</v>
      </c>
      <c r="N437" s="339">
        <v>1.949237821235162</v>
      </c>
      <c r="O437" s="319"/>
      <c r="P437" s="320">
        <v>2015</v>
      </c>
      <c r="Q437" s="180"/>
      <c r="R437" s="180"/>
      <c r="S437" s="180"/>
      <c r="T437" s="320">
        <v>1</v>
      </c>
      <c r="U437" s="320">
        <v>0.75</v>
      </c>
      <c r="V437" s="180">
        <v>25</v>
      </c>
      <c r="W437" s="180"/>
      <c r="X437" s="180">
        <v>0.15537271843155029</v>
      </c>
      <c r="Y437" s="180">
        <v>0.27859477124183007</v>
      </c>
      <c r="Z437" s="180">
        <v>0</v>
      </c>
      <c r="AA437" s="320"/>
      <c r="AB437" s="180"/>
      <c r="AC437" s="180"/>
    </row>
    <row r="438" spans="1:35" s="7" customFormat="1" ht="12.75" x14ac:dyDescent="0.2">
      <c r="A438" s="23"/>
      <c r="B438" s="304"/>
      <c r="C438" s="304"/>
      <c r="D438" s="304"/>
      <c r="E438" s="304"/>
      <c r="F438" s="304" t="s">
        <v>1065</v>
      </c>
      <c r="G438" s="180"/>
      <c r="H438" s="180" t="s">
        <v>1153</v>
      </c>
      <c r="I438" s="180" t="s">
        <v>735</v>
      </c>
      <c r="J438" s="181"/>
      <c r="K438" s="339">
        <v>0.91408217019403482</v>
      </c>
      <c r="L438" s="339">
        <v>0.92500114148098089</v>
      </c>
      <c r="M438" s="339">
        <v>0.93616019396572081</v>
      </c>
      <c r="N438" s="339">
        <v>0.93871793304760986</v>
      </c>
      <c r="O438" s="319"/>
      <c r="P438" s="320" t="s">
        <v>382</v>
      </c>
      <c r="Q438" s="180"/>
      <c r="R438" s="180"/>
      <c r="S438" s="180"/>
      <c r="T438" s="320" t="s">
        <v>382</v>
      </c>
      <c r="U438" s="320" t="s">
        <v>382</v>
      </c>
      <c r="V438" s="180" t="s">
        <v>382</v>
      </c>
      <c r="W438" s="180"/>
      <c r="X438" s="180" t="s">
        <v>382</v>
      </c>
      <c r="Y438" s="180" t="s">
        <v>382</v>
      </c>
      <c r="Z438" s="180" t="s">
        <v>382</v>
      </c>
      <c r="AA438" s="320"/>
      <c r="AB438" s="180"/>
      <c r="AC438" s="180"/>
      <c r="AD438" s="60"/>
      <c r="AE438" s="9"/>
      <c r="AG438" s="9"/>
      <c r="AH438" s="9"/>
      <c r="AI438" s="11"/>
    </row>
    <row r="439" spans="1:35" s="7" customFormat="1" ht="12.75" x14ac:dyDescent="0.2">
      <c r="A439" s="23"/>
      <c r="B439" s="304"/>
      <c r="C439" s="304" t="s">
        <v>897</v>
      </c>
      <c r="D439" s="304" t="s">
        <v>898</v>
      </c>
      <c r="E439" s="304" t="s">
        <v>691</v>
      </c>
      <c r="F439" s="304"/>
      <c r="G439" s="320" t="s">
        <v>1303</v>
      </c>
      <c r="H439" s="180"/>
      <c r="I439" s="180" t="s">
        <v>319</v>
      </c>
      <c r="J439" s="181"/>
      <c r="K439" s="339">
        <v>13.961018383666641</v>
      </c>
      <c r="L439" s="339">
        <v>12.894693646103798</v>
      </c>
      <c r="M439" s="339">
        <v>12.734411582929729</v>
      </c>
      <c r="N439" s="339">
        <v>12.734411582929729</v>
      </c>
      <c r="O439" s="319"/>
      <c r="P439" s="320">
        <v>2015</v>
      </c>
      <c r="Q439" s="180"/>
      <c r="R439" s="180"/>
      <c r="S439" s="180"/>
      <c r="T439" s="320">
        <v>1</v>
      </c>
      <c r="U439" s="320">
        <v>0.75</v>
      </c>
      <c r="V439" s="180">
        <v>25</v>
      </c>
      <c r="W439" s="180"/>
      <c r="X439" s="180">
        <v>0.94252693467036719</v>
      </c>
      <c r="Y439" s="180">
        <v>0.481968954248366</v>
      </c>
      <c r="Z439" s="180">
        <v>0.372</v>
      </c>
      <c r="AA439" s="320"/>
      <c r="AB439" s="180"/>
      <c r="AC439" s="180"/>
      <c r="AD439" s="60"/>
      <c r="AE439" s="9"/>
      <c r="AG439" s="9"/>
      <c r="AH439" s="9"/>
      <c r="AI439" s="11"/>
    </row>
    <row r="440" spans="1:35" s="7" customFormat="1" ht="12.75" x14ac:dyDescent="0.2">
      <c r="A440" s="23"/>
      <c r="B440" s="304"/>
      <c r="C440" s="304"/>
      <c r="D440" s="304"/>
      <c r="E440" s="304"/>
      <c r="F440" s="304" t="s">
        <v>1065</v>
      </c>
      <c r="G440" s="180"/>
      <c r="H440" s="180" t="s">
        <v>1153</v>
      </c>
      <c r="I440" s="180" t="s">
        <v>735</v>
      </c>
      <c r="J440" s="181"/>
      <c r="K440" s="339">
        <v>0.87957453684255027</v>
      </c>
      <c r="L440" s="339">
        <v>0.89519729773839829</v>
      </c>
      <c r="M440" s="339">
        <v>0.90630922515742807</v>
      </c>
      <c r="N440" s="339">
        <v>0.90876770483476066</v>
      </c>
      <c r="O440" s="319"/>
      <c r="P440" s="320" t="s">
        <v>382</v>
      </c>
      <c r="Q440" s="180"/>
      <c r="R440" s="180"/>
      <c r="S440" s="180"/>
      <c r="T440" s="320" t="s">
        <v>382</v>
      </c>
      <c r="U440" s="320" t="s">
        <v>382</v>
      </c>
      <c r="V440" s="180" t="s">
        <v>382</v>
      </c>
      <c r="W440" s="180"/>
      <c r="X440" s="180" t="s">
        <v>382</v>
      </c>
      <c r="Y440" s="180" t="s">
        <v>382</v>
      </c>
      <c r="Z440" s="180" t="s">
        <v>382</v>
      </c>
      <c r="AA440" s="320"/>
      <c r="AB440" s="180"/>
      <c r="AC440" s="180"/>
      <c r="AD440" s="60"/>
      <c r="AE440" s="9"/>
      <c r="AG440" s="9"/>
      <c r="AH440" s="9"/>
      <c r="AI440" s="11"/>
    </row>
    <row r="441" spans="1:35" s="7" customFormat="1" ht="12.75" x14ac:dyDescent="0.2">
      <c r="A441" s="23"/>
      <c r="B441" s="304"/>
      <c r="C441" s="304" t="s">
        <v>899</v>
      </c>
      <c r="D441" s="304" t="s">
        <v>900</v>
      </c>
      <c r="E441" s="304" t="s">
        <v>267</v>
      </c>
      <c r="F441" s="304"/>
      <c r="G441" s="320" t="s">
        <v>1303</v>
      </c>
      <c r="H441" s="180"/>
      <c r="I441" s="180" t="s">
        <v>319</v>
      </c>
      <c r="J441" s="181"/>
      <c r="K441" s="339">
        <v>1.8792714955084009</v>
      </c>
      <c r="L441" s="339">
        <v>1.7084286322803646</v>
      </c>
      <c r="M441" s="339">
        <v>1.7084286322803646</v>
      </c>
      <c r="N441" s="339">
        <v>1.7084286322803646</v>
      </c>
      <c r="O441" s="319"/>
      <c r="P441" s="320">
        <v>2015</v>
      </c>
      <c r="Q441" s="180"/>
      <c r="R441" s="180"/>
      <c r="S441" s="180"/>
      <c r="T441" s="320">
        <v>1</v>
      </c>
      <c r="U441" s="320">
        <v>0.75</v>
      </c>
      <c r="V441" s="180">
        <v>25</v>
      </c>
      <c r="W441" s="180"/>
      <c r="X441" s="180">
        <v>0.10099226698050767</v>
      </c>
      <c r="Y441" s="180">
        <v>0.36324314055132401</v>
      </c>
      <c r="Z441" s="180">
        <v>0</v>
      </c>
      <c r="AA441" s="320"/>
      <c r="AB441" s="180"/>
      <c r="AC441" s="180"/>
      <c r="AD441" s="60"/>
      <c r="AE441" s="9"/>
      <c r="AG441" s="9"/>
      <c r="AH441" s="9"/>
      <c r="AI441" s="11"/>
    </row>
    <row r="442" spans="1:35" s="7" customFormat="1" ht="12.75" x14ac:dyDescent="0.2">
      <c r="A442" s="23"/>
      <c r="B442" s="304"/>
      <c r="C442" s="304"/>
      <c r="D442" s="304"/>
      <c r="E442" s="304"/>
      <c r="F442" s="304" t="s">
        <v>1065</v>
      </c>
      <c r="G442" s="180"/>
      <c r="H442" s="180" t="s">
        <v>1153</v>
      </c>
      <c r="I442" s="180" t="s">
        <v>735</v>
      </c>
      <c r="J442" s="181"/>
      <c r="K442" s="339">
        <v>0.91408217019403482</v>
      </c>
      <c r="L442" s="339">
        <v>0.92500114148098089</v>
      </c>
      <c r="M442" s="339">
        <v>0.93616019396572081</v>
      </c>
      <c r="N442" s="339">
        <v>0.93871793304760986</v>
      </c>
      <c r="O442" s="319"/>
      <c r="P442" s="320" t="s">
        <v>382</v>
      </c>
      <c r="Q442" s="180"/>
      <c r="R442" s="180"/>
      <c r="S442" s="180"/>
      <c r="T442" s="320" t="s">
        <v>382</v>
      </c>
      <c r="U442" s="320" t="s">
        <v>382</v>
      </c>
      <c r="V442" s="180" t="s">
        <v>382</v>
      </c>
      <c r="W442" s="180"/>
      <c r="X442" s="180" t="s">
        <v>382</v>
      </c>
      <c r="Y442" s="180" t="s">
        <v>382</v>
      </c>
      <c r="Z442" s="180" t="s">
        <v>382</v>
      </c>
      <c r="AA442" s="320"/>
      <c r="AB442" s="180"/>
      <c r="AC442" s="180"/>
      <c r="AD442" s="60"/>
      <c r="AE442" s="9"/>
      <c r="AG442" s="9"/>
      <c r="AH442" s="9"/>
      <c r="AI442" s="11"/>
    </row>
    <row r="443" spans="1:35" s="7" customFormat="1" ht="12.75" x14ac:dyDescent="0.2">
      <c r="A443" s="23"/>
      <c r="B443" s="304"/>
      <c r="C443" s="304" t="s">
        <v>901</v>
      </c>
      <c r="D443" s="304" t="s">
        <v>902</v>
      </c>
      <c r="E443" s="304" t="s">
        <v>268</v>
      </c>
      <c r="F443" s="304"/>
      <c r="G443" s="320" t="s">
        <v>1303</v>
      </c>
      <c r="H443" s="180"/>
      <c r="I443" s="180" t="s">
        <v>319</v>
      </c>
      <c r="J443" s="181"/>
      <c r="K443" s="339">
        <v>1.8792714955084009</v>
      </c>
      <c r="L443" s="339">
        <v>1.7084286322803646</v>
      </c>
      <c r="M443" s="339">
        <v>1.7084286322803646</v>
      </c>
      <c r="N443" s="339">
        <v>1.7084286322803646</v>
      </c>
      <c r="O443" s="319"/>
      <c r="P443" s="320">
        <v>2015</v>
      </c>
      <c r="Q443" s="180"/>
      <c r="R443" s="180"/>
      <c r="S443" s="180"/>
      <c r="T443" s="320">
        <v>1</v>
      </c>
      <c r="U443" s="320">
        <v>0.75</v>
      </c>
      <c r="V443" s="180">
        <v>25</v>
      </c>
      <c r="W443" s="180"/>
      <c r="X443" s="180">
        <v>0.10099226698050767</v>
      </c>
      <c r="Y443" s="180">
        <v>0.36324314055132401</v>
      </c>
      <c r="Z443" s="180">
        <v>0</v>
      </c>
      <c r="AA443" s="320"/>
      <c r="AB443" s="180"/>
      <c r="AC443" s="180"/>
      <c r="AD443" s="60"/>
      <c r="AE443" s="9"/>
      <c r="AG443" s="9"/>
      <c r="AH443" s="9"/>
      <c r="AI443" s="11"/>
    </row>
    <row r="444" spans="1:35" s="7" customFormat="1" ht="12.75" x14ac:dyDescent="0.2">
      <c r="A444" s="23"/>
      <c r="B444" s="304"/>
      <c r="C444" s="304"/>
      <c r="D444" s="304"/>
      <c r="E444" s="304"/>
      <c r="F444" s="304" t="s">
        <v>631</v>
      </c>
      <c r="G444" s="180"/>
      <c r="H444" s="180" t="s">
        <v>1153</v>
      </c>
      <c r="I444" s="180" t="s">
        <v>735</v>
      </c>
      <c r="J444" s="181"/>
      <c r="K444" s="339">
        <v>0.91408217019403482</v>
      </c>
      <c r="L444" s="339">
        <v>0.92500114148098089</v>
      </c>
      <c r="M444" s="339">
        <v>0.93616019396572081</v>
      </c>
      <c r="N444" s="339">
        <v>0.93871793304760986</v>
      </c>
      <c r="O444" s="319"/>
      <c r="P444" s="320" t="s">
        <v>382</v>
      </c>
      <c r="Q444" s="180"/>
      <c r="R444" s="180"/>
      <c r="S444" s="180"/>
      <c r="T444" s="320" t="s">
        <v>382</v>
      </c>
      <c r="U444" s="320" t="s">
        <v>382</v>
      </c>
      <c r="V444" s="180" t="s">
        <v>382</v>
      </c>
      <c r="W444" s="180"/>
      <c r="X444" s="180" t="s">
        <v>382</v>
      </c>
      <c r="Y444" s="180" t="s">
        <v>382</v>
      </c>
      <c r="Z444" s="180" t="s">
        <v>382</v>
      </c>
      <c r="AA444" s="320"/>
      <c r="AB444" s="180"/>
      <c r="AC444" s="180"/>
      <c r="AD444" s="60"/>
      <c r="AE444" s="9"/>
      <c r="AG444" s="9"/>
      <c r="AH444" s="9"/>
      <c r="AI444" s="11"/>
    </row>
    <row r="445" spans="1:35" s="7" customFormat="1" ht="12.75" x14ac:dyDescent="0.2">
      <c r="A445" s="23"/>
      <c r="B445" s="304"/>
      <c r="C445" s="304" t="s">
        <v>903</v>
      </c>
      <c r="D445" s="304" t="s">
        <v>904</v>
      </c>
      <c r="E445" s="304" t="s">
        <v>688</v>
      </c>
      <c r="F445" s="304"/>
      <c r="G445" s="320" t="s">
        <v>1303</v>
      </c>
      <c r="H445" s="180"/>
      <c r="I445" s="180" t="s">
        <v>319</v>
      </c>
      <c r="J445" s="181"/>
      <c r="K445" s="339">
        <v>2.1144693762300002</v>
      </c>
      <c r="L445" s="339">
        <v>1.8568358850389468</v>
      </c>
      <c r="M445" s="339">
        <v>1.8337552679418814</v>
      </c>
      <c r="N445" s="339">
        <v>1.8337552679418814</v>
      </c>
      <c r="O445" s="319"/>
      <c r="P445" s="320">
        <v>2015</v>
      </c>
      <c r="Q445" s="180"/>
      <c r="R445" s="180"/>
      <c r="S445" s="180"/>
      <c r="T445" s="320">
        <v>1</v>
      </c>
      <c r="U445" s="320">
        <v>0.75</v>
      </c>
      <c r="V445" s="180">
        <v>25</v>
      </c>
      <c r="W445" s="180"/>
      <c r="X445" s="180">
        <v>0.10009274071590396</v>
      </c>
      <c r="Y445" s="180">
        <v>0.43867299864898024</v>
      </c>
      <c r="Z445" s="180">
        <v>0</v>
      </c>
      <c r="AA445" s="320"/>
      <c r="AB445" s="180"/>
      <c r="AC445" s="180"/>
      <c r="AD445" s="60"/>
      <c r="AE445" s="9"/>
      <c r="AG445" s="9"/>
      <c r="AH445" s="9"/>
      <c r="AI445" s="11"/>
    </row>
    <row r="446" spans="1:35" s="7" customFormat="1" ht="12.75" x14ac:dyDescent="0.2">
      <c r="A446" s="23"/>
      <c r="B446" s="304"/>
      <c r="C446" s="304"/>
      <c r="D446" s="304"/>
      <c r="E446" s="304"/>
      <c r="F446" s="304" t="s">
        <v>1065</v>
      </c>
      <c r="G446" s="180"/>
      <c r="H446" s="180" t="s">
        <v>1153</v>
      </c>
      <c r="I446" s="180" t="s">
        <v>735</v>
      </c>
      <c r="J446" s="181"/>
      <c r="K446" s="339">
        <v>0.93379349784189936</v>
      </c>
      <c r="L446" s="339">
        <v>0.95480384185036382</v>
      </c>
      <c r="M446" s="339">
        <v>0.95606036124232641</v>
      </c>
      <c r="N446" s="339">
        <v>0.95868459174455734</v>
      </c>
      <c r="O446" s="319"/>
      <c r="P446" s="320" t="s">
        <v>382</v>
      </c>
      <c r="Q446" s="180"/>
      <c r="R446" s="180"/>
      <c r="S446" s="180"/>
      <c r="T446" s="320" t="s">
        <v>382</v>
      </c>
      <c r="U446" s="320" t="s">
        <v>382</v>
      </c>
      <c r="V446" s="180" t="s">
        <v>382</v>
      </c>
      <c r="W446" s="180"/>
      <c r="X446" s="180" t="s">
        <v>382</v>
      </c>
      <c r="Y446" s="180" t="s">
        <v>382</v>
      </c>
      <c r="Z446" s="180" t="s">
        <v>382</v>
      </c>
      <c r="AA446" s="320"/>
      <c r="AB446" s="180"/>
      <c r="AC446" s="180"/>
      <c r="AD446" s="60"/>
      <c r="AE446" s="9"/>
      <c r="AG446" s="9"/>
      <c r="AH446" s="9"/>
      <c r="AI446" s="11"/>
    </row>
    <row r="447" spans="1:35" s="7" customFormat="1" ht="12.75" x14ac:dyDescent="0.2">
      <c r="A447" s="23"/>
      <c r="B447" s="304"/>
      <c r="C447" s="304" t="s">
        <v>905</v>
      </c>
      <c r="D447" s="304" t="s">
        <v>906</v>
      </c>
      <c r="E447" s="304" t="s">
        <v>689</v>
      </c>
      <c r="F447" s="304"/>
      <c r="G447" s="320" t="s">
        <v>1303</v>
      </c>
      <c r="H447" s="180"/>
      <c r="I447" s="180" t="s">
        <v>319</v>
      </c>
      <c r="J447" s="181"/>
      <c r="K447" s="339">
        <v>1.9088959646520836</v>
      </c>
      <c r="L447" s="339">
        <v>1.6763101739934936</v>
      </c>
      <c r="M447" s="339">
        <v>1.6554735057808652</v>
      </c>
      <c r="N447" s="339">
        <v>1.6554735057808652</v>
      </c>
      <c r="O447" s="319"/>
      <c r="P447" s="320">
        <v>2011</v>
      </c>
      <c r="Q447" s="180"/>
      <c r="R447" s="180"/>
      <c r="S447" s="180"/>
      <c r="T447" s="320">
        <v>1</v>
      </c>
      <c r="U447" s="320">
        <v>0.75</v>
      </c>
      <c r="V447" s="180">
        <v>25</v>
      </c>
      <c r="W447" s="180"/>
      <c r="X447" s="180">
        <v>9.0361502035191096E-2</v>
      </c>
      <c r="Y447" s="180">
        <v>0.33022103686484</v>
      </c>
      <c r="Z447" s="180">
        <v>0</v>
      </c>
      <c r="AA447" s="320"/>
      <c r="AB447" s="180"/>
      <c r="AC447" s="180"/>
      <c r="AD447" s="60"/>
      <c r="AE447" s="9"/>
      <c r="AG447" s="9"/>
      <c r="AH447" s="9"/>
      <c r="AI447" s="11"/>
    </row>
    <row r="448" spans="1:35" s="7" customFormat="1" ht="12.75" x14ac:dyDescent="0.2">
      <c r="A448" s="23"/>
      <c r="B448" s="304"/>
      <c r="C448" s="304"/>
      <c r="D448" s="304"/>
      <c r="E448" s="304"/>
      <c r="F448" s="304" t="s">
        <v>1065</v>
      </c>
      <c r="G448" s="180"/>
      <c r="H448" s="180" t="s">
        <v>1153</v>
      </c>
      <c r="I448" s="180" t="s">
        <v>735</v>
      </c>
      <c r="J448" s="181"/>
      <c r="K448" s="339">
        <v>0.93379349784189936</v>
      </c>
      <c r="L448" s="339">
        <v>0.95480384185036382</v>
      </c>
      <c r="M448" s="339">
        <v>0.95606036124232641</v>
      </c>
      <c r="N448" s="339">
        <v>0.95868459174455734</v>
      </c>
      <c r="O448" s="319"/>
      <c r="P448" s="320" t="s">
        <v>382</v>
      </c>
      <c r="Q448" s="180"/>
      <c r="R448" s="180"/>
      <c r="S448" s="180"/>
      <c r="T448" s="320" t="s">
        <v>382</v>
      </c>
      <c r="U448" s="320" t="s">
        <v>382</v>
      </c>
      <c r="V448" s="180" t="s">
        <v>382</v>
      </c>
      <c r="W448" s="180"/>
      <c r="X448" s="180" t="s">
        <v>382</v>
      </c>
      <c r="Y448" s="180" t="s">
        <v>382</v>
      </c>
      <c r="Z448" s="180" t="s">
        <v>382</v>
      </c>
      <c r="AA448" s="320"/>
      <c r="AB448" s="180"/>
      <c r="AC448" s="180"/>
      <c r="AD448" s="60"/>
      <c r="AE448" s="9"/>
      <c r="AG448" s="9"/>
      <c r="AH448" s="9"/>
      <c r="AI448" s="11"/>
    </row>
    <row r="449" spans="1:35" s="7" customFormat="1" ht="12.75" x14ac:dyDescent="0.2">
      <c r="A449" s="23"/>
      <c r="B449" s="304"/>
      <c r="C449" s="304" t="s">
        <v>907</v>
      </c>
      <c r="D449" s="304" t="s">
        <v>908</v>
      </c>
      <c r="E449" s="304" t="s">
        <v>980</v>
      </c>
      <c r="F449" s="304"/>
      <c r="G449" s="320" t="s">
        <v>1303</v>
      </c>
      <c r="H449" s="180"/>
      <c r="I449" s="180" t="s">
        <v>319</v>
      </c>
      <c r="J449" s="181"/>
      <c r="K449" s="339">
        <v>1.9088959646520836</v>
      </c>
      <c r="L449" s="339">
        <v>1.6763101739934936</v>
      </c>
      <c r="M449" s="339">
        <v>1.6554735057808652</v>
      </c>
      <c r="N449" s="339">
        <v>1.6554735057808652</v>
      </c>
      <c r="O449" s="319"/>
      <c r="P449" s="320">
        <v>2015</v>
      </c>
      <c r="Q449" s="180"/>
      <c r="R449" s="180"/>
      <c r="S449" s="180"/>
      <c r="T449" s="320">
        <v>1</v>
      </c>
      <c r="U449" s="320">
        <v>0.75</v>
      </c>
      <c r="V449" s="180">
        <v>25</v>
      </c>
      <c r="W449" s="180"/>
      <c r="X449" s="180">
        <v>9.0361502035191096E-2</v>
      </c>
      <c r="Y449" s="180">
        <v>0.25326797385620914</v>
      </c>
      <c r="Z449" s="180">
        <v>0</v>
      </c>
      <c r="AA449" s="320"/>
      <c r="AB449" s="180"/>
      <c r="AC449" s="180"/>
      <c r="AD449" s="60"/>
      <c r="AE449" s="9"/>
      <c r="AG449" s="9"/>
      <c r="AH449" s="9"/>
      <c r="AI449" s="11"/>
    </row>
    <row r="450" spans="1:35" s="7" customFormat="1" ht="12.75" x14ac:dyDescent="0.2">
      <c r="A450" s="23"/>
      <c r="B450" s="304"/>
      <c r="C450" s="304"/>
      <c r="D450" s="304"/>
      <c r="E450" s="304"/>
      <c r="F450" s="304" t="s">
        <v>278</v>
      </c>
      <c r="G450" s="180"/>
      <c r="H450" s="180" t="s">
        <v>1153</v>
      </c>
      <c r="I450" s="180" t="s">
        <v>735</v>
      </c>
      <c r="J450" s="181"/>
      <c r="K450" s="339">
        <v>0.93379349784189936</v>
      </c>
      <c r="L450" s="339">
        <v>0.95480384185036382</v>
      </c>
      <c r="M450" s="339">
        <v>0.95606036124232641</v>
      </c>
      <c r="N450" s="339">
        <v>0.95868459174455734</v>
      </c>
      <c r="O450" s="319"/>
      <c r="P450" s="320" t="s">
        <v>382</v>
      </c>
      <c r="Q450" s="180"/>
      <c r="R450" s="180"/>
      <c r="S450" s="180"/>
      <c r="T450" s="320" t="s">
        <v>382</v>
      </c>
      <c r="U450" s="320" t="s">
        <v>382</v>
      </c>
      <c r="V450" s="180" t="s">
        <v>382</v>
      </c>
      <c r="W450" s="180"/>
      <c r="X450" s="180" t="s">
        <v>382</v>
      </c>
      <c r="Y450" s="180" t="s">
        <v>382</v>
      </c>
      <c r="Z450" s="180" t="s">
        <v>382</v>
      </c>
      <c r="AA450" s="320"/>
      <c r="AB450" s="180"/>
      <c r="AC450" s="180"/>
      <c r="AD450" s="60"/>
      <c r="AE450" s="9"/>
      <c r="AG450" s="9"/>
      <c r="AH450" s="9"/>
      <c r="AI450" s="11"/>
    </row>
    <row r="451" spans="1:35" s="7" customFormat="1" ht="12.75" x14ac:dyDescent="0.2">
      <c r="A451" s="23"/>
      <c r="B451" s="304"/>
      <c r="C451" s="304" t="s">
        <v>1278</v>
      </c>
      <c r="D451" s="304" t="s">
        <v>1279</v>
      </c>
      <c r="E451" s="304" t="s">
        <v>843</v>
      </c>
      <c r="F451" s="304"/>
      <c r="G451" s="320" t="s">
        <v>1303</v>
      </c>
      <c r="H451" s="180"/>
      <c r="I451" s="180" t="s">
        <v>319</v>
      </c>
      <c r="J451" s="181"/>
      <c r="K451" s="339">
        <v>2.1683901871250777</v>
      </c>
      <c r="L451" s="339">
        <v>2.0238308413167392</v>
      </c>
      <c r="M451" s="339">
        <v>2.0238308413167392</v>
      </c>
      <c r="N451" s="339">
        <v>2.0238308413167392</v>
      </c>
      <c r="O451" s="319"/>
      <c r="P451" s="320">
        <v>2015</v>
      </c>
      <c r="Q451" s="180"/>
      <c r="R451" s="180"/>
      <c r="S451" s="180"/>
      <c r="T451" s="320">
        <v>1</v>
      </c>
      <c r="U451" s="320">
        <v>0.75</v>
      </c>
      <c r="V451" s="180">
        <v>25</v>
      </c>
      <c r="W451" s="180"/>
      <c r="X451" s="180">
        <v>2.949010654490106E-2</v>
      </c>
      <c r="Y451" s="180">
        <v>0.21907679738562086</v>
      </c>
      <c r="Z451" s="180">
        <v>0</v>
      </c>
      <c r="AA451" s="320"/>
      <c r="AB451" s="320"/>
      <c r="AC451" s="320"/>
      <c r="AD451" s="60"/>
      <c r="AE451" s="9"/>
      <c r="AG451" s="9"/>
      <c r="AH451" s="9"/>
      <c r="AI451" s="11"/>
    </row>
    <row r="452" spans="1:35" s="7" customFormat="1" ht="12.75" x14ac:dyDescent="0.2">
      <c r="A452" s="23"/>
      <c r="B452" s="304"/>
      <c r="C452" s="304"/>
      <c r="D452" s="304"/>
      <c r="E452" s="304"/>
      <c r="F452" s="304" t="s">
        <v>278</v>
      </c>
      <c r="G452" s="180"/>
      <c r="H452" s="180" t="s">
        <v>1153</v>
      </c>
      <c r="I452" s="180" t="s">
        <v>735</v>
      </c>
      <c r="J452" s="181"/>
      <c r="K452" s="339">
        <v>0.97812971468521281</v>
      </c>
      <c r="L452" s="339">
        <v>0.98460543463062267</v>
      </c>
      <c r="M452" s="339">
        <v>0.98590991415891538</v>
      </c>
      <c r="N452" s="339">
        <v>0.98863434627440194</v>
      </c>
      <c r="O452" s="319"/>
      <c r="P452" s="320" t="s">
        <v>382</v>
      </c>
      <c r="Q452" s="180"/>
      <c r="R452" s="180"/>
      <c r="S452" s="180"/>
      <c r="T452" s="320" t="s">
        <v>382</v>
      </c>
      <c r="U452" s="320" t="s">
        <v>382</v>
      </c>
      <c r="V452" s="180" t="s">
        <v>382</v>
      </c>
      <c r="W452" s="180"/>
      <c r="X452" s="180" t="s">
        <v>382</v>
      </c>
      <c r="Y452" s="180" t="s">
        <v>382</v>
      </c>
      <c r="Z452" s="180" t="s">
        <v>382</v>
      </c>
      <c r="AA452" s="320"/>
      <c r="AB452" s="320">
        <v>0.2</v>
      </c>
      <c r="AC452" s="320">
        <v>0.5</v>
      </c>
      <c r="AD452" s="60"/>
      <c r="AE452" s="9"/>
      <c r="AG452" s="9"/>
      <c r="AH452" s="9"/>
      <c r="AI452" s="11"/>
    </row>
    <row r="453" spans="1:35" s="7" customFormat="1" ht="12.75" x14ac:dyDescent="0.2">
      <c r="A453" s="23"/>
      <c r="B453" s="304"/>
      <c r="C453" s="304" t="s">
        <v>1297</v>
      </c>
      <c r="D453" s="304" t="s">
        <v>1298</v>
      </c>
      <c r="E453" s="304" t="s">
        <v>1294</v>
      </c>
      <c r="F453" s="304"/>
      <c r="G453" s="320" t="s">
        <v>1303</v>
      </c>
      <c r="H453" s="180" t="s">
        <v>843</v>
      </c>
      <c r="I453" s="180" t="s">
        <v>319</v>
      </c>
      <c r="J453" s="181"/>
      <c r="K453" s="339">
        <v>42.719604683510696</v>
      </c>
      <c r="L453" s="339">
        <v>29.981188547895776</v>
      </c>
      <c r="M453" s="339">
        <v>26.994509128722186</v>
      </c>
      <c r="N453" s="339">
        <v>26.994509128722186</v>
      </c>
      <c r="O453" s="319"/>
      <c r="P453" s="320">
        <v>2015</v>
      </c>
      <c r="Q453" s="180"/>
      <c r="R453" s="180"/>
      <c r="S453" s="180"/>
      <c r="T453" s="320">
        <v>1</v>
      </c>
      <c r="U453" s="320">
        <v>0.75</v>
      </c>
      <c r="V453" s="180">
        <v>25</v>
      </c>
      <c r="W453" s="180"/>
      <c r="X453" s="180">
        <v>5.7823738323335414E-2</v>
      </c>
      <c r="Y453" s="180">
        <v>0.87124183006535938</v>
      </c>
      <c r="Z453" s="180">
        <v>0</v>
      </c>
      <c r="AA453" s="320">
        <v>1</v>
      </c>
      <c r="AB453" s="180"/>
      <c r="AC453" s="180"/>
      <c r="AD453" s="60"/>
      <c r="AE453" s="9"/>
      <c r="AG453" s="9"/>
      <c r="AH453" s="9"/>
      <c r="AI453" s="11"/>
    </row>
    <row r="454" spans="1:35" s="7" customFormat="1" ht="12.75" x14ac:dyDescent="0.2">
      <c r="A454" s="23"/>
      <c r="B454" s="304"/>
      <c r="C454" s="304"/>
      <c r="D454" s="304"/>
      <c r="E454" s="304" t="s">
        <v>843</v>
      </c>
      <c r="F454" s="304" t="s">
        <v>278</v>
      </c>
      <c r="G454" s="180"/>
      <c r="H454" s="180" t="s">
        <v>1153</v>
      </c>
      <c r="I454" s="180" t="s">
        <v>735</v>
      </c>
      <c r="J454" s="181"/>
      <c r="K454" s="339">
        <v>1.9150776570345651</v>
      </c>
      <c r="L454" s="339">
        <v>2.0089097060458205</v>
      </c>
      <c r="M454" s="339">
        <v>2.0346489378655837</v>
      </c>
      <c r="N454" s="339">
        <v>2.0455256347421402</v>
      </c>
      <c r="O454" s="319"/>
      <c r="P454" s="320" t="s">
        <v>382</v>
      </c>
      <c r="Q454" s="180"/>
      <c r="R454" s="180"/>
      <c r="S454" s="180"/>
      <c r="T454" s="320" t="s">
        <v>382</v>
      </c>
      <c r="U454" s="320" t="s">
        <v>382</v>
      </c>
      <c r="V454" s="180" t="s">
        <v>382</v>
      </c>
      <c r="W454" s="180"/>
      <c r="X454" s="180" t="s">
        <v>382</v>
      </c>
      <c r="Y454" s="180" t="s">
        <v>382</v>
      </c>
      <c r="Z454" s="180" t="s">
        <v>382</v>
      </c>
      <c r="AA454" s="320"/>
      <c r="AB454" s="320">
        <v>0.2</v>
      </c>
      <c r="AC454" s="320">
        <v>0.5</v>
      </c>
      <c r="AD454" s="60"/>
      <c r="AE454" s="9"/>
      <c r="AG454" s="9"/>
      <c r="AH454" s="9"/>
      <c r="AI454" s="11"/>
    </row>
    <row r="455" spans="1:35" s="7" customFormat="1" ht="12.75" x14ac:dyDescent="0.2">
      <c r="A455" s="23"/>
      <c r="B455" s="304"/>
      <c r="C455" s="304" t="s">
        <v>962</v>
      </c>
      <c r="D455" s="304" t="s">
        <v>963</v>
      </c>
      <c r="E455" s="304" t="s">
        <v>1181</v>
      </c>
      <c r="F455" s="304"/>
      <c r="G455" s="320" t="s">
        <v>1304</v>
      </c>
      <c r="H455" s="180"/>
      <c r="I455" s="180" t="s">
        <v>319</v>
      </c>
      <c r="J455" s="181"/>
      <c r="K455" s="339">
        <v>11.681345716320568</v>
      </c>
      <c r="L455" s="339">
        <v>10.890878712960525</v>
      </c>
      <c r="M455" s="339">
        <v>10.3639007107205</v>
      </c>
      <c r="N455" s="339">
        <v>10.3639007107205</v>
      </c>
      <c r="O455" s="319"/>
      <c r="P455" s="320">
        <v>2015</v>
      </c>
      <c r="Q455" s="180"/>
      <c r="R455" s="180"/>
      <c r="S455" s="180"/>
      <c r="T455" s="320">
        <v>1</v>
      </c>
      <c r="U455" s="320">
        <v>0.75</v>
      </c>
      <c r="V455" s="180">
        <v>25</v>
      </c>
      <c r="W455" s="180"/>
      <c r="X455" s="180">
        <v>0.84852470630938859</v>
      </c>
      <c r="Y455" s="180">
        <v>0.7038316993464051</v>
      </c>
      <c r="Z455" s="187">
        <v>1.24E-2</v>
      </c>
      <c r="AA455" s="389"/>
      <c r="AB455" s="187"/>
      <c r="AC455" s="187"/>
      <c r="AD455" s="60"/>
      <c r="AE455" s="9"/>
      <c r="AG455" s="9"/>
      <c r="AH455" s="9"/>
      <c r="AI455" s="11"/>
    </row>
    <row r="456" spans="1:35" s="7" customFormat="1" ht="12.75" x14ac:dyDescent="0.2">
      <c r="A456" s="23"/>
      <c r="B456" s="304"/>
      <c r="C456" s="304"/>
      <c r="D456" s="304"/>
      <c r="E456" s="304"/>
      <c r="F456" s="304" t="s">
        <v>1066</v>
      </c>
      <c r="G456" s="180"/>
      <c r="H456" s="180" t="s">
        <v>1153</v>
      </c>
      <c r="I456" s="180" t="s">
        <v>735</v>
      </c>
      <c r="J456" s="181"/>
      <c r="K456" s="339">
        <v>0.84525241704496845</v>
      </c>
      <c r="L456" s="339">
        <v>0.85841995243494851</v>
      </c>
      <c r="M456" s="339">
        <v>0.87269191562279447</v>
      </c>
      <c r="N456" s="339">
        <v>0.87837535723648086</v>
      </c>
      <c r="O456" s="319"/>
      <c r="P456" s="320" t="s">
        <v>382</v>
      </c>
      <c r="Q456" s="180"/>
      <c r="R456" s="180"/>
      <c r="S456" s="180"/>
      <c r="T456" s="320" t="s">
        <v>382</v>
      </c>
      <c r="U456" s="320" t="s">
        <v>382</v>
      </c>
      <c r="V456" s="180" t="s">
        <v>382</v>
      </c>
      <c r="W456" s="180"/>
      <c r="X456" s="180" t="s">
        <v>382</v>
      </c>
      <c r="Y456" s="180" t="s">
        <v>382</v>
      </c>
      <c r="Z456" s="180" t="s">
        <v>382</v>
      </c>
      <c r="AA456" s="320"/>
      <c r="AB456" s="180"/>
      <c r="AC456" s="180"/>
      <c r="AD456" s="60"/>
      <c r="AE456" s="9"/>
      <c r="AG456" s="9"/>
      <c r="AH456" s="9"/>
      <c r="AI456" s="11"/>
    </row>
    <row r="457" spans="1:35" s="7" customFormat="1" ht="12.75" x14ac:dyDescent="0.2">
      <c r="A457" s="23"/>
      <c r="B457" s="304"/>
      <c r="C457" s="304" t="s">
        <v>909</v>
      </c>
      <c r="D457" s="304" t="s">
        <v>910</v>
      </c>
      <c r="E457" s="304" t="s">
        <v>1070</v>
      </c>
      <c r="F457" s="304"/>
      <c r="G457" s="320" t="s">
        <v>1303</v>
      </c>
      <c r="H457" s="180"/>
      <c r="I457" s="180" t="s">
        <v>319</v>
      </c>
      <c r="J457" s="181"/>
      <c r="K457" s="339">
        <v>17.478539084099111</v>
      </c>
      <c r="L457" s="339">
        <v>16.295780800212704</v>
      </c>
      <c r="M457" s="339">
        <v>15.507275277621765</v>
      </c>
      <c r="N457" s="339">
        <v>15.507275277621765</v>
      </c>
      <c r="O457" s="319"/>
      <c r="P457" s="320">
        <v>2015</v>
      </c>
      <c r="Q457" s="180"/>
      <c r="R457" s="180"/>
      <c r="S457" s="180"/>
      <c r="T457" s="320">
        <v>1</v>
      </c>
      <c r="U457" s="320">
        <v>0.75</v>
      </c>
      <c r="V457" s="180">
        <v>25</v>
      </c>
      <c r="W457" s="180"/>
      <c r="X457" s="180">
        <v>1.0379361029038707</v>
      </c>
      <c r="Y457" s="180">
        <v>0.7038316993464051</v>
      </c>
      <c r="Z457" s="180">
        <v>0.9</v>
      </c>
      <c r="AA457" s="320"/>
      <c r="AB457" s="180"/>
      <c r="AC457" s="180"/>
      <c r="AD457" s="60"/>
      <c r="AE457" s="9"/>
      <c r="AG457" s="9"/>
      <c r="AH457" s="9"/>
      <c r="AI457" s="11"/>
    </row>
    <row r="458" spans="1:35" s="7" customFormat="1" ht="12.75" x14ac:dyDescent="0.2">
      <c r="A458" s="23"/>
      <c r="B458" s="321"/>
      <c r="C458" s="321"/>
      <c r="D458" s="321"/>
      <c r="E458" s="321"/>
      <c r="F458" s="321" t="s">
        <v>1065</v>
      </c>
      <c r="G458" s="322"/>
      <c r="H458" s="322" t="s">
        <v>1153</v>
      </c>
      <c r="I458" s="322" t="s">
        <v>735</v>
      </c>
      <c r="J458" s="365"/>
      <c r="K458" s="340">
        <v>0.86927033926404096</v>
      </c>
      <c r="L458" s="340">
        <v>0.88054151440317752</v>
      </c>
      <c r="M458" s="340">
        <v>0.89272451422229948</v>
      </c>
      <c r="N458" s="340">
        <v>0.89756681206909494</v>
      </c>
      <c r="O458" s="323"/>
      <c r="P458" s="324" t="s">
        <v>382</v>
      </c>
      <c r="Q458" s="322"/>
      <c r="R458" s="322"/>
      <c r="S458" s="322"/>
      <c r="T458" s="324" t="s">
        <v>382</v>
      </c>
      <c r="U458" s="324" t="s">
        <v>382</v>
      </c>
      <c r="V458" s="322" t="s">
        <v>382</v>
      </c>
      <c r="W458" s="322"/>
      <c r="X458" s="322" t="s">
        <v>382</v>
      </c>
      <c r="Y458" s="322" t="s">
        <v>382</v>
      </c>
      <c r="Z458" s="322" t="s">
        <v>382</v>
      </c>
      <c r="AA458" s="324"/>
      <c r="AB458" s="322"/>
      <c r="AC458" s="322"/>
      <c r="AD458" s="60"/>
      <c r="AE458" s="9"/>
      <c r="AG458" s="9"/>
      <c r="AH458" s="9"/>
      <c r="AI458" s="11"/>
    </row>
    <row r="459" spans="1:35" s="7" customFormat="1" ht="12.75" x14ac:dyDescent="0.2">
      <c r="A459" s="52"/>
      <c r="B459" s="180"/>
      <c r="C459" s="180" t="s">
        <v>1098</v>
      </c>
      <c r="D459" s="180" t="s">
        <v>1099</v>
      </c>
      <c r="E459" s="180" t="s">
        <v>688</v>
      </c>
      <c r="F459" s="180"/>
      <c r="G459" s="320" t="s">
        <v>1303</v>
      </c>
      <c r="H459" s="180"/>
      <c r="I459" s="180" t="s">
        <v>319</v>
      </c>
      <c r="J459" s="181"/>
      <c r="K459" s="339">
        <v>3.204936262930719</v>
      </c>
      <c r="L459" s="339">
        <v>2.814436912244529</v>
      </c>
      <c r="M459" s="339">
        <v>2.7794532385452237</v>
      </c>
      <c r="N459" s="339">
        <v>2.7794532385452237</v>
      </c>
      <c r="O459" s="319"/>
      <c r="P459" s="320">
        <v>2015</v>
      </c>
      <c r="Q459" s="180"/>
      <c r="R459" s="180"/>
      <c r="S459" s="180"/>
      <c r="T459" s="320">
        <v>1</v>
      </c>
      <c r="U459" s="320">
        <v>0.75</v>
      </c>
      <c r="V459" s="180">
        <v>25</v>
      </c>
      <c r="W459" s="180"/>
      <c r="X459" s="180">
        <v>0.1517122252905255</v>
      </c>
      <c r="Y459" s="180">
        <v>0.25326797385620914</v>
      </c>
      <c r="Z459" s="180">
        <v>0.496</v>
      </c>
      <c r="AA459" s="320"/>
      <c r="AB459" s="180"/>
      <c r="AC459" s="180"/>
      <c r="AD459" s="60"/>
      <c r="AE459" s="9"/>
      <c r="AG459" s="9"/>
      <c r="AH459" s="9"/>
      <c r="AI459" s="11"/>
    </row>
    <row r="460" spans="1:35" s="7" customFormat="1" ht="12.75" x14ac:dyDescent="0.2">
      <c r="B460" s="304"/>
      <c r="C460" s="304"/>
      <c r="D460" s="304"/>
      <c r="E460" s="304"/>
      <c r="F460" s="304" t="s">
        <v>1093</v>
      </c>
      <c r="G460" s="180"/>
      <c r="H460" s="180" t="s">
        <v>1153</v>
      </c>
      <c r="I460" s="180" t="s">
        <v>735</v>
      </c>
      <c r="J460" s="181"/>
      <c r="K460" s="339">
        <v>0.92639589406974521</v>
      </c>
      <c r="L460" s="339">
        <v>0.95135015551468005</v>
      </c>
      <c r="M460" s="339">
        <v>0.95343833119511534</v>
      </c>
      <c r="N460" s="339">
        <v>0.95780667708293987</v>
      </c>
      <c r="O460" s="319"/>
      <c r="P460" s="320" t="s">
        <v>382</v>
      </c>
      <c r="Q460" s="180"/>
      <c r="R460" s="180"/>
      <c r="S460" s="180"/>
      <c r="T460" s="320" t="s">
        <v>382</v>
      </c>
      <c r="U460" s="320" t="s">
        <v>382</v>
      </c>
      <c r="V460" s="180" t="s">
        <v>382</v>
      </c>
      <c r="W460" s="180"/>
      <c r="X460" s="180" t="s">
        <v>382</v>
      </c>
      <c r="Y460" s="180" t="s">
        <v>382</v>
      </c>
      <c r="Z460" s="180" t="s">
        <v>382</v>
      </c>
      <c r="AA460" s="320"/>
      <c r="AB460" s="180"/>
      <c r="AC460" s="180"/>
      <c r="AD460" s="60"/>
      <c r="AE460" s="9"/>
      <c r="AG460" s="9"/>
      <c r="AH460" s="9"/>
      <c r="AI460" s="11"/>
    </row>
    <row r="461" spans="1:35" s="7" customFormat="1" ht="12.75" x14ac:dyDescent="0.2">
      <c r="A461" s="23"/>
      <c r="B461" s="304"/>
      <c r="C461" s="304" t="s">
        <v>1100</v>
      </c>
      <c r="D461" s="304" t="s">
        <v>1101</v>
      </c>
      <c r="E461" s="304" t="s">
        <v>258</v>
      </c>
      <c r="F461" s="304"/>
      <c r="G461" s="320" t="s">
        <v>1303</v>
      </c>
      <c r="H461" s="180"/>
      <c r="I461" s="180" t="s">
        <v>319</v>
      </c>
      <c r="J461" s="181"/>
      <c r="K461" s="339">
        <v>2.8933452373680106</v>
      </c>
      <c r="L461" s="339">
        <v>2.5408111013318662</v>
      </c>
      <c r="M461" s="339">
        <v>2.5092286181311048</v>
      </c>
      <c r="N461" s="339">
        <v>2.5092286181311048</v>
      </c>
      <c r="O461" s="319"/>
      <c r="P461" s="320">
        <v>2015</v>
      </c>
      <c r="Q461" s="180"/>
      <c r="R461" s="180"/>
      <c r="S461" s="180"/>
      <c r="T461" s="320">
        <v>1</v>
      </c>
      <c r="U461" s="320">
        <v>0.75</v>
      </c>
      <c r="V461" s="180">
        <v>25</v>
      </c>
      <c r="W461" s="180"/>
      <c r="X461" s="180">
        <v>0.1369624256095022</v>
      </c>
      <c r="Y461" s="180">
        <v>0.25326797385620914</v>
      </c>
      <c r="Z461" s="180">
        <v>0.62</v>
      </c>
      <c r="AA461" s="320"/>
      <c r="AB461" s="180"/>
      <c r="AC461" s="180"/>
      <c r="AD461" s="60"/>
      <c r="AE461" s="9"/>
      <c r="AG461" s="9"/>
      <c r="AH461" s="9"/>
      <c r="AI461" s="11"/>
    </row>
    <row r="462" spans="1:35" s="7" customFormat="1" ht="12.75" x14ac:dyDescent="0.2">
      <c r="A462" s="23"/>
      <c r="B462" s="304"/>
      <c r="C462" s="304"/>
      <c r="D462" s="304"/>
      <c r="E462" s="304"/>
      <c r="F462" s="304" t="s">
        <v>1093</v>
      </c>
      <c r="G462" s="180"/>
      <c r="H462" s="180" t="s">
        <v>1153</v>
      </c>
      <c r="I462" s="180" t="s">
        <v>735</v>
      </c>
      <c r="J462" s="181"/>
      <c r="K462" s="339">
        <v>0.92639589406974521</v>
      </c>
      <c r="L462" s="339">
        <v>0.95135015551468005</v>
      </c>
      <c r="M462" s="339">
        <v>0.95343833119511534</v>
      </c>
      <c r="N462" s="339">
        <v>0.95780667708293987</v>
      </c>
      <c r="O462" s="319"/>
      <c r="P462" s="320" t="s">
        <v>382</v>
      </c>
      <c r="Q462" s="180"/>
      <c r="R462" s="180"/>
      <c r="S462" s="180"/>
      <c r="T462" s="320" t="s">
        <v>382</v>
      </c>
      <c r="U462" s="320" t="s">
        <v>382</v>
      </c>
      <c r="V462" s="180" t="s">
        <v>382</v>
      </c>
      <c r="W462" s="180"/>
      <c r="X462" s="180" t="s">
        <v>382</v>
      </c>
      <c r="Y462" s="180" t="s">
        <v>382</v>
      </c>
      <c r="Z462" s="180" t="s">
        <v>382</v>
      </c>
      <c r="AA462" s="320"/>
      <c r="AB462" s="180"/>
      <c r="AC462" s="180"/>
      <c r="AD462" s="60"/>
      <c r="AE462" s="9"/>
      <c r="AG462" s="9"/>
      <c r="AH462" s="9"/>
      <c r="AI462" s="11"/>
    </row>
    <row r="463" spans="1:35" s="7" customFormat="1" ht="12.75" x14ac:dyDescent="0.2">
      <c r="A463" s="23"/>
      <c r="B463" s="304"/>
      <c r="C463" s="304" t="s">
        <v>1102</v>
      </c>
      <c r="D463" s="304" t="s">
        <v>1103</v>
      </c>
      <c r="E463" s="304" t="s">
        <v>690</v>
      </c>
      <c r="F463" s="304"/>
      <c r="G463" s="320" t="s">
        <v>1303</v>
      </c>
      <c r="H463" s="180"/>
      <c r="I463" s="180" t="s">
        <v>319</v>
      </c>
      <c r="J463" s="181"/>
      <c r="K463" s="339">
        <v>3.2499412634862455</v>
      </c>
      <c r="L463" s="339">
        <v>2.9544920577147691</v>
      </c>
      <c r="M463" s="339">
        <v>2.9544920577147691</v>
      </c>
      <c r="N463" s="339">
        <v>2.9544920577147691</v>
      </c>
      <c r="O463" s="319"/>
      <c r="P463" s="320">
        <v>2015</v>
      </c>
      <c r="Q463" s="180"/>
      <c r="R463" s="180"/>
      <c r="S463" s="180"/>
      <c r="T463" s="320">
        <v>1</v>
      </c>
      <c r="U463" s="320">
        <v>0.75</v>
      </c>
      <c r="V463" s="180">
        <v>25</v>
      </c>
      <c r="W463" s="180"/>
      <c r="X463" s="180">
        <v>0.23550100331045626</v>
      </c>
      <c r="Y463" s="180">
        <v>0.27859477124183007</v>
      </c>
      <c r="Z463" s="187">
        <v>0.99199999999999999</v>
      </c>
      <c r="AA463" s="389"/>
      <c r="AB463" s="187"/>
      <c r="AC463" s="187"/>
      <c r="AD463" s="60"/>
      <c r="AE463" s="9"/>
      <c r="AG463" s="9"/>
      <c r="AH463" s="9"/>
      <c r="AI463" s="11"/>
    </row>
    <row r="464" spans="1:35" s="7" customFormat="1" ht="12.75" x14ac:dyDescent="0.2">
      <c r="A464" s="23"/>
      <c r="B464" s="304"/>
      <c r="C464" s="304"/>
      <c r="D464" s="304"/>
      <c r="E464" s="304"/>
      <c r="F464" s="304" t="s">
        <v>1093</v>
      </c>
      <c r="G464" s="180"/>
      <c r="H464" s="180" t="s">
        <v>1153</v>
      </c>
      <c r="I464" s="180" t="s">
        <v>735</v>
      </c>
      <c r="J464" s="181"/>
      <c r="K464" s="339">
        <v>0.90687477774811154</v>
      </c>
      <c r="L464" s="339">
        <v>0.92167848799339824</v>
      </c>
      <c r="M464" s="339">
        <v>0.9336045672423765</v>
      </c>
      <c r="N464" s="339">
        <v>0.93786226614115686</v>
      </c>
      <c r="O464" s="319"/>
      <c r="P464" s="320" t="s">
        <v>382</v>
      </c>
      <c r="Q464" s="180"/>
      <c r="R464" s="180"/>
      <c r="S464" s="180"/>
      <c r="T464" s="320" t="s">
        <v>382</v>
      </c>
      <c r="U464" s="320" t="s">
        <v>382</v>
      </c>
      <c r="V464" s="180" t="s">
        <v>382</v>
      </c>
      <c r="W464" s="180"/>
      <c r="X464" s="180" t="s">
        <v>382</v>
      </c>
      <c r="Y464" s="180" t="s">
        <v>382</v>
      </c>
      <c r="Z464" s="180" t="s">
        <v>382</v>
      </c>
      <c r="AA464" s="320"/>
      <c r="AB464" s="180"/>
      <c r="AC464" s="180"/>
      <c r="AD464" s="60"/>
      <c r="AE464" s="9"/>
      <c r="AG464" s="9"/>
      <c r="AH464" s="9"/>
      <c r="AI464" s="11"/>
    </row>
    <row r="465" spans="1:35" s="7" customFormat="1" ht="12.75" x14ac:dyDescent="0.2">
      <c r="A465" s="24"/>
      <c r="B465" s="304"/>
      <c r="C465" s="304" t="s">
        <v>1104</v>
      </c>
      <c r="D465" s="304" t="s">
        <v>1105</v>
      </c>
      <c r="E465" s="304" t="s">
        <v>691</v>
      </c>
      <c r="F465" s="304"/>
      <c r="G465" s="320" t="s">
        <v>1303</v>
      </c>
      <c r="H465" s="180"/>
      <c r="I465" s="180" t="s">
        <v>319</v>
      </c>
      <c r="J465" s="181"/>
      <c r="K465" s="339">
        <v>21.16094684947975</v>
      </c>
      <c r="L465" s="339">
        <v>19.544700779475896</v>
      </c>
      <c r="M465" s="339">
        <v>19.301758601008494</v>
      </c>
      <c r="N465" s="339">
        <v>19.301758601008494</v>
      </c>
      <c r="O465" s="319"/>
      <c r="P465" s="320">
        <v>2015</v>
      </c>
      <c r="Q465" s="180"/>
      <c r="R465" s="180"/>
      <c r="S465" s="180"/>
      <c r="T465" s="320">
        <v>1</v>
      </c>
      <c r="U465" s="320">
        <v>0.75</v>
      </c>
      <c r="V465" s="180">
        <v>25</v>
      </c>
      <c r="W465" s="180"/>
      <c r="X465" s="180">
        <v>1.4286036892621394</v>
      </c>
      <c r="Y465" s="180">
        <v>0.62841063315379042</v>
      </c>
      <c r="Z465" s="180">
        <v>1.24</v>
      </c>
      <c r="AA465" s="320"/>
      <c r="AB465" s="180"/>
      <c r="AC465" s="180"/>
      <c r="AD465" s="60"/>
      <c r="AE465" s="9"/>
      <c r="AG465" s="9"/>
      <c r="AH465" s="9"/>
      <c r="AI465" s="11"/>
    </row>
    <row r="466" spans="1:35" s="7" customFormat="1" ht="12.75" x14ac:dyDescent="0.2">
      <c r="A466" s="23"/>
      <c r="B466" s="304"/>
      <c r="C466" s="304"/>
      <c r="D466" s="304"/>
      <c r="E466" s="304"/>
      <c r="F466" s="304" t="s">
        <v>1093</v>
      </c>
      <c r="G466" s="320"/>
      <c r="H466" s="180" t="s">
        <v>1153</v>
      </c>
      <c r="I466" s="180" t="s">
        <v>735</v>
      </c>
      <c r="J466" s="181"/>
      <c r="K466" s="339">
        <v>0.8726916864188371</v>
      </c>
      <c r="L466" s="339">
        <v>0.89200492205426418</v>
      </c>
      <c r="M466" s="339">
        <v>0.90385272796883243</v>
      </c>
      <c r="N466" s="339">
        <v>0.90794524953310485</v>
      </c>
      <c r="O466" s="319"/>
      <c r="P466" s="320" t="s">
        <v>382</v>
      </c>
      <c r="Q466" s="180"/>
      <c r="R466" s="180"/>
      <c r="S466" s="180"/>
      <c r="T466" s="320" t="s">
        <v>382</v>
      </c>
      <c r="U466" s="320" t="s">
        <v>382</v>
      </c>
      <c r="V466" s="180" t="s">
        <v>382</v>
      </c>
      <c r="W466" s="180"/>
      <c r="X466" s="180" t="s">
        <v>382</v>
      </c>
      <c r="Y466" s="180" t="s">
        <v>382</v>
      </c>
      <c r="Z466" s="180" t="s">
        <v>382</v>
      </c>
      <c r="AA466" s="320"/>
      <c r="AB466" s="180"/>
      <c r="AC466" s="180"/>
      <c r="AD466" s="60"/>
      <c r="AE466" s="9"/>
      <c r="AG466" s="9"/>
      <c r="AH466" s="9"/>
      <c r="AI466" s="11"/>
    </row>
    <row r="467" spans="1:35" s="7" customFormat="1" ht="12.75" x14ac:dyDescent="0.2">
      <c r="A467" s="24"/>
      <c r="B467" s="304"/>
      <c r="C467" s="304" t="s">
        <v>1106</v>
      </c>
      <c r="D467" s="304" t="s">
        <v>1108</v>
      </c>
      <c r="E467" s="304" t="s">
        <v>385</v>
      </c>
      <c r="F467" s="304"/>
      <c r="G467" s="320" t="s">
        <v>1303</v>
      </c>
      <c r="H467" s="180"/>
      <c r="I467" s="180" t="s">
        <v>319</v>
      </c>
      <c r="J467" s="181"/>
      <c r="K467" s="339">
        <v>3.2866649292840631</v>
      </c>
      <c r="L467" s="339">
        <v>3.0675539339984583</v>
      </c>
      <c r="M467" s="339">
        <v>3.0675539339984583</v>
      </c>
      <c r="N467" s="339">
        <v>3.0675539339984583</v>
      </c>
      <c r="O467" s="319"/>
      <c r="P467" s="320">
        <v>2011</v>
      </c>
      <c r="Q467" s="180"/>
      <c r="R467" s="180"/>
      <c r="S467" s="180"/>
      <c r="T467" s="320">
        <v>1</v>
      </c>
      <c r="U467" s="320">
        <v>0.75</v>
      </c>
      <c r="V467" s="180">
        <v>25</v>
      </c>
      <c r="W467" s="180"/>
      <c r="X467" s="180">
        <v>4.4698643038263257E-2</v>
      </c>
      <c r="Y467" s="180">
        <v>0.21907679738562086</v>
      </c>
      <c r="Z467" s="180">
        <v>0.248</v>
      </c>
      <c r="AA467" s="320"/>
      <c r="AB467" s="180"/>
      <c r="AC467" s="180"/>
      <c r="AD467" s="60"/>
      <c r="AE467" s="9"/>
      <c r="AG467" s="9"/>
      <c r="AH467" s="9"/>
      <c r="AI467" s="11"/>
    </row>
    <row r="468" spans="1:35" s="7" customFormat="1" ht="12.75" x14ac:dyDescent="0.2">
      <c r="A468" s="23"/>
      <c r="B468" s="304"/>
      <c r="C468" s="304"/>
      <c r="D468" s="304"/>
      <c r="E468" s="304"/>
      <c r="F468" s="304" t="s">
        <v>1093</v>
      </c>
      <c r="G468" s="320"/>
      <c r="H468" s="180" t="s">
        <v>1153</v>
      </c>
      <c r="I468" s="180" t="s">
        <v>735</v>
      </c>
      <c r="J468" s="181"/>
      <c r="K468" s="339">
        <v>0.97029486145649668</v>
      </c>
      <c r="L468" s="339">
        <v>0.98101998407914281</v>
      </c>
      <c r="M468" s="339">
        <v>0.98318781687069146</v>
      </c>
      <c r="N468" s="339">
        <v>0.98772290438652988</v>
      </c>
      <c r="O468" s="319"/>
      <c r="P468" s="320" t="s">
        <v>382</v>
      </c>
      <c r="Q468" s="180"/>
      <c r="R468" s="180"/>
      <c r="S468" s="180"/>
      <c r="T468" s="320" t="s">
        <v>382</v>
      </c>
      <c r="U468" s="320" t="s">
        <v>382</v>
      </c>
      <c r="V468" s="180" t="s">
        <v>382</v>
      </c>
      <c r="W468" s="180"/>
      <c r="X468" s="180" t="s">
        <v>382</v>
      </c>
      <c r="Y468" s="180" t="s">
        <v>382</v>
      </c>
      <c r="Z468" s="180" t="s">
        <v>382</v>
      </c>
      <c r="AA468" s="320"/>
      <c r="AB468" s="320">
        <v>0.2</v>
      </c>
      <c r="AC468" s="320">
        <v>0.6</v>
      </c>
      <c r="AD468" s="60"/>
      <c r="AE468" s="9"/>
      <c r="AG468" s="9"/>
      <c r="AH468" s="9"/>
      <c r="AI468" s="11"/>
    </row>
    <row r="469" spans="1:35" s="7" customFormat="1" ht="12.75" x14ac:dyDescent="0.2">
      <c r="A469" s="23"/>
      <c r="B469" s="304"/>
      <c r="C469" s="304" t="s">
        <v>1296</v>
      </c>
      <c r="D469" s="304" t="s">
        <v>1299</v>
      </c>
      <c r="E469" s="304" t="s">
        <v>1294</v>
      </c>
      <c r="F469" s="304"/>
      <c r="G469" s="320" t="s">
        <v>1303</v>
      </c>
      <c r="H469" s="180" t="s">
        <v>385</v>
      </c>
      <c r="I469" s="180" t="s">
        <v>319</v>
      </c>
      <c r="J469" s="181"/>
      <c r="K469" s="339">
        <v>42.719604683510696</v>
      </c>
      <c r="L469" s="339">
        <v>29.981188547895776</v>
      </c>
      <c r="M469" s="339">
        <v>26.994509128722186</v>
      </c>
      <c r="N469" s="339">
        <v>26.994509128722186</v>
      </c>
      <c r="O469" s="319"/>
      <c r="P469" s="320">
        <v>2015</v>
      </c>
      <c r="Q469" s="180"/>
      <c r="R469" s="180"/>
      <c r="S469" s="180"/>
      <c r="T469" s="320">
        <v>1</v>
      </c>
      <c r="U469" s="320">
        <v>0.75</v>
      </c>
      <c r="V469" s="180">
        <v>25</v>
      </c>
      <c r="W469" s="180"/>
      <c r="X469" s="180">
        <v>5.7823738323335414E-2</v>
      </c>
      <c r="Y469" s="180">
        <v>0.87124183006535938</v>
      </c>
      <c r="Z469" s="180">
        <v>0</v>
      </c>
      <c r="AA469" s="320">
        <v>1</v>
      </c>
      <c r="AB469" s="180"/>
      <c r="AC469" s="180"/>
      <c r="AD469" s="60"/>
      <c r="AE469" s="9"/>
      <c r="AG469" s="9"/>
      <c r="AH469" s="9"/>
      <c r="AI469" s="11"/>
    </row>
    <row r="470" spans="1:35" s="7" customFormat="1" ht="12.75" x14ac:dyDescent="0.2">
      <c r="A470" s="23"/>
      <c r="B470" s="304"/>
      <c r="C470" s="304"/>
      <c r="D470" s="304"/>
      <c r="E470" s="304" t="s">
        <v>385</v>
      </c>
      <c r="F470" s="304" t="s">
        <v>1093</v>
      </c>
      <c r="G470" s="180"/>
      <c r="H470" s="180" t="s">
        <v>1153</v>
      </c>
      <c r="I470" s="180" t="s">
        <v>735</v>
      </c>
      <c r="J470" s="181"/>
      <c r="K470" s="339">
        <v>1.9150776570345651</v>
      </c>
      <c r="L470" s="339">
        <v>2.0089097060458205</v>
      </c>
      <c r="M470" s="339">
        <v>2.0346489378655837</v>
      </c>
      <c r="N470" s="339">
        <v>2.0455256347421402</v>
      </c>
      <c r="O470" s="319"/>
      <c r="P470" s="320" t="s">
        <v>382</v>
      </c>
      <c r="Q470" s="180"/>
      <c r="R470" s="180"/>
      <c r="S470" s="180"/>
      <c r="T470" s="320" t="s">
        <v>382</v>
      </c>
      <c r="U470" s="320" t="s">
        <v>382</v>
      </c>
      <c r="V470" s="180" t="s">
        <v>382</v>
      </c>
      <c r="W470" s="180"/>
      <c r="X470" s="180" t="s">
        <v>382</v>
      </c>
      <c r="Y470" s="180" t="s">
        <v>382</v>
      </c>
      <c r="Z470" s="180" t="s">
        <v>382</v>
      </c>
      <c r="AA470" s="320"/>
      <c r="AB470" s="320">
        <v>0.2</v>
      </c>
      <c r="AC470" s="320">
        <v>0.5</v>
      </c>
      <c r="AD470" s="60"/>
      <c r="AE470" s="9"/>
      <c r="AG470" s="9"/>
      <c r="AH470" s="9"/>
      <c r="AI470" s="11"/>
    </row>
    <row r="471" spans="1:35" s="7" customFormat="1" ht="12.75" x14ac:dyDescent="0.2">
      <c r="A471" s="24"/>
      <c r="B471" s="304"/>
      <c r="C471" s="304" t="s">
        <v>948</v>
      </c>
      <c r="D471" s="304" t="s">
        <v>911</v>
      </c>
      <c r="E471" s="304" t="s">
        <v>1070</v>
      </c>
      <c r="F471" s="304"/>
      <c r="G471" s="320" t="s">
        <v>1303</v>
      </c>
      <c r="H471" s="180"/>
      <c r="I471" s="180" t="s">
        <v>319</v>
      </c>
      <c r="J471" s="181"/>
      <c r="K471" s="339">
        <v>26.492511248168505</v>
      </c>
      <c r="L471" s="339">
        <v>24.69978492310447</v>
      </c>
      <c r="M471" s="339">
        <v>23.504634039728444</v>
      </c>
      <c r="N471" s="339">
        <v>23.504634039728444</v>
      </c>
      <c r="O471" s="319"/>
      <c r="P471" s="320">
        <v>2015</v>
      </c>
      <c r="Q471" s="180"/>
      <c r="R471" s="180"/>
      <c r="S471" s="180"/>
      <c r="T471" s="320">
        <v>1</v>
      </c>
      <c r="U471" s="320">
        <v>0.75</v>
      </c>
      <c r="V471" s="180">
        <v>25</v>
      </c>
      <c r="W471" s="180"/>
      <c r="X471" s="180">
        <v>1.5732169461506382</v>
      </c>
      <c r="Y471" s="180">
        <v>0.7038316993464051</v>
      </c>
      <c r="Z471" s="180">
        <v>0.93</v>
      </c>
      <c r="AA471" s="320"/>
      <c r="AB471" s="180"/>
      <c r="AC471" s="180"/>
      <c r="AD471" s="60"/>
      <c r="AE471" s="9"/>
      <c r="AG471" s="9"/>
      <c r="AH471" s="9"/>
      <c r="AI471" s="11"/>
    </row>
    <row r="472" spans="1:35" s="7" customFormat="1" ht="12.75" x14ac:dyDescent="0.2">
      <c r="A472" s="23"/>
      <c r="B472" s="304"/>
      <c r="C472" s="304"/>
      <c r="D472" s="304"/>
      <c r="E472" s="304"/>
      <c r="F472" s="304" t="s">
        <v>1093</v>
      </c>
      <c r="G472" s="180"/>
      <c r="H472" s="180" t="s">
        <v>1153</v>
      </c>
      <c r="I472" s="180" t="s">
        <v>735</v>
      </c>
      <c r="J472" s="181"/>
      <c r="K472" s="339">
        <v>0.8726916864188371</v>
      </c>
      <c r="L472" s="339">
        <v>0.88211330069579386</v>
      </c>
      <c r="M472" s="339">
        <v>0.89393512304355582</v>
      </c>
      <c r="N472" s="339">
        <v>0.89797280161921389</v>
      </c>
      <c r="O472" s="319"/>
      <c r="P472" s="320" t="s">
        <v>382</v>
      </c>
      <c r="Q472" s="180"/>
      <c r="R472" s="180"/>
      <c r="S472" s="180"/>
      <c r="T472" s="320" t="s">
        <v>382</v>
      </c>
      <c r="U472" s="320" t="s">
        <v>382</v>
      </c>
      <c r="V472" s="180" t="s">
        <v>382</v>
      </c>
      <c r="W472" s="180"/>
      <c r="X472" s="180" t="s">
        <v>382</v>
      </c>
      <c r="Y472" s="180" t="s">
        <v>382</v>
      </c>
      <c r="Z472" s="180" t="s">
        <v>382</v>
      </c>
      <c r="AA472" s="320"/>
      <c r="AB472" s="180"/>
      <c r="AC472" s="180"/>
      <c r="AD472" s="60"/>
      <c r="AE472" s="9"/>
      <c r="AG472" s="9"/>
      <c r="AH472" s="9"/>
      <c r="AI472" s="11"/>
    </row>
    <row r="473" spans="1:35" s="7" customFormat="1" ht="12.75" x14ac:dyDescent="0.2">
      <c r="A473" s="24"/>
      <c r="B473" s="304"/>
      <c r="C473" s="304" t="s">
        <v>949</v>
      </c>
      <c r="D473" s="304" t="s">
        <v>950</v>
      </c>
      <c r="E473" s="304" t="s">
        <v>920</v>
      </c>
      <c r="F473" s="304"/>
      <c r="G473" s="320" t="s">
        <v>1303</v>
      </c>
      <c r="H473" s="180"/>
      <c r="I473" s="180" t="s">
        <v>319</v>
      </c>
      <c r="J473" s="181"/>
      <c r="K473" s="339">
        <v>20.959428478836667</v>
      </c>
      <c r="L473" s="339">
        <v>19.541121288539447</v>
      </c>
      <c r="M473" s="339">
        <v>18.595583161674639</v>
      </c>
      <c r="N473" s="339">
        <v>18.595583161674639</v>
      </c>
      <c r="O473" s="319"/>
      <c r="P473" s="320">
        <v>2015</v>
      </c>
      <c r="Q473" s="180"/>
      <c r="R473" s="180"/>
      <c r="S473" s="180"/>
      <c r="T473" s="320">
        <v>1</v>
      </c>
      <c r="U473" s="320">
        <v>0.75</v>
      </c>
      <c r="V473" s="180">
        <v>25</v>
      </c>
      <c r="W473" s="180"/>
      <c r="X473" s="180">
        <v>1.1314939584815586</v>
      </c>
      <c r="Y473" s="180">
        <v>0.7038316993464051</v>
      </c>
      <c r="Z473" s="180">
        <v>0.37200000000000005</v>
      </c>
      <c r="AA473" s="320"/>
      <c r="AB473" s="180"/>
      <c r="AC473" s="180"/>
      <c r="AD473" s="60"/>
      <c r="AE473" s="9"/>
      <c r="AG473" s="9"/>
      <c r="AH473" s="9"/>
      <c r="AI473" s="11"/>
    </row>
    <row r="474" spans="1:35" s="7" customFormat="1" ht="12.75" x14ac:dyDescent="0.2">
      <c r="A474" s="24"/>
      <c r="B474" s="304"/>
      <c r="C474" s="304"/>
      <c r="D474" s="304"/>
      <c r="E474" s="304" t="s">
        <v>951</v>
      </c>
      <c r="F474" s="304" t="s">
        <v>1093</v>
      </c>
      <c r="G474" s="180"/>
      <c r="H474" s="180" t="s">
        <v>1153</v>
      </c>
      <c r="I474" s="180" t="s">
        <v>735</v>
      </c>
      <c r="J474" s="181"/>
      <c r="K474" s="339">
        <v>1.0780373928484428</v>
      </c>
      <c r="L474" s="339">
        <v>1.1229643767895079</v>
      </c>
      <c r="M474" s="339">
        <v>1.1322554145468446</v>
      </c>
      <c r="N474" s="339">
        <v>1.151912611103147</v>
      </c>
      <c r="O474" s="319"/>
      <c r="P474" s="320" t="s">
        <v>382</v>
      </c>
      <c r="Q474" s="180"/>
      <c r="R474" s="180">
        <v>1</v>
      </c>
      <c r="S474" s="180"/>
      <c r="T474" s="320" t="s">
        <v>382</v>
      </c>
      <c r="U474" s="320" t="s">
        <v>382</v>
      </c>
      <c r="V474" s="180" t="s">
        <v>382</v>
      </c>
      <c r="W474" s="180"/>
      <c r="X474" s="180" t="s">
        <v>382</v>
      </c>
      <c r="Y474" s="180" t="s">
        <v>382</v>
      </c>
      <c r="Z474" s="180" t="s">
        <v>382</v>
      </c>
      <c r="AA474" s="320"/>
      <c r="AB474" s="180"/>
      <c r="AC474" s="180"/>
      <c r="AD474" s="60"/>
      <c r="AE474" s="9"/>
      <c r="AG474" s="9"/>
      <c r="AH474" s="9"/>
      <c r="AI474" s="11"/>
    </row>
    <row r="475" spans="1:35" s="7" customFormat="1" ht="12.75" x14ac:dyDescent="0.2">
      <c r="A475" s="24"/>
      <c r="B475" s="304"/>
      <c r="C475" s="304" t="s">
        <v>952</v>
      </c>
      <c r="D475" s="304" t="s">
        <v>953</v>
      </c>
      <c r="E475" s="304" t="s">
        <v>951</v>
      </c>
      <c r="F475" s="304"/>
      <c r="G475" s="320" t="s">
        <v>1303</v>
      </c>
      <c r="H475" s="180" t="s">
        <v>1165</v>
      </c>
      <c r="I475" s="180" t="s">
        <v>630</v>
      </c>
      <c r="J475" s="366" t="s">
        <v>969</v>
      </c>
      <c r="K475" s="180">
        <v>0.25</v>
      </c>
      <c r="L475" s="180">
        <v>0.4</v>
      </c>
      <c r="M475" s="180"/>
      <c r="N475" s="180"/>
      <c r="O475" s="325">
        <v>5</v>
      </c>
      <c r="P475" s="320" t="s">
        <v>382</v>
      </c>
      <c r="Q475" s="180"/>
      <c r="R475" s="180">
        <v>1</v>
      </c>
      <c r="S475" s="180"/>
      <c r="T475" s="320"/>
      <c r="U475" s="320"/>
      <c r="V475" s="180"/>
      <c r="W475" s="180"/>
      <c r="X475" s="180" t="s">
        <v>382</v>
      </c>
      <c r="Y475" s="180" t="s">
        <v>382</v>
      </c>
      <c r="Z475" s="180">
        <v>0</v>
      </c>
      <c r="AA475" s="320"/>
      <c r="AB475" s="180"/>
      <c r="AC475" s="180"/>
      <c r="AD475" s="60"/>
      <c r="AE475" s="9"/>
      <c r="AG475" s="9"/>
      <c r="AH475" s="9"/>
      <c r="AI475" s="11"/>
    </row>
    <row r="476" spans="1:35" s="7" customFormat="1" ht="12.75" x14ac:dyDescent="0.2">
      <c r="A476" s="24"/>
      <c r="B476" s="321"/>
      <c r="C476" s="321"/>
      <c r="D476" s="321"/>
      <c r="E476" s="321" t="s">
        <v>1066</v>
      </c>
      <c r="F476" s="321" t="s">
        <v>1093</v>
      </c>
      <c r="G476" s="322"/>
      <c r="H476" s="322" t="s">
        <v>1153</v>
      </c>
      <c r="I476" s="322" t="s">
        <v>735</v>
      </c>
      <c r="J476" s="365"/>
      <c r="K476" s="322"/>
      <c r="L476" s="322"/>
      <c r="M476" s="322"/>
      <c r="N476" s="322"/>
      <c r="O476" s="323"/>
      <c r="P476" s="324" t="s">
        <v>382</v>
      </c>
      <c r="Q476" s="322"/>
      <c r="R476" s="322">
        <v>1</v>
      </c>
      <c r="S476" s="322"/>
      <c r="T476" s="324" t="s">
        <v>382</v>
      </c>
      <c r="U476" s="324" t="s">
        <v>382</v>
      </c>
      <c r="V476" s="322" t="s">
        <v>382</v>
      </c>
      <c r="W476" s="322"/>
      <c r="X476" s="322" t="s">
        <v>382</v>
      </c>
      <c r="Y476" s="322" t="s">
        <v>382</v>
      </c>
      <c r="Z476" s="322" t="s">
        <v>382</v>
      </c>
      <c r="AA476" s="324"/>
      <c r="AB476" s="322"/>
      <c r="AC476" s="322"/>
      <c r="AD476" s="60"/>
      <c r="AE476" s="9"/>
      <c r="AG476" s="9"/>
      <c r="AH476" s="9"/>
      <c r="AI476" s="11"/>
    </row>
    <row r="477" spans="1:35" s="7" customFormat="1" ht="12.75" x14ac:dyDescent="0.2">
      <c r="A477" s="52"/>
      <c r="B477" s="180"/>
      <c r="C477" s="180" t="s">
        <v>1109</v>
      </c>
      <c r="D477" s="180" t="s">
        <v>1110</v>
      </c>
      <c r="E477" s="180" t="s">
        <v>688</v>
      </c>
      <c r="F477" s="180"/>
      <c r="G477" s="320" t="s">
        <v>1303</v>
      </c>
      <c r="H477" s="180"/>
      <c r="I477" s="180" t="s">
        <v>319</v>
      </c>
      <c r="J477" s="181"/>
      <c r="K477" s="339">
        <v>4.4524278508968269</v>
      </c>
      <c r="L477" s="339">
        <v>4.4524278508968269</v>
      </c>
      <c r="M477" s="339">
        <v>4.4524278508968269</v>
      </c>
      <c r="N477" s="339">
        <v>4.4524278508968269</v>
      </c>
      <c r="O477" s="319"/>
      <c r="P477" s="320">
        <v>2015</v>
      </c>
      <c r="Q477" s="180"/>
      <c r="R477" s="180"/>
      <c r="S477" s="180"/>
      <c r="T477" s="320">
        <v>1</v>
      </c>
      <c r="U477" s="320">
        <v>0.75</v>
      </c>
      <c r="V477" s="180">
        <v>25</v>
      </c>
      <c r="W477" s="180"/>
      <c r="X477" s="180">
        <v>0.23550100331045626</v>
      </c>
      <c r="Y477" s="180">
        <v>8.2388071895424825E-2</v>
      </c>
      <c r="Z477" s="180">
        <v>0.496</v>
      </c>
      <c r="AA477" s="320"/>
      <c r="AB477" s="180"/>
      <c r="AC477" s="180"/>
      <c r="AD477" s="60"/>
      <c r="AE477" s="9"/>
      <c r="AG477" s="9"/>
      <c r="AH477" s="9"/>
      <c r="AI477" s="11"/>
    </row>
    <row r="478" spans="1:35" s="7" customFormat="1" ht="12.75" x14ac:dyDescent="0.2">
      <c r="A478" s="24"/>
      <c r="B478" s="304"/>
      <c r="C478" s="304"/>
      <c r="D478" s="304"/>
      <c r="E478" s="304"/>
      <c r="F478" s="304" t="s">
        <v>1094</v>
      </c>
      <c r="G478" s="180"/>
      <c r="H478" s="180" t="s">
        <v>1153</v>
      </c>
      <c r="I478" s="180" t="s">
        <v>735</v>
      </c>
      <c r="J478" s="181"/>
      <c r="K478" s="339">
        <v>0.98798374956690249</v>
      </c>
      <c r="L478" s="339">
        <v>0.99453905862819103</v>
      </c>
      <c r="M478" s="339">
        <v>0.99585958279439746</v>
      </c>
      <c r="N478" s="339">
        <v>0.99861753678278542</v>
      </c>
      <c r="O478" s="319"/>
      <c r="P478" s="320" t="s">
        <v>382</v>
      </c>
      <c r="Q478" s="180"/>
      <c r="R478" s="180"/>
      <c r="S478" s="180"/>
      <c r="T478" s="320" t="s">
        <v>382</v>
      </c>
      <c r="U478" s="320" t="s">
        <v>382</v>
      </c>
      <c r="V478" s="180" t="s">
        <v>382</v>
      </c>
      <c r="W478" s="180"/>
      <c r="X478" s="180" t="s">
        <v>382</v>
      </c>
      <c r="Y478" s="180" t="s">
        <v>382</v>
      </c>
      <c r="Z478" s="180" t="s">
        <v>382</v>
      </c>
      <c r="AA478" s="320"/>
      <c r="AB478" s="180"/>
      <c r="AC478" s="180"/>
      <c r="AD478" s="60"/>
      <c r="AE478" s="9"/>
      <c r="AG478" s="9"/>
      <c r="AH478" s="9"/>
      <c r="AI478" s="11"/>
    </row>
    <row r="479" spans="1:35" s="7" customFormat="1" ht="12.75" x14ac:dyDescent="0.2">
      <c r="A479" s="23"/>
      <c r="B479" s="304"/>
      <c r="C479" s="304" t="s">
        <v>1111</v>
      </c>
      <c r="D479" s="304" t="s">
        <v>1112</v>
      </c>
      <c r="E479" s="304" t="s">
        <v>258</v>
      </c>
      <c r="F479" s="304"/>
      <c r="G479" s="320" t="s">
        <v>1303</v>
      </c>
      <c r="H479" s="180"/>
      <c r="I479" s="180" t="s">
        <v>319</v>
      </c>
      <c r="J479" s="181"/>
      <c r="K479" s="339">
        <v>3.8163667293401371</v>
      </c>
      <c r="L479" s="339">
        <v>3.8163667293401371</v>
      </c>
      <c r="M479" s="339">
        <v>3.8163667293401371</v>
      </c>
      <c r="N479" s="339">
        <v>3.8163667293401371</v>
      </c>
      <c r="O479" s="319"/>
      <c r="P479" s="320">
        <v>2015</v>
      </c>
      <c r="Q479" s="180"/>
      <c r="R479" s="180"/>
      <c r="S479" s="180"/>
      <c r="T479" s="320">
        <v>1</v>
      </c>
      <c r="U479" s="320">
        <v>0.75</v>
      </c>
      <c r="V479" s="180">
        <v>25</v>
      </c>
      <c r="W479" s="180"/>
      <c r="X479" s="180">
        <v>0.23550100331045626</v>
      </c>
      <c r="Y479" s="180">
        <v>8.2388071895424825E-2</v>
      </c>
      <c r="Z479" s="180">
        <v>0.62</v>
      </c>
      <c r="AA479" s="320"/>
      <c r="AB479" s="180"/>
      <c r="AC479" s="180"/>
      <c r="AD479" s="60"/>
      <c r="AE479" s="9"/>
      <c r="AG479" s="9"/>
      <c r="AH479" s="9"/>
      <c r="AI479" s="11"/>
    </row>
    <row r="480" spans="1:35" s="7" customFormat="1" ht="12.75" x14ac:dyDescent="0.2">
      <c r="A480" s="23"/>
      <c r="B480" s="304"/>
      <c r="C480" s="304"/>
      <c r="D480" s="304"/>
      <c r="E480" s="304"/>
      <c r="F480" s="304" t="s">
        <v>1094</v>
      </c>
      <c r="G480" s="180"/>
      <c r="H480" s="180" t="s">
        <v>1153</v>
      </c>
      <c r="I480" s="180" t="s">
        <v>735</v>
      </c>
      <c r="J480" s="181"/>
      <c r="K480" s="339">
        <v>0.98798374956690249</v>
      </c>
      <c r="L480" s="339">
        <v>0.99453905862819103</v>
      </c>
      <c r="M480" s="339">
        <v>0.99585958279439746</v>
      </c>
      <c r="N480" s="339">
        <v>0.99861753678278542</v>
      </c>
      <c r="O480" s="319"/>
      <c r="P480" s="320" t="s">
        <v>382</v>
      </c>
      <c r="Q480" s="180"/>
      <c r="R480" s="180"/>
      <c r="S480" s="180"/>
      <c r="T480" s="320" t="s">
        <v>382</v>
      </c>
      <c r="U480" s="320" t="s">
        <v>382</v>
      </c>
      <c r="V480" s="180" t="s">
        <v>382</v>
      </c>
      <c r="W480" s="180"/>
      <c r="X480" s="180" t="s">
        <v>382</v>
      </c>
      <c r="Y480" s="180" t="s">
        <v>382</v>
      </c>
      <c r="Z480" s="180" t="s">
        <v>382</v>
      </c>
      <c r="AA480" s="320"/>
      <c r="AB480" s="180"/>
      <c r="AC480" s="180"/>
      <c r="AD480" s="60"/>
      <c r="AE480" s="9"/>
      <c r="AG480" s="9"/>
      <c r="AH480" s="9"/>
      <c r="AI480" s="11"/>
    </row>
    <row r="481" spans="1:35" s="7" customFormat="1" ht="12.75" x14ac:dyDescent="0.2">
      <c r="A481" s="23"/>
      <c r="B481" s="304"/>
      <c r="C481" s="304" t="s">
        <v>1113</v>
      </c>
      <c r="D481" s="304" t="s">
        <v>357</v>
      </c>
      <c r="E481" s="304" t="s">
        <v>690</v>
      </c>
      <c r="F481" s="304"/>
      <c r="G481" s="320" t="s">
        <v>1303</v>
      </c>
      <c r="H481" s="180"/>
      <c r="I481" s="180" t="s">
        <v>319</v>
      </c>
      <c r="J481" s="181"/>
      <c r="K481" s="339">
        <v>2.8189072432626014</v>
      </c>
      <c r="L481" s="339">
        <v>2.8189072432626014</v>
      </c>
      <c r="M481" s="339">
        <v>2.8189072432626014</v>
      </c>
      <c r="N481" s="339">
        <v>2.8189072432626014</v>
      </c>
      <c r="O481" s="319"/>
      <c r="P481" s="320">
        <v>2015</v>
      </c>
      <c r="Q481" s="180"/>
      <c r="R481" s="180"/>
      <c r="S481" s="180"/>
      <c r="T481" s="320">
        <v>1</v>
      </c>
      <c r="U481" s="320">
        <v>0.75</v>
      </c>
      <c r="V481" s="180">
        <v>25</v>
      </c>
      <c r="W481" s="180"/>
      <c r="X481" s="180">
        <v>8.7644398114241684E-2</v>
      </c>
      <c r="Y481" s="180">
        <v>7.1548202614379067E-2</v>
      </c>
      <c r="Z481" s="180">
        <v>0.99199999999999999</v>
      </c>
      <c r="AA481" s="320"/>
      <c r="AB481" s="180"/>
      <c r="AC481" s="180"/>
      <c r="AD481" s="60"/>
      <c r="AE481" s="9"/>
      <c r="AG481" s="9"/>
      <c r="AH481" s="9"/>
      <c r="AI481" s="11"/>
    </row>
    <row r="482" spans="1:35" s="7" customFormat="1" ht="12.75" x14ac:dyDescent="0.2">
      <c r="A482" s="23"/>
      <c r="B482" s="304"/>
      <c r="C482" s="304"/>
      <c r="D482" s="304"/>
      <c r="E482" s="304"/>
      <c r="F482" s="304" t="s">
        <v>1094</v>
      </c>
      <c r="G482" s="180"/>
      <c r="H482" s="180" t="s">
        <v>1153</v>
      </c>
      <c r="I482" s="180" t="s">
        <v>735</v>
      </c>
      <c r="J482" s="181"/>
      <c r="K482" s="339">
        <v>0.98798374956690249</v>
      </c>
      <c r="L482" s="339">
        <v>0.99453905862819103</v>
      </c>
      <c r="M482" s="339">
        <v>0.99585958279439746</v>
      </c>
      <c r="N482" s="339">
        <v>0.99861753678278542</v>
      </c>
      <c r="O482" s="319"/>
      <c r="P482" s="320" t="s">
        <v>382</v>
      </c>
      <c r="Q482" s="180"/>
      <c r="R482" s="180"/>
      <c r="S482" s="180"/>
      <c r="T482" s="320" t="s">
        <v>382</v>
      </c>
      <c r="U482" s="320" t="s">
        <v>382</v>
      </c>
      <c r="V482" s="180" t="s">
        <v>382</v>
      </c>
      <c r="W482" s="180"/>
      <c r="X482" s="180" t="s">
        <v>382</v>
      </c>
      <c r="Y482" s="180" t="s">
        <v>382</v>
      </c>
      <c r="Z482" s="180" t="s">
        <v>382</v>
      </c>
      <c r="AA482" s="320"/>
      <c r="AB482" s="180"/>
      <c r="AC482" s="180"/>
      <c r="AD482" s="60"/>
      <c r="AE482" s="9"/>
      <c r="AG482" s="9"/>
      <c r="AH482" s="9"/>
      <c r="AI482" s="11"/>
    </row>
    <row r="483" spans="1:35" s="7" customFormat="1" ht="12.75" x14ac:dyDescent="0.2">
      <c r="A483" s="23"/>
      <c r="B483" s="304"/>
      <c r="C483" s="304" t="s">
        <v>358</v>
      </c>
      <c r="D483" s="304" t="s">
        <v>359</v>
      </c>
      <c r="E483" s="304" t="s">
        <v>691</v>
      </c>
      <c r="F483" s="304"/>
      <c r="G483" s="320" t="s">
        <v>1303</v>
      </c>
      <c r="H483" s="180"/>
      <c r="I483" s="180" t="s">
        <v>319</v>
      </c>
      <c r="J483" s="181"/>
      <c r="K483" s="339">
        <v>6.3606112155668955</v>
      </c>
      <c r="L483" s="339">
        <v>6.3606112155668955</v>
      </c>
      <c r="M483" s="339">
        <v>6.3606112155668955</v>
      </c>
      <c r="N483" s="339">
        <v>6.3606112155668955</v>
      </c>
      <c r="O483" s="319"/>
      <c r="P483" s="320">
        <v>2015</v>
      </c>
      <c r="Q483" s="180"/>
      <c r="R483" s="180"/>
      <c r="S483" s="180"/>
      <c r="T483" s="320">
        <v>1</v>
      </c>
      <c r="U483" s="320">
        <v>0.75</v>
      </c>
      <c r="V483" s="180">
        <v>25</v>
      </c>
      <c r="W483" s="180"/>
      <c r="X483" s="180">
        <v>0.1517122252905255</v>
      </c>
      <c r="Y483" s="180">
        <v>8.2388071895424825E-2</v>
      </c>
      <c r="Z483" s="180">
        <v>1.2</v>
      </c>
      <c r="AA483" s="320"/>
      <c r="AB483" s="180"/>
      <c r="AC483" s="180"/>
      <c r="AD483" s="60"/>
      <c r="AE483" s="9"/>
      <c r="AG483" s="9"/>
      <c r="AH483" s="9"/>
      <c r="AI483" s="11"/>
    </row>
    <row r="484" spans="1:35" s="7" customFormat="1" ht="12.75" x14ac:dyDescent="0.2">
      <c r="A484" s="24"/>
      <c r="B484" s="304"/>
      <c r="C484" s="304"/>
      <c r="D484" s="304"/>
      <c r="E484" s="304"/>
      <c r="F484" s="304" t="s">
        <v>1094</v>
      </c>
      <c r="G484" s="180"/>
      <c r="H484" s="180" t="s">
        <v>1153</v>
      </c>
      <c r="I484" s="180" t="s">
        <v>735</v>
      </c>
      <c r="J484" s="181"/>
      <c r="K484" s="339">
        <v>0.98798374956690249</v>
      </c>
      <c r="L484" s="339">
        <v>0.99453905862819103</v>
      </c>
      <c r="M484" s="339">
        <v>0.99585958279439746</v>
      </c>
      <c r="N484" s="339">
        <v>0.99861753678278542</v>
      </c>
      <c r="O484" s="319"/>
      <c r="P484" s="320" t="s">
        <v>382</v>
      </c>
      <c r="Q484" s="180"/>
      <c r="R484" s="180"/>
      <c r="S484" s="180"/>
      <c r="T484" s="320" t="s">
        <v>382</v>
      </c>
      <c r="U484" s="320" t="s">
        <v>382</v>
      </c>
      <c r="V484" s="180" t="s">
        <v>382</v>
      </c>
      <c r="W484" s="180"/>
      <c r="X484" s="180" t="s">
        <v>382</v>
      </c>
      <c r="Y484" s="180" t="s">
        <v>382</v>
      </c>
      <c r="Z484" s="180" t="s">
        <v>382</v>
      </c>
      <c r="AA484" s="320"/>
      <c r="AB484" s="180"/>
      <c r="AC484" s="180"/>
      <c r="AD484" s="60"/>
      <c r="AE484" s="9"/>
      <c r="AG484" s="9"/>
      <c r="AH484" s="9"/>
      <c r="AI484" s="11"/>
    </row>
    <row r="485" spans="1:35" s="7" customFormat="1" ht="12.75" x14ac:dyDescent="0.2">
      <c r="A485" s="23"/>
      <c r="B485" s="304"/>
      <c r="C485" s="304" t="s">
        <v>1004</v>
      </c>
      <c r="D485" s="304" t="s">
        <v>1003</v>
      </c>
      <c r="E485" s="304" t="s">
        <v>1006</v>
      </c>
      <c r="F485" s="304"/>
      <c r="G485" s="320" t="s">
        <v>1303</v>
      </c>
      <c r="H485" s="180"/>
      <c r="I485" s="180" t="s">
        <v>319</v>
      </c>
      <c r="J485" s="181"/>
      <c r="K485" s="339">
        <v>6.3606112155668955</v>
      </c>
      <c r="L485" s="339">
        <v>6.3606112155668955</v>
      </c>
      <c r="M485" s="339">
        <v>6.3606112155668955</v>
      </c>
      <c r="N485" s="339">
        <v>6.3606112155668955</v>
      </c>
      <c r="O485" s="319"/>
      <c r="P485" s="320">
        <v>2015</v>
      </c>
      <c r="Q485" s="180"/>
      <c r="R485" s="180"/>
      <c r="S485" s="180"/>
      <c r="T485" s="320">
        <v>1</v>
      </c>
      <c r="U485" s="320">
        <v>0.75</v>
      </c>
      <c r="V485" s="180">
        <v>25</v>
      </c>
      <c r="W485" s="180"/>
      <c r="X485" s="180">
        <v>0.1369624256095022</v>
      </c>
      <c r="Y485" s="180">
        <v>8.2388071895424825E-2</v>
      </c>
      <c r="Z485" s="180">
        <v>1.2</v>
      </c>
      <c r="AA485" s="320"/>
      <c r="AB485" s="180"/>
      <c r="AC485" s="180"/>
      <c r="AD485" s="60"/>
      <c r="AE485" s="9"/>
      <c r="AG485" s="9"/>
      <c r="AH485" s="9"/>
      <c r="AI485" s="11"/>
    </row>
    <row r="486" spans="1:35" s="7" customFormat="1" ht="12.75" x14ac:dyDescent="0.2">
      <c r="A486" s="24"/>
      <c r="B486" s="304"/>
      <c r="C486" s="304"/>
      <c r="D486" s="304"/>
      <c r="E486" s="304"/>
      <c r="F486" s="304" t="s">
        <v>1094</v>
      </c>
      <c r="G486" s="180"/>
      <c r="H486" s="180" t="s">
        <v>1153</v>
      </c>
      <c r="I486" s="180" t="s">
        <v>735</v>
      </c>
      <c r="J486" s="181"/>
      <c r="K486" s="339">
        <v>0.98798374956690249</v>
      </c>
      <c r="L486" s="339">
        <v>0.99453905862819103</v>
      </c>
      <c r="M486" s="339">
        <v>0.99585958279439746</v>
      </c>
      <c r="N486" s="339">
        <v>0.99861753678278542</v>
      </c>
      <c r="O486" s="319"/>
      <c r="P486" s="320" t="s">
        <v>382</v>
      </c>
      <c r="Q486" s="180"/>
      <c r="R486" s="180"/>
      <c r="S486" s="180"/>
      <c r="T486" s="320" t="s">
        <v>382</v>
      </c>
      <c r="U486" s="320" t="s">
        <v>382</v>
      </c>
      <c r="V486" s="180" t="s">
        <v>382</v>
      </c>
      <c r="W486" s="180"/>
      <c r="X486" s="180" t="s">
        <v>382</v>
      </c>
      <c r="Y486" s="180" t="s">
        <v>382</v>
      </c>
      <c r="Z486" s="180" t="s">
        <v>382</v>
      </c>
      <c r="AA486" s="320"/>
      <c r="AB486" s="180"/>
      <c r="AC486" s="180"/>
      <c r="AD486" s="60"/>
      <c r="AE486" s="9"/>
      <c r="AG486" s="9"/>
      <c r="AH486" s="9"/>
      <c r="AI486" s="11"/>
    </row>
    <row r="487" spans="1:35" s="7" customFormat="1" ht="12.75" x14ac:dyDescent="0.2">
      <c r="A487" s="23"/>
      <c r="B487" s="304"/>
      <c r="C487" s="304" t="s">
        <v>912</v>
      </c>
      <c r="D487" s="304" t="s">
        <v>913</v>
      </c>
      <c r="E487" s="304" t="s">
        <v>267</v>
      </c>
      <c r="F487" s="304"/>
      <c r="G487" s="320" t="s">
        <v>1303</v>
      </c>
      <c r="H487" s="180"/>
      <c r="I487" s="180" t="s">
        <v>319</v>
      </c>
      <c r="J487" s="181"/>
      <c r="K487" s="339">
        <v>0.43367803742501559</v>
      </c>
      <c r="L487" s="339">
        <v>0.43367803742501559</v>
      </c>
      <c r="M487" s="339">
        <v>0.43367803742501559</v>
      </c>
      <c r="N487" s="339">
        <v>0.43367803742501559</v>
      </c>
      <c r="O487" s="319"/>
      <c r="P487" s="320">
        <v>2015</v>
      </c>
      <c r="Q487" s="180"/>
      <c r="R487" s="180"/>
      <c r="S487" s="180"/>
      <c r="T487" s="320">
        <v>1</v>
      </c>
      <c r="U487" s="320">
        <v>0.75</v>
      </c>
      <c r="V487" s="180">
        <v>25</v>
      </c>
      <c r="W487" s="180"/>
      <c r="X487" s="180">
        <v>1.4286036892621394</v>
      </c>
      <c r="Y487" s="180">
        <v>7.1548202614379067E-2</v>
      </c>
      <c r="Z487" s="180">
        <v>0.248</v>
      </c>
      <c r="AA487" s="320"/>
      <c r="AB487" s="180"/>
      <c r="AC487" s="180"/>
      <c r="AD487" s="60"/>
      <c r="AE487" s="9"/>
      <c r="AG487" s="9"/>
      <c r="AH487" s="9"/>
      <c r="AI487" s="11"/>
    </row>
    <row r="488" spans="1:35" s="7" customFormat="1" ht="12.75" x14ac:dyDescent="0.2">
      <c r="A488" s="23"/>
      <c r="B488" s="304"/>
      <c r="C488" s="304"/>
      <c r="D488" s="304"/>
      <c r="E488" s="304"/>
      <c r="F488" s="304" t="s">
        <v>1094</v>
      </c>
      <c r="G488" s="180"/>
      <c r="H488" s="180" t="s">
        <v>1153</v>
      </c>
      <c r="I488" s="180" t="s">
        <v>735</v>
      </c>
      <c r="J488" s="181"/>
      <c r="K488" s="339">
        <v>0.98798374956690249</v>
      </c>
      <c r="L488" s="339">
        <v>0.99453905862819103</v>
      </c>
      <c r="M488" s="339">
        <v>0.99585958279439746</v>
      </c>
      <c r="N488" s="339">
        <v>0.99861753678278542</v>
      </c>
      <c r="O488" s="319"/>
      <c r="P488" s="320" t="s">
        <v>382</v>
      </c>
      <c r="Q488" s="180"/>
      <c r="R488" s="180"/>
      <c r="S488" s="180"/>
      <c r="T488" s="320" t="s">
        <v>382</v>
      </c>
      <c r="U488" s="320" t="s">
        <v>382</v>
      </c>
      <c r="V488" s="180" t="s">
        <v>382</v>
      </c>
      <c r="W488" s="180"/>
      <c r="X488" s="180" t="s">
        <v>382</v>
      </c>
      <c r="Y488" s="180" t="s">
        <v>382</v>
      </c>
      <c r="Z488" s="180" t="s">
        <v>382</v>
      </c>
      <c r="AA488" s="320"/>
      <c r="AB488" s="180"/>
      <c r="AC488" s="180"/>
      <c r="AD488" s="60"/>
      <c r="AE488" s="9"/>
      <c r="AG488" s="9"/>
      <c r="AH488" s="9"/>
      <c r="AI488" s="11"/>
    </row>
    <row r="489" spans="1:35" s="7" customFormat="1" ht="12.75" x14ac:dyDescent="0.2">
      <c r="A489" s="23"/>
      <c r="B489" s="304"/>
      <c r="C489" s="304" t="s">
        <v>360</v>
      </c>
      <c r="D489" s="304" t="s">
        <v>361</v>
      </c>
      <c r="E489" s="304" t="s">
        <v>385</v>
      </c>
      <c r="F489" s="304"/>
      <c r="G489" s="320" t="s">
        <v>1303</v>
      </c>
      <c r="H489" s="180"/>
      <c r="I489" s="180" t="s">
        <v>319</v>
      </c>
      <c r="J489" s="181"/>
      <c r="K489" s="339">
        <v>1.7347121497000624</v>
      </c>
      <c r="L489" s="339">
        <v>1.7347121497000624</v>
      </c>
      <c r="M489" s="339">
        <v>1.7347121497000624</v>
      </c>
      <c r="N489" s="339">
        <v>1.7347121497000624</v>
      </c>
      <c r="O489" s="319"/>
      <c r="P489" s="320">
        <v>2011</v>
      </c>
      <c r="Q489" s="180"/>
      <c r="R489" s="180"/>
      <c r="S489" s="180"/>
      <c r="T489" s="320">
        <v>1</v>
      </c>
      <c r="U489" s="320">
        <v>0.75</v>
      </c>
      <c r="V489" s="180">
        <v>25</v>
      </c>
      <c r="W489" s="180"/>
      <c r="X489" s="180">
        <v>4.4698643038263257E-2</v>
      </c>
      <c r="Y489" s="180">
        <v>4.6221405228758165E-2</v>
      </c>
      <c r="Z489" s="180">
        <v>0.248</v>
      </c>
      <c r="AA489" s="320"/>
      <c r="AB489" s="180"/>
      <c r="AC489" s="180"/>
      <c r="AD489" s="60"/>
      <c r="AE489" s="9"/>
      <c r="AG489" s="9"/>
      <c r="AH489" s="9"/>
      <c r="AI489" s="11"/>
    </row>
    <row r="490" spans="1:35" s="7" customFormat="1" ht="12.75" x14ac:dyDescent="0.2">
      <c r="A490" s="24"/>
      <c r="B490" s="304"/>
      <c r="C490" s="304"/>
      <c r="D490" s="304"/>
      <c r="E490" s="304"/>
      <c r="F490" s="304" t="s">
        <v>1094</v>
      </c>
      <c r="G490" s="180"/>
      <c r="H490" s="180" t="s">
        <v>1153</v>
      </c>
      <c r="I490" s="180" t="s">
        <v>735</v>
      </c>
      <c r="J490" s="181"/>
      <c r="K490" s="339">
        <v>0.98798374956690249</v>
      </c>
      <c r="L490" s="339">
        <v>0.99453905862819103</v>
      </c>
      <c r="M490" s="339">
        <v>0.99585958279439746</v>
      </c>
      <c r="N490" s="339">
        <v>0.99861753678278542</v>
      </c>
      <c r="O490" s="319"/>
      <c r="P490" s="320" t="s">
        <v>382</v>
      </c>
      <c r="Q490" s="180"/>
      <c r="R490" s="180"/>
      <c r="S490" s="180"/>
      <c r="T490" s="320" t="s">
        <v>382</v>
      </c>
      <c r="U490" s="320" t="s">
        <v>382</v>
      </c>
      <c r="V490" s="180" t="s">
        <v>382</v>
      </c>
      <c r="W490" s="180"/>
      <c r="X490" s="180" t="s">
        <v>382</v>
      </c>
      <c r="Y490" s="180" t="s">
        <v>382</v>
      </c>
      <c r="Z490" s="180" t="s">
        <v>382</v>
      </c>
      <c r="AA490" s="320"/>
      <c r="AB490" s="180"/>
      <c r="AC490" s="180"/>
      <c r="AD490" s="60"/>
      <c r="AE490" s="9"/>
      <c r="AG490" s="9"/>
      <c r="AH490" s="9"/>
      <c r="AI490" s="11"/>
    </row>
    <row r="491" spans="1:35" s="7" customFormat="1" ht="12.75" x14ac:dyDescent="0.2">
      <c r="A491" s="23"/>
      <c r="B491" s="304"/>
      <c r="C491" s="304" t="s">
        <v>362</v>
      </c>
      <c r="D491" s="304" t="s">
        <v>363</v>
      </c>
      <c r="E491" s="304" t="s">
        <v>693</v>
      </c>
      <c r="F491" s="304"/>
      <c r="G491" s="320" t="s">
        <v>1303</v>
      </c>
      <c r="H491" s="180"/>
      <c r="I491" s="180" t="s">
        <v>319</v>
      </c>
      <c r="J491" s="181"/>
      <c r="K491" s="339">
        <v>2.8189072432626014</v>
      </c>
      <c r="L491" s="339">
        <v>2.8189072432626014</v>
      </c>
      <c r="M491" s="339">
        <v>2.8189072432626014</v>
      </c>
      <c r="N491" s="339">
        <v>2.8189072432626014</v>
      </c>
      <c r="O491" s="319"/>
      <c r="P491" s="320">
        <v>2015</v>
      </c>
      <c r="Q491" s="180"/>
      <c r="R491" s="180"/>
      <c r="S491" s="180"/>
      <c r="T491" s="320">
        <v>1</v>
      </c>
      <c r="U491" s="320">
        <v>0.75</v>
      </c>
      <c r="V491" s="180">
        <v>25</v>
      </c>
      <c r="W491" s="180"/>
      <c r="X491" s="180">
        <v>1.5732169461506382</v>
      </c>
      <c r="Y491" s="180">
        <v>7.1548202614379067E-2</v>
      </c>
      <c r="Z491" s="180">
        <v>0.99199999999999999</v>
      </c>
      <c r="AA491" s="320"/>
      <c r="AB491" s="180"/>
      <c r="AC491" s="180"/>
      <c r="AD491" s="60"/>
      <c r="AE491" s="9"/>
      <c r="AG491" s="9"/>
      <c r="AH491" s="9"/>
      <c r="AI491" s="11"/>
    </row>
    <row r="492" spans="1:35" s="7" customFormat="1" ht="12.75" x14ac:dyDescent="0.2">
      <c r="A492" s="24"/>
      <c r="B492" s="321"/>
      <c r="C492" s="321"/>
      <c r="D492" s="321"/>
      <c r="E492" s="321"/>
      <c r="F492" s="321" t="s">
        <v>1094</v>
      </c>
      <c r="G492" s="322"/>
      <c r="H492" s="322" t="s">
        <v>1153</v>
      </c>
      <c r="I492" s="322" t="s">
        <v>735</v>
      </c>
      <c r="J492" s="365"/>
      <c r="K492" s="340">
        <v>0.98798374956690249</v>
      </c>
      <c r="L492" s="340">
        <v>0.99453905862819103</v>
      </c>
      <c r="M492" s="340">
        <v>0.99585958279439746</v>
      </c>
      <c r="N492" s="340">
        <v>0.99861753678278542</v>
      </c>
      <c r="O492" s="323"/>
      <c r="P492" s="324" t="s">
        <v>382</v>
      </c>
      <c r="Q492" s="322"/>
      <c r="R492" s="322"/>
      <c r="S492" s="322"/>
      <c r="T492" s="324" t="s">
        <v>382</v>
      </c>
      <c r="U492" s="324" t="s">
        <v>382</v>
      </c>
      <c r="V492" s="322" t="s">
        <v>382</v>
      </c>
      <c r="W492" s="322"/>
      <c r="X492" s="322" t="s">
        <v>382</v>
      </c>
      <c r="Y492" s="322" t="s">
        <v>382</v>
      </c>
      <c r="Z492" s="322" t="s">
        <v>382</v>
      </c>
      <c r="AA492" s="324"/>
      <c r="AB492" s="322"/>
      <c r="AC492" s="322"/>
      <c r="AD492" s="60"/>
      <c r="AE492" s="9"/>
      <c r="AG492" s="9"/>
      <c r="AH492" s="9"/>
      <c r="AI492" s="11"/>
    </row>
    <row r="493" spans="1:35" s="7" customFormat="1" ht="12.75" x14ac:dyDescent="0.2">
      <c r="A493" s="52"/>
      <c r="B493" s="180"/>
      <c r="C493" s="180" t="s">
        <v>373</v>
      </c>
      <c r="D493" s="180" t="s">
        <v>304</v>
      </c>
      <c r="E493" s="180" t="s">
        <v>688</v>
      </c>
      <c r="F493" s="180"/>
      <c r="G493" s="320" t="s">
        <v>1303</v>
      </c>
      <c r="H493" s="180"/>
      <c r="I493" s="180" t="s">
        <v>319</v>
      </c>
      <c r="J493" s="181"/>
      <c r="K493" s="339">
        <v>157.93344004665153</v>
      </c>
      <c r="L493" s="339">
        <v>148.32983227501876</v>
      </c>
      <c r="M493" s="339">
        <v>134.18072081335816</v>
      </c>
      <c r="N493" s="339">
        <v>134.18072081335816</v>
      </c>
      <c r="O493" s="319"/>
      <c r="P493" s="320">
        <v>2015</v>
      </c>
      <c r="Q493" s="180"/>
      <c r="R493" s="180"/>
      <c r="S493" s="320"/>
      <c r="T493" s="180">
        <v>31.536000000000001</v>
      </c>
      <c r="U493" s="180">
        <v>0.35</v>
      </c>
      <c r="V493" s="180">
        <v>25</v>
      </c>
      <c r="W493" s="180"/>
      <c r="X493" s="180">
        <v>4.4096957058864819</v>
      </c>
      <c r="Y493" s="180">
        <v>6.5598484848484855</v>
      </c>
      <c r="Z493" s="180">
        <v>0.496</v>
      </c>
      <c r="AA493" s="320"/>
      <c r="AB493" s="180"/>
      <c r="AC493" s="180"/>
      <c r="AD493" s="60"/>
      <c r="AE493" s="9"/>
      <c r="AG493" s="9"/>
      <c r="AH493" s="9"/>
      <c r="AI493" s="11"/>
    </row>
    <row r="494" spans="1:35" s="7" customFormat="1" ht="12.75" x14ac:dyDescent="0.2">
      <c r="A494" s="24"/>
      <c r="B494" s="304"/>
      <c r="C494" s="304"/>
      <c r="D494" s="304"/>
      <c r="E494" s="304" t="s">
        <v>334</v>
      </c>
      <c r="F494" s="304" t="s">
        <v>1097</v>
      </c>
      <c r="G494" s="180"/>
      <c r="H494" s="304" t="s">
        <v>1153</v>
      </c>
      <c r="I494" s="304" t="s">
        <v>735</v>
      </c>
      <c r="J494" s="181"/>
      <c r="K494" s="339">
        <v>0.92</v>
      </c>
      <c r="L494" s="339">
        <v>0.93</v>
      </c>
      <c r="M494" s="339">
        <v>0.95</v>
      </c>
      <c r="N494" s="339">
        <v>0.95</v>
      </c>
      <c r="O494" s="319"/>
      <c r="P494" s="320" t="s">
        <v>382</v>
      </c>
      <c r="Q494" s="180"/>
      <c r="R494" s="180"/>
      <c r="S494" s="320"/>
      <c r="T494" s="180" t="s">
        <v>382</v>
      </c>
      <c r="U494" s="180"/>
      <c r="V494" s="180" t="s">
        <v>382</v>
      </c>
      <c r="W494" s="180"/>
      <c r="X494" s="180" t="s">
        <v>382</v>
      </c>
      <c r="Y494" s="180" t="s">
        <v>382</v>
      </c>
      <c r="Z494" s="180" t="s">
        <v>382</v>
      </c>
      <c r="AA494" s="320"/>
      <c r="AB494" s="180"/>
      <c r="AC494" s="180"/>
      <c r="AD494" s="60"/>
      <c r="AE494" s="9"/>
      <c r="AG494" s="9"/>
      <c r="AH494" s="9"/>
      <c r="AI494" s="11"/>
    </row>
    <row r="495" spans="1:35" s="7" customFormat="1" ht="12.75" x14ac:dyDescent="0.2">
      <c r="A495" s="23"/>
      <c r="B495" s="304"/>
      <c r="C495" s="304" t="s">
        <v>305</v>
      </c>
      <c r="D495" s="304" t="s">
        <v>306</v>
      </c>
      <c r="E495" s="304" t="s">
        <v>258</v>
      </c>
      <c r="F495" s="304"/>
      <c r="G495" s="320" t="s">
        <v>1303</v>
      </c>
      <c r="H495" s="304"/>
      <c r="I495" s="304" t="s">
        <v>319</v>
      </c>
      <c r="J495" s="181"/>
      <c r="K495" s="339">
        <v>157.93344004665153</v>
      </c>
      <c r="L495" s="339">
        <v>148.32983227501876</v>
      </c>
      <c r="M495" s="339">
        <v>134.18072081335816</v>
      </c>
      <c r="N495" s="339">
        <v>134.18072081335816</v>
      </c>
      <c r="O495" s="319"/>
      <c r="P495" s="320">
        <v>2015</v>
      </c>
      <c r="Q495" s="180"/>
      <c r="R495" s="180"/>
      <c r="S495" s="320"/>
      <c r="T495" s="180">
        <v>31.536000000000001</v>
      </c>
      <c r="U495" s="180">
        <v>0.35</v>
      </c>
      <c r="V495" s="180">
        <v>25</v>
      </c>
      <c r="W495" s="180"/>
      <c r="X495" s="180">
        <v>4.4096957058864819</v>
      </c>
      <c r="Y495" s="180">
        <v>6.5598484848484855</v>
      </c>
      <c r="Z495" s="180">
        <v>0.62</v>
      </c>
      <c r="AA495" s="320"/>
      <c r="AB495" s="180"/>
      <c r="AC495" s="180"/>
      <c r="AD495" s="60"/>
      <c r="AE495" s="9"/>
      <c r="AG495" s="9"/>
      <c r="AH495" s="9"/>
      <c r="AI495" s="11"/>
    </row>
    <row r="496" spans="1:35" s="7" customFormat="1" ht="12.75" x14ac:dyDescent="0.2">
      <c r="A496" s="24"/>
      <c r="B496" s="304"/>
      <c r="C496" s="304"/>
      <c r="D496" s="304"/>
      <c r="E496" s="304"/>
      <c r="F496" s="304" t="s">
        <v>1097</v>
      </c>
      <c r="G496" s="180"/>
      <c r="H496" s="304" t="s">
        <v>1153</v>
      </c>
      <c r="I496" s="304" t="s">
        <v>735</v>
      </c>
      <c r="J496" s="181"/>
      <c r="K496" s="339">
        <v>0.92</v>
      </c>
      <c r="L496" s="339">
        <v>0.93</v>
      </c>
      <c r="M496" s="339">
        <v>0.95</v>
      </c>
      <c r="N496" s="339">
        <v>0.95</v>
      </c>
      <c r="O496" s="319"/>
      <c r="P496" s="320" t="s">
        <v>382</v>
      </c>
      <c r="Q496" s="180"/>
      <c r="R496" s="180"/>
      <c r="S496" s="320"/>
      <c r="T496" s="180" t="s">
        <v>382</v>
      </c>
      <c r="U496" s="180"/>
      <c r="V496" s="180" t="s">
        <v>382</v>
      </c>
      <c r="W496" s="180"/>
      <c r="X496" s="180" t="s">
        <v>382</v>
      </c>
      <c r="Y496" s="180" t="s">
        <v>382</v>
      </c>
      <c r="Z496" s="180" t="s">
        <v>382</v>
      </c>
      <c r="AA496" s="320"/>
      <c r="AB496" s="180"/>
      <c r="AC496" s="180"/>
      <c r="AD496" s="60"/>
      <c r="AE496" s="9"/>
      <c r="AG496" s="9"/>
      <c r="AH496" s="9"/>
      <c r="AI496" s="11"/>
    </row>
    <row r="497" spans="1:35" s="7" customFormat="1" ht="12.75" x14ac:dyDescent="0.2">
      <c r="A497" s="23"/>
      <c r="B497" s="304"/>
      <c r="C497" s="304" t="s">
        <v>307</v>
      </c>
      <c r="D497" s="304" t="s">
        <v>308</v>
      </c>
      <c r="E497" s="304" t="s">
        <v>690</v>
      </c>
      <c r="F497" s="304"/>
      <c r="G497" s="320" t="s">
        <v>1303</v>
      </c>
      <c r="H497" s="304"/>
      <c r="I497" s="304" t="s">
        <v>319</v>
      </c>
      <c r="J497" s="181"/>
      <c r="K497" s="339">
        <v>133.91286071760305</v>
      </c>
      <c r="L497" s="339">
        <v>125.76989498767736</v>
      </c>
      <c r="M497" s="339">
        <v>113.77276510889105</v>
      </c>
      <c r="N497" s="339">
        <v>113.77276510889105</v>
      </c>
      <c r="O497" s="319"/>
      <c r="P497" s="320">
        <v>2015</v>
      </c>
      <c r="Q497" s="180"/>
      <c r="R497" s="180"/>
      <c r="S497" s="320"/>
      <c r="T497" s="180">
        <v>31.536000000000001</v>
      </c>
      <c r="U497" s="180">
        <v>0.35</v>
      </c>
      <c r="V497" s="180">
        <v>25</v>
      </c>
      <c r="W497" s="180"/>
      <c r="X497" s="180">
        <v>3.7835060672142129</v>
      </c>
      <c r="Y497" s="180">
        <v>0</v>
      </c>
      <c r="Z497" s="180">
        <v>0.99199999999999999</v>
      </c>
      <c r="AA497" s="320"/>
      <c r="AB497" s="180"/>
      <c r="AC497" s="180"/>
      <c r="AD497" s="60"/>
      <c r="AE497" s="9"/>
      <c r="AG497" s="9"/>
      <c r="AH497" s="9"/>
      <c r="AI497" s="11"/>
    </row>
    <row r="498" spans="1:35" s="7" customFormat="1" ht="12.75" x14ac:dyDescent="0.2">
      <c r="A498" s="24"/>
      <c r="B498" s="304"/>
      <c r="C498" s="304"/>
      <c r="D498" s="304"/>
      <c r="E498" s="304"/>
      <c r="F498" s="304" t="s">
        <v>1097</v>
      </c>
      <c r="G498" s="180"/>
      <c r="H498" s="304" t="s">
        <v>1153</v>
      </c>
      <c r="I498" s="304" t="s">
        <v>735</v>
      </c>
      <c r="J498" s="181"/>
      <c r="K498" s="339">
        <v>1.01</v>
      </c>
      <c r="L498" s="339">
        <v>1.02</v>
      </c>
      <c r="M498" s="339">
        <v>1.02</v>
      </c>
      <c r="N498" s="339">
        <v>1.02</v>
      </c>
      <c r="O498" s="319"/>
      <c r="P498" s="320" t="s">
        <v>382</v>
      </c>
      <c r="Q498" s="180"/>
      <c r="R498" s="180"/>
      <c r="S498" s="320"/>
      <c r="T498" s="180" t="s">
        <v>382</v>
      </c>
      <c r="U498" s="180"/>
      <c r="V498" s="180" t="s">
        <v>382</v>
      </c>
      <c r="W498" s="180"/>
      <c r="X498" s="180" t="s">
        <v>382</v>
      </c>
      <c r="Y498" s="180" t="s">
        <v>382</v>
      </c>
      <c r="Z498" s="180" t="s">
        <v>382</v>
      </c>
      <c r="AA498" s="320"/>
      <c r="AB498" s="180"/>
      <c r="AC498" s="180"/>
      <c r="AD498" s="60"/>
      <c r="AE498" s="9"/>
      <c r="AG498" s="9"/>
      <c r="AH498" s="9"/>
      <c r="AI498" s="11"/>
    </row>
    <row r="499" spans="1:35" s="7" customFormat="1" ht="12.75" x14ac:dyDescent="0.2">
      <c r="A499" s="23"/>
      <c r="B499" s="304"/>
      <c r="C499" s="304" t="s">
        <v>311</v>
      </c>
      <c r="D499" s="304" t="s">
        <v>312</v>
      </c>
      <c r="E499" s="304" t="s">
        <v>693</v>
      </c>
      <c r="F499" s="304"/>
      <c r="G499" s="320" t="s">
        <v>1303</v>
      </c>
      <c r="H499" s="304"/>
      <c r="I499" s="304" t="s">
        <v>319</v>
      </c>
      <c r="J499" s="181"/>
      <c r="K499" s="339">
        <v>133.91286071760305</v>
      </c>
      <c r="L499" s="339">
        <v>125.76989498767736</v>
      </c>
      <c r="M499" s="339">
        <v>113.77276510889105</v>
      </c>
      <c r="N499" s="339">
        <v>113.77276510889105</v>
      </c>
      <c r="O499" s="319"/>
      <c r="P499" s="320">
        <v>2015</v>
      </c>
      <c r="Q499" s="180"/>
      <c r="R499" s="180"/>
      <c r="S499" s="320"/>
      <c r="T499" s="180">
        <v>31.536000000000001</v>
      </c>
      <c r="U499" s="180">
        <v>0.35</v>
      </c>
      <c r="V499" s="180">
        <v>25</v>
      </c>
      <c r="W499" s="180"/>
      <c r="X499" s="180">
        <v>3.7835060672142129</v>
      </c>
      <c r="Y499" s="180">
        <v>0</v>
      </c>
      <c r="Z499" s="180">
        <v>0.99199999999999999</v>
      </c>
      <c r="AA499" s="320"/>
      <c r="AB499" s="180"/>
      <c r="AC499" s="180"/>
      <c r="AD499" s="60"/>
      <c r="AE499" s="9"/>
      <c r="AG499" s="9"/>
      <c r="AH499" s="9"/>
      <c r="AI499" s="11"/>
    </row>
    <row r="500" spans="1:35" s="7" customFormat="1" ht="12.75" x14ac:dyDescent="0.2">
      <c r="A500" s="23"/>
      <c r="B500" s="304"/>
      <c r="C500" s="304"/>
      <c r="D500" s="304"/>
      <c r="E500" s="304"/>
      <c r="F500" s="304" t="s">
        <v>1097</v>
      </c>
      <c r="G500" s="180"/>
      <c r="H500" s="304" t="s">
        <v>1153</v>
      </c>
      <c r="I500" s="304" t="s">
        <v>735</v>
      </c>
      <c r="J500" s="181"/>
      <c r="K500" s="339">
        <v>1.01</v>
      </c>
      <c r="L500" s="339">
        <v>1.02</v>
      </c>
      <c r="M500" s="339">
        <v>1.02</v>
      </c>
      <c r="N500" s="339">
        <v>1.02</v>
      </c>
      <c r="O500" s="319"/>
      <c r="P500" s="320" t="s">
        <v>382</v>
      </c>
      <c r="Q500" s="180"/>
      <c r="R500" s="180"/>
      <c r="S500" s="320"/>
      <c r="T500" s="180" t="s">
        <v>382</v>
      </c>
      <c r="U500" s="180"/>
      <c r="V500" s="180" t="s">
        <v>382</v>
      </c>
      <c r="W500" s="180"/>
      <c r="X500" s="180" t="s">
        <v>382</v>
      </c>
      <c r="Y500" s="180" t="s">
        <v>382</v>
      </c>
      <c r="Z500" s="180" t="s">
        <v>382</v>
      </c>
      <c r="AA500" s="320"/>
      <c r="AB500" s="180"/>
      <c r="AC500" s="180"/>
      <c r="AD500" s="60"/>
      <c r="AE500" s="9"/>
      <c r="AG500" s="9"/>
      <c r="AH500" s="9"/>
      <c r="AI500" s="11"/>
    </row>
    <row r="501" spans="1:35" s="7" customFormat="1" ht="12.75" x14ac:dyDescent="0.2">
      <c r="A501" s="23"/>
      <c r="B501" s="304"/>
      <c r="C501" s="304" t="s">
        <v>915</v>
      </c>
      <c r="D501" s="304" t="s">
        <v>916</v>
      </c>
      <c r="E501" s="304" t="s">
        <v>917</v>
      </c>
      <c r="F501" s="304"/>
      <c r="G501" s="320" t="s">
        <v>1303</v>
      </c>
      <c r="H501" s="304"/>
      <c r="I501" s="304" t="s">
        <v>319</v>
      </c>
      <c r="J501" s="181"/>
      <c r="K501" s="339">
        <v>101.81911441566103</v>
      </c>
      <c r="L501" s="339">
        <v>95.627703412303106</v>
      </c>
      <c r="M501" s="339">
        <v>86.505822711362185</v>
      </c>
      <c r="N501" s="339">
        <v>86.505822711362185</v>
      </c>
      <c r="O501" s="319"/>
      <c r="P501" s="320">
        <v>2015</v>
      </c>
      <c r="Q501" s="180"/>
      <c r="R501" s="180"/>
      <c r="S501" s="320"/>
      <c r="T501" s="180">
        <v>31.536000000000001</v>
      </c>
      <c r="U501" s="180">
        <v>0.35</v>
      </c>
      <c r="V501" s="180">
        <v>25</v>
      </c>
      <c r="W501" s="180"/>
      <c r="X501" s="180">
        <v>0.79608447872229748</v>
      </c>
      <c r="Y501" s="180">
        <v>0</v>
      </c>
      <c r="Z501" s="180">
        <v>0.99199999999999999</v>
      </c>
      <c r="AA501" s="320"/>
      <c r="AB501" s="180"/>
      <c r="AC501" s="180"/>
      <c r="AD501" s="60"/>
      <c r="AE501" s="9"/>
      <c r="AG501" s="9"/>
      <c r="AH501" s="9"/>
      <c r="AI501" s="11"/>
    </row>
    <row r="502" spans="1:35" s="7" customFormat="1" ht="12.75" x14ac:dyDescent="0.2">
      <c r="A502" s="23"/>
      <c r="B502" s="304"/>
      <c r="C502" s="304"/>
      <c r="D502" s="304"/>
      <c r="E502" s="304"/>
      <c r="F502" s="304" t="s">
        <v>1097</v>
      </c>
      <c r="G502" s="180"/>
      <c r="H502" s="304" t="s">
        <v>1153</v>
      </c>
      <c r="I502" s="304" t="s">
        <v>735</v>
      </c>
      <c r="J502" s="181"/>
      <c r="K502" s="339">
        <v>0.98</v>
      </c>
      <c r="L502" s="339">
        <v>0.98</v>
      </c>
      <c r="M502" s="339">
        <v>0.98</v>
      </c>
      <c r="N502" s="339">
        <v>0.98</v>
      </c>
      <c r="O502" s="319"/>
      <c r="P502" s="320" t="s">
        <v>382</v>
      </c>
      <c r="Q502" s="180"/>
      <c r="R502" s="180"/>
      <c r="S502" s="320"/>
      <c r="T502" s="180" t="s">
        <v>382</v>
      </c>
      <c r="U502" s="180"/>
      <c r="V502" s="180" t="s">
        <v>382</v>
      </c>
      <c r="W502" s="180"/>
      <c r="X502" s="180" t="s">
        <v>382</v>
      </c>
      <c r="Y502" s="180" t="s">
        <v>382</v>
      </c>
      <c r="Z502" s="180" t="s">
        <v>382</v>
      </c>
      <c r="AA502" s="320"/>
      <c r="AB502" s="180"/>
      <c r="AC502" s="180"/>
      <c r="AD502" s="60"/>
      <c r="AE502" s="9"/>
      <c r="AG502" s="9"/>
      <c r="AH502" s="9"/>
      <c r="AI502" s="11"/>
    </row>
    <row r="503" spans="1:35" s="7" customFormat="1" ht="12.75" x14ac:dyDescent="0.2">
      <c r="A503" s="23"/>
      <c r="B503" s="304"/>
      <c r="C503" s="304" t="s">
        <v>309</v>
      </c>
      <c r="D503" s="304" t="s">
        <v>1274</v>
      </c>
      <c r="E503" s="304" t="s">
        <v>386</v>
      </c>
      <c r="F503" s="304"/>
      <c r="G503" s="320" t="s">
        <v>1303</v>
      </c>
      <c r="H503" s="304"/>
      <c r="I503" s="304" t="s">
        <v>319</v>
      </c>
      <c r="J503" s="181"/>
      <c r="K503" s="339">
        <v>63.964982556060612</v>
      </c>
      <c r="L503" s="339">
        <v>63.964982556060612</v>
      </c>
      <c r="M503" s="339">
        <v>63.964982556060626</v>
      </c>
      <c r="N503" s="339">
        <v>63.964982556060626</v>
      </c>
      <c r="O503" s="319"/>
      <c r="P503" s="320">
        <v>2011</v>
      </c>
      <c r="Q503" s="180"/>
      <c r="R503" s="180"/>
      <c r="S503" s="320"/>
      <c r="T503" s="180">
        <v>31.536000000000001</v>
      </c>
      <c r="U503" s="180">
        <v>0.35</v>
      </c>
      <c r="V503" s="180">
        <v>25</v>
      </c>
      <c r="W503" s="180"/>
      <c r="X503" s="180">
        <v>4.9198789803991572</v>
      </c>
      <c r="Y503" s="180">
        <v>0</v>
      </c>
      <c r="Z503" s="180">
        <v>0.248</v>
      </c>
      <c r="AA503" s="320"/>
      <c r="AB503" s="320">
        <v>0.3</v>
      </c>
      <c r="AC503" s="320">
        <v>0.6</v>
      </c>
      <c r="AD503" s="60"/>
      <c r="AE503" s="9"/>
      <c r="AG503" s="9"/>
      <c r="AH503" s="9"/>
      <c r="AI503" s="11"/>
    </row>
    <row r="504" spans="1:35" s="7" customFormat="1" ht="12.75" x14ac:dyDescent="0.2">
      <c r="B504" s="304"/>
      <c r="C504" s="304"/>
      <c r="D504" s="304"/>
      <c r="E504" s="304"/>
      <c r="F504" s="304" t="s">
        <v>1097</v>
      </c>
      <c r="G504" s="180"/>
      <c r="H504" s="304" t="s">
        <v>1153</v>
      </c>
      <c r="I504" s="304" t="s">
        <v>735</v>
      </c>
      <c r="J504" s="181"/>
      <c r="K504" s="339">
        <v>1</v>
      </c>
      <c r="L504" s="339">
        <v>1</v>
      </c>
      <c r="M504" s="339">
        <v>1</v>
      </c>
      <c r="N504" s="339">
        <v>1</v>
      </c>
      <c r="O504" s="319"/>
      <c r="P504" s="320" t="s">
        <v>382</v>
      </c>
      <c r="Q504" s="180"/>
      <c r="R504" s="180"/>
      <c r="S504" s="320"/>
      <c r="T504" s="180" t="s">
        <v>382</v>
      </c>
      <c r="U504" s="180"/>
      <c r="V504" s="180" t="s">
        <v>382</v>
      </c>
      <c r="W504" s="180"/>
      <c r="X504" s="180" t="s">
        <v>382</v>
      </c>
      <c r="Y504" s="180" t="s">
        <v>382</v>
      </c>
      <c r="Z504" s="180" t="s">
        <v>382</v>
      </c>
      <c r="AA504" s="320"/>
      <c r="AB504" s="320"/>
      <c r="AC504" s="320"/>
      <c r="AD504" s="60"/>
      <c r="AE504" s="9"/>
      <c r="AG504" s="9"/>
      <c r="AH504" s="9"/>
      <c r="AI504" s="11"/>
    </row>
    <row r="505" spans="1:35" s="7" customFormat="1" ht="12.75" x14ac:dyDescent="0.2">
      <c r="A505" s="23"/>
      <c r="B505" s="304"/>
      <c r="C505" s="304" t="s">
        <v>1275</v>
      </c>
      <c r="D505" s="304" t="s">
        <v>1276</v>
      </c>
      <c r="E505" s="304"/>
      <c r="F505" s="304" t="s">
        <v>1097</v>
      </c>
      <c r="G505" s="180"/>
      <c r="H505" s="304" t="s">
        <v>1153</v>
      </c>
      <c r="I505" s="304" t="s">
        <v>319</v>
      </c>
      <c r="J505" s="181"/>
      <c r="K505" s="339">
        <v>523.18404315046791</v>
      </c>
      <c r="L505" s="339">
        <v>453.36369948679032</v>
      </c>
      <c r="M505" s="339">
        <v>408.88925554413265</v>
      </c>
      <c r="N505" s="339">
        <v>408.88925554413265</v>
      </c>
      <c r="O505" s="319"/>
      <c r="P505" s="320">
        <v>2015</v>
      </c>
      <c r="Q505" s="180">
        <v>1</v>
      </c>
      <c r="R505" s="180"/>
      <c r="S505" s="320"/>
      <c r="T505" s="180">
        <v>31.536000000000001</v>
      </c>
      <c r="U505" s="180">
        <v>0.35</v>
      </c>
      <c r="V505" s="180">
        <v>20</v>
      </c>
      <c r="W505" s="180"/>
      <c r="X505" s="180">
        <v>12.540837007347715</v>
      </c>
      <c r="Y505" s="180">
        <v>0</v>
      </c>
      <c r="Z505" s="180">
        <v>0.248</v>
      </c>
      <c r="AA505" s="320"/>
      <c r="AB505" s="320">
        <v>0.15</v>
      </c>
      <c r="AC505" s="389">
        <v>0.33300000000000002</v>
      </c>
      <c r="AD505" s="60"/>
      <c r="AE505" s="9"/>
      <c r="AG505" s="9"/>
      <c r="AH505" s="9"/>
      <c r="AI505" s="11"/>
    </row>
    <row r="506" spans="1:35" s="7" customFormat="1" ht="12.75" x14ac:dyDescent="0.2">
      <c r="A506" s="23"/>
      <c r="B506" s="304"/>
      <c r="C506" s="304"/>
      <c r="D506" s="304"/>
      <c r="E506" s="304" t="s">
        <v>386</v>
      </c>
      <c r="F506" s="304" t="s">
        <v>1294</v>
      </c>
      <c r="G506" s="320" t="s">
        <v>1303</v>
      </c>
      <c r="H506" s="304" t="s">
        <v>386</v>
      </c>
      <c r="I506" s="304" t="s">
        <v>736</v>
      </c>
      <c r="J506" s="181"/>
      <c r="K506" s="339">
        <v>0.36873635182998832</v>
      </c>
      <c r="L506" s="339">
        <v>0.30606803252745701</v>
      </c>
      <c r="M506" s="339">
        <v>0.28547392337438243</v>
      </c>
      <c r="N506" s="339">
        <v>0.28547392337438243</v>
      </c>
      <c r="O506" s="319"/>
      <c r="P506" s="320" t="s">
        <v>382</v>
      </c>
      <c r="Q506" s="180"/>
      <c r="R506" s="180"/>
      <c r="S506" s="320"/>
      <c r="T506" s="180" t="s">
        <v>382</v>
      </c>
      <c r="U506" s="180"/>
      <c r="V506" s="180" t="s">
        <v>382</v>
      </c>
      <c r="W506" s="180"/>
      <c r="X506" s="180" t="s">
        <v>382</v>
      </c>
      <c r="Y506" s="180" t="s">
        <v>382</v>
      </c>
      <c r="Z506" s="180" t="s">
        <v>382</v>
      </c>
      <c r="AA506" s="320">
        <v>-1</v>
      </c>
      <c r="AB506" s="180"/>
      <c r="AC506" s="180"/>
      <c r="AD506" s="60"/>
      <c r="AE506" s="9"/>
      <c r="AG506" s="9"/>
      <c r="AH506" s="9"/>
      <c r="AI506" s="11"/>
    </row>
    <row r="507" spans="1:35" s="7" customFormat="1" ht="12.75" x14ac:dyDescent="0.2">
      <c r="A507" s="23"/>
      <c r="B507" s="304"/>
      <c r="C507" s="304" t="s">
        <v>310</v>
      </c>
      <c r="D507" s="304" t="s">
        <v>1277</v>
      </c>
      <c r="E507" s="304"/>
      <c r="F507" s="304" t="s">
        <v>1097</v>
      </c>
      <c r="G507" s="180"/>
      <c r="H507" s="304" t="s">
        <v>1153</v>
      </c>
      <c r="I507" s="304" t="s">
        <v>319</v>
      </c>
      <c r="J507" s="181"/>
      <c r="K507" s="339">
        <v>829.45018431910341</v>
      </c>
      <c r="L507" s="339">
        <v>725.56058220613556</v>
      </c>
      <c r="M507" s="339">
        <v>649.22664796902063</v>
      </c>
      <c r="N507" s="339">
        <v>649.22664796902063</v>
      </c>
      <c r="O507" s="319"/>
      <c r="P507" s="320">
        <v>2015</v>
      </c>
      <c r="Q507" s="180">
        <v>1</v>
      </c>
      <c r="R507" s="180"/>
      <c r="S507" s="320"/>
      <c r="T507" s="180">
        <v>31.536000000000001</v>
      </c>
      <c r="U507" s="180">
        <v>0.35</v>
      </c>
      <c r="V507" s="180">
        <v>30</v>
      </c>
      <c r="W507" s="180"/>
      <c r="X507" s="180">
        <v>10.135472234526038</v>
      </c>
      <c r="Y507" s="180">
        <v>0</v>
      </c>
      <c r="Z507" s="180">
        <v>0.248</v>
      </c>
      <c r="AA507" s="320"/>
      <c r="AB507" s="320">
        <v>0.2</v>
      </c>
      <c r="AC507" s="320">
        <v>0.5</v>
      </c>
      <c r="AD507" s="60"/>
      <c r="AE507" s="9"/>
      <c r="AG507" s="9"/>
      <c r="AH507" s="9"/>
      <c r="AI507" s="11"/>
    </row>
    <row r="508" spans="1:35" s="7" customFormat="1" ht="12.75" x14ac:dyDescent="0.2">
      <c r="A508" s="23"/>
      <c r="B508" s="304"/>
      <c r="C508" s="304"/>
      <c r="D508" s="304"/>
      <c r="E508" s="304" t="s">
        <v>386</v>
      </c>
      <c r="F508" s="304" t="s">
        <v>1294</v>
      </c>
      <c r="G508" s="320" t="s">
        <v>1303</v>
      </c>
      <c r="H508" s="304" t="s">
        <v>386</v>
      </c>
      <c r="I508" s="304" t="s">
        <v>736</v>
      </c>
      <c r="J508" s="181"/>
      <c r="K508" s="339">
        <v>0.31044739690269058</v>
      </c>
      <c r="L508" s="339">
        <v>0.26301104170122974</v>
      </c>
      <c r="M508" s="339">
        <v>0.24550674583447796</v>
      </c>
      <c r="N508" s="339">
        <v>0.24550674583447796</v>
      </c>
      <c r="O508" s="319"/>
      <c r="P508" s="320" t="s">
        <v>382</v>
      </c>
      <c r="Q508" s="180"/>
      <c r="R508" s="180"/>
      <c r="S508" s="320"/>
      <c r="T508" s="180" t="s">
        <v>382</v>
      </c>
      <c r="U508" s="180"/>
      <c r="V508" s="180" t="s">
        <v>382</v>
      </c>
      <c r="W508" s="180"/>
      <c r="X508" s="180" t="s">
        <v>382</v>
      </c>
      <c r="Y508" s="180" t="s">
        <v>382</v>
      </c>
      <c r="Z508" s="180" t="s">
        <v>382</v>
      </c>
      <c r="AA508" s="320">
        <v>-1</v>
      </c>
      <c r="AB508" s="180"/>
      <c r="AC508" s="180"/>
      <c r="AD508" s="60"/>
      <c r="AE508" s="9"/>
      <c r="AG508" s="9"/>
      <c r="AH508" s="9"/>
      <c r="AI508" s="11"/>
    </row>
    <row r="509" spans="1:35" s="7" customFormat="1" ht="12.75" x14ac:dyDescent="0.2">
      <c r="A509" s="23"/>
      <c r="B509" s="304"/>
      <c r="C509" s="304" t="s">
        <v>314</v>
      </c>
      <c r="D509" s="304" t="s">
        <v>315</v>
      </c>
      <c r="E509" s="304" t="s">
        <v>1070</v>
      </c>
      <c r="F509" s="180"/>
      <c r="G509" s="180"/>
      <c r="H509" s="304"/>
      <c r="I509" s="304" t="s">
        <v>319</v>
      </c>
      <c r="J509" s="181"/>
      <c r="K509" s="339">
        <v>371.82028031143966</v>
      </c>
      <c r="L509" s="339">
        <v>368.67625728165996</v>
      </c>
      <c r="M509" s="339">
        <v>368.67625728165996</v>
      </c>
      <c r="N509" s="339">
        <v>368.67625728165996</v>
      </c>
      <c r="O509" s="319"/>
      <c r="P509" s="320">
        <v>2015</v>
      </c>
      <c r="Q509" s="180"/>
      <c r="R509" s="180"/>
      <c r="S509" s="320"/>
      <c r="T509" s="180">
        <v>31.536000000000001</v>
      </c>
      <c r="U509" s="180">
        <v>0.35</v>
      </c>
      <c r="V509" s="180">
        <v>25</v>
      </c>
      <c r="W509" s="180"/>
      <c r="X509" s="180">
        <v>8.3328892308806637</v>
      </c>
      <c r="Y509" s="180">
        <v>0</v>
      </c>
      <c r="Z509" s="180">
        <v>1.2</v>
      </c>
      <c r="AA509" s="320"/>
      <c r="AB509" s="180"/>
      <c r="AC509" s="180"/>
      <c r="AD509" s="60"/>
      <c r="AE509" s="9"/>
      <c r="AG509" s="9"/>
      <c r="AH509" s="9"/>
      <c r="AI509" s="11"/>
    </row>
    <row r="510" spans="1:35" s="7" customFormat="1" ht="12.75" x14ac:dyDescent="0.2">
      <c r="A510" s="24"/>
      <c r="B510" s="304"/>
      <c r="C510" s="304"/>
      <c r="D510" s="304"/>
      <c r="E510" s="180"/>
      <c r="F510" s="304" t="s">
        <v>1097</v>
      </c>
      <c r="G510" s="180"/>
      <c r="H510" s="304" t="s">
        <v>1153</v>
      </c>
      <c r="I510" s="304" t="s">
        <v>735</v>
      </c>
      <c r="J510" s="181"/>
      <c r="K510" s="339">
        <v>0.82499999999999996</v>
      </c>
      <c r="L510" s="339">
        <v>0.9</v>
      </c>
      <c r="M510" s="339">
        <v>0.91916611884012156</v>
      </c>
      <c r="N510" s="339">
        <v>0.91916611884012156</v>
      </c>
      <c r="O510" s="319"/>
      <c r="P510" s="180" t="s">
        <v>382</v>
      </c>
      <c r="Q510" s="180"/>
      <c r="R510" s="180"/>
      <c r="S510" s="320"/>
      <c r="T510" s="180"/>
      <c r="U510" s="180"/>
      <c r="V510" s="180"/>
      <c r="W510" s="180"/>
      <c r="X510" s="180" t="s">
        <v>382</v>
      </c>
      <c r="Y510" s="180" t="s">
        <v>382</v>
      </c>
      <c r="Z510" s="180"/>
      <c r="AA510" s="320"/>
      <c r="AB510" s="180"/>
      <c r="AC510" s="180"/>
      <c r="AD510" s="60"/>
      <c r="AE510" s="9"/>
      <c r="AG510" s="9"/>
      <c r="AH510" s="9"/>
      <c r="AI510" s="11"/>
    </row>
    <row r="511" spans="1:35" s="7" customFormat="1" ht="12.75" x14ac:dyDescent="0.2">
      <c r="A511" s="23"/>
      <c r="B511" s="30"/>
      <c r="C511" s="30" t="s">
        <v>313</v>
      </c>
      <c r="D511" s="30" t="s">
        <v>918</v>
      </c>
      <c r="E511" s="30" t="s">
        <v>385</v>
      </c>
      <c r="F511" s="30"/>
      <c r="G511" s="30" t="s">
        <v>331</v>
      </c>
      <c r="H511" s="30" t="s">
        <v>1153</v>
      </c>
      <c r="I511" s="30" t="s">
        <v>735</v>
      </c>
      <c r="J511" s="326"/>
      <c r="K511" s="327">
        <f>1.006^(K$436-BaseYear)</f>
        <v>1.0616461941293833</v>
      </c>
      <c r="L511" s="327">
        <f>K511*1.006^(L$436-K$436)</f>
        <v>1.1613136159380599</v>
      </c>
      <c r="M511" s="327">
        <f>L511*1.005^(M$436-L$436)</f>
        <v>1.2515276368224415</v>
      </c>
      <c r="N511" s="327">
        <f>M511*1.003^(N$436-M$436)</f>
        <v>1.4537411884749956</v>
      </c>
      <c r="O511" s="326"/>
      <c r="P511" s="233">
        <f>BaseYear+1</f>
        <v>2011</v>
      </c>
      <c r="Q511" s="30"/>
      <c r="R511" s="30"/>
      <c r="S511" s="30"/>
      <c r="T511" s="30">
        <v>1</v>
      </c>
      <c r="U511" s="30">
        <v>0.7</v>
      </c>
      <c r="V511" s="30">
        <v>15</v>
      </c>
      <c r="W511" s="30">
        <v>0.65</v>
      </c>
      <c r="X511" s="328">
        <v>5.166666666666667</v>
      </c>
      <c r="Y511" s="30"/>
      <c r="Z511" s="30"/>
      <c r="AA511" s="233"/>
      <c r="AB511" s="30"/>
      <c r="AC511" s="30"/>
      <c r="AD511" s="59"/>
      <c r="AE511" s="9"/>
      <c r="AG511" s="9"/>
      <c r="AH511" s="9"/>
      <c r="AI511" s="11"/>
    </row>
    <row r="512" spans="1:35" s="7" customFormat="1" ht="12.75" x14ac:dyDescent="0.2">
      <c r="A512" s="24"/>
      <c r="B512" s="30"/>
      <c r="C512" s="30"/>
      <c r="D512" s="30"/>
      <c r="E512" s="30"/>
      <c r="F512" s="30" t="s">
        <v>1096</v>
      </c>
      <c r="G512" s="30"/>
      <c r="H512" s="30"/>
      <c r="I512" s="30"/>
      <c r="J512" s="326"/>
      <c r="K512" s="329"/>
      <c r="L512" s="329"/>
      <c r="M512" s="44"/>
      <c r="N512" s="326"/>
      <c r="O512" s="326"/>
      <c r="P512" s="233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233"/>
      <c r="AB512" s="30"/>
      <c r="AC512" s="30"/>
      <c r="AD512" s="59"/>
      <c r="AE512" s="9"/>
      <c r="AG512" s="9"/>
      <c r="AH512" s="9"/>
      <c r="AI512" s="11"/>
    </row>
    <row r="513" spans="1:42" s="7" customFormat="1" ht="12.75" x14ac:dyDescent="0.2">
      <c r="A513" s="52"/>
      <c r="B513" s="330"/>
      <c r="C513" s="330" t="s">
        <v>1107</v>
      </c>
      <c r="D513" s="330" t="s">
        <v>919</v>
      </c>
      <c r="E513" s="330" t="s">
        <v>751</v>
      </c>
      <c r="F513" s="331"/>
      <c r="G513" s="330" t="s">
        <v>1302</v>
      </c>
      <c r="H513" s="330"/>
      <c r="I513" s="330" t="s">
        <v>736</v>
      </c>
      <c r="J513" s="332"/>
      <c r="K513" s="333"/>
      <c r="L513" s="333">
        <v>1</v>
      </c>
      <c r="M513" s="330"/>
      <c r="N513" s="332"/>
      <c r="O513" s="332"/>
      <c r="P513" s="338"/>
      <c r="Q513" s="330"/>
      <c r="R513" s="330"/>
      <c r="S513" s="330"/>
      <c r="T513" s="330"/>
      <c r="U513" s="330"/>
      <c r="V513" s="330"/>
      <c r="W513" s="330"/>
      <c r="X513" s="330"/>
      <c r="Y513" s="330"/>
      <c r="Z513" s="330"/>
      <c r="AA513" s="338"/>
      <c r="AB513" s="330"/>
      <c r="AC513" s="330"/>
      <c r="AD513" s="59"/>
      <c r="AE513" s="9"/>
      <c r="AG513" s="9"/>
      <c r="AH513" s="9"/>
      <c r="AI513" s="11"/>
    </row>
    <row r="514" spans="1:42" s="7" customFormat="1" ht="12.75" x14ac:dyDescent="0.2">
      <c r="A514" s="24"/>
      <c r="B514" s="30"/>
      <c r="C514" s="30"/>
      <c r="D514" s="30"/>
      <c r="E514" s="30" t="s">
        <v>845</v>
      </c>
      <c r="F514" s="30"/>
      <c r="G514" s="30"/>
      <c r="H514" s="30"/>
      <c r="I514" s="30" t="s">
        <v>736</v>
      </c>
      <c r="J514" s="326"/>
      <c r="K514" s="329">
        <v>6.3E-2</v>
      </c>
      <c r="L514" s="329">
        <f>K514*0.85</f>
        <v>5.355E-2</v>
      </c>
      <c r="M514" s="329">
        <f>L514*0.9</f>
        <v>4.8195000000000002E-2</v>
      </c>
      <c r="N514" s="334"/>
      <c r="O514" s="326"/>
      <c r="P514" s="233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233"/>
      <c r="AB514" s="30"/>
      <c r="AC514" s="30"/>
      <c r="AD514" s="59"/>
      <c r="AE514" s="9"/>
      <c r="AG514" s="9"/>
      <c r="AH514" s="9"/>
      <c r="AI514" s="11"/>
    </row>
    <row r="515" spans="1:42" s="7" customFormat="1" ht="12.75" x14ac:dyDescent="0.2">
      <c r="A515" s="24"/>
      <c r="B515" s="30"/>
      <c r="C515" s="30"/>
      <c r="D515" s="30"/>
      <c r="E515" s="30" t="s">
        <v>631</v>
      </c>
      <c r="F515" s="30"/>
      <c r="G515" s="30"/>
      <c r="H515" s="30"/>
      <c r="I515" s="30" t="s">
        <v>736</v>
      </c>
      <c r="J515" s="326"/>
      <c r="K515" s="329">
        <f>0.56</f>
        <v>0.56000000000000005</v>
      </c>
      <c r="L515" s="329">
        <f>0.15*2.15*0+K515*0.67</f>
        <v>0.37520000000000003</v>
      </c>
      <c r="M515" s="329">
        <f>L515*0.8</f>
        <v>0.30016000000000004</v>
      </c>
      <c r="N515" s="326"/>
      <c r="O515" s="326"/>
      <c r="P515" s="233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233"/>
      <c r="AB515" s="30"/>
      <c r="AC515" s="30"/>
      <c r="AD515" s="59"/>
      <c r="AE515" s="9"/>
      <c r="AG515" s="9"/>
      <c r="AH515" s="9"/>
      <c r="AI515" s="11"/>
    </row>
    <row r="516" spans="1:42" s="7" customFormat="1" ht="12.75" x14ac:dyDescent="0.2">
      <c r="A516" s="24"/>
      <c r="B516" s="30"/>
      <c r="C516" s="30"/>
      <c r="D516" s="30"/>
      <c r="E516" s="30"/>
      <c r="F516" s="28" t="s">
        <v>764</v>
      </c>
      <c r="G516" s="30"/>
      <c r="H516" s="30" t="s">
        <v>821</v>
      </c>
      <c r="I516" s="30" t="s">
        <v>319</v>
      </c>
      <c r="J516" s="326"/>
      <c r="K516" s="335">
        <v>43.911196875000002</v>
      </c>
      <c r="L516" s="335">
        <v>34.666734375000004</v>
      </c>
      <c r="M516" s="335">
        <v>28.888945312500002</v>
      </c>
      <c r="N516" s="326"/>
      <c r="O516" s="326"/>
      <c r="P516" s="233">
        <v>2025</v>
      </c>
      <c r="Q516" s="30"/>
      <c r="R516" s="30"/>
      <c r="S516" s="30"/>
      <c r="T516" s="30">
        <v>1</v>
      </c>
      <c r="U516" s="30">
        <v>0.9</v>
      </c>
      <c r="V516" s="30">
        <v>23</v>
      </c>
      <c r="W516" s="30"/>
      <c r="X516" s="336">
        <v>1.1573355937500001</v>
      </c>
      <c r="Y516" s="30"/>
      <c r="Z516" s="30"/>
      <c r="AA516" s="390">
        <f>2.15*105*0.875</f>
        <v>197.53125</v>
      </c>
      <c r="AB516" s="337"/>
      <c r="AC516" s="337"/>
      <c r="AD516" s="59"/>
      <c r="AE516" s="9"/>
      <c r="AG516" s="9"/>
      <c r="AH516" s="9"/>
      <c r="AI516" s="11"/>
    </row>
    <row r="517" spans="1:42" s="7" customFormat="1" ht="12.75" x14ac:dyDescent="0.2">
      <c r="A517" s="24"/>
      <c r="B517" s="30"/>
      <c r="C517" s="30"/>
      <c r="D517" s="30"/>
      <c r="E517" s="30"/>
      <c r="F517" s="30" t="s">
        <v>268</v>
      </c>
      <c r="G517" s="30"/>
      <c r="H517" s="30"/>
      <c r="I517" s="30"/>
      <c r="J517" s="326"/>
      <c r="K517" s="327"/>
      <c r="L517" s="327"/>
      <c r="M517" s="327"/>
      <c r="N517" s="334"/>
      <c r="O517" s="326"/>
      <c r="P517" s="233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233"/>
      <c r="AB517" s="30"/>
      <c r="AC517" s="30"/>
      <c r="AD517" s="59"/>
      <c r="AE517" s="9"/>
      <c r="AG517" s="9"/>
      <c r="AH517" s="9"/>
      <c r="AI517" s="11"/>
    </row>
    <row r="518" spans="1:42" customFormat="1" ht="12.75" customHeight="1" x14ac:dyDescent="0.25">
      <c r="A518" s="52"/>
      <c r="B518" s="330"/>
      <c r="C518" s="330" t="s">
        <v>1291</v>
      </c>
      <c r="D518" s="330" t="s">
        <v>1293</v>
      </c>
      <c r="E518" s="330" t="s">
        <v>1292</v>
      </c>
      <c r="F518" s="330" t="s">
        <v>692</v>
      </c>
      <c r="G518" s="330"/>
      <c r="H518" s="330"/>
      <c r="I518" s="330"/>
      <c r="J518" s="332"/>
      <c r="K518" s="333"/>
      <c r="L518" s="333"/>
      <c r="M518" s="330"/>
      <c r="N518" s="332"/>
      <c r="O518" s="332"/>
      <c r="P518" s="338">
        <v>2015</v>
      </c>
      <c r="Q518" s="330"/>
      <c r="R518" s="338">
        <v>1</v>
      </c>
      <c r="S518" s="330"/>
      <c r="T518" s="330"/>
      <c r="U518" s="330"/>
      <c r="V518" s="330"/>
      <c r="W518" s="330"/>
      <c r="X518" s="330"/>
      <c r="Y518" s="330"/>
      <c r="Z518" s="330"/>
      <c r="AA518" s="338"/>
      <c r="AB518" s="330"/>
      <c r="AC518" s="330"/>
      <c r="AD518" s="62"/>
      <c r="AE518" s="2"/>
      <c r="AF518" s="12"/>
      <c r="AG518" s="2"/>
      <c r="AH518" s="2"/>
      <c r="AI518" s="50"/>
      <c r="AJ518" s="12"/>
      <c r="AK518" s="12"/>
      <c r="AL518" s="12"/>
      <c r="AM518" s="12"/>
      <c r="AN518" s="12"/>
      <c r="AO518" s="12"/>
      <c r="AP518" s="12"/>
    </row>
    <row r="519" spans="1:42" customFormat="1" ht="12.75" customHeight="1" x14ac:dyDescent="0.25">
      <c r="A519" s="32"/>
      <c r="B519" s="44"/>
      <c r="C519" s="44"/>
      <c r="D519" s="44"/>
      <c r="E519" s="44"/>
      <c r="F519" s="44" t="s">
        <v>1294</v>
      </c>
      <c r="G519" s="44"/>
      <c r="H519" s="44"/>
      <c r="I519" s="44"/>
      <c r="J519" s="326"/>
      <c r="K519" s="329"/>
      <c r="L519" s="329"/>
      <c r="M519" s="44"/>
      <c r="N519" s="326"/>
      <c r="O519" s="326"/>
      <c r="P519" s="387"/>
      <c r="Q519" s="44"/>
      <c r="R519" s="387"/>
      <c r="S519" s="387">
        <v>1</v>
      </c>
      <c r="T519" s="44"/>
      <c r="U519" s="44"/>
      <c r="V519" s="44"/>
      <c r="W519" s="44"/>
      <c r="X519" s="44"/>
      <c r="Y519" s="44"/>
      <c r="Z519" s="44"/>
      <c r="AA519" s="387"/>
      <c r="AB519" s="44"/>
      <c r="AC519" s="44"/>
      <c r="AD519" s="62"/>
      <c r="AE519" s="2"/>
      <c r="AF519" s="12"/>
      <c r="AG519" s="2"/>
      <c r="AH519" s="2"/>
      <c r="AI519" s="50"/>
      <c r="AJ519" s="12"/>
      <c r="AK519" s="12"/>
      <c r="AL519" s="12"/>
      <c r="AM519" s="12"/>
      <c r="AN519" s="12"/>
      <c r="AO519" s="12"/>
      <c r="AP519" s="12"/>
    </row>
    <row r="520" spans="1:42" customFormat="1" ht="12.75" customHeight="1" x14ac:dyDescent="0.25">
      <c r="A520" s="32"/>
      <c r="B520" s="380"/>
      <c r="C520" s="380" t="s">
        <v>574</v>
      </c>
      <c r="D520" s="381" t="s">
        <v>575</v>
      </c>
      <c r="E520" s="44" t="s">
        <v>692</v>
      </c>
      <c r="F520" s="150" t="s">
        <v>715</v>
      </c>
      <c r="G520" s="150"/>
      <c r="H520" s="380"/>
      <c r="I520" s="44"/>
      <c r="J520" s="326"/>
      <c r="K520" s="382"/>
      <c r="L520" s="383"/>
      <c r="M520" s="383"/>
      <c r="N520" s="384"/>
      <c r="O520" s="385"/>
      <c r="P520" s="387">
        <v>2030</v>
      </c>
      <c r="Q520" s="150"/>
      <c r="R520" s="386">
        <v>1</v>
      </c>
      <c r="S520" s="386"/>
      <c r="T520" s="387">
        <v>1</v>
      </c>
      <c r="U520" s="386">
        <v>1</v>
      </c>
      <c r="V520" s="387">
        <v>1</v>
      </c>
      <c r="W520" s="44"/>
      <c r="X520" s="44"/>
      <c r="Y520" s="150"/>
      <c r="Z520" s="150"/>
      <c r="AA520" s="386"/>
      <c r="AB520" s="150"/>
      <c r="AC520" s="150"/>
      <c r="AD520" s="62"/>
      <c r="AE520" s="2"/>
      <c r="AF520" s="12"/>
      <c r="AG520" s="2"/>
      <c r="AH520" s="2"/>
      <c r="AI520" s="50"/>
      <c r="AJ520" s="12"/>
      <c r="AK520" s="12"/>
      <c r="AL520" s="12"/>
      <c r="AM520" s="12"/>
      <c r="AN520" s="12"/>
      <c r="AO520" s="12"/>
      <c r="AP520" s="12"/>
    </row>
    <row r="521" spans="1:42" customFormat="1" ht="13.5" customHeight="1" thickBot="1" x14ac:dyDescent="0.3">
      <c r="A521" s="17"/>
      <c r="B521" s="17"/>
      <c r="C521" s="112"/>
      <c r="D521" s="113"/>
      <c r="E521" s="18"/>
      <c r="F521" s="18"/>
      <c r="G521" s="16"/>
      <c r="H521" s="29"/>
      <c r="I521" s="15"/>
      <c r="J521" s="132"/>
      <c r="K521" s="63"/>
      <c r="L521" s="63"/>
      <c r="M521" s="63"/>
      <c r="N521" s="64"/>
      <c r="O521" s="65"/>
      <c r="P521" s="16"/>
      <c r="Q521" s="16"/>
      <c r="R521" s="114"/>
      <c r="S521" s="114"/>
      <c r="T521" s="114"/>
      <c r="U521" s="114"/>
      <c r="V521" s="114"/>
      <c r="W521" s="16"/>
      <c r="X521" s="115"/>
      <c r="Y521" s="16"/>
      <c r="Z521" s="17"/>
      <c r="AA521" s="16"/>
      <c r="AB521" s="16"/>
      <c r="AC521" s="16"/>
      <c r="AD521" s="62"/>
      <c r="AE521" s="2"/>
      <c r="AF521" s="12"/>
      <c r="AG521" s="2"/>
      <c r="AH521" s="2"/>
      <c r="AI521" s="50"/>
      <c r="AJ521" s="12"/>
      <c r="AK521" s="12"/>
      <c r="AL521" s="12"/>
      <c r="AM521" s="12"/>
      <c r="AN521" s="12"/>
      <c r="AO521" s="12"/>
      <c r="AP521" s="12"/>
    </row>
    <row r="522" spans="1:42" s="7" customFormat="1" ht="12.75" x14ac:dyDescent="0.2">
      <c r="A522" s="23"/>
      <c r="B522" s="23"/>
      <c r="C522" s="9"/>
      <c r="D522" s="9"/>
      <c r="E522" s="2"/>
      <c r="F522" s="2"/>
      <c r="H522" s="9"/>
      <c r="I522" s="14"/>
      <c r="J522" s="14"/>
      <c r="L522" s="8"/>
      <c r="M522" s="8"/>
      <c r="N522" s="8"/>
      <c r="O522" s="11"/>
      <c r="P522" s="8"/>
      <c r="Q522" s="8"/>
      <c r="R522" s="8"/>
      <c r="S522" s="8"/>
      <c r="T522" s="8"/>
      <c r="U522" s="8"/>
      <c r="V522" s="8"/>
      <c r="W522" s="8"/>
      <c r="X522" s="8"/>
      <c r="AB522" s="8"/>
      <c r="AC522" s="11"/>
      <c r="AD522" s="11"/>
      <c r="AE522" s="9"/>
      <c r="AG522" s="11"/>
      <c r="AH522" s="11"/>
      <c r="AI522" s="11"/>
      <c r="AJ522" s="11"/>
      <c r="AL522" s="11"/>
    </row>
    <row r="523" spans="1:42" s="7" customFormat="1" ht="12.75" x14ac:dyDescent="0.2">
      <c r="A523" s="23"/>
      <c r="B523" s="66"/>
      <c r="C523" s="67"/>
      <c r="D523" s="67"/>
      <c r="E523" s="68"/>
      <c r="F523" s="68"/>
      <c r="G523" s="67"/>
      <c r="H523" s="67"/>
      <c r="I523" s="69"/>
      <c r="J523" s="69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E523" s="11"/>
      <c r="AF523" s="11"/>
      <c r="AG523" s="11"/>
      <c r="AH523" s="8"/>
      <c r="AK523" s="11"/>
      <c r="AL523" s="11"/>
    </row>
    <row r="524" spans="1:42" s="7" customFormat="1" ht="12.75" x14ac:dyDescent="0.2">
      <c r="A524" s="23"/>
      <c r="B524" s="23"/>
      <c r="C524" s="9"/>
      <c r="D524" s="9"/>
      <c r="E524" s="2"/>
      <c r="F524" s="2"/>
      <c r="I524" s="14"/>
      <c r="J524" s="14"/>
      <c r="M524" s="8"/>
      <c r="N524" s="8"/>
      <c r="O524" s="9"/>
      <c r="P524" s="8"/>
      <c r="Q524" s="8"/>
      <c r="R524" s="8"/>
      <c r="S524" s="8"/>
      <c r="U524" s="8"/>
      <c r="V524" s="8"/>
      <c r="W524" s="8"/>
      <c r="Z524" s="8"/>
      <c r="AA524" s="8"/>
      <c r="AD524" s="11"/>
      <c r="AE524" s="11"/>
      <c r="AF524" s="11"/>
      <c r="AG524" s="11"/>
      <c r="AH524" s="8"/>
      <c r="AK524" s="11"/>
      <c r="AL524" s="11"/>
    </row>
    <row r="525" spans="1:42" s="7" customFormat="1" ht="12.75" x14ac:dyDescent="0.2">
      <c r="B525" s="56" t="s">
        <v>330</v>
      </c>
      <c r="C525" s="23" t="s">
        <v>923</v>
      </c>
      <c r="E525" s="9"/>
      <c r="F525" s="70">
        <f>COUNTA(D5:D305)+COUNTA(D316:D521)</f>
        <v>151</v>
      </c>
      <c r="G525" s="2"/>
      <c r="I525" s="14"/>
      <c r="J525" s="14"/>
      <c r="M525" s="8"/>
      <c r="N525" s="8"/>
      <c r="O525" s="11"/>
      <c r="P525" s="8"/>
      <c r="Q525" s="8"/>
      <c r="R525" s="8"/>
      <c r="S525" s="8"/>
      <c r="T525" s="8"/>
      <c r="U525" s="8"/>
      <c r="V525" s="8"/>
      <c r="Y525" s="8"/>
      <c r="Z525" s="8"/>
      <c r="AB525" s="9"/>
      <c r="AD525" s="11"/>
      <c r="AE525" s="11"/>
      <c r="AF525" s="11"/>
      <c r="AG525" s="8"/>
      <c r="AK525" s="11"/>
      <c r="AL525" s="11"/>
    </row>
    <row r="526" spans="1:42" s="7" customFormat="1" ht="12.75" x14ac:dyDescent="0.2">
      <c r="B526" s="56" t="s">
        <v>330</v>
      </c>
      <c r="C526" s="23" t="s">
        <v>947</v>
      </c>
      <c r="E526" s="9"/>
      <c r="F526" s="2"/>
      <c r="G526" s="2"/>
      <c r="I526" s="14"/>
      <c r="J526" s="14"/>
      <c r="M526" s="8"/>
      <c r="N526" s="8"/>
      <c r="O526" s="11"/>
      <c r="P526" s="8"/>
      <c r="Q526" s="8"/>
      <c r="R526" s="8"/>
      <c r="S526" s="8"/>
      <c r="T526" s="8"/>
      <c r="U526" s="8"/>
      <c r="V526" s="8"/>
      <c r="Y526" s="8"/>
      <c r="Z526" s="8"/>
      <c r="AB526" s="9"/>
      <c r="AD526" s="11"/>
      <c r="AE526" s="11"/>
      <c r="AF526" s="11"/>
      <c r="AG526" s="8"/>
      <c r="AK526" s="11"/>
      <c r="AL526" s="11"/>
    </row>
    <row r="527" spans="1:42" s="7" customFormat="1" ht="12.75" x14ac:dyDescent="0.2">
      <c r="B527" s="56" t="s">
        <v>330</v>
      </c>
      <c r="C527" s="9" t="s">
        <v>924</v>
      </c>
      <c r="E527" s="9"/>
      <c r="F527" s="2"/>
      <c r="G527" s="2"/>
      <c r="I527" s="14"/>
      <c r="J527" s="14"/>
      <c r="M527" s="8"/>
      <c r="N527" s="8"/>
      <c r="O527" s="11"/>
      <c r="P527" s="8"/>
      <c r="Q527" s="8"/>
      <c r="R527" s="8"/>
      <c r="S527" s="8"/>
      <c r="T527" s="8"/>
      <c r="U527" s="8"/>
      <c r="V527" s="8"/>
      <c r="Y527" s="8"/>
      <c r="Z527" s="8"/>
      <c r="AB527" s="9"/>
      <c r="AD527" s="11"/>
      <c r="AE527" s="11"/>
      <c r="AF527" s="11"/>
      <c r="AG527" s="8"/>
      <c r="AK527" s="11"/>
      <c r="AL527" s="11"/>
    </row>
    <row r="528" spans="1:42" s="7" customFormat="1" ht="12.75" x14ac:dyDescent="0.2">
      <c r="B528" s="56" t="s">
        <v>330</v>
      </c>
      <c r="C528" s="9" t="s">
        <v>944</v>
      </c>
      <c r="E528" s="9"/>
      <c r="F528" s="2"/>
      <c r="G528" s="2"/>
      <c r="I528" s="14"/>
      <c r="J528" s="14"/>
      <c r="M528" s="8"/>
      <c r="N528" s="8"/>
      <c r="O528" s="11"/>
      <c r="P528" s="8"/>
      <c r="Q528" s="8"/>
      <c r="R528" s="8"/>
      <c r="S528" s="8"/>
      <c r="T528" s="8"/>
      <c r="U528" s="8"/>
      <c r="V528" s="8"/>
      <c r="Y528" s="8"/>
      <c r="Z528" s="8"/>
      <c r="AB528" s="9"/>
      <c r="AD528" s="11"/>
      <c r="AE528" s="11"/>
      <c r="AF528" s="11"/>
      <c r="AG528" s="8"/>
      <c r="AK528" s="11"/>
      <c r="AL528" s="11"/>
    </row>
    <row r="529" spans="2:38" s="7" customFormat="1" ht="12.75" x14ac:dyDescent="0.2">
      <c r="B529" s="56" t="s">
        <v>330</v>
      </c>
      <c r="C529" s="9" t="s">
        <v>925</v>
      </c>
      <c r="E529" s="9"/>
      <c r="F529" s="2"/>
      <c r="G529" s="2"/>
      <c r="I529" s="14"/>
      <c r="J529" s="14"/>
      <c r="M529" s="8"/>
      <c r="N529" s="8"/>
      <c r="O529" s="11"/>
      <c r="P529" s="8"/>
      <c r="Q529" s="8"/>
      <c r="R529" s="8"/>
      <c r="S529" s="8"/>
      <c r="T529" s="8"/>
      <c r="U529" s="8"/>
      <c r="V529" s="8"/>
      <c r="Y529" s="8"/>
      <c r="Z529" s="8"/>
      <c r="AB529" s="9"/>
      <c r="AD529" s="11"/>
      <c r="AE529" s="11"/>
      <c r="AF529" s="11"/>
      <c r="AG529" s="8"/>
      <c r="AK529" s="11"/>
      <c r="AL529" s="11"/>
    </row>
    <row r="530" spans="2:38" s="7" customFormat="1" ht="12.75" x14ac:dyDescent="0.2">
      <c r="B530" s="56" t="s">
        <v>330</v>
      </c>
      <c r="C530" s="9" t="s">
        <v>945</v>
      </c>
      <c r="E530" s="9"/>
      <c r="F530" s="2"/>
      <c r="G530" s="2"/>
      <c r="I530" s="14"/>
      <c r="J530" s="14"/>
      <c r="M530" s="8"/>
      <c r="N530" s="8"/>
      <c r="O530" s="11"/>
      <c r="P530" s="8"/>
      <c r="Q530" s="8"/>
      <c r="R530" s="8"/>
      <c r="S530" s="8"/>
      <c r="T530" s="8"/>
      <c r="U530" s="8"/>
      <c r="V530" s="8"/>
      <c r="Y530" s="8"/>
      <c r="Z530" s="8"/>
      <c r="AB530" s="9"/>
      <c r="AD530" s="11"/>
      <c r="AE530" s="11"/>
      <c r="AF530" s="11"/>
      <c r="AG530" s="8"/>
      <c r="AK530" s="11"/>
      <c r="AL530" s="11"/>
    </row>
    <row r="531" spans="2:38" s="7" customFormat="1" ht="12.75" x14ac:dyDescent="0.2">
      <c r="B531" s="56" t="s">
        <v>330</v>
      </c>
      <c r="C531" s="9" t="s">
        <v>946</v>
      </c>
      <c r="E531" s="9"/>
      <c r="F531" s="2"/>
      <c r="G531" s="2"/>
      <c r="I531" s="14"/>
      <c r="J531" s="14"/>
      <c r="M531" s="8"/>
      <c r="N531" s="8"/>
      <c r="O531" s="11"/>
      <c r="P531" s="8"/>
      <c r="Q531" s="8"/>
      <c r="R531" s="8"/>
      <c r="S531" s="8"/>
      <c r="T531" s="8"/>
      <c r="U531" s="8"/>
      <c r="V531" s="8"/>
      <c r="Y531" s="8"/>
      <c r="Z531" s="8"/>
      <c r="AB531" s="9"/>
      <c r="AD531" s="11"/>
      <c r="AE531" s="11"/>
      <c r="AF531" s="11"/>
      <c r="AG531" s="8"/>
      <c r="AK531" s="11"/>
      <c r="AL531" s="11"/>
    </row>
    <row r="532" spans="2:38" x14ac:dyDescent="0.25">
      <c r="AC532"/>
    </row>
    <row r="533" spans="2:38" x14ac:dyDescent="0.25">
      <c r="B533" s="94" t="s">
        <v>269</v>
      </c>
      <c r="C533" s="7"/>
      <c r="D533" s="7"/>
      <c r="E533" s="7"/>
      <c r="F533" s="7"/>
      <c r="G533" s="7"/>
      <c r="H533" s="7"/>
      <c r="AC533"/>
    </row>
    <row r="534" spans="2:38" x14ac:dyDescent="0.25">
      <c r="B534" s="133" t="s">
        <v>270</v>
      </c>
      <c r="C534" s="133" t="s">
        <v>271</v>
      </c>
      <c r="D534" s="133" t="s">
        <v>272</v>
      </c>
      <c r="E534" s="133" t="s">
        <v>273</v>
      </c>
      <c r="F534" s="133" t="s">
        <v>1139</v>
      </c>
      <c r="G534" s="133" t="s">
        <v>1140</v>
      </c>
      <c r="H534" s="133" t="s">
        <v>1141</v>
      </c>
      <c r="I534" s="133" t="s">
        <v>1142</v>
      </c>
      <c r="N534"/>
      <c r="P534"/>
      <c r="Q534"/>
      <c r="R534"/>
      <c r="AC534"/>
    </row>
    <row r="535" spans="2:38" ht="14.1" customHeight="1" x14ac:dyDescent="0.25">
      <c r="B535" s="30" t="s">
        <v>1153</v>
      </c>
      <c r="C535" s="30" t="s">
        <v>532</v>
      </c>
      <c r="D535" s="30" t="s">
        <v>533</v>
      </c>
      <c r="E535" s="30" t="s">
        <v>274</v>
      </c>
      <c r="F535" s="30"/>
      <c r="G535" s="30"/>
      <c r="H535" s="30"/>
      <c r="I535" s="30"/>
      <c r="N535"/>
      <c r="P535"/>
      <c r="Q535"/>
      <c r="R535"/>
      <c r="AC535"/>
    </row>
    <row r="536" spans="2:38" ht="14.1" customHeight="1" x14ac:dyDescent="0.25">
      <c r="B536" s="30" t="s">
        <v>1153</v>
      </c>
      <c r="C536" s="30" t="s">
        <v>334</v>
      </c>
      <c r="D536" s="30" t="s">
        <v>335</v>
      </c>
      <c r="E536" s="30" t="s">
        <v>274</v>
      </c>
      <c r="F536" s="30"/>
      <c r="G536" s="30"/>
      <c r="H536" s="30"/>
      <c r="I536" s="30"/>
      <c r="N536"/>
      <c r="P536"/>
      <c r="Q536"/>
      <c r="R536"/>
      <c r="AC536"/>
    </row>
    <row r="537" spans="2:38" ht="14.1" customHeight="1" x14ac:dyDescent="0.25">
      <c r="B537" s="30" t="s">
        <v>1153</v>
      </c>
      <c r="C537" s="44" t="s">
        <v>1181</v>
      </c>
      <c r="D537" s="30" t="s">
        <v>1182</v>
      </c>
      <c r="E537" s="30" t="s">
        <v>274</v>
      </c>
      <c r="F537" s="124"/>
      <c r="G537" s="30" t="s">
        <v>929</v>
      </c>
      <c r="H537" s="124"/>
      <c r="I537" s="124"/>
      <c r="N537"/>
      <c r="P537"/>
      <c r="Q537"/>
      <c r="R537"/>
      <c r="AC537"/>
    </row>
    <row r="538" spans="2:38" ht="14.1" customHeight="1" x14ac:dyDescent="0.25">
      <c r="B538" s="134" t="s">
        <v>1153</v>
      </c>
      <c r="C538" s="134" t="s">
        <v>692</v>
      </c>
      <c r="D538" s="134" t="s">
        <v>987</v>
      </c>
      <c r="E538" s="134" t="s">
        <v>274</v>
      </c>
      <c r="F538" s="134"/>
      <c r="G538" s="134" t="s">
        <v>1143</v>
      </c>
      <c r="H538" s="134"/>
      <c r="I538" s="134" t="s">
        <v>1144</v>
      </c>
      <c r="N538"/>
      <c r="P538"/>
      <c r="Q538"/>
      <c r="R538"/>
      <c r="AC538"/>
    </row>
    <row r="539" spans="2:38" ht="14.1" customHeight="1" x14ac:dyDescent="0.25">
      <c r="B539" s="134" t="s">
        <v>1153</v>
      </c>
      <c r="C539" s="134" t="s">
        <v>715</v>
      </c>
      <c r="D539" s="134" t="s">
        <v>279</v>
      </c>
      <c r="E539" s="134" t="s">
        <v>274</v>
      </c>
      <c r="F539" s="134"/>
      <c r="G539" s="134" t="s">
        <v>1145</v>
      </c>
      <c r="H539" s="134"/>
      <c r="I539" s="134" t="s">
        <v>1144</v>
      </c>
      <c r="N539"/>
      <c r="P539"/>
      <c r="Q539"/>
      <c r="R539"/>
      <c r="AC539"/>
    </row>
    <row r="540" spans="2:38" ht="14.1" customHeight="1" x14ac:dyDescent="0.25">
      <c r="B540" s="30" t="s">
        <v>1153</v>
      </c>
      <c r="C540" s="30" t="s">
        <v>1065</v>
      </c>
      <c r="D540" s="30" t="s">
        <v>988</v>
      </c>
      <c r="E540" s="30" t="s">
        <v>274</v>
      </c>
      <c r="F540" s="30"/>
      <c r="G540" s="30" t="s">
        <v>1183</v>
      </c>
      <c r="H540" s="30"/>
      <c r="I540" s="30" t="s">
        <v>927</v>
      </c>
      <c r="N540"/>
      <c r="P540"/>
      <c r="Q540"/>
      <c r="R540"/>
      <c r="AC540"/>
    </row>
    <row r="541" spans="2:38" ht="14.1" customHeight="1" x14ac:dyDescent="0.25">
      <c r="B541" s="30" t="s">
        <v>1153</v>
      </c>
      <c r="C541" s="30" t="s">
        <v>278</v>
      </c>
      <c r="D541" s="30" t="s">
        <v>278</v>
      </c>
      <c r="E541" s="30" t="s">
        <v>274</v>
      </c>
      <c r="F541" s="30"/>
      <c r="G541" s="30" t="s">
        <v>1183</v>
      </c>
      <c r="H541" s="30"/>
      <c r="I541" s="30" t="s">
        <v>927</v>
      </c>
      <c r="N541"/>
      <c r="P541"/>
      <c r="Q541"/>
      <c r="R541"/>
      <c r="AC541"/>
    </row>
    <row r="542" spans="2:38" ht="14.1" customHeight="1" x14ac:dyDescent="0.25">
      <c r="B542" s="30" t="s">
        <v>1153</v>
      </c>
      <c r="C542" s="30" t="s">
        <v>631</v>
      </c>
      <c r="D542" s="30" t="s">
        <v>631</v>
      </c>
      <c r="E542" s="30" t="s">
        <v>274</v>
      </c>
      <c r="F542" s="30"/>
      <c r="G542" s="30" t="s">
        <v>1183</v>
      </c>
      <c r="H542" s="30"/>
      <c r="I542" s="30" t="s">
        <v>927</v>
      </c>
      <c r="N542"/>
      <c r="P542"/>
      <c r="Q542"/>
      <c r="R542"/>
      <c r="AC542"/>
    </row>
    <row r="543" spans="2:38" ht="14.1" customHeight="1" x14ac:dyDescent="0.25">
      <c r="B543" s="30" t="s">
        <v>1153</v>
      </c>
      <c r="C543" s="30" t="s">
        <v>1066</v>
      </c>
      <c r="D543" s="30" t="s">
        <v>1066</v>
      </c>
      <c r="E543" s="30" t="s">
        <v>274</v>
      </c>
      <c r="F543" s="30"/>
      <c r="G543" s="30" t="s">
        <v>1183</v>
      </c>
      <c r="H543" s="30"/>
      <c r="I543" s="30" t="s">
        <v>927</v>
      </c>
      <c r="N543"/>
      <c r="P543"/>
      <c r="Q543"/>
      <c r="R543"/>
      <c r="AC543"/>
    </row>
    <row r="544" spans="2:38" ht="14.1" customHeight="1" x14ac:dyDescent="0.25">
      <c r="B544" s="30" t="s">
        <v>1153</v>
      </c>
      <c r="C544" s="30" t="s">
        <v>683</v>
      </c>
      <c r="D544" s="30" t="s">
        <v>683</v>
      </c>
      <c r="E544" s="30" t="s">
        <v>274</v>
      </c>
      <c r="F544" s="30"/>
      <c r="G544" s="30" t="s">
        <v>1183</v>
      </c>
      <c r="H544" s="30"/>
      <c r="I544" s="30" t="s">
        <v>927</v>
      </c>
      <c r="N544"/>
      <c r="P544"/>
      <c r="Q544"/>
      <c r="R544"/>
      <c r="AC544"/>
    </row>
    <row r="545" spans="2:29" ht="14.1" customHeight="1" x14ac:dyDescent="0.25">
      <c r="B545" s="30" t="s">
        <v>1153</v>
      </c>
      <c r="C545" s="30" t="s">
        <v>983</v>
      </c>
      <c r="D545" s="30" t="s">
        <v>983</v>
      </c>
      <c r="E545" s="30" t="s">
        <v>274</v>
      </c>
      <c r="F545" s="30"/>
      <c r="G545" s="30" t="s">
        <v>1183</v>
      </c>
      <c r="H545" s="30"/>
      <c r="I545" s="30" t="s">
        <v>927</v>
      </c>
      <c r="N545"/>
      <c r="P545"/>
      <c r="Q545"/>
      <c r="R545"/>
      <c r="AC545"/>
    </row>
    <row r="546" spans="2:29" ht="14.1" customHeight="1" x14ac:dyDescent="0.25">
      <c r="B546" s="30" t="s">
        <v>1153</v>
      </c>
      <c r="C546" s="30" t="s">
        <v>1093</v>
      </c>
      <c r="D546" s="30" t="s">
        <v>1093</v>
      </c>
      <c r="E546" s="30" t="s">
        <v>274</v>
      </c>
      <c r="F546" s="30"/>
      <c r="G546" s="30" t="s">
        <v>1183</v>
      </c>
      <c r="H546" s="30"/>
      <c r="I546" s="30" t="s">
        <v>927</v>
      </c>
      <c r="N546"/>
      <c r="P546"/>
      <c r="Q546"/>
      <c r="R546"/>
      <c r="AC546"/>
    </row>
    <row r="547" spans="2:29" ht="14.1" customHeight="1" x14ac:dyDescent="0.25">
      <c r="B547" s="30" t="s">
        <v>1153</v>
      </c>
      <c r="C547" s="30" t="s">
        <v>249</v>
      </c>
      <c r="D547" s="30" t="s">
        <v>275</v>
      </c>
      <c r="E547" s="30" t="s">
        <v>274</v>
      </c>
      <c r="F547" s="30"/>
      <c r="G547" s="30" t="s">
        <v>1143</v>
      </c>
      <c r="H547" s="30"/>
      <c r="I547" s="30" t="s">
        <v>1144</v>
      </c>
      <c r="N547"/>
      <c r="P547"/>
      <c r="Q547"/>
      <c r="R547"/>
      <c r="AC547"/>
    </row>
    <row r="548" spans="2:29" ht="14.1" customHeight="1" x14ac:dyDescent="0.25">
      <c r="B548" s="30" t="s">
        <v>1153</v>
      </c>
      <c r="C548" s="30" t="s">
        <v>921</v>
      </c>
      <c r="D548" s="28" t="s">
        <v>922</v>
      </c>
      <c r="E548" s="28" t="s">
        <v>274</v>
      </c>
      <c r="F548" s="30"/>
      <c r="G548" s="30"/>
      <c r="H548" s="30"/>
      <c r="I548" s="30"/>
      <c r="N548"/>
      <c r="P548"/>
      <c r="Q548"/>
      <c r="R548"/>
      <c r="AC548"/>
    </row>
    <row r="549" spans="2:29" ht="14.1" customHeight="1" x14ac:dyDescent="0.25">
      <c r="B549" s="30" t="s">
        <v>1153</v>
      </c>
      <c r="C549" s="30" t="s">
        <v>1149</v>
      </c>
      <c r="D549" s="30" t="s">
        <v>937</v>
      </c>
      <c r="E549" s="28" t="s">
        <v>274</v>
      </c>
      <c r="F549" s="124"/>
      <c r="G549" s="30" t="s">
        <v>1183</v>
      </c>
      <c r="H549" s="30"/>
      <c r="I549" s="30"/>
      <c r="N549"/>
      <c r="P549"/>
      <c r="Q549"/>
      <c r="R549"/>
      <c r="AC549"/>
    </row>
    <row r="550" spans="2:29" ht="14.1" customHeight="1" x14ac:dyDescent="0.25">
      <c r="B550" s="125" t="s">
        <v>1153</v>
      </c>
      <c r="C550" s="125" t="s">
        <v>917</v>
      </c>
      <c r="D550" s="125" t="s">
        <v>928</v>
      </c>
      <c r="E550" s="45" t="s">
        <v>274</v>
      </c>
      <c r="F550" s="125"/>
      <c r="G550" s="125" t="s">
        <v>929</v>
      </c>
      <c r="H550" s="125"/>
      <c r="I550" s="125" t="s">
        <v>1146</v>
      </c>
      <c r="N550"/>
      <c r="P550"/>
      <c r="Q550"/>
      <c r="R550"/>
      <c r="AC550"/>
    </row>
    <row r="551" spans="2:29" ht="14.1" customHeight="1" x14ac:dyDescent="0.25">
      <c r="B551" s="109" t="s">
        <v>768</v>
      </c>
      <c r="C551" s="109" t="s">
        <v>758</v>
      </c>
      <c r="D551" s="109" t="s">
        <v>930</v>
      </c>
      <c r="E551" s="118" t="s">
        <v>1152</v>
      </c>
      <c r="F551" s="127"/>
      <c r="G551" s="109"/>
      <c r="H551" s="127"/>
      <c r="I551" s="127"/>
      <c r="N551"/>
      <c r="P551"/>
      <c r="Q551"/>
      <c r="R551"/>
      <c r="AC551"/>
    </row>
    <row r="552" spans="2:29" ht="14.1" customHeight="1" x14ac:dyDescent="0.25">
      <c r="B552" s="109" t="s">
        <v>768</v>
      </c>
      <c r="C552" s="109" t="s">
        <v>710</v>
      </c>
      <c r="D552" s="109" t="s">
        <v>712</v>
      </c>
      <c r="E552" s="109" t="s">
        <v>1152</v>
      </c>
      <c r="F552" s="128" t="s">
        <v>960</v>
      </c>
      <c r="G552" s="109"/>
      <c r="H552" s="127"/>
      <c r="I552" s="127"/>
      <c r="N552"/>
      <c r="P552"/>
      <c r="Q552"/>
      <c r="R552"/>
      <c r="AC552"/>
    </row>
    <row r="553" spans="2:29" ht="14.1" customHeight="1" x14ac:dyDescent="0.25">
      <c r="B553" s="109" t="s">
        <v>768</v>
      </c>
      <c r="C553" s="109" t="s">
        <v>797</v>
      </c>
      <c r="D553" s="109" t="s">
        <v>931</v>
      </c>
      <c r="E553" s="109" t="s">
        <v>274</v>
      </c>
      <c r="F553" s="127"/>
      <c r="G553" s="109"/>
      <c r="H553" s="127"/>
      <c r="I553" s="127"/>
      <c r="N553"/>
      <c r="P553"/>
      <c r="Q553"/>
      <c r="R553"/>
      <c r="AC553"/>
    </row>
    <row r="554" spans="2:29" ht="14.1" customHeight="1" x14ac:dyDescent="0.25">
      <c r="B554" s="109" t="s">
        <v>768</v>
      </c>
      <c r="C554" s="109" t="s">
        <v>807</v>
      </c>
      <c r="D554" s="109" t="s">
        <v>932</v>
      </c>
      <c r="E554" s="109" t="s">
        <v>274</v>
      </c>
      <c r="F554" s="127"/>
      <c r="G554" s="109"/>
      <c r="H554" s="127"/>
      <c r="I554" s="127"/>
      <c r="N554"/>
      <c r="P554"/>
      <c r="Q554"/>
      <c r="R554"/>
      <c r="AC554"/>
    </row>
    <row r="555" spans="2:29" ht="14.1" customHeight="1" x14ac:dyDescent="0.25">
      <c r="B555" s="109" t="s">
        <v>768</v>
      </c>
      <c r="C555" s="109" t="s">
        <v>801</v>
      </c>
      <c r="D555" s="109" t="s">
        <v>935</v>
      </c>
      <c r="E555" s="109" t="s">
        <v>274</v>
      </c>
      <c r="F555" s="127"/>
      <c r="G555" s="109"/>
      <c r="H555" s="127"/>
      <c r="I555" s="127"/>
      <c r="N555"/>
      <c r="P555"/>
      <c r="Q555"/>
      <c r="R555"/>
      <c r="AC555"/>
    </row>
    <row r="556" spans="2:29" ht="14.1" customHeight="1" x14ac:dyDescent="0.25">
      <c r="B556" s="109" t="s">
        <v>768</v>
      </c>
      <c r="C556" s="109" t="s">
        <v>813</v>
      </c>
      <c r="D556" s="109" t="s">
        <v>936</v>
      </c>
      <c r="E556" s="109" t="s">
        <v>274</v>
      </c>
      <c r="F556" s="127"/>
      <c r="G556" s="109"/>
      <c r="H556" s="127"/>
      <c r="I556" s="127"/>
      <c r="N556"/>
      <c r="P556"/>
      <c r="Q556"/>
      <c r="R556"/>
      <c r="AC556"/>
    </row>
    <row r="557" spans="2:29" ht="14.1" customHeight="1" x14ac:dyDescent="0.25">
      <c r="B557" s="109" t="s">
        <v>768</v>
      </c>
      <c r="C557" s="109" t="s">
        <v>1364</v>
      </c>
      <c r="D557" s="109" t="s">
        <v>1396</v>
      </c>
      <c r="E557" s="109" t="s">
        <v>274</v>
      </c>
      <c r="F557" s="127"/>
      <c r="G557" s="109"/>
      <c r="H557" s="127"/>
      <c r="I557" s="127"/>
      <c r="N557"/>
      <c r="P557"/>
      <c r="Q557"/>
      <c r="R557"/>
      <c r="AC557"/>
    </row>
    <row r="558" spans="2:29" ht="14.1" customHeight="1" x14ac:dyDescent="0.25">
      <c r="B558" s="109" t="s">
        <v>768</v>
      </c>
      <c r="C558" s="109" t="s">
        <v>831</v>
      </c>
      <c r="D558" s="109" t="s">
        <v>938</v>
      </c>
      <c r="E558" s="109" t="s">
        <v>1152</v>
      </c>
      <c r="F558" s="129"/>
      <c r="G558" s="109" t="s">
        <v>929</v>
      </c>
      <c r="H558" s="127"/>
      <c r="I558" s="127"/>
      <c r="N558"/>
      <c r="P558"/>
      <c r="Q558"/>
      <c r="R558"/>
      <c r="AC558"/>
    </row>
    <row r="559" spans="2:29" ht="14.1" customHeight="1" x14ac:dyDescent="0.25">
      <c r="B559" s="109" t="s">
        <v>768</v>
      </c>
      <c r="C559" s="109" t="s">
        <v>841</v>
      </c>
      <c r="D559" s="109" t="s">
        <v>965</v>
      </c>
      <c r="E559" s="109" t="s">
        <v>1152</v>
      </c>
      <c r="F559" s="129" t="s">
        <v>966</v>
      </c>
      <c r="G559" s="109" t="s">
        <v>929</v>
      </c>
      <c r="H559" s="127"/>
      <c r="I559" s="127"/>
      <c r="N559"/>
      <c r="P559"/>
      <c r="Q559"/>
      <c r="R559"/>
      <c r="AC559"/>
    </row>
    <row r="560" spans="2:29" ht="14.1" customHeight="1" x14ac:dyDescent="0.25">
      <c r="B560" s="109" t="s">
        <v>768</v>
      </c>
      <c r="C560" s="109" t="s">
        <v>739</v>
      </c>
      <c r="D560" s="109" t="s">
        <v>967</v>
      </c>
      <c r="E560" s="109" t="s">
        <v>1152</v>
      </c>
      <c r="F560" s="129" t="s">
        <v>966</v>
      </c>
      <c r="G560" s="109" t="s">
        <v>929</v>
      </c>
      <c r="H560" s="127"/>
      <c r="I560" s="127"/>
      <c r="N560"/>
      <c r="P560"/>
      <c r="Q560"/>
      <c r="R560"/>
      <c r="AC560"/>
    </row>
    <row r="561" spans="2:29" ht="14.1" customHeight="1" x14ac:dyDescent="0.25">
      <c r="B561" s="109" t="s">
        <v>768</v>
      </c>
      <c r="C561" s="109" t="s">
        <v>738</v>
      </c>
      <c r="D561" s="109" t="s">
        <v>968</v>
      </c>
      <c r="E561" s="109" t="s">
        <v>1152</v>
      </c>
      <c r="F561" s="129" t="s">
        <v>969</v>
      </c>
      <c r="G561" s="109" t="s">
        <v>929</v>
      </c>
      <c r="H561" s="127"/>
      <c r="I561" s="127"/>
      <c r="N561"/>
      <c r="P561"/>
      <c r="Q561"/>
      <c r="R561"/>
      <c r="AC561"/>
    </row>
    <row r="562" spans="2:29" ht="14.1" customHeight="1" x14ac:dyDescent="0.25">
      <c r="B562" s="107" t="s">
        <v>276</v>
      </c>
      <c r="C562" s="107" t="s">
        <v>764</v>
      </c>
      <c r="D562" s="107" t="s">
        <v>577</v>
      </c>
      <c r="E562" s="107" t="s">
        <v>961</v>
      </c>
      <c r="F562" s="107"/>
      <c r="G562" s="107"/>
      <c r="H562" s="126"/>
      <c r="I562" s="126"/>
      <c r="N562"/>
      <c r="P562"/>
      <c r="Q562"/>
      <c r="R562"/>
      <c r="AC562"/>
    </row>
    <row r="563" spans="2:29" ht="14.1" customHeight="1" x14ac:dyDescent="0.25">
      <c r="B563" s="107" t="s">
        <v>276</v>
      </c>
      <c r="C563" s="107" t="s">
        <v>959</v>
      </c>
      <c r="D563" s="107" t="s">
        <v>578</v>
      </c>
      <c r="E563" s="107" t="s">
        <v>961</v>
      </c>
      <c r="F563" s="107"/>
      <c r="G563" s="107"/>
      <c r="H563" s="126"/>
      <c r="I563" s="126"/>
      <c r="N563"/>
      <c r="P563"/>
      <c r="Q563"/>
      <c r="R563"/>
      <c r="AC563"/>
    </row>
    <row r="564" spans="2:29" ht="14.1" customHeight="1" x14ac:dyDescent="0.25">
      <c r="B564" s="107" t="s">
        <v>166</v>
      </c>
      <c r="C564" s="107" t="s">
        <v>1294</v>
      </c>
      <c r="D564" s="107" t="s">
        <v>1295</v>
      </c>
      <c r="E564" s="107" t="s">
        <v>274</v>
      </c>
      <c r="F564" s="107"/>
      <c r="G564" s="107"/>
      <c r="H564" s="126"/>
      <c r="I564" s="126"/>
      <c r="N564"/>
      <c r="P564"/>
      <c r="Q564"/>
      <c r="R564"/>
      <c r="AC564"/>
    </row>
    <row r="565" spans="2:29" x14ac:dyDescent="0.25">
      <c r="AC565"/>
    </row>
    <row r="566" spans="2:29" x14ac:dyDescent="0.25">
      <c r="AC566"/>
    </row>
    <row r="567" spans="2:29" x14ac:dyDescent="0.25">
      <c r="B567" s="38" t="s">
        <v>1114</v>
      </c>
      <c r="AC567"/>
    </row>
    <row r="568" spans="2:29" x14ac:dyDescent="0.25">
      <c r="B568" s="71" t="s">
        <v>316</v>
      </c>
      <c r="C568" s="72" t="s">
        <v>1126</v>
      </c>
      <c r="D568" s="72" t="s">
        <v>1127</v>
      </c>
      <c r="E568" s="72" t="s">
        <v>1115</v>
      </c>
      <c r="F568" s="72" t="s">
        <v>1116</v>
      </c>
      <c r="G568" s="72" t="s">
        <v>1117</v>
      </c>
      <c r="H568" s="72" t="s">
        <v>1118</v>
      </c>
      <c r="I568" s="36" t="s">
        <v>1119</v>
      </c>
      <c r="AC568"/>
    </row>
    <row r="569" spans="2:29" x14ac:dyDescent="0.25">
      <c r="B569" s="83" t="s">
        <v>956</v>
      </c>
      <c r="C569" s="83" t="s">
        <v>574</v>
      </c>
      <c r="D569" s="83" t="s">
        <v>575</v>
      </c>
      <c r="E569" s="83" t="s">
        <v>274</v>
      </c>
      <c r="F569" s="83" t="s">
        <v>1121</v>
      </c>
      <c r="G569" s="83" t="s">
        <v>1145</v>
      </c>
      <c r="H569" s="39"/>
      <c r="I569" s="40" t="s">
        <v>1120</v>
      </c>
      <c r="AC569"/>
    </row>
    <row r="570" spans="2:29" x14ac:dyDescent="0.25">
      <c r="B570" s="83" t="s">
        <v>1300</v>
      </c>
      <c r="C570" s="83" t="s">
        <v>1291</v>
      </c>
      <c r="D570" s="83" t="s">
        <v>1293</v>
      </c>
      <c r="E570" s="83" t="s">
        <v>274</v>
      </c>
      <c r="F570" s="83" t="s">
        <v>1121</v>
      </c>
      <c r="G570" s="388" t="s">
        <v>929</v>
      </c>
      <c r="H570" s="40"/>
      <c r="I570" s="40" t="s">
        <v>1120</v>
      </c>
      <c r="AC570"/>
    </row>
    <row r="571" spans="2:29" x14ac:dyDescent="0.25">
      <c r="B571" s="83" t="s">
        <v>964</v>
      </c>
      <c r="C571" s="83" t="s">
        <v>948</v>
      </c>
      <c r="D571" s="83" t="s">
        <v>911</v>
      </c>
      <c r="E571" s="83" t="s">
        <v>274</v>
      </c>
      <c r="F571" s="83" t="s">
        <v>1121</v>
      </c>
      <c r="G571" s="83" t="s">
        <v>1183</v>
      </c>
      <c r="H571" s="39"/>
      <c r="I571" s="40" t="s">
        <v>1120</v>
      </c>
      <c r="AC571"/>
    </row>
    <row r="572" spans="2:29" x14ac:dyDescent="0.25">
      <c r="B572" s="83" t="s">
        <v>964</v>
      </c>
      <c r="C572" s="83" t="s">
        <v>1104</v>
      </c>
      <c r="D572" s="83" t="s">
        <v>1105</v>
      </c>
      <c r="E572" s="83" t="s">
        <v>274</v>
      </c>
      <c r="F572" s="83" t="s">
        <v>1121</v>
      </c>
      <c r="G572" s="83" t="s">
        <v>1183</v>
      </c>
      <c r="H572" s="39"/>
      <c r="I572" s="40" t="s">
        <v>1120</v>
      </c>
      <c r="AC572"/>
    </row>
    <row r="573" spans="2:29" x14ac:dyDescent="0.25">
      <c r="B573" s="83" t="s">
        <v>964</v>
      </c>
      <c r="C573" s="83" t="s">
        <v>1100</v>
      </c>
      <c r="D573" s="83" t="s">
        <v>1101</v>
      </c>
      <c r="E573" s="83" t="s">
        <v>274</v>
      </c>
      <c r="F573" s="83" t="s">
        <v>1121</v>
      </c>
      <c r="G573" s="83" t="s">
        <v>1183</v>
      </c>
      <c r="H573" s="39"/>
      <c r="I573" s="40" t="s">
        <v>1120</v>
      </c>
      <c r="AC573"/>
    </row>
    <row r="574" spans="2:29" x14ac:dyDescent="0.25">
      <c r="B574" s="83" t="s">
        <v>964</v>
      </c>
      <c r="C574" s="83" t="s">
        <v>1106</v>
      </c>
      <c r="D574" s="83" t="s">
        <v>1108</v>
      </c>
      <c r="E574" s="83" t="s">
        <v>274</v>
      </c>
      <c r="F574" s="83" t="s">
        <v>1121</v>
      </c>
      <c r="G574" s="388" t="s">
        <v>929</v>
      </c>
      <c r="H574" s="39"/>
      <c r="I574" s="40" t="s">
        <v>1120</v>
      </c>
      <c r="AC574"/>
    </row>
    <row r="575" spans="2:29" x14ac:dyDescent="0.25">
      <c r="B575" s="83" t="s">
        <v>964</v>
      </c>
      <c r="C575" s="83" t="s">
        <v>1296</v>
      </c>
      <c r="D575" s="83" t="s">
        <v>1299</v>
      </c>
      <c r="E575" s="83" t="s">
        <v>274</v>
      </c>
      <c r="F575" s="83" t="s">
        <v>1121</v>
      </c>
      <c r="G575" s="388" t="s">
        <v>929</v>
      </c>
      <c r="H575" s="39"/>
      <c r="I575" s="40" t="s">
        <v>1120</v>
      </c>
      <c r="AC575"/>
    </row>
    <row r="576" spans="2:29" x14ac:dyDescent="0.25">
      <c r="B576" s="83" t="s">
        <v>964</v>
      </c>
      <c r="C576" s="83" t="s">
        <v>1098</v>
      </c>
      <c r="D576" s="83" t="s">
        <v>1099</v>
      </c>
      <c r="E576" s="83" t="s">
        <v>274</v>
      </c>
      <c r="F576" s="83" t="s">
        <v>1121</v>
      </c>
      <c r="G576" s="83" t="s">
        <v>1183</v>
      </c>
      <c r="H576" s="39"/>
      <c r="I576" s="40" t="s">
        <v>1120</v>
      </c>
      <c r="AC576"/>
    </row>
    <row r="577" spans="2:29" x14ac:dyDescent="0.25">
      <c r="B577" s="83" t="s">
        <v>964</v>
      </c>
      <c r="C577" s="83" t="s">
        <v>1102</v>
      </c>
      <c r="D577" s="83" t="s">
        <v>1103</v>
      </c>
      <c r="E577" s="83" t="s">
        <v>274</v>
      </c>
      <c r="F577" s="83" t="s">
        <v>1121</v>
      </c>
      <c r="G577" s="83" t="s">
        <v>1183</v>
      </c>
      <c r="H577" s="39"/>
      <c r="I577" s="40" t="s">
        <v>1120</v>
      </c>
      <c r="AC577"/>
    </row>
    <row r="578" spans="2:29" x14ac:dyDescent="0.25">
      <c r="B578" s="83" t="s">
        <v>964</v>
      </c>
      <c r="C578" s="83" t="s">
        <v>949</v>
      </c>
      <c r="D578" s="83" t="s">
        <v>950</v>
      </c>
      <c r="E578" s="83" t="s">
        <v>274</v>
      </c>
      <c r="F578" s="83" t="s">
        <v>1121</v>
      </c>
      <c r="G578" s="83" t="s">
        <v>1183</v>
      </c>
      <c r="H578" s="39"/>
      <c r="I578" s="40" t="s">
        <v>1120</v>
      </c>
      <c r="AC578"/>
    </row>
    <row r="579" spans="2:29" x14ac:dyDescent="0.25">
      <c r="B579" s="83" t="s">
        <v>964</v>
      </c>
      <c r="C579" s="83" t="s">
        <v>952</v>
      </c>
      <c r="D579" s="83" t="s">
        <v>953</v>
      </c>
      <c r="E579" s="83" t="s">
        <v>274</v>
      </c>
      <c r="F579" s="83" t="s">
        <v>1121</v>
      </c>
      <c r="G579" s="83" t="s">
        <v>1183</v>
      </c>
      <c r="H579" s="39"/>
      <c r="I579" s="40" t="s">
        <v>1120</v>
      </c>
      <c r="AC579"/>
    </row>
    <row r="580" spans="2:29" x14ac:dyDescent="0.25">
      <c r="B580" s="83" t="s">
        <v>964</v>
      </c>
      <c r="C580" s="83" t="s">
        <v>901</v>
      </c>
      <c r="D580" s="83" t="s">
        <v>902</v>
      </c>
      <c r="E580" s="83" t="s">
        <v>274</v>
      </c>
      <c r="F580" s="83" t="s">
        <v>1121</v>
      </c>
      <c r="G580" s="83" t="s">
        <v>1183</v>
      </c>
      <c r="H580" s="39"/>
      <c r="I580" s="40" t="s">
        <v>1120</v>
      </c>
      <c r="AC580"/>
    </row>
    <row r="581" spans="2:29" x14ac:dyDescent="0.25">
      <c r="B581" s="83" t="s">
        <v>964</v>
      </c>
      <c r="C581" s="83" t="s">
        <v>909</v>
      </c>
      <c r="D581" s="83" t="s">
        <v>910</v>
      </c>
      <c r="E581" s="83" t="s">
        <v>274</v>
      </c>
      <c r="F581" s="83" t="s">
        <v>1121</v>
      </c>
      <c r="G581" s="83" t="s">
        <v>1183</v>
      </c>
      <c r="H581" s="39"/>
      <c r="I581" s="40" t="s">
        <v>1120</v>
      </c>
      <c r="AC581"/>
    </row>
    <row r="582" spans="2:29" x14ac:dyDescent="0.25">
      <c r="B582" s="83" t="s">
        <v>964</v>
      </c>
      <c r="C582" s="83" t="s">
        <v>962</v>
      </c>
      <c r="D582" s="83" t="s">
        <v>963</v>
      </c>
      <c r="E582" s="83" t="s">
        <v>274</v>
      </c>
      <c r="F582" s="83" t="s">
        <v>1121</v>
      </c>
      <c r="G582" s="83" t="s">
        <v>1183</v>
      </c>
      <c r="H582" s="39"/>
      <c r="I582" s="40" t="s">
        <v>1120</v>
      </c>
      <c r="AC582"/>
    </row>
    <row r="583" spans="2:29" x14ac:dyDescent="0.25">
      <c r="B583" s="83" t="s">
        <v>964</v>
      </c>
      <c r="C583" s="83" t="s">
        <v>897</v>
      </c>
      <c r="D583" s="83" t="s">
        <v>898</v>
      </c>
      <c r="E583" s="83" t="s">
        <v>274</v>
      </c>
      <c r="F583" s="83" t="s">
        <v>1121</v>
      </c>
      <c r="G583" s="83" t="s">
        <v>1183</v>
      </c>
      <c r="H583" s="39"/>
      <c r="I583" s="40" t="s">
        <v>1120</v>
      </c>
      <c r="AC583"/>
    </row>
    <row r="584" spans="2:29" x14ac:dyDescent="0.25">
      <c r="B584" s="83" t="s">
        <v>964</v>
      </c>
      <c r="C584" s="83" t="s">
        <v>899</v>
      </c>
      <c r="D584" s="83" t="s">
        <v>900</v>
      </c>
      <c r="E584" s="83" t="s">
        <v>274</v>
      </c>
      <c r="F584" s="83" t="s">
        <v>1121</v>
      </c>
      <c r="G584" s="83" t="s">
        <v>1183</v>
      </c>
      <c r="H584" s="39"/>
      <c r="I584" s="40" t="s">
        <v>1120</v>
      </c>
      <c r="AC584"/>
    </row>
    <row r="585" spans="2:29" x14ac:dyDescent="0.25">
      <c r="B585" s="83" t="s">
        <v>964</v>
      </c>
      <c r="C585" s="83" t="s">
        <v>907</v>
      </c>
      <c r="D585" s="83" t="s">
        <v>908</v>
      </c>
      <c r="E585" s="83" t="s">
        <v>274</v>
      </c>
      <c r="F585" s="83" t="s">
        <v>1121</v>
      </c>
      <c r="G585" s="83" t="s">
        <v>1183</v>
      </c>
      <c r="H585" s="39"/>
      <c r="I585" s="40" t="s">
        <v>1120</v>
      </c>
      <c r="AC585"/>
    </row>
    <row r="586" spans="2:29" x14ac:dyDescent="0.25">
      <c r="B586" s="83" t="s">
        <v>964</v>
      </c>
      <c r="C586" s="83" t="s">
        <v>1278</v>
      </c>
      <c r="D586" s="83" t="s">
        <v>1279</v>
      </c>
      <c r="E586" s="83" t="s">
        <v>274</v>
      </c>
      <c r="F586" s="83" t="s">
        <v>1121</v>
      </c>
      <c r="G586" s="388" t="s">
        <v>929</v>
      </c>
      <c r="H586" s="39"/>
      <c r="I586" s="40" t="s">
        <v>1120</v>
      </c>
      <c r="AC586"/>
    </row>
    <row r="587" spans="2:29" x14ac:dyDescent="0.25">
      <c r="B587" s="83" t="s">
        <v>964</v>
      </c>
      <c r="C587" s="83" t="s">
        <v>1297</v>
      </c>
      <c r="D587" s="83" t="s">
        <v>1298</v>
      </c>
      <c r="E587" s="83" t="s">
        <v>274</v>
      </c>
      <c r="F587" s="83" t="s">
        <v>1121</v>
      </c>
      <c r="G587" s="388" t="s">
        <v>929</v>
      </c>
      <c r="H587" s="39"/>
      <c r="I587" s="40" t="s">
        <v>1120</v>
      </c>
      <c r="AC587"/>
    </row>
    <row r="588" spans="2:29" x14ac:dyDescent="0.25">
      <c r="B588" s="83" t="s">
        <v>964</v>
      </c>
      <c r="C588" s="83" t="s">
        <v>903</v>
      </c>
      <c r="D588" s="83" t="s">
        <v>904</v>
      </c>
      <c r="E588" s="83" t="s">
        <v>274</v>
      </c>
      <c r="F588" s="83" t="s">
        <v>1121</v>
      </c>
      <c r="G588" s="83" t="s">
        <v>1183</v>
      </c>
      <c r="H588" s="39"/>
      <c r="I588" s="40" t="s">
        <v>1120</v>
      </c>
      <c r="AC588"/>
    </row>
    <row r="589" spans="2:29" x14ac:dyDescent="0.25">
      <c r="B589" s="83" t="s">
        <v>964</v>
      </c>
      <c r="C589" s="83" t="s">
        <v>895</v>
      </c>
      <c r="D589" s="83" t="s">
        <v>896</v>
      </c>
      <c r="E589" s="83" t="s">
        <v>274</v>
      </c>
      <c r="F589" s="83" t="s">
        <v>1121</v>
      </c>
      <c r="G589" s="83" t="s">
        <v>1183</v>
      </c>
      <c r="H589" s="39"/>
      <c r="I589" s="40" t="s">
        <v>1120</v>
      </c>
      <c r="AC589"/>
    </row>
    <row r="590" spans="2:29" x14ac:dyDescent="0.25">
      <c r="B590" s="83" t="s">
        <v>964</v>
      </c>
      <c r="C590" s="83" t="s">
        <v>905</v>
      </c>
      <c r="D590" s="83" t="s">
        <v>906</v>
      </c>
      <c r="E590" s="83" t="s">
        <v>274</v>
      </c>
      <c r="F590" s="83" t="s">
        <v>1121</v>
      </c>
      <c r="G590" s="83" t="s">
        <v>1183</v>
      </c>
      <c r="H590" s="39"/>
      <c r="I590" s="40" t="s">
        <v>1120</v>
      </c>
      <c r="AC590"/>
    </row>
    <row r="591" spans="2:29" x14ac:dyDescent="0.25">
      <c r="B591" s="83" t="s">
        <v>956</v>
      </c>
      <c r="C591" s="83" t="s">
        <v>313</v>
      </c>
      <c r="D591" s="83" t="s">
        <v>918</v>
      </c>
      <c r="E591" s="83" t="s">
        <v>274</v>
      </c>
      <c r="F591" s="83" t="s">
        <v>1121</v>
      </c>
      <c r="G591" s="83"/>
      <c r="H591" s="39"/>
      <c r="I591" s="40" t="s">
        <v>1120</v>
      </c>
      <c r="AC591"/>
    </row>
    <row r="592" spans="2:29" x14ac:dyDescent="0.25">
      <c r="B592" s="83" t="s">
        <v>956</v>
      </c>
      <c r="C592" s="83" t="s">
        <v>650</v>
      </c>
      <c r="D592" s="83" t="s">
        <v>884</v>
      </c>
      <c r="E592" s="83" t="s">
        <v>274</v>
      </c>
      <c r="F592" s="83" t="s">
        <v>1121</v>
      </c>
      <c r="G592" s="83"/>
      <c r="H592" s="39"/>
      <c r="I592" s="40" t="s">
        <v>1120</v>
      </c>
      <c r="AC592"/>
    </row>
    <row r="593" spans="2:29" x14ac:dyDescent="0.25">
      <c r="B593" s="83" t="s">
        <v>956</v>
      </c>
      <c r="C593" s="83" t="s">
        <v>979</v>
      </c>
      <c r="D593" s="83" t="s">
        <v>880</v>
      </c>
      <c r="E593" s="83" t="s">
        <v>274</v>
      </c>
      <c r="F593" s="83" t="s">
        <v>1121</v>
      </c>
      <c r="G593" s="83"/>
      <c r="H593" s="39"/>
      <c r="I593" s="40" t="s">
        <v>1120</v>
      </c>
      <c r="AC593"/>
    </row>
    <row r="594" spans="2:29" x14ac:dyDescent="0.25">
      <c r="B594" s="83" t="s">
        <v>956</v>
      </c>
      <c r="C594" s="83" t="s">
        <v>1361</v>
      </c>
      <c r="D594" s="83" t="s">
        <v>1362</v>
      </c>
      <c r="E594" s="83" t="s">
        <v>274</v>
      </c>
      <c r="F594" s="83" t="s">
        <v>1121</v>
      </c>
      <c r="G594" s="83"/>
      <c r="H594" s="39"/>
      <c r="I594" s="40" t="s">
        <v>1120</v>
      </c>
      <c r="AC594"/>
    </row>
    <row r="595" spans="2:29" x14ac:dyDescent="0.25">
      <c r="B595" s="83" t="s">
        <v>956</v>
      </c>
      <c r="C595" s="83" t="s">
        <v>981</v>
      </c>
      <c r="D595" s="83" t="s">
        <v>883</v>
      </c>
      <c r="E595" s="83" t="s">
        <v>274</v>
      </c>
      <c r="F595" s="83" t="s">
        <v>1121</v>
      </c>
      <c r="G595" s="83"/>
      <c r="H595" s="39"/>
      <c r="I595" s="40" t="s">
        <v>1120</v>
      </c>
      <c r="AC595"/>
    </row>
    <row r="596" spans="2:29" x14ac:dyDescent="0.25">
      <c r="B596" s="83" t="s">
        <v>956</v>
      </c>
      <c r="C596" s="83" t="s">
        <v>649</v>
      </c>
      <c r="D596" s="83" t="s">
        <v>882</v>
      </c>
      <c r="E596" s="83" t="s">
        <v>274</v>
      </c>
      <c r="F596" s="83" t="s">
        <v>1121</v>
      </c>
      <c r="G596" s="83"/>
      <c r="H596" s="39"/>
      <c r="I596" s="40" t="s">
        <v>1120</v>
      </c>
      <c r="AC596"/>
    </row>
    <row r="597" spans="2:29" x14ac:dyDescent="0.25">
      <c r="B597" s="83" t="s">
        <v>956</v>
      </c>
      <c r="C597" s="83" t="s">
        <v>846</v>
      </c>
      <c r="D597" s="83" t="s">
        <v>888</v>
      </c>
      <c r="E597" s="83" t="s">
        <v>274</v>
      </c>
      <c r="F597" s="83" t="s">
        <v>1121</v>
      </c>
      <c r="G597" s="83"/>
      <c r="H597" s="40" t="s">
        <v>871</v>
      </c>
      <c r="I597" s="40" t="s">
        <v>1120</v>
      </c>
      <c r="AC597"/>
    </row>
    <row r="598" spans="2:29" x14ac:dyDescent="0.25">
      <c r="B598" s="83" t="s">
        <v>956</v>
      </c>
      <c r="C598" s="83" t="s">
        <v>847</v>
      </c>
      <c r="D598" s="83" t="s">
        <v>891</v>
      </c>
      <c r="E598" s="83" t="s">
        <v>274</v>
      </c>
      <c r="F598" s="83" t="s">
        <v>1121</v>
      </c>
      <c r="G598" s="83"/>
      <c r="H598" s="40" t="s">
        <v>871</v>
      </c>
      <c r="I598" s="40" t="s">
        <v>1120</v>
      </c>
      <c r="AC598"/>
    </row>
    <row r="599" spans="2:29" x14ac:dyDescent="0.25">
      <c r="B599" s="83" t="s">
        <v>956</v>
      </c>
      <c r="C599" s="83" t="s">
        <v>850</v>
      </c>
      <c r="D599" s="83" t="s">
        <v>892</v>
      </c>
      <c r="E599" s="83" t="s">
        <v>274</v>
      </c>
      <c r="F599" s="83" t="s">
        <v>1121</v>
      </c>
      <c r="G599" s="83"/>
      <c r="H599" s="40" t="s">
        <v>871</v>
      </c>
      <c r="I599" s="40" t="s">
        <v>1120</v>
      </c>
      <c r="AC599"/>
    </row>
    <row r="600" spans="2:29" x14ac:dyDescent="0.25">
      <c r="B600" s="83" t="s">
        <v>956</v>
      </c>
      <c r="C600" s="83" t="s">
        <v>848</v>
      </c>
      <c r="D600" s="83" t="s">
        <v>893</v>
      </c>
      <c r="E600" s="83" t="s">
        <v>274</v>
      </c>
      <c r="F600" s="83" t="s">
        <v>1121</v>
      </c>
      <c r="G600" s="83"/>
      <c r="H600" s="40" t="s">
        <v>871</v>
      </c>
      <c r="I600" s="40" t="s">
        <v>1120</v>
      </c>
      <c r="AC600"/>
    </row>
    <row r="601" spans="2:29" x14ac:dyDescent="0.25">
      <c r="B601" s="83" t="s">
        <v>956</v>
      </c>
      <c r="C601" s="83" t="s">
        <v>849</v>
      </c>
      <c r="D601" s="83" t="s">
        <v>894</v>
      </c>
      <c r="E601" s="83" t="s">
        <v>274</v>
      </c>
      <c r="F601" s="83" t="s">
        <v>1121</v>
      </c>
      <c r="G601" s="83"/>
      <c r="H601" s="40" t="s">
        <v>871</v>
      </c>
      <c r="I601" s="40" t="s">
        <v>1120</v>
      </c>
      <c r="AC601"/>
    </row>
    <row r="602" spans="2:29" x14ac:dyDescent="0.25">
      <c r="B602" s="83" t="s">
        <v>956</v>
      </c>
      <c r="C602" s="83" t="s">
        <v>851</v>
      </c>
      <c r="D602" s="83" t="s">
        <v>888</v>
      </c>
      <c r="E602" s="83" t="s">
        <v>274</v>
      </c>
      <c r="F602" s="83" t="s">
        <v>1121</v>
      </c>
      <c r="G602" s="83"/>
      <c r="H602" s="40" t="s">
        <v>871</v>
      </c>
      <c r="I602" s="40" t="s">
        <v>1120</v>
      </c>
      <c r="AC602"/>
    </row>
    <row r="603" spans="2:29" x14ac:dyDescent="0.25">
      <c r="B603" s="83" t="s">
        <v>956</v>
      </c>
      <c r="C603" s="83" t="s">
        <v>852</v>
      </c>
      <c r="D603" s="83" t="s">
        <v>889</v>
      </c>
      <c r="E603" s="83" t="s">
        <v>274</v>
      </c>
      <c r="F603" s="83" t="s">
        <v>1121</v>
      </c>
      <c r="G603" s="83"/>
      <c r="H603" s="40" t="s">
        <v>871</v>
      </c>
      <c r="I603" s="40" t="s">
        <v>1120</v>
      </c>
      <c r="AC603"/>
    </row>
    <row r="604" spans="2:29" x14ac:dyDescent="0.25">
      <c r="B604" s="83" t="s">
        <v>956</v>
      </c>
      <c r="C604" s="83" t="s">
        <v>853</v>
      </c>
      <c r="D604" s="83" t="s">
        <v>891</v>
      </c>
      <c r="E604" s="83" t="s">
        <v>274</v>
      </c>
      <c r="F604" s="83" t="s">
        <v>1121</v>
      </c>
      <c r="G604" s="83"/>
      <c r="H604" s="40" t="s">
        <v>871</v>
      </c>
      <c r="I604" s="40" t="s">
        <v>1120</v>
      </c>
      <c r="AC604"/>
    </row>
    <row r="605" spans="2:29" x14ac:dyDescent="0.25">
      <c r="B605" s="83" t="s">
        <v>956</v>
      </c>
      <c r="C605" s="83" t="s">
        <v>854</v>
      </c>
      <c r="D605" s="83" t="s">
        <v>893</v>
      </c>
      <c r="E605" s="83" t="s">
        <v>274</v>
      </c>
      <c r="F605" s="83" t="s">
        <v>1121</v>
      </c>
      <c r="G605" s="83"/>
      <c r="H605" s="40" t="s">
        <v>871</v>
      </c>
      <c r="I605" s="40" t="s">
        <v>1120</v>
      </c>
      <c r="AC605"/>
    </row>
    <row r="606" spans="2:29" x14ac:dyDescent="0.25">
      <c r="B606" s="83" t="s">
        <v>956</v>
      </c>
      <c r="C606" s="83" t="s">
        <v>855</v>
      </c>
      <c r="D606" s="83" t="s">
        <v>894</v>
      </c>
      <c r="E606" s="83" t="s">
        <v>274</v>
      </c>
      <c r="F606" s="83" t="s">
        <v>1121</v>
      </c>
      <c r="G606" s="83"/>
      <c r="H606" s="40" t="s">
        <v>871</v>
      </c>
      <c r="I606" s="40" t="s">
        <v>1120</v>
      </c>
      <c r="AC606"/>
    </row>
    <row r="607" spans="2:29" x14ac:dyDescent="0.25">
      <c r="B607" s="83" t="s">
        <v>956</v>
      </c>
      <c r="C607" s="83" t="s">
        <v>856</v>
      </c>
      <c r="D607" s="83" t="s">
        <v>888</v>
      </c>
      <c r="E607" s="83" t="s">
        <v>274</v>
      </c>
      <c r="F607" s="83" t="s">
        <v>1121</v>
      </c>
      <c r="G607" s="83"/>
      <c r="H607" s="40" t="s">
        <v>871</v>
      </c>
      <c r="I607" s="40" t="s">
        <v>1120</v>
      </c>
      <c r="AC607"/>
    </row>
    <row r="608" spans="2:29" x14ac:dyDescent="0.25">
      <c r="B608" s="83" t="s">
        <v>956</v>
      </c>
      <c r="C608" s="83" t="s">
        <v>857</v>
      </c>
      <c r="D608" s="83" t="s">
        <v>889</v>
      </c>
      <c r="E608" s="83" t="s">
        <v>274</v>
      </c>
      <c r="F608" s="83" t="s">
        <v>1121</v>
      </c>
      <c r="G608" s="83"/>
      <c r="H608" s="40" t="s">
        <v>871</v>
      </c>
      <c r="I608" s="40" t="s">
        <v>1120</v>
      </c>
      <c r="AC608"/>
    </row>
    <row r="609" spans="2:29" x14ac:dyDescent="0.25">
      <c r="B609" s="83" t="s">
        <v>956</v>
      </c>
      <c r="C609" s="83" t="s">
        <v>858</v>
      </c>
      <c r="D609" s="83" t="s">
        <v>891</v>
      </c>
      <c r="E609" s="83" t="s">
        <v>274</v>
      </c>
      <c r="F609" s="83" t="s">
        <v>1121</v>
      </c>
      <c r="G609" s="83"/>
      <c r="H609" s="40" t="s">
        <v>871</v>
      </c>
      <c r="I609" s="40" t="s">
        <v>1120</v>
      </c>
      <c r="AC609"/>
    </row>
    <row r="610" spans="2:29" x14ac:dyDescent="0.25">
      <c r="B610" s="83" t="s">
        <v>956</v>
      </c>
      <c r="C610" s="83" t="s">
        <v>859</v>
      </c>
      <c r="D610" s="83" t="s">
        <v>893</v>
      </c>
      <c r="E610" s="83" t="s">
        <v>274</v>
      </c>
      <c r="F610" s="83" t="s">
        <v>1121</v>
      </c>
      <c r="G610" s="83"/>
      <c r="H610" s="40" t="s">
        <v>871</v>
      </c>
      <c r="I610" s="40" t="s">
        <v>1120</v>
      </c>
      <c r="AC610"/>
    </row>
    <row r="611" spans="2:29" x14ac:dyDescent="0.25">
      <c r="B611" s="83" t="s">
        <v>956</v>
      </c>
      <c r="C611" s="83" t="s">
        <v>860</v>
      </c>
      <c r="D611" s="83" t="s">
        <v>894</v>
      </c>
      <c r="E611" s="83" t="s">
        <v>274</v>
      </c>
      <c r="F611" s="83" t="s">
        <v>1121</v>
      </c>
      <c r="G611" s="83"/>
      <c r="H611" s="40" t="s">
        <v>871</v>
      </c>
      <c r="I611" s="40" t="s">
        <v>1120</v>
      </c>
      <c r="AC611"/>
    </row>
    <row r="612" spans="2:29" x14ac:dyDescent="0.25">
      <c r="B612" s="83" t="s">
        <v>956</v>
      </c>
      <c r="C612" s="83" t="s">
        <v>861</v>
      </c>
      <c r="D612" s="83" t="s">
        <v>888</v>
      </c>
      <c r="E612" s="83" t="s">
        <v>274</v>
      </c>
      <c r="F612" s="83" t="s">
        <v>1121</v>
      </c>
      <c r="G612" s="83"/>
      <c r="H612" s="40" t="s">
        <v>871</v>
      </c>
      <c r="I612" s="40" t="s">
        <v>1120</v>
      </c>
      <c r="AC612"/>
    </row>
    <row r="613" spans="2:29" x14ac:dyDescent="0.25">
      <c r="B613" s="83" t="s">
        <v>956</v>
      </c>
      <c r="C613" s="83" t="s">
        <v>862</v>
      </c>
      <c r="D613" s="83" t="s">
        <v>889</v>
      </c>
      <c r="E613" s="83" t="s">
        <v>274</v>
      </c>
      <c r="F613" s="83" t="s">
        <v>1121</v>
      </c>
      <c r="G613" s="83"/>
      <c r="H613" s="40" t="s">
        <v>871</v>
      </c>
      <c r="I613" s="40" t="s">
        <v>1120</v>
      </c>
      <c r="AC613"/>
    </row>
    <row r="614" spans="2:29" x14ac:dyDescent="0.25">
      <c r="B614" s="83" t="s">
        <v>956</v>
      </c>
      <c r="C614" s="83" t="s">
        <v>863</v>
      </c>
      <c r="D614" s="83" t="s">
        <v>891</v>
      </c>
      <c r="E614" s="83" t="s">
        <v>274</v>
      </c>
      <c r="F614" s="83" t="s">
        <v>1121</v>
      </c>
      <c r="G614" s="83"/>
      <c r="H614" s="40" t="s">
        <v>871</v>
      </c>
      <c r="I614" s="40" t="s">
        <v>1120</v>
      </c>
      <c r="AC614"/>
    </row>
    <row r="615" spans="2:29" x14ac:dyDescent="0.25">
      <c r="B615" s="83" t="s">
        <v>956</v>
      </c>
      <c r="C615" s="83" t="s">
        <v>864</v>
      </c>
      <c r="D615" s="83" t="s">
        <v>893</v>
      </c>
      <c r="E615" s="83" t="s">
        <v>274</v>
      </c>
      <c r="F615" s="83" t="s">
        <v>1121</v>
      </c>
      <c r="G615" s="83"/>
      <c r="H615" s="40" t="s">
        <v>871</v>
      </c>
      <c r="I615" s="40" t="s">
        <v>1120</v>
      </c>
      <c r="AC615"/>
    </row>
    <row r="616" spans="2:29" x14ac:dyDescent="0.25">
      <c r="B616" s="83" t="s">
        <v>956</v>
      </c>
      <c r="C616" s="83" t="s">
        <v>865</v>
      </c>
      <c r="D616" s="83" t="s">
        <v>894</v>
      </c>
      <c r="E616" s="83" t="s">
        <v>274</v>
      </c>
      <c r="F616" s="83" t="s">
        <v>1121</v>
      </c>
      <c r="G616" s="83"/>
      <c r="H616" s="40" t="s">
        <v>871</v>
      </c>
      <c r="I616" s="40" t="s">
        <v>1120</v>
      </c>
      <c r="AC616"/>
    </row>
    <row r="617" spans="2:29" x14ac:dyDescent="0.25">
      <c r="B617" s="83" t="s">
        <v>956</v>
      </c>
      <c r="C617" s="83" t="s">
        <v>866</v>
      </c>
      <c r="D617" s="83" t="s">
        <v>888</v>
      </c>
      <c r="E617" s="83" t="s">
        <v>274</v>
      </c>
      <c r="F617" s="83" t="s">
        <v>1121</v>
      </c>
      <c r="G617" s="83"/>
      <c r="H617" s="40" t="s">
        <v>871</v>
      </c>
      <c r="I617" s="40" t="s">
        <v>1120</v>
      </c>
      <c r="AC617"/>
    </row>
    <row r="618" spans="2:29" x14ac:dyDescent="0.25">
      <c r="B618" s="83" t="s">
        <v>956</v>
      </c>
      <c r="C618" s="83" t="s">
        <v>867</v>
      </c>
      <c r="D618" s="83" t="s">
        <v>889</v>
      </c>
      <c r="E618" s="83" t="s">
        <v>274</v>
      </c>
      <c r="F618" s="83" t="s">
        <v>1121</v>
      </c>
      <c r="G618" s="83"/>
      <c r="H618" s="40" t="s">
        <v>871</v>
      </c>
      <c r="I618" s="40" t="s">
        <v>1120</v>
      </c>
      <c r="AC618"/>
    </row>
    <row r="619" spans="2:29" x14ac:dyDescent="0.25">
      <c r="B619" s="83" t="s">
        <v>956</v>
      </c>
      <c r="C619" s="83" t="s">
        <v>868</v>
      </c>
      <c r="D619" s="83" t="s">
        <v>891</v>
      </c>
      <c r="E619" s="83" t="s">
        <v>274</v>
      </c>
      <c r="F619" s="83" t="s">
        <v>1121</v>
      </c>
      <c r="G619" s="83"/>
      <c r="H619" s="40" t="s">
        <v>871</v>
      </c>
      <c r="I619" s="40" t="s">
        <v>1120</v>
      </c>
      <c r="AC619"/>
    </row>
    <row r="620" spans="2:29" x14ac:dyDescent="0.25">
      <c r="B620" s="83" t="s">
        <v>956</v>
      </c>
      <c r="C620" s="83" t="s">
        <v>869</v>
      </c>
      <c r="D620" s="83" t="s">
        <v>893</v>
      </c>
      <c r="E620" s="83" t="s">
        <v>274</v>
      </c>
      <c r="F620" s="83" t="s">
        <v>1121</v>
      </c>
      <c r="G620" s="83"/>
      <c r="H620" s="40" t="s">
        <v>871</v>
      </c>
      <c r="I620" s="40" t="s">
        <v>1120</v>
      </c>
      <c r="AC620"/>
    </row>
    <row r="621" spans="2:29" x14ac:dyDescent="0.25">
      <c r="B621" s="83" t="s">
        <v>956</v>
      </c>
      <c r="C621" s="83" t="s">
        <v>870</v>
      </c>
      <c r="D621" s="83" t="s">
        <v>894</v>
      </c>
      <c r="E621" s="83" t="s">
        <v>274</v>
      </c>
      <c r="F621" s="83" t="s">
        <v>1121</v>
      </c>
      <c r="G621" s="83"/>
      <c r="H621" s="40" t="s">
        <v>871</v>
      </c>
      <c r="I621" s="40" t="s">
        <v>1120</v>
      </c>
      <c r="AC621"/>
    </row>
    <row r="622" spans="2:29" x14ac:dyDescent="0.25">
      <c r="B622" s="83" t="s">
        <v>956</v>
      </c>
      <c r="C622" s="83" t="s">
        <v>364</v>
      </c>
      <c r="D622" s="83" t="s">
        <v>365</v>
      </c>
      <c r="E622" s="83" t="s">
        <v>274</v>
      </c>
      <c r="F622" s="83" t="s">
        <v>1121</v>
      </c>
      <c r="G622" s="83"/>
      <c r="H622" s="39"/>
      <c r="I622" s="40" t="s">
        <v>1120</v>
      </c>
      <c r="AC622"/>
    </row>
    <row r="623" spans="2:29" x14ac:dyDescent="0.25">
      <c r="B623" s="83" t="s">
        <v>956</v>
      </c>
      <c r="C623" s="83" t="s">
        <v>368</v>
      </c>
      <c r="D623" s="83" t="s">
        <v>369</v>
      </c>
      <c r="E623" s="83" t="s">
        <v>274</v>
      </c>
      <c r="F623" s="83" t="s">
        <v>1121</v>
      </c>
      <c r="G623" s="83"/>
      <c r="H623" s="39"/>
      <c r="I623" s="40" t="s">
        <v>1120</v>
      </c>
      <c r="AC623"/>
    </row>
    <row r="624" spans="2:29" x14ac:dyDescent="0.25">
      <c r="B624" s="83" t="s">
        <v>956</v>
      </c>
      <c r="C624" s="83" t="s">
        <v>371</v>
      </c>
      <c r="D624" s="83" t="s">
        <v>372</v>
      </c>
      <c r="E624" s="83" t="s">
        <v>274</v>
      </c>
      <c r="F624" s="83" t="s">
        <v>1121</v>
      </c>
      <c r="G624" s="83"/>
      <c r="H624" s="39"/>
      <c r="I624" s="40" t="s">
        <v>1120</v>
      </c>
      <c r="AC624"/>
    </row>
    <row r="625" spans="2:29" x14ac:dyDescent="0.25">
      <c r="B625" s="83" t="s">
        <v>956</v>
      </c>
      <c r="C625" s="83" t="s">
        <v>370</v>
      </c>
      <c r="D625" s="83" t="s">
        <v>1005</v>
      </c>
      <c r="E625" s="83" t="s">
        <v>274</v>
      </c>
      <c r="F625" s="83" t="s">
        <v>1121</v>
      </c>
      <c r="G625" s="83"/>
      <c r="H625" s="39"/>
      <c r="I625" s="40" t="s">
        <v>1120</v>
      </c>
      <c r="AC625"/>
    </row>
    <row r="626" spans="2:29" x14ac:dyDescent="0.25">
      <c r="B626" s="83" t="s">
        <v>956</v>
      </c>
      <c r="C626" s="83" t="s">
        <v>277</v>
      </c>
      <c r="D626" s="83" t="s">
        <v>914</v>
      </c>
      <c r="E626" s="83" t="s">
        <v>274</v>
      </c>
      <c r="F626" s="83" t="s">
        <v>1121</v>
      </c>
      <c r="G626" s="83"/>
      <c r="H626" s="39"/>
      <c r="I626" s="40" t="s">
        <v>1120</v>
      </c>
      <c r="AC626"/>
    </row>
    <row r="627" spans="2:29" x14ac:dyDescent="0.25">
      <c r="B627" s="83" t="s">
        <v>956</v>
      </c>
      <c r="C627" s="83" t="s">
        <v>366</v>
      </c>
      <c r="D627" s="83" t="s">
        <v>367</v>
      </c>
      <c r="E627" s="83" t="s">
        <v>274</v>
      </c>
      <c r="F627" s="83" t="s">
        <v>1121</v>
      </c>
      <c r="G627" s="83"/>
      <c r="H627" s="39"/>
      <c r="I627" s="40" t="s">
        <v>1120</v>
      </c>
      <c r="AC627"/>
    </row>
    <row r="628" spans="2:29" x14ac:dyDescent="0.25">
      <c r="B628" s="83" t="s">
        <v>956</v>
      </c>
      <c r="C628" s="83" t="s">
        <v>1107</v>
      </c>
      <c r="D628" s="83" t="s">
        <v>919</v>
      </c>
      <c r="E628" s="83" t="s">
        <v>274</v>
      </c>
      <c r="F628" s="83" t="s">
        <v>1121</v>
      </c>
      <c r="G628" s="83"/>
      <c r="H628" s="39"/>
      <c r="I628" s="40" t="s">
        <v>501</v>
      </c>
      <c r="AC628"/>
    </row>
    <row r="629" spans="2:29" x14ac:dyDescent="0.25">
      <c r="B629" s="83" t="s">
        <v>956</v>
      </c>
      <c r="C629" s="83" t="s">
        <v>261</v>
      </c>
      <c r="D629" s="83" t="s">
        <v>262</v>
      </c>
      <c r="E629" s="83" t="s">
        <v>274</v>
      </c>
      <c r="F629" s="83" t="s">
        <v>1121</v>
      </c>
      <c r="G629" s="83"/>
      <c r="H629" s="39"/>
      <c r="I629" s="40" t="s">
        <v>1120</v>
      </c>
      <c r="AC629"/>
    </row>
    <row r="630" spans="2:29" x14ac:dyDescent="0.25">
      <c r="B630" s="83" t="s">
        <v>956</v>
      </c>
      <c r="C630" s="83" t="s">
        <v>263</v>
      </c>
      <c r="D630" s="83" t="s">
        <v>264</v>
      </c>
      <c r="E630" s="83" t="s">
        <v>274</v>
      </c>
      <c r="F630" s="83" t="s">
        <v>1121</v>
      </c>
      <c r="G630" s="83"/>
      <c r="H630" s="39"/>
      <c r="I630" s="40" t="s">
        <v>1120</v>
      </c>
      <c r="AC630"/>
    </row>
    <row r="631" spans="2:29" x14ac:dyDescent="0.25">
      <c r="B631" s="83" t="s">
        <v>956</v>
      </c>
      <c r="C631" s="83" t="s">
        <v>643</v>
      </c>
      <c r="D631" s="83" t="s">
        <v>877</v>
      </c>
      <c r="E631" s="83" t="s">
        <v>274</v>
      </c>
      <c r="F631" s="83" t="s">
        <v>1121</v>
      </c>
      <c r="G631" s="83"/>
      <c r="H631" s="39"/>
      <c r="I631" s="40" t="s">
        <v>1120</v>
      </c>
      <c r="AC631"/>
    </row>
    <row r="632" spans="2:29" x14ac:dyDescent="0.25">
      <c r="B632" s="83" t="s">
        <v>956</v>
      </c>
      <c r="C632" s="83" t="s">
        <v>646</v>
      </c>
      <c r="D632" s="83" t="s">
        <v>878</v>
      </c>
      <c r="E632" s="83" t="s">
        <v>274</v>
      </c>
      <c r="F632" s="83" t="s">
        <v>1121</v>
      </c>
      <c r="G632" s="83"/>
      <c r="H632" s="39"/>
      <c r="I632" s="40" t="s">
        <v>1120</v>
      </c>
      <c r="AC632"/>
    </row>
    <row r="633" spans="2:29" x14ac:dyDescent="0.25">
      <c r="B633" s="83" t="s">
        <v>956</v>
      </c>
      <c r="C633" s="83" t="s">
        <v>265</v>
      </c>
      <c r="D633" s="83" t="s">
        <v>266</v>
      </c>
      <c r="E633" s="83" t="s">
        <v>274</v>
      </c>
      <c r="F633" s="83" t="s">
        <v>1121</v>
      </c>
      <c r="G633" s="83"/>
      <c r="H633" s="39"/>
      <c r="I633" s="40" t="s">
        <v>1120</v>
      </c>
      <c r="AC633"/>
    </row>
    <row r="634" spans="2:29" x14ac:dyDescent="0.25">
      <c r="B634" s="83" t="s">
        <v>956</v>
      </c>
      <c r="C634" s="83" t="s">
        <v>642</v>
      </c>
      <c r="D634" s="83" t="s">
        <v>875</v>
      </c>
      <c r="E634" s="83" t="s">
        <v>274</v>
      </c>
      <c r="F634" s="83" t="s">
        <v>1121</v>
      </c>
      <c r="G634" s="83"/>
      <c r="H634" s="39"/>
      <c r="I634" s="40" t="s">
        <v>1120</v>
      </c>
      <c r="AC634"/>
    </row>
    <row r="635" spans="2:29" x14ac:dyDescent="0.25">
      <c r="B635" s="83" t="s">
        <v>956</v>
      </c>
      <c r="C635" s="83" t="s">
        <v>647</v>
      </c>
      <c r="D635" s="83" t="s">
        <v>648</v>
      </c>
      <c r="E635" s="83" t="s">
        <v>274</v>
      </c>
      <c r="F635" s="83" t="s">
        <v>1121</v>
      </c>
      <c r="G635" s="83"/>
      <c r="H635" s="39"/>
      <c r="I635" s="40" t="s">
        <v>1120</v>
      </c>
      <c r="AC635"/>
    </row>
    <row r="636" spans="2:29" x14ac:dyDescent="0.25">
      <c r="B636" s="83" t="s">
        <v>956</v>
      </c>
      <c r="C636" s="83" t="s">
        <v>644</v>
      </c>
      <c r="D636" s="83" t="s">
        <v>645</v>
      </c>
      <c r="E636" s="83" t="s">
        <v>274</v>
      </c>
      <c r="F636" s="83" t="s">
        <v>1121</v>
      </c>
      <c r="G636" s="83"/>
      <c r="H636" s="39"/>
      <c r="I636" s="40" t="s">
        <v>1120</v>
      </c>
      <c r="AC636"/>
    </row>
    <row r="637" spans="2:29" x14ac:dyDescent="0.25">
      <c r="B637" s="83" t="s">
        <v>956</v>
      </c>
      <c r="C637" s="83" t="s">
        <v>1001</v>
      </c>
      <c r="D637" s="83" t="s">
        <v>1002</v>
      </c>
      <c r="E637" s="83" t="s">
        <v>274</v>
      </c>
      <c r="F637" s="83" t="s">
        <v>1121</v>
      </c>
      <c r="G637" s="83"/>
      <c r="H637" s="39"/>
      <c r="I637" s="40" t="s">
        <v>1120</v>
      </c>
      <c r="AC637"/>
    </row>
    <row r="638" spans="2:29" x14ac:dyDescent="0.25">
      <c r="B638" s="83" t="s">
        <v>956</v>
      </c>
      <c r="C638" s="83" t="s">
        <v>1089</v>
      </c>
      <c r="D638" s="83" t="s">
        <v>1090</v>
      </c>
      <c r="E638" s="83" t="s">
        <v>274</v>
      </c>
      <c r="F638" s="83" t="s">
        <v>1121</v>
      </c>
      <c r="G638" s="83"/>
      <c r="H638" s="39"/>
      <c r="I638" s="40" t="s">
        <v>1120</v>
      </c>
      <c r="AC638"/>
    </row>
    <row r="639" spans="2:29" x14ac:dyDescent="0.25">
      <c r="B639" s="83" t="s">
        <v>956</v>
      </c>
      <c r="C639" s="83" t="s">
        <v>1091</v>
      </c>
      <c r="D639" s="83" t="s">
        <v>1092</v>
      </c>
      <c r="E639" s="83" t="s">
        <v>274</v>
      </c>
      <c r="F639" s="83" t="s">
        <v>1121</v>
      </c>
      <c r="G639" s="83"/>
      <c r="H639" s="39"/>
      <c r="I639" s="40" t="s">
        <v>1120</v>
      </c>
      <c r="AC639"/>
    </row>
    <row r="640" spans="2:29" x14ac:dyDescent="0.25">
      <c r="B640" s="83" t="s">
        <v>956</v>
      </c>
      <c r="C640" s="83" t="s">
        <v>1081</v>
      </c>
      <c r="D640" s="83" t="s">
        <v>1082</v>
      </c>
      <c r="E640" s="83" t="s">
        <v>274</v>
      </c>
      <c r="F640" s="83" t="s">
        <v>1121</v>
      </c>
      <c r="G640" s="83"/>
      <c r="H640" s="39"/>
      <c r="I640" s="40" t="s">
        <v>1120</v>
      </c>
      <c r="AC640"/>
    </row>
    <row r="641" spans="2:29" x14ac:dyDescent="0.25">
      <c r="B641" s="83" t="s">
        <v>956</v>
      </c>
      <c r="C641" s="83" t="s">
        <v>1085</v>
      </c>
      <c r="D641" s="83" t="s">
        <v>1086</v>
      </c>
      <c r="E641" s="83" t="s">
        <v>274</v>
      </c>
      <c r="F641" s="83" t="s">
        <v>1121</v>
      </c>
      <c r="G641" s="83"/>
      <c r="H641" s="39"/>
      <c r="I641" s="40" t="s">
        <v>1120</v>
      </c>
      <c r="AC641"/>
    </row>
    <row r="642" spans="2:29" x14ac:dyDescent="0.25">
      <c r="B642" s="83" t="s">
        <v>956</v>
      </c>
      <c r="C642" s="83" t="s">
        <v>1079</v>
      </c>
      <c r="D642" s="83" t="s">
        <v>1080</v>
      </c>
      <c r="E642" s="83" t="s">
        <v>274</v>
      </c>
      <c r="F642" s="83" t="s">
        <v>1121</v>
      </c>
      <c r="G642" s="83"/>
      <c r="H642" s="39"/>
      <c r="I642" s="40" t="s">
        <v>1120</v>
      </c>
      <c r="AC642"/>
    </row>
    <row r="643" spans="2:29" x14ac:dyDescent="0.25">
      <c r="B643" s="83" t="s">
        <v>956</v>
      </c>
      <c r="C643" s="83" t="s">
        <v>1087</v>
      </c>
      <c r="D643" s="83" t="s">
        <v>1088</v>
      </c>
      <c r="E643" s="83" t="s">
        <v>274</v>
      </c>
      <c r="F643" s="83" t="s">
        <v>1121</v>
      </c>
      <c r="G643" s="83"/>
      <c r="H643" s="39"/>
      <c r="I643" s="40" t="s">
        <v>1120</v>
      </c>
      <c r="AC643"/>
    </row>
    <row r="644" spans="2:29" x14ac:dyDescent="0.25">
      <c r="B644" s="83" t="s">
        <v>956</v>
      </c>
      <c r="C644" s="83" t="s">
        <v>1083</v>
      </c>
      <c r="D644" s="83" t="s">
        <v>1084</v>
      </c>
      <c r="E644" s="83" t="s">
        <v>274</v>
      </c>
      <c r="F644" s="83" t="s">
        <v>1121</v>
      </c>
      <c r="G644" s="83"/>
      <c r="H644" s="39"/>
      <c r="I644" s="40" t="s">
        <v>1120</v>
      </c>
      <c r="AC644"/>
    </row>
    <row r="645" spans="2:29" x14ac:dyDescent="0.25">
      <c r="B645" s="83" t="s">
        <v>956</v>
      </c>
      <c r="C645" s="83" t="s">
        <v>314</v>
      </c>
      <c r="D645" s="83" t="s">
        <v>315</v>
      </c>
      <c r="E645" s="83" t="s">
        <v>274</v>
      </c>
      <c r="F645" s="83" t="s">
        <v>1121</v>
      </c>
      <c r="G645" s="83"/>
      <c r="H645" s="39"/>
      <c r="I645" s="40" t="s">
        <v>1120</v>
      </c>
      <c r="AC645"/>
    </row>
    <row r="646" spans="2:29" x14ac:dyDescent="0.25">
      <c r="B646" s="83" t="s">
        <v>956</v>
      </c>
      <c r="C646" s="83" t="s">
        <v>305</v>
      </c>
      <c r="D646" s="83" t="s">
        <v>306</v>
      </c>
      <c r="E646" s="83" t="s">
        <v>274</v>
      </c>
      <c r="F646" s="83" t="s">
        <v>1121</v>
      </c>
      <c r="G646" s="83"/>
      <c r="H646" s="39"/>
      <c r="I646" s="40" t="s">
        <v>1120</v>
      </c>
      <c r="AC646"/>
    </row>
    <row r="647" spans="2:29" x14ac:dyDescent="0.25">
      <c r="B647" s="83" t="s">
        <v>956</v>
      </c>
      <c r="C647" s="83" t="s">
        <v>1275</v>
      </c>
      <c r="D647" s="83" t="s">
        <v>1276</v>
      </c>
      <c r="E647" s="83" t="s">
        <v>274</v>
      </c>
      <c r="F647" s="83" t="s">
        <v>1121</v>
      </c>
      <c r="G647" s="83"/>
      <c r="H647" s="39"/>
      <c r="I647" s="40" t="s">
        <v>1120</v>
      </c>
      <c r="AC647"/>
    </row>
    <row r="648" spans="2:29" x14ac:dyDescent="0.25">
      <c r="B648" s="83" t="s">
        <v>956</v>
      </c>
      <c r="C648" s="83" t="s">
        <v>309</v>
      </c>
      <c r="D648" s="83" t="s">
        <v>1274</v>
      </c>
      <c r="E648" s="83" t="s">
        <v>274</v>
      </c>
      <c r="F648" s="83" t="s">
        <v>1121</v>
      </c>
      <c r="G648" s="83"/>
      <c r="H648" s="39"/>
      <c r="I648" s="40" t="s">
        <v>1120</v>
      </c>
      <c r="AC648"/>
    </row>
    <row r="649" spans="2:29" x14ac:dyDescent="0.25">
      <c r="B649" s="83" t="s">
        <v>956</v>
      </c>
      <c r="C649" s="83" t="s">
        <v>310</v>
      </c>
      <c r="D649" s="83" t="s">
        <v>1277</v>
      </c>
      <c r="E649" s="83" t="s">
        <v>274</v>
      </c>
      <c r="F649" s="83" t="s">
        <v>1121</v>
      </c>
      <c r="G649" s="83"/>
      <c r="H649" s="39"/>
      <c r="I649" s="40" t="s">
        <v>1120</v>
      </c>
      <c r="AC649"/>
    </row>
    <row r="650" spans="2:29" x14ac:dyDescent="0.25">
      <c r="B650" s="83" t="s">
        <v>956</v>
      </c>
      <c r="C650" s="83" t="s">
        <v>373</v>
      </c>
      <c r="D650" s="83" t="s">
        <v>304</v>
      </c>
      <c r="E650" s="83" t="s">
        <v>274</v>
      </c>
      <c r="F650" s="83" t="s">
        <v>1121</v>
      </c>
      <c r="G650" s="83"/>
      <c r="H650" s="39"/>
      <c r="I650" s="40" t="s">
        <v>1120</v>
      </c>
      <c r="AC650"/>
    </row>
    <row r="651" spans="2:29" x14ac:dyDescent="0.25">
      <c r="B651" s="83" t="s">
        <v>956</v>
      </c>
      <c r="C651" s="83" t="s">
        <v>311</v>
      </c>
      <c r="D651" s="83" t="s">
        <v>312</v>
      </c>
      <c r="E651" s="83" t="s">
        <v>274</v>
      </c>
      <c r="F651" s="83" t="s">
        <v>1121</v>
      </c>
      <c r="G651" s="83"/>
      <c r="H651" s="39"/>
      <c r="I651" s="40" t="s">
        <v>1120</v>
      </c>
      <c r="AC651"/>
    </row>
    <row r="652" spans="2:29" x14ac:dyDescent="0.25">
      <c r="B652" s="83" t="s">
        <v>956</v>
      </c>
      <c r="C652" s="83" t="s">
        <v>915</v>
      </c>
      <c r="D652" s="83" t="s">
        <v>916</v>
      </c>
      <c r="E652" s="83" t="s">
        <v>274</v>
      </c>
      <c r="F652" s="83" t="s">
        <v>1121</v>
      </c>
      <c r="G652" s="83"/>
      <c r="H652" s="39"/>
      <c r="I652" s="40" t="s">
        <v>1120</v>
      </c>
      <c r="AC652"/>
    </row>
    <row r="653" spans="2:29" x14ac:dyDescent="0.25">
      <c r="B653" s="83" t="s">
        <v>956</v>
      </c>
      <c r="C653" s="83" t="s">
        <v>307</v>
      </c>
      <c r="D653" s="83" t="s">
        <v>308</v>
      </c>
      <c r="E653" s="83" t="s">
        <v>274</v>
      </c>
      <c r="F653" s="83" t="s">
        <v>1121</v>
      </c>
      <c r="G653" s="83"/>
      <c r="H653" s="39"/>
      <c r="I653" s="40" t="s">
        <v>1120</v>
      </c>
      <c r="AC653"/>
    </row>
    <row r="654" spans="2:29" x14ac:dyDescent="0.25">
      <c r="B654" s="83" t="s">
        <v>956</v>
      </c>
      <c r="C654" s="83" t="s">
        <v>999</v>
      </c>
      <c r="D654" s="83" t="s">
        <v>1000</v>
      </c>
      <c r="E654" s="83" t="s">
        <v>274</v>
      </c>
      <c r="F654" s="83" t="s">
        <v>1121</v>
      </c>
      <c r="G654" s="83"/>
      <c r="H654" s="39"/>
      <c r="I654" s="40" t="s">
        <v>1120</v>
      </c>
      <c r="AC654"/>
    </row>
    <row r="655" spans="2:29" x14ac:dyDescent="0.25">
      <c r="B655" s="83" t="s">
        <v>956</v>
      </c>
      <c r="C655" s="83" t="s">
        <v>886</v>
      </c>
      <c r="D655" s="83" t="s">
        <v>1075</v>
      </c>
      <c r="E655" s="83" t="s">
        <v>274</v>
      </c>
      <c r="F655" s="83" t="s">
        <v>1121</v>
      </c>
      <c r="G655" s="83"/>
      <c r="H655" s="39"/>
      <c r="I655" s="40" t="s">
        <v>1120</v>
      </c>
      <c r="AC655"/>
    </row>
    <row r="656" spans="2:29" x14ac:dyDescent="0.25">
      <c r="B656" s="83" t="s">
        <v>956</v>
      </c>
      <c r="C656" s="83" t="s">
        <v>1071</v>
      </c>
      <c r="D656" s="83" t="s">
        <v>1072</v>
      </c>
      <c r="E656" s="83" t="s">
        <v>274</v>
      </c>
      <c r="F656" s="83" t="s">
        <v>1121</v>
      </c>
      <c r="G656" s="83"/>
      <c r="H656" s="39"/>
      <c r="I656" s="40" t="s">
        <v>1120</v>
      </c>
      <c r="AC656"/>
    </row>
    <row r="657" spans="2:29" x14ac:dyDescent="0.25">
      <c r="B657" s="83" t="s">
        <v>956</v>
      </c>
      <c r="C657" s="83" t="s">
        <v>887</v>
      </c>
      <c r="D657" s="83" t="s">
        <v>1078</v>
      </c>
      <c r="E657" s="83" t="s">
        <v>274</v>
      </c>
      <c r="F657" s="83" t="s">
        <v>1121</v>
      </c>
      <c r="G657" s="83"/>
      <c r="H657" s="39"/>
      <c r="I657" s="40" t="s">
        <v>1120</v>
      </c>
      <c r="AC657"/>
    </row>
    <row r="658" spans="2:29" x14ac:dyDescent="0.25">
      <c r="B658" s="83" t="s">
        <v>956</v>
      </c>
      <c r="C658" s="83" t="s">
        <v>1073</v>
      </c>
      <c r="D658" s="83" t="s">
        <v>1074</v>
      </c>
      <c r="E658" s="83" t="s">
        <v>274</v>
      </c>
      <c r="F658" s="83" t="s">
        <v>1121</v>
      </c>
      <c r="G658" s="83"/>
      <c r="H658" s="39"/>
      <c r="I658" s="40" t="s">
        <v>1120</v>
      </c>
      <c r="AC658"/>
    </row>
    <row r="659" spans="2:29" x14ac:dyDescent="0.25">
      <c r="B659" s="83" t="s">
        <v>956</v>
      </c>
      <c r="C659" s="83" t="s">
        <v>19</v>
      </c>
      <c r="D659" s="83" t="s">
        <v>1074</v>
      </c>
      <c r="E659" s="83" t="s">
        <v>274</v>
      </c>
      <c r="F659" s="83" t="s">
        <v>1121</v>
      </c>
      <c r="G659" s="83"/>
      <c r="H659" s="39"/>
      <c r="I659" s="40" t="s">
        <v>1120</v>
      </c>
      <c r="AC659"/>
    </row>
    <row r="660" spans="2:29" x14ac:dyDescent="0.25">
      <c r="B660" s="83" t="s">
        <v>956</v>
      </c>
      <c r="C660" s="83" t="s">
        <v>358</v>
      </c>
      <c r="D660" s="83" t="s">
        <v>359</v>
      </c>
      <c r="E660" s="83" t="s">
        <v>274</v>
      </c>
      <c r="F660" s="83" t="s">
        <v>1121</v>
      </c>
      <c r="G660" s="83"/>
      <c r="H660" s="39"/>
      <c r="I660" s="40" t="s">
        <v>1120</v>
      </c>
      <c r="AC660"/>
    </row>
    <row r="661" spans="2:29" x14ac:dyDescent="0.25">
      <c r="B661" s="83" t="s">
        <v>956</v>
      </c>
      <c r="C661" s="83" t="s">
        <v>912</v>
      </c>
      <c r="D661" s="83" t="s">
        <v>913</v>
      </c>
      <c r="E661" s="83" t="s">
        <v>274</v>
      </c>
      <c r="F661" s="83" t="s">
        <v>1121</v>
      </c>
      <c r="G661" s="83"/>
      <c r="H661" s="39"/>
      <c r="I661" s="40" t="s">
        <v>1120</v>
      </c>
      <c r="AC661"/>
    </row>
    <row r="662" spans="2:29" x14ac:dyDescent="0.25">
      <c r="B662" s="83" t="s">
        <v>956</v>
      </c>
      <c r="C662" s="83" t="s">
        <v>1004</v>
      </c>
      <c r="D662" s="83" t="s">
        <v>1003</v>
      </c>
      <c r="E662" s="83" t="s">
        <v>274</v>
      </c>
      <c r="F662" s="83" t="s">
        <v>1121</v>
      </c>
      <c r="G662" s="83"/>
      <c r="H662" s="39"/>
      <c r="I662" s="40" t="s">
        <v>1120</v>
      </c>
      <c r="AC662"/>
    </row>
    <row r="663" spans="2:29" x14ac:dyDescent="0.25">
      <c r="B663" s="83" t="s">
        <v>956</v>
      </c>
      <c r="C663" s="83" t="s">
        <v>1111</v>
      </c>
      <c r="D663" s="83" t="s">
        <v>1112</v>
      </c>
      <c r="E663" s="83" t="s">
        <v>274</v>
      </c>
      <c r="F663" s="83" t="s">
        <v>1121</v>
      </c>
      <c r="G663" s="83"/>
      <c r="H663" s="39"/>
      <c r="I663" s="40" t="s">
        <v>1120</v>
      </c>
      <c r="AC663"/>
    </row>
    <row r="664" spans="2:29" x14ac:dyDescent="0.25">
      <c r="B664" s="83" t="s">
        <v>956</v>
      </c>
      <c r="C664" s="83" t="s">
        <v>360</v>
      </c>
      <c r="D664" s="83" t="s">
        <v>361</v>
      </c>
      <c r="E664" s="83" t="s">
        <v>274</v>
      </c>
      <c r="F664" s="83" t="s">
        <v>1121</v>
      </c>
      <c r="G664" s="83"/>
      <c r="H664" s="39"/>
      <c r="I664" s="40" t="s">
        <v>1120</v>
      </c>
      <c r="AC664"/>
    </row>
    <row r="665" spans="2:29" x14ac:dyDescent="0.25">
      <c r="B665" s="83" t="s">
        <v>956</v>
      </c>
      <c r="C665" s="83" t="s">
        <v>1109</v>
      </c>
      <c r="D665" s="83" t="s">
        <v>1110</v>
      </c>
      <c r="E665" s="83" t="s">
        <v>274</v>
      </c>
      <c r="F665" s="83" t="s">
        <v>1121</v>
      </c>
      <c r="G665" s="83"/>
      <c r="H665" s="39"/>
      <c r="I665" s="40" t="s">
        <v>1120</v>
      </c>
      <c r="AC665"/>
    </row>
    <row r="666" spans="2:29" x14ac:dyDescent="0.25">
      <c r="B666" s="83" t="s">
        <v>956</v>
      </c>
      <c r="C666" s="83" t="s">
        <v>362</v>
      </c>
      <c r="D666" s="83" t="s">
        <v>363</v>
      </c>
      <c r="E666" s="83" t="s">
        <v>274</v>
      </c>
      <c r="F666" s="83" t="s">
        <v>1121</v>
      </c>
      <c r="G666" s="83"/>
      <c r="H666" s="39"/>
      <c r="I666" s="40" t="s">
        <v>1120</v>
      </c>
      <c r="AC666"/>
    </row>
    <row r="667" spans="2:29" x14ac:dyDescent="0.25">
      <c r="B667" s="83" t="s">
        <v>956</v>
      </c>
      <c r="C667" s="83" t="s">
        <v>1113</v>
      </c>
      <c r="D667" s="83" t="s">
        <v>357</v>
      </c>
      <c r="E667" s="83" t="s">
        <v>274</v>
      </c>
      <c r="F667" s="83" t="s">
        <v>1121</v>
      </c>
      <c r="G667" s="83"/>
      <c r="H667" s="39"/>
      <c r="I667" s="40" t="s">
        <v>1120</v>
      </c>
      <c r="AC667"/>
    </row>
    <row r="668" spans="2:29" x14ac:dyDescent="0.25">
      <c r="B668" s="83" t="s">
        <v>957</v>
      </c>
      <c r="C668" s="83" t="s">
        <v>811</v>
      </c>
      <c r="D668" s="83" t="s">
        <v>812</v>
      </c>
      <c r="E668" s="83" t="s">
        <v>1152</v>
      </c>
      <c r="F668" s="83" t="s">
        <v>971</v>
      </c>
      <c r="G668" s="83"/>
      <c r="H668" s="39"/>
      <c r="I668" s="40" t="s">
        <v>1120</v>
      </c>
      <c r="AC668"/>
    </row>
    <row r="669" spans="2:29" x14ac:dyDescent="0.25">
      <c r="B669" s="83" t="s">
        <v>957</v>
      </c>
      <c r="C669" s="83" t="s">
        <v>809</v>
      </c>
      <c r="D669" s="83" t="s">
        <v>810</v>
      </c>
      <c r="E669" s="83" t="s">
        <v>1152</v>
      </c>
      <c r="F669" s="83" t="s">
        <v>971</v>
      </c>
      <c r="G669" s="83"/>
      <c r="H669" s="39"/>
      <c r="I669" s="40" t="s">
        <v>1120</v>
      </c>
      <c r="AC669"/>
    </row>
    <row r="670" spans="2:29" x14ac:dyDescent="0.25">
      <c r="B670" s="83" t="s">
        <v>957</v>
      </c>
      <c r="C670" s="83" t="s">
        <v>805</v>
      </c>
      <c r="D670" s="83" t="s">
        <v>806</v>
      </c>
      <c r="E670" s="83" t="s">
        <v>1152</v>
      </c>
      <c r="F670" s="83" t="s">
        <v>971</v>
      </c>
      <c r="G670" s="83"/>
      <c r="H670" s="39"/>
      <c r="I670" s="40" t="s">
        <v>1120</v>
      </c>
      <c r="AC670"/>
    </row>
    <row r="671" spans="2:29" x14ac:dyDescent="0.25">
      <c r="B671" s="83" t="s">
        <v>957</v>
      </c>
      <c r="C671" s="83" t="s">
        <v>802</v>
      </c>
      <c r="D671" s="83" t="s">
        <v>803</v>
      </c>
      <c r="E671" s="83" t="s">
        <v>1152</v>
      </c>
      <c r="F671" s="83" t="s">
        <v>971</v>
      </c>
      <c r="G671" s="83"/>
      <c r="H671" s="39"/>
      <c r="I671" s="40" t="s">
        <v>1120</v>
      </c>
      <c r="AC671"/>
    </row>
    <row r="672" spans="2:29" x14ac:dyDescent="0.25">
      <c r="B672" s="83" t="s">
        <v>957</v>
      </c>
      <c r="C672" s="83" t="s">
        <v>822</v>
      </c>
      <c r="D672" s="83" t="s">
        <v>823</v>
      </c>
      <c r="E672" s="83" t="s">
        <v>1152</v>
      </c>
      <c r="F672" s="83" t="s">
        <v>971</v>
      </c>
      <c r="G672" s="83"/>
      <c r="H672" s="39"/>
      <c r="I672" s="40" t="s">
        <v>1120</v>
      </c>
      <c r="AC672"/>
    </row>
    <row r="673" spans="2:29" x14ac:dyDescent="0.25">
      <c r="B673" s="83" t="s">
        <v>957</v>
      </c>
      <c r="C673" s="83" t="s">
        <v>825</v>
      </c>
      <c r="D673" s="83" t="s">
        <v>826</v>
      </c>
      <c r="E673" s="83" t="s">
        <v>1152</v>
      </c>
      <c r="F673" s="83" t="s">
        <v>971</v>
      </c>
      <c r="G673" s="83"/>
      <c r="H673" s="39"/>
      <c r="I673" s="40" t="s">
        <v>1120</v>
      </c>
      <c r="AC673"/>
    </row>
    <row r="674" spans="2:29" x14ac:dyDescent="0.25">
      <c r="B674" s="83" t="s">
        <v>957</v>
      </c>
      <c r="C674" s="83" t="s">
        <v>827</v>
      </c>
      <c r="D674" s="83" t="s">
        <v>828</v>
      </c>
      <c r="E674" s="83" t="s">
        <v>1152</v>
      </c>
      <c r="F674" s="83" t="s">
        <v>971</v>
      </c>
      <c r="G674" s="83"/>
      <c r="H674" s="39"/>
      <c r="I674" s="40" t="s">
        <v>1120</v>
      </c>
      <c r="AC674"/>
    </row>
    <row r="675" spans="2:29" x14ac:dyDescent="0.25">
      <c r="B675" s="83" t="s">
        <v>957</v>
      </c>
      <c r="C675" s="83" t="s">
        <v>817</v>
      </c>
      <c r="D675" s="83" t="s">
        <v>818</v>
      </c>
      <c r="E675" s="83" t="s">
        <v>1152</v>
      </c>
      <c r="F675" s="83" t="s">
        <v>971</v>
      </c>
      <c r="G675" s="83"/>
      <c r="H675" s="39"/>
      <c r="I675" s="40" t="s">
        <v>1120</v>
      </c>
      <c r="AC675"/>
    </row>
    <row r="676" spans="2:29" x14ac:dyDescent="0.25">
      <c r="B676" s="83" t="s">
        <v>957</v>
      </c>
      <c r="C676" s="83" t="s">
        <v>819</v>
      </c>
      <c r="D676" s="83" t="s">
        <v>820</v>
      </c>
      <c r="E676" s="83" t="s">
        <v>1152</v>
      </c>
      <c r="F676" s="83" t="s">
        <v>971</v>
      </c>
      <c r="G676" s="83"/>
      <c r="H676" s="39"/>
      <c r="I676" s="40" t="s">
        <v>1120</v>
      </c>
      <c r="AC676"/>
    </row>
    <row r="677" spans="2:29" x14ac:dyDescent="0.25">
      <c r="B677" s="83" t="s">
        <v>957</v>
      </c>
      <c r="C677" s="83" t="s">
        <v>814</v>
      </c>
      <c r="D677" s="83" t="s">
        <v>815</v>
      </c>
      <c r="E677" s="83" t="s">
        <v>1152</v>
      </c>
      <c r="F677" s="83" t="s">
        <v>971</v>
      </c>
      <c r="G677" s="83"/>
      <c r="H677" s="39"/>
      <c r="I677" s="40" t="s">
        <v>1120</v>
      </c>
      <c r="AC677"/>
    </row>
    <row r="678" spans="2:29" x14ac:dyDescent="0.25">
      <c r="B678" s="83" t="s">
        <v>957</v>
      </c>
      <c r="C678" s="83" t="s">
        <v>795</v>
      </c>
      <c r="D678" s="83" t="s">
        <v>796</v>
      </c>
      <c r="E678" s="83" t="s">
        <v>1152</v>
      </c>
      <c r="F678" s="83" t="s">
        <v>971</v>
      </c>
      <c r="G678" s="83"/>
      <c r="H678" s="39"/>
      <c r="I678" s="40" t="s">
        <v>1120</v>
      </c>
      <c r="AC678"/>
    </row>
    <row r="679" spans="2:29" x14ac:dyDescent="0.25">
      <c r="B679" s="83" t="s">
        <v>957</v>
      </c>
      <c r="C679" s="83" t="s">
        <v>1359</v>
      </c>
      <c r="D679" s="83" t="s">
        <v>1360</v>
      </c>
      <c r="E679" s="83" t="s">
        <v>1152</v>
      </c>
      <c r="F679" s="83" t="s">
        <v>971</v>
      </c>
      <c r="G679" s="83"/>
      <c r="H679" s="39"/>
      <c r="I679" s="40" t="s">
        <v>1120</v>
      </c>
      <c r="AC679"/>
    </row>
    <row r="680" spans="2:29" x14ac:dyDescent="0.25">
      <c r="B680" s="83" t="s">
        <v>957</v>
      </c>
      <c r="C680" s="83" t="s">
        <v>799</v>
      </c>
      <c r="D680" s="83" t="s">
        <v>800</v>
      </c>
      <c r="E680" s="83" t="s">
        <v>1152</v>
      </c>
      <c r="F680" s="83" t="s">
        <v>971</v>
      </c>
      <c r="G680" s="83"/>
      <c r="H680" s="39"/>
      <c r="I680" s="40" t="s">
        <v>1120</v>
      </c>
      <c r="AC680"/>
    </row>
    <row r="681" spans="2:29" x14ac:dyDescent="0.25">
      <c r="B681" s="83" t="s">
        <v>957</v>
      </c>
      <c r="C681" s="83" t="s">
        <v>1365</v>
      </c>
      <c r="D681" s="83" t="s">
        <v>1366</v>
      </c>
      <c r="E681" s="83" t="s">
        <v>1152</v>
      </c>
      <c r="F681" s="83" t="s">
        <v>971</v>
      </c>
      <c r="G681" s="83"/>
      <c r="H681" s="39"/>
      <c r="I681" s="40" t="s">
        <v>1120</v>
      </c>
      <c r="AC681"/>
    </row>
    <row r="682" spans="2:29" x14ac:dyDescent="0.25">
      <c r="B682" s="83" t="s">
        <v>957</v>
      </c>
      <c r="C682" s="83" t="s">
        <v>1367</v>
      </c>
      <c r="D682" s="83" t="s">
        <v>1368</v>
      </c>
      <c r="E682" s="83" t="s">
        <v>1152</v>
      </c>
      <c r="F682" s="83" t="s">
        <v>971</v>
      </c>
      <c r="G682" s="83"/>
      <c r="H682" s="39"/>
      <c r="I682" s="40" t="s">
        <v>1120</v>
      </c>
      <c r="AC682"/>
    </row>
    <row r="683" spans="2:29" x14ac:dyDescent="0.25">
      <c r="B683" s="83" t="s">
        <v>957</v>
      </c>
      <c r="C683" s="83" t="s">
        <v>732</v>
      </c>
      <c r="D683" s="83" t="s">
        <v>733</v>
      </c>
      <c r="E683" s="83" t="s">
        <v>1152</v>
      </c>
      <c r="F683" s="83" t="s">
        <v>971</v>
      </c>
      <c r="G683" s="83"/>
      <c r="H683" s="39" t="s">
        <v>742</v>
      </c>
      <c r="I683" s="40" t="s">
        <v>1120</v>
      </c>
      <c r="AC683"/>
    </row>
    <row r="684" spans="2:29" x14ac:dyDescent="0.25">
      <c r="B684" s="83" t="s">
        <v>957</v>
      </c>
      <c r="C684" s="83" t="s">
        <v>933</v>
      </c>
      <c r="D684" s="83" t="s">
        <v>615</v>
      </c>
      <c r="E684" s="83" t="s">
        <v>1152</v>
      </c>
      <c r="F684" s="83" t="s">
        <v>971</v>
      </c>
      <c r="G684" s="83"/>
      <c r="H684" s="39" t="s">
        <v>742</v>
      </c>
      <c r="I684" s="40" t="s">
        <v>1120</v>
      </c>
      <c r="AC684"/>
    </row>
    <row r="685" spans="2:29" x14ac:dyDescent="0.25">
      <c r="B685" s="83" t="s">
        <v>957</v>
      </c>
      <c r="C685" s="83" t="s">
        <v>743</v>
      </c>
      <c r="D685" s="83" t="s">
        <v>744</v>
      </c>
      <c r="E685" s="83" t="s">
        <v>1152</v>
      </c>
      <c r="F685" s="83" t="s">
        <v>971</v>
      </c>
      <c r="G685" s="83"/>
      <c r="H685" s="39"/>
      <c r="I685" s="40" t="s">
        <v>1120</v>
      </c>
      <c r="AC685"/>
    </row>
    <row r="686" spans="2:29" x14ac:dyDescent="0.25">
      <c r="B686" s="83" t="s">
        <v>957</v>
      </c>
      <c r="C686" s="39" t="s">
        <v>685</v>
      </c>
      <c r="D686" s="39" t="s">
        <v>686</v>
      </c>
      <c r="E686" s="39" t="s">
        <v>1152</v>
      </c>
      <c r="F686" s="39" t="s">
        <v>971</v>
      </c>
      <c r="G686" s="39"/>
      <c r="H686" s="39"/>
      <c r="I686" s="40" t="s">
        <v>1120</v>
      </c>
      <c r="AC686"/>
    </row>
    <row r="687" spans="2:29" x14ac:dyDescent="0.25">
      <c r="B687" s="83" t="s">
        <v>957</v>
      </c>
      <c r="C687" s="83" t="s">
        <v>717</v>
      </c>
      <c r="D687" s="83" t="s">
        <v>719</v>
      </c>
      <c r="E687" s="83" t="s">
        <v>1152</v>
      </c>
      <c r="F687" s="83" t="s">
        <v>971</v>
      </c>
      <c r="G687" s="83" t="s">
        <v>1145</v>
      </c>
      <c r="H687" s="39" t="s">
        <v>745</v>
      </c>
      <c r="I687" s="40" t="s">
        <v>1120</v>
      </c>
      <c r="AC687"/>
    </row>
    <row r="688" spans="2:29" x14ac:dyDescent="0.25">
      <c r="B688" s="83" t="s">
        <v>957</v>
      </c>
      <c r="C688" s="83" t="s">
        <v>713</v>
      </c>
      <c r="D688" s="83" t="s">
        <v>714</v>
      </c>
      <c r="E688" s="83" t="s">
        <v>1152</v>
      </c>
      <c r="F688" s="83" t="s">
        <v>971</v>
      </c>
      <c r="G688" s="83" t="s">
        <v>1145</v>
      </c>
      <c r="H688" s="39" t="s">
        <v>745</v>
      </c>
      <c r="I688" s="40" t="s">
        <v>1120</v>
      </c>
      <c r="AC688"/>
    </row>
    <row r="689" spans="2:29" x14ac:dyDescent="0.25">
      <c r="B689" s="83" t="s">
        <v>957</v>
      </c>
      <c r="C689" s="83" t="s">
        <v>752</v>
      </c>
      <c r="D689" s="83" t="s">
        <v>753</v>
      </c>
      <c r="E689" s="83" t="s">
        <v>1152</v>
      </c>
      <c r="F689" s="83" t="s">
        <v>971</v>
      </c>
      <c r="G689" s="83"/>
      <c r="H689" s="39"/>
      <c r="I689" s="40" t="s">
        <v>1120</v>
      </c>
      <c r="AC689"/>
    </row>
    <row r="690" spans="2:29" x14ac:dyDescent="0.25">
      <c r="B690" s="83" t="s">
        <v>957</v>
      </c>
      <c r="C690" s="83" t="s">
        <v>746</v>
      </c>
      <c r="D690" s="83" t="s">
        <v>747</v>
      </c>
      <c r="E690" s="83" t="s">
        <v>1152</v>
      </c>
      <c r="F690" s="83" t="s">
        <v>971</v>
      </c>
      <c r="G690" s="83"/>
      <c r="H690" s="39"/>
      <c r="I690" s="40" t="s">
        <v>1120</v>
      </c>
      <c r="AC690"/>
    </row>
    <row r="691" spans="2:29" x14ac:dyDescent="0.25">
      <c r="B691" s="83" t="s">
        <v>957</v>
      </c>
      <c r="C691" s="83" t="s">
        <v>1156</v>
      </c>
      <c r="D691" s="83" t="s">
        <v>747</v>
      </c>
      <c r="E691" s="83" t="s">
        <v>1152</v>
      </c>
      <c r="F691" s="83" t="s">
        <v>971</v>
      </c>
      <c r="G691" s="83"/>
      <c r="H691" s="39" t="s">
        <v>1158</v>
      </c>
      <c r="I691" s="40" t="s">
        <v>1120</v>
      </c>
      <c r="AC691"/>
    </row>
    <row r="692" spans="2:29" x14ac:dyDescent="0.25">
      <c r="B692" s="83" t="s">
        <v>957</v>
      </c>
      <c r="C692" s="83" t="s">
        <v>749</v>
      </c>
      <c r="D692" s="83" t="s">
        <v>750</v>
      </c>
      <c r="E692" s="83" t="s">
        <v>1152</v>
      </c>
      <c r="F692" s="83" t="s">
        <v>971</v>
      </c>
      <c r="G692" s="83"/>
      <c r="H692" s="39" t="s">
        <v>742</v>
      </c>
      <c r="I692" s="40" t="s">
        <v>1120</v>
      </c>
      <c r="AC692"/>
    </row>
    <row r="693" spans="2:29" x14ac:dyDescent="0.25">
      <c r="B693" s="83" t="s">
        <v>957</v>
      </c>
      <c r="C693" s="83" t="s">
        <v>842</v>
      </c>
      <c r="D693" s="83" t="s">
        <v>872</v>
      </c>
      <c r="E693" s="83" t="s">
        <v>1152</v>
      </c>
      <c r="F693" s="83" t="s">
        <v>971</v>
      </c>
      <c r="G693" s="83"/>
      <c r="H693" s="39"/>
      <c r="I693" s="40" t="s">
        <v>1120</v>
      </c>
      <c r="AC693"/>
    </row>
    <row r="694" spans="2:29" x14ac:dyDescent="0.25">
      <c r="B694" s="83" t="s">
        <v>957</v>
      </c>
      <c r="C694" s="83" t="s">
        <v>1021</v>
      </c>
      <c r="D694" s="83" t="s">
        <v>1022</v>
      </c>
      <c r="E694" s="83" t="s">
        <v>1152</v>
      </c>
      <c r="F694" s="83" t="s">
        <v>971</v>
      </c>
      <c r="G694" s="83"/>
      <c r="H694" s="39"/>
      <c r="I694" s="40" t="s">
        <v>1120</v>
      </c>
      <c r="AC694"/>
    </row>
    <row r="695" spans="2:29" x14ac:dyDescent="0.25">
      <c r="B695" s="83" t="s">
        <v>957</v>
      </c>
      <c r="C695" s="83" t="s">
        <v>622</v>
      </c>
      <c r="D695" s="83" t="s">
        <v>624</v>
      </c>
      <c r="E695" s="83" t="s">
        <v>1152</v>
      </c>
      <c r="F695" s="83" t="s">
        <v>971</v>
      </c>
      <c r="G695" s="83"/>
      <c r="H695" s="39"/>
      <c r="I695" s="40" t="s">
        <v>1120</v>
      </c>
      <c r="AC695"/>
    </row>
    <row r="696" spans="2:29" x14ac:dyDescent="0.25">
      <c r="B696" s="83" t="s">
        <v>957</v>
      </c>
      <c r="C696" s="83" t="s">
        <v>829</v>
      </c>
      <c r="D696" s="83" t="s">
        <v>830</v>
      </c>
      <c r="E696" s="83" t="s">
        <v>1152</v>
      </c>
      <c r="F696" s="83" t="s">
        <v>971</v>
      </c>
      <c r="G696" s="83"/>
      <c r="H696" s="83" t="s">
        <v>833</v>
      </c>
      <c r="I696" s="40" t="s">
        <v>1120</v>
      </c>
      <c r="AC696"/>
    </row>
    <row r="697" spans="2:29" x14ac:dyDescent="0.25">
      <c r="B697" s="83" t="s">
        <v>957</v>
      </c>
      <c r="C697" s="83" t="s">
        <v>546</v>
      </c>
      <c r="D697" s="83" t="s">
        <v>830</v>
      </c>
      <c r="E697" s="83" t="s">
        <v>1152</v>
      </c>
      <c r="F697" s="83" t="s">
        <v>971</v>
      </c>
      <c r="G697" s="83"/>
      <c r="H697" s="83" t="s">
        <v>833</v>
      </c>
      <c r="I697" s="40" t="s">
        <v>1120</v>
      </c>
      <c r="AC697"/>
    </row>
    <row r="698" spans="2:29" x14ac:dyDescent="0.25">
      <c r="B698" s="83" t="s">
        <v>957</v>
      </c>
      <c r="C698" s="83" t="s">
        <v>549</v>
      </c>
      <c r="D698" s="83" t="s">
        <v>830</v>
      </c>
      <c r="E698" s="83" t="s">
        <v>1152</v>
      </c>
      <c r="F698" s="83" t="s">
        <v>971</v>
      </c>
      <c r="G698" s="83"/>
      <c r="H698" s="83" t="s">
        <v>833</v>
      </c>
      <c r="I698" s="40" t="s">
        <v>1120</v>
      </c>
      <c r="AC698"/>
    </row>
    <row r="699" spans="2:29" x14ac:dyDescent="0.25">
      <c r="B699" s="83" t="s">
        <v>957</v>
      </c>
      <c r="C699" s="83" t="s">
        <v>560</v>
      </c>
      <c r="D699" s="83" t="s">
        <v>830</v>
      </c>
      <c r="E699" s="83" t="s">
        <v>1152</v>
      </c>
      <c r="F699" s="83" t="s">
        <v>971</v>
      </c>
      <c r="G699" s="83"/>
      <c r="H699" s="83" t="s">
        <v>833</v>
      </c>
      <c r="I699" s="40" t="s">
        <v>1120</v>
      </c>
      <c r="AC699"/>
    </row>
    <row r="700" spans="2:29" x14ac:dyDescent="0.25">
      <c r="B700" s="83" t="s">
        <v>957</v>
      </c>
      <c r="C700" s="83" t="s">
        <v>834</v>
      </c>
      <c r="D700" s="83" t="s">
        <v>835</v>
      </c>
      <c r="E700" s="83" t="s">
        <v>1152</v>
      </c>
      <c r="F700" s="83" t="s">
        <v>971</v>
      </c>
      <c r="G700" s="83"/>
      <c r="H700" s="83" t="s">
        <v>833</v>
      </c>
      <c r="I700" s="40" t="s">
        <v>1120</v>
      </c>
      <c r="AC700"/>
    </row>
    <row r="701" spans="2:29" x14ac:dyDescent="0.25">
      <c r="B701" s="83" t="s">
        <v>957</v>
      </c>
      <c r="C701" s="83" t="s">
        <v>836</v>
      </c>
      <c r="D701" s="83" t="s">
        <v>835</v>
      </c>
      <c r="E701" s="83" t="s">
        <v>1152</v>
      </c>
      <c r="F701" s="83" t="s">
        <v>971</v>
      </c>
      <c r="G701" s="83"/>
      <c r="H701" s="83" t="s">
        <v>833</v>
      </c>
      <c r="I701" s="40" t="s">
        <v>1120</v>
      </c>
      <c r="AC701"/>
    </row>
    <row r="702" spans="2:29" x14ac:dyDescent="0.25">
      <c r="B702" s="83" t="s">
        <v>957</v>
      </c>
      <c r="C702" s="83" t="s">
        <v>555</v>
      </c>
      <c r="D702" s="83" t="s">
        <v>835</v>
      </c>
      <c r="E702" s="83" t="s">
        <v>1152</v>
      </c>
      <c r="F702" s="83" t="s">
        <v>971</v>
      </c>
      <c r="G702" s="83"/>
      <c r="H702" s="83" t="s">
        <v>833</v>
      </c>
      <c r="I702" s="40" t="s">
        <v>1120</v>
      </c>
      <c r="AC702"/>
    </row>
    <row r="703" spans="2:29" x14ac:dyDescent="0.25">
      <c r="B703" s="83" t="s">
        <v>957</v>
      </c>
      <c r="C703" s="83" t="s">
        <v>556</v>
      </c>
      <c r="D703" s="83" t="s">
        <v>835</v>
      </c>
      <c r="E703" s="83" t="s">
        <v>1152</v>
      </c>
      <c r="F703" s="83" t="s">
        <v>971</v>
      </c>
      <c r="G703" s="83"/>
      <c r="H703" s="83" t="s">
        <v>833</v>
      </c>
      <c r="I703" s="40" t="s">
        <v>1120</v>
      </c>
      <c r="AC703"/>
    </row>
    <row r="704" spans="2:29" x14ac:dyDescent="0.25">
      <c r="B704" s="83" t="s">
        <v>957</v>
      </c>
      <c r="C704" s="83" t="s">
        <v>553</v>
      </c>
      <c r="D704" s="83" t="s">
        <v>837</v>
      </c>
      <c r="E704" s="83" t="s">
        <v>1152</v>
      </c>
      <c r="F704" s="83" t="s">
        <v>971</v>
      </c>
      <c r="G704" s="83"/>
      <c r="H704" s="83" t="s">
        <v>833</v>
      </c>
      <c r="I704" s="40" t="s">
        <v>1120</v>
      </c>
      <c r="AC704"/>
    </row>
    <row r="705" spans="2:29" x14ac:dyDescent="0.25">
      <c r="B705" s="83" t="s">
        <v>957</v>
      </c>
      <c r="C705" s="83" t="s">
        <v>1202</v>
      </c>
      <c r="D705" s="83" t="s">
        <v>1203</v>
      </c>
      <c r="E705" s="83" t="s">
        <v>1152</v>
      </c>
      <c r="F705" s="83" t="s">
        <v>971</v>
      </c>
      <c r="G705" s="83"/>
      <c r="H705" s="83" t="s">
        <v>833</v>
      </c>
      <c r="I705" s="40" t="s">
        <v>501</v>
      </c>
      <c r="AC705"/>
    </row>
    <row r="706" spans="2:29" x14ac:dyDescent="0.25">
      <c r="B706" s="83" t="s">
        <v>957</v>
      </c>
      <c r="C706" s="83" t="s">
        <v>838</v>
      </c>
      <c r="D706" s="83" t="s">
        <v>839</v>
      </c>
      <c r="E706" s="83" t="s">
        <v>1152</v>
      </c>
      <c r="F706" s="83" t="s">
        <v>971</v>
      </c>
      <c r="G706" s="83"/>
      <c r="H706" s="83" t="s">
        <v>833</v>
      </c>
      <c r="I706" s="40" t="s">
        <v>1120</v>
      </c>
      <c r="AC706"/>
    </row>
    <row r="707" spans="2:29" x14ac:dyDescent="0.25">
      <c r="B707" s="83" t="s">
        <v>957</v>
      </c>
      <c r="C707" s="83" t="s">
        <v>781</v>
      </c>
      <c r="D707" s="83" t="s">
        <v>782</v>
      </c>
      <c r="E707" s="83" t="s">
        <v>1152</v>
      </c>
      <c r="F707" s="83" t="s">
        <v>971</v>
      </c>
      <c r="G707" s="83"/>
      <c r="H707" s="39"/>
      <c r="I707" s="40" t="s">
        <v>1120</v>
      </c>
      <c r="AC707"/>
    </row>
    <row r="708" spans="2:29" x14ac:dyDescent="0.25">
      <c r="B708" s="83" t="s">
        <v>957</v>
      </c>
      <c r="C708" s="83" t="s">
        <v>784</v>
      </c>
      <c r="D708" s="83" t="s">
        <v>785</v>
      </c>
      <c r="E708" s="83" t="s">
        <v>1152</v>
      </c>
      <c r="F708" s="83" t="s">
        <v>971</v>
      </c>
      <c r="G708" s="83"/>
      <c r="H708" s="39"/>
      <c r="I708" s="40" t="s">
        <v>1120</v>
      </c>
      <c r="AC708"/>
    </row>
    <row r="709" spans="2:29" x14ac:dyDescent="0.25">
      <c r="B709" s="83" t="s">
        <v>957</v>
      </c>
      <c r="C709" s="83" t="s">
        <v>792</v>
      </c>
      <c r="D709" s="83" t="s">
        <v>793</v>
      </c>
      <c r="E709" s="83" t="s">
        <v>1152</v>
      </c>
      <c r="F709" s="83" t="s">
        <v>971</v>
      </c>
      <c r="G709" s="83"/>
      <c r="H709" s="39"/>
      <c r="I709" s="40" t="s">
        <v>1120</v>
      </c>
      <c r="AC709"/>
    </row>
    <row r="710" spans="2:29" x14ac:dyDescent="0.25">
      <c r="B710" s="83" t="s">
        <v>957</v>
      </c>
      <c r="C710" s="83" t="s">
        <v>786</v>
      </c>
      <c r="D710" s="83" t="s">
        <v>787</v>
      </c>
      <c r="E710" s="83" t="s">
        <v>1152</v>
      </c>
      <c r="F710" s="83" t="s">
        <v>971</v>
      </c>
      <c r="G710" s="83"/>
      <c r="H710" s="39"/>
      <c r="I710" s="40" t="s">
        <v>1120</v>
      </c>
      <c r="AC710"/>
    </row>
    <row r="711" spans="2:29" x14ac:dyDescent="0.25">
      <c r="B711" s="83" t="s">
        <v>957</v>
      </c>
      <c r="C711" s="83" t="s">
        <v>789</v>
      </c>
      <c r="D711" s="83" t="s">
        <v>790</v>
      </c>
      <c r="E711" s="83" t="s">
        <v>1152</v>
      </c>
      <c r="F711" s="83" t="s">
        <v>971</v>
      </c>
      <c r="G711" s="83"/>
      <c r="H711" s="39"/>
      <c r="I711" s="40" t="s">
        <v>1120</v>
      </c>
      <c r="AC711"/>
    </row>
    <row r="712" spans="2:29" x14ac:dyDescent="0.25">
      <c r="B712" s="83" t="s">
        <v>957</v>
      </c>
      <c r="C712" s="83" t="s">
        <v>766</v>
      </c>
      <c r="D712" s="83" t="s">
        <v>972</v>
      </c>
      <c r="E712" s="83" t="s">
        <v>1152</v>
      </c>
      <c r="F712" s="83" t="s">
        <v>971</v>
      </c>
      <c r="G712" s="83"/>
      <c r="H712" s="39"/>
      <c r="I712" s="40" t="s">
        <v>1120</v>
      </c>
      <c r="AC712"/>
    </row>
    <row r="713" spans="2:29" x14ac:dyDescent="0.25">
      <c r="B713" s="83" t="s">
        <v>957</v>
      </c>
      <c r="C713" s="83" t="s">
        <v>755</v>
      </c>
      <c r="D713" s="83" t="s">
        <v>973</v>
      </c>
      <c r="E713" s="83" t="s">
        <v>1152</v>
      </c>
      <c r="F713" s="83" t="s">
        <v>971</v>
      </c>
      <c r="G713" s="83"/>
      <c r="H713" s="39"/>
      <c r="I713" s="40" t="s">
        <v>1120</v>
      </c>
      <c r="AC713"/>
    </row>
    <row r="714" spans="2:29" x14ac:dyDescent="0.25">
      <c r="B714" s="83" t="s">
        <v>957</v>
      </c>
      <c r="C714" s="83" t="s">
        <v>760</v>
      </c>
      <c r="D714" s="83" t="s">
        <v>974</v>
      </c>
      <c r="E714" s="83" t="s">
        <v>1152</v>
      </c>
      <c r="F714" s="83" t="s">
        <v>971</v>
      </c>
      <c r="G714" s="83"/>
      <c r="H714" s="39"/>
      <c r="I714" s="40" t="s">
        <v>1120</v>
      </c>
      <c r="AC714"/>
    </row>
    <row r="715" spans="2:29" x14ac:dyDescent="0.25">
      <c r="B715" s="83" t="s">
        <v>957</v>
      </c>
      <c r="C715" s="83" t="s">
        <v>762</v>
      </c>
      <c r="D715" s="83" t="s">
        <v>975</v>
      </c>
      <c r="E715" s="83" t="s">
        <v>1152</v>
      </c>
      <c r="F715" s="83" t="s">
        <v>971</v>
      </c>
      <c r="G715" s="83"/>
      <c r="H715" s="39"/>
      <c r="I715" s="40" t="s">
        <v>1120</v>
      </c>
      <c r="AC715"/>
    </row>
    <row r="716" spans="2:29" x14ac:dyDescent="0.25">
      <c r="B716" s="83" t="s">
        <v>957</v>
      </c>
      <c r="C716" s="83" t="s">
        <v>778</v>
      </c>
      <c r="D716" s="83" t="s">
        <v>779</v>
      </c>
      <c r="E716" s="83" t="s">
        <v>1152</v>
      </c>
      <c r="F716" s="83" t="s">
        <v>971</v>
      </c>
      <c r="G716" s="83"/>
      <c r="H716" s="39"/>
      <c r="I716" s="40" t="s">
        <v>1120</v>
      </c>
      <c r="AC716"/>
    </row>
    <row r="717" spans="2:29" x14ac:dyDescent="0.25">
      <c r="B717" s="83" t="s">
        <v>957</v>
      </c>
      <c r="C717" s="83" t="s">
        <v>773</v>
      </c>
      <c r="D717" s="83" t="s">
        <v>774</v>
      </c>
      <c r="E717" s="83" t="s">
        <v>1152</v>
      </c>
      <c r="F717" s="83" t="s">
        <v>971</v>
      </c>
      <c r="G717" s="83"/>
      <c r="H717" s="39"/>
      <c r="I717" s="40" t="s">
        <v>1120</v>
      </c>
      <c r="AC717"/>
    </row>
    <row r="718" spans="2:29" x14ac:dyDescent="0.25">
      <c r="B718" s="83" t="s">
        <v>957</v>
      </c>
      <c r="C718" s="83" t="s">
        <v>776</v>
      </c>
      <c r="D718" s="83" t="s">
        <v>976</v>
      </c>
      <c r="E718" s="83" t="s">
        <v>1152</v>
      </c>
      <c r="F718" s="83" t="s">
        <v>971</v>
      </c>
      <c r="G718" s="83"/>
      <c r="H718" s="39"/>
      <c r="I718" s="40" t="s">
        <v>1120</v>
      </c>
      <c r="AC718"/>
    </row>
    <row r="719" spans="2:29" x14ac:dyDescent="0.25">
      <c r="B719" s="83" t="s">
        <v>957</v>
      </c>
      <c r="C719" s="83" t="s">
        <v>770</v>
      </c>
      <c r="D719" s="83" t="s">
        <v>977</v>
      </c>
      <c r="E719" s="83" t="s">
        <v>1152</v>
      </c>
      <c r="F719" s="83" t="s">
        <v>971</v>
      </c>
      <c r="G719" s="83"/>
      <c r="H719" s="39"/>
      <c r="I719" s="40" t="s">
        <v>1120</v>
      </c>
      <c r="AC719"/>
    </row>
    <row r="720" spans="2:29" x14ac:dyDescent="0.25">
      <c r="AC720"/>
    </row>
    <row r="721" spans="29:29" x14ac:dyDescent="0.25">
      <c r="AC721"/>
    </row>
    <row r="722" spans="29:29" x14ac:dyDescent="0.25">
      <c r="AC722"/>
    </row>
    <row r="723" spans="29:29" x14ac:dyDescent="0.25">
      <c r="AC723"/>
    </row>
    <row r="724" spans="29:29" x14ac:dyDescent="0.25">
      <c r="AC72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3"/>
  <sheetViews>
    <sheetView topLeftCell="A63" zoomScale="80" workbookViewId="0">
      <selection activeCell="H74" sqref="H74"/>
    </sheetView>
  </sheetViews>
  <sheetFormatPr defaultRowHeight="12.75" x14ac:dyDescent="0.2"/>
  <cols>
    <col min="2" max="2" width="8.140625" customWidth="1"/>
    <col min="3" max="3" width="14.85546875" customWidth="1"/>
    <col min="4" max="4" width="36.42578125" customWidth="1"/>
    <col min="5" max="5" width="10" customWidth="1"/>
    <col min="6" max="6" width="11.42578125" customWidth="1"/>
    <col min="7" max="7" width="10.5703125" customWidth="1"/>
    <col min="8" max="8" width="10.42578125" customWidth="1"/>
    <col min="9" max="9" width="4.85546875" customWidth="1"/>
    <col min="10" max="11" width="9.28515625" bestFit="1" customWidth="1"/>
    <col min="12" max="12" width="10" customWidth="1"/>
    <col min="13" max="19" width="9.28515625" bestFit="1" customWidth="1"/>
    <col min="20" max="20" width="12.42578125" bestFit="1" customWidth="1"/>
    <col min="21" max="22" width="9.28515625" bestFit="1" customWidth="1"/>
    <col min="25" max="25" width="8" customWidth="1"/>
  </cols>
  <sheetData>
    <row r="1" spans="1:22" ht="15.75" x14ac:dyDescent="0.25">
      <c r="A1" s="372" t="s">
        <v>1289</v>
      </c>
    </row>
    <row r="4" spans="1:22" ht="18" x14ac:dyDescent="0.25">
      <c r="B4" s="135" t="s">
        <v>1334</v>
      </c>
      <c r="C4" s="136"/>
      <c r="D4" s="137"/>
      <c r="G4" s="24"/>
      <c r="I4" s="433" t="s">
        <v>1062</v>
      </c>
    </row>
    <row r="5" spans="1:22" ht="13.5" thickBot="1" x14ac:dyDescent="0.25">
      <c r="B5" s="138" t="s">
        <v>254</v>
      </c>
      <c r="C5" s="138" t="s">
        <v>1126</v>
      </c>
      <c r="D5" s="138" t="s">
        <v>1127</v>
      </c>
      <c r="E5" s="138" t="s">
        <v>1128</v>
      </c>
      <c r="F5" s="138" t="s">
        <v>289</v>
      </c>
      <c r="G5" s="138" t="s">
        <v>1154</v>
      </c>
      <c r="H5" s="49" t="s">
        <v>942</v>
      </c>
      <c r="I5" s="434" t="s">
        <v>943</v>
      </c>
      <c r="J5" s="46">
        <v>2015</v>
      </c>
      <c r="K5" s="46">
        <v>2025</v>
      </c>
      <c r="L5" s="46">
        <v>2040</v>
      </c>
      <c r="M5" s="46">
        <v>2060</v>
      </c>
      <c r="N5" s="139" t="s">
        <v>318</v>
      </c>
      <c r="O5" s="138" t="s">
        <v>736</v>
      </c>
      <c r="P5" s="138" t="s">
        <v>741</v>
      </c>
      <c r="Q5" s="138" t="s">
        <v>698</v>
      </c>
      <c r="R5" s="138" t="s">
        <v>329</v>
      </c>
      <c r="S5" s="138" t="s">
        <v>541</v>
      </c>
      <c r="T5" s="138" t="s">
        <v>319</v>
      </c>
      <c r="U5" s="138" t="s">
        <v>320</v>
      </c>
      <c r="V5" s="138" t="s">
        <v>321</v>
      </c>
    </row>
    <row r="6" spans="1:22" ht="18.75" customHeight="1" x14ac:dyDescent="0.2">
      <c r="B6" s="176" t="s">
        <v>1180</v>
      </c>
      <c r="C6" s="140" t="s">
        <v>136</v>
      </c>
      <c r="D6" s="140" t="s">
        <v>137</v>
      </c>
      <c r="E6" s="140" t="s">
        <v>1068</v>
      </c>
      <c r="F6" s="141" t="s">
        <v>545</v>
      </c>
      <c r="G6" s="141"/>
      <c r="H6" s="142"/>
      <c r="I6" s="435"/>
      <c r="J6" s="28"/>
      <c r="K6" s="28"/>
      <c r="L6" s="28"/>
      <c r="M6" s="28"/>
      <c r="N6" s="143">
        <v>2110</v>
      </c>
      <c r="O6" s="144">
        <f>700*3.6/1000</f>
        <v>2.52</v>
      </c>
      <c r="P6" s="145">
        <f>(O9*0.4/0.9*0.88-1)*15</f>
        <v>14.919999999999998</v>
      </c>
      <c r="Q6" s="145"/>
      <c r="R6" s="140">
        <v>0.9</v>
      </c>
      <c r="S6" s="140">
        <v>25</v>
      </c>
      <c r="T6" s="140">
        <v>300</v>
      </c>
      <c r="U6" s="146"/>
      <c r="V6" s="146"/>
    </row>
    <row r="7" spans="1:22" x14ac:dyDescent="0.2">
      <c r="B7" s="147"/>
      <c r="C7" s="147"/>
      <c r="D7" s="147"/>
      <c r="E7" s="147" t="s">
        <v>1066</v>
      </c>
      <c r="F7" s="147"/>
      <c r="G7" s="147"/>
      <c r="H7" s="148"/>
      <c r="I7" s="435"/>
      <c r="J7" s="28"/>
      <c r="K7" s="28"/>
      <c r="L7" s="28"/>
      <c r="M7" s="28"/>
      <c r="N7" s="149"/>
      <c r="O7" s="145">
        <f>17*0.86</f>
        <v>14.62</v>
      </c>
      <c r="P7" s="147"/>
      <c r="Q7" s="147"/>
      <c r="R7" s="147"/>
      <c r="S7" s="147"/>
      <c r="T7" s="147"/>
      <c r="U7" s="150"/>
      <c r="V7" s="150"/>
    </row>
    <row r="8" spans="1:22" x14ac:dyDescent="0.2">
      <c r="B8" s="147"/>
      <c r="C8" s="147"/>
      <c r="D8" s="147"/>
      <c r="E8" s="147" t="s">
        <v>840</v>
      </c>
      <c r="F8" s="147"/>
      <c r="G8" s="147"/>
      <c r="H8" s="148"/>
      <c r="I8" s="435"/>
      <c r="J8" s="28"/>
      <c r="K8" s="28"/>
      <c r="L8" s="28"/>
      <c r="M8" s="28"/>
      <c r="N8" s="149"/>
      <c r="O8" s="145">
        <f>3*0.88</f>
        <v>2.64</v>
      </c>
      <c r="P8" s="147"/>
      <c r="Q8" s="147"/>
      <c r="R8" s="147"/>
      <c r="S8" s="147"/>
      <c r="T8" s="147"/>
      <c r="U8" s="150"/>
      <c r="V8" s="150"/>
    </row>
    <row r="9" spans="1:22" x14ac:dyDescent="0.2">
      <c r="B9" s="147"/>
      <c r="C9" s="147"/>
      <c r="D9" s="147"/>
      <c r="E9" s="147" t="s">
        <v>831</v>
      </c>
      <c r="F9" s="147"/>
      <c r="G9" s="147"/>
      <c r="H9" s="148"/>
      <c r="I9" s="435"/>
      <c r="J9" s="28"/>
      <c r="K9" s="28"/>
      <c r="L9" s="28"/>
      <c r="M9" s="28"/>
      <c r="N9" s="149"/>
      <c r="O9" s="145">
        <v>5.0999999999999996</v>
      </c>
      <c r="P9" s="147"/>
      <c r="Q9" s="147"/>
      <c r="R9" s="147"/>
      <c r="S9" s="147"/>
      <c r="T9" s="147"/>
      <c r="U9" s="150"/>
      <c r="V9" s="150"/>
    </row>
    <row r="10" spans="1:22" x14ac:dyDescent="0.2">
      <c r="B10" s="147"/>
      <c r="C10" s="147"/>
      <c r="D10" s="147"/>
      <c r="E10" s="147"/>
      <c r="F10" s="147" t="s">
        <v>138</v>
      </c>
      <c r="G10" s="147"/>
      <c r="H10" s="148"/>
      <c r="I10" s="435"/>
      <c r="J10" s="45"/>
      <c r="K10" s="45"/>
      <c r="L10" s="45"/>
      <c r="M10" s="151"/>
      <c r="N10" s="149"/>
      <c r="O10" s="145"/>
      <c r="P10" s="147"/>
      <c r="Q10" s="147"/>
      <c r="R10" s="147"/>
      <c r="S10" s="147"/>
      <c r="T10" s="147"/>
      <c r="U10" s="45"/>
      <c r="V10" s="45"/>
    </row>
    <row r="11" spans="1:22" ht="30" customHeight="1" x14ac:dyDescent="0.2">
      <c r="B11" s="140"/>
      <c r="C11" s="140" t="s">
        <v>139</v>
      </c>
      <c r="D11" s="140" t="s">
        <v>140</v>
      </c>
      <c r="E11" s="140" t="s">
        <v>833</v>
      </c>
      <c r="F11" s="140" t="s">
        <v>544</v>
      </c>
      <c r="G11" s="140"/>
      <c r="H11" s="142"/>
      <c r="I11" s="435"/>
      <c r="J11" s="28"/>
      <c r="K11" s="28"/>
      <c r="L11" s="28"/>
      <c r="M11" s="28"/>
      <c r="N11" s="143">
        <v>2110</v>
      </c>
      <c r="O11" s="144">
        <v>1</v>
      </c>
      <c r="P11" s="140"/>
      <c r="Q11" s="140"/>
      <c r="R11" s="140"/>
      <c r="S11" s="140"/>
      <c r="T11" s="140"/>
      <c r="U11" s="150"/>
      <c r="V11" s="150"/>
    </row>
    <row r="12" spans="1:22" x14ac:dyDescent="0.2">
      <c r="B12" s="147"/>
      <c r="C12" s="147"/>
      <c r="D12" s="147"/>
      <c r="E12" s="147" t="s">
        <v>552</v>
      </c>
      <c r="F12" s="147"/>
      <c r="G12" s="147"/>
      <c r="H12" s="148"/>
      <c r="I12" s="435"/>
      <c r="J12" s="28"/>
      <c r="K12" s="28"/>
      <c r="L12" s="28"/>
      <c r="M12" s="28"/>
      <c r="N12" s="149"/>
      <c r="O12" s="152">
        <v>0.21205318289087816</v>
      </c>
      <c r="P12" s="153"/>
      <c r="Q12" s="153"/>
      <c r="R12" s="147"/>
      <c r="S12" s="147"/>
      <c r="T12" s="147"/>
      <c r="U12" s="150"/>
      <c r="V12" s="150"/>
    </row>
    <row r="13" spans="1:22" x14ac:dyDescent="0.2">
      <c r="B13" s="147"/>
      <c r="C13" s="147"/>
      <c r="D13" s="147"/>
      <c r="E13" s="147" t="s">
        <v>557</v>
      </c>
      <c r="F13" s="147"/>
      <c r="G13" s="147"/>
      <c r="H13" s="148"/>
      <c r="I13" s="435"/>
      <c r="J13" s="28"/>
      <c r="K13" s="28"/>
      <c r="L13" s="28"/>
      <c r="M13" s="28"/>
      <c r="N13" s="149"/>
      <c r="O13" s="152">
        <v>0.23999793329298266</v>
      </c>
      <c r="P13" s="153"/>
      <c r="Q13" s="153"/>
      <c r="R13" s="147"/>
      <c r="S13" s="147"/>
      <c r="T13" s="147"/>
      <c r="U13" s="150"/>
      <c r="V13" s="150"/>
    </row>
    <row r="14" spans="1:22" x14ac:dyDescent="0.2">
      <c r="B14" s="147"/>
      <c r="C14" s="147"/>
      <c r="D14" s="147"/>
      <c r="E14" s="147" t="s">
        <v>548</v>
      </c>
      <c r="F14" s="147"/>
      <c r="G14" s="147"/>
      <c r="H14" s="148"/>
      <c r="I14" s="435"/>
      <c r="J14" s="28"/>
      <c r="K14" s="28"/>
      <c r="L14" s="28"/>
      <c r="M14" s="28"/>
      <c r="N14" s="149"/>
      <c r="O14" s="152">
        <v>0.22295424705432498</v>
      </c>
      <c r="P14" s="153"/>
      <c r="Q14" s="153"/>
      <c r="R14" s="147"/>
      <c r="S14" s="147"/>
      <c r="T14" s="147"/>
      <c r="U14" s="150"/>
      <c r="V14" s="150"/>
    </row>
    <row r="15" spans="1:22" x14ac:dyDescent="0.2">
      <c r="B15" s="147"/>
      <c r="C15" s="147"/>
      <c r="D15" s="147"/>
      <c r="E15" s="147" t="s">
        <v>547</v>
      </c>
      <c r="F15" s="147"/>
      <c r="G15" s="147"/>
      <c r="H15" s="148"/>
      <c r="I15" s="435"/>
      <c r="J15" s="28"/>
      <c r="K15" s="28"/>
      <c r="L15" s="28"/>
      <c r="M15" s="28"/>
      <c r="N15" s="149"/>
      <c r="O15" s="152">
        <v>0.32004533492165865</v>
      </c>
      <c r="P15" s="153"/>
      <c r="Q15" s="153"/>
      <c r="R15" s="147"/>
      <c r="S15" s="147"/>
      <c r="T15" s="147"/>
      <c r="U15" s="150"/>
      <c r="V15" s="150"/>
    </row>
    <row r="16" spans="1:22" x14ac:dyDescent="0.2">
      <c r="B16" s="154"/>
      <c r="C16" s="154"/>
      <c r="D16" s="154"/>
      <c r="E16" s="154" t="s">
        <v>138</v>
      </c>
      <c r="F16" s="154"/>
      <c r="G16" s="154"/>
      <c r="H16" s="155"/>
      <c r="I16" s="436"/>
      <c r="J16" s="45"/>
      <c r="K16" s="45"/>
      <c r="L16" s="45"/>
      <c r="M16" s="45"/>
      <c r="N16" s="156"/>
      <c r="O16" s="157">
        <v>0.5</v>
      </c>
      <c r="P16" s="158"/>
      <c r="Q16" s="158"/>
      <c r="R16" s="154"/>
      <c r="S16" s="154"/>
      <c r="T16" s="154"/>
      <c r="U16" s="45"/>
      <c r="V16" s="45"/>
    </row>
    <row r="17" spans="2:22" x14ac:dyDescent="0.2">
      <c r="B17" s="147"/>
      <c r="C17" s="147" t="s">
        <v>141</v>
      </c>
      <c r="D17" s="147" t="s">
        <v>142</v>
      </c>
      <c r="E17" s="147" t="s">
        <v>833</v>
      </c>
      <c r="F17" s="147"/>
      <c r="G17" s="147"/>
      <c r="H17" s="148"/>
      <c r="I17" s="435"/>
      <c r="J17" s="28"/>
      <c r="K17" s="28"/>
      <c r="L17" s="28"/>
      <c r="M17" s="28"/>
      <c r="N17" s="149"/>
      <c r="O17" s="152"/>
      <c r="P17" s="153"/>
      <c r="Q17" s="153"/>
      <c r="R17" s="147"/>
      <c r="S17" s="147"/>
      <c r="T17" s="147"/>
      <c r="U17" s="150"/>
      <c r="V17" s="150"/>
    </row>
    <row r="18" spans="2:22" x14ac:dyDescent="0.2">
      <c r="B18" s="147"/>
      <c r="C18" s="147"/>
      <c r="D18" s="147"/>
      <c r="E18" s="147" t="s">
        <v>557</v>
      </c>
      <c r="F18" s="147"/>
      <c r="G18" s="147"/>
      <c r="H18" s="148"/>
      <c r="I18" s="435"/>
      <c r="J18" s="28"/>
      <c r="K18" s="28"/>
      <c r="L18" s="28"/>
      <c r="M18" s="28"/>
      <c r="N18" s="149"/>
      <c r="O18" s="152">
        <v>1</v>
      </c>
      <c r="P18" s="153"/>
      <c r="Q18" s="153"/>
      <c r="R18" s="147"/>
      <c r="S18" s="147"/>
      <c r="T18" s="147"/>
      <c r="U18" s="150"/>
      <c r="V18" s="150"/>
    </row>
    <row r="19" spans="2:22" x14ac:dyDescent="0.2">
      <c r="B19" s="147"/>
      <c r="C19" s="147"/>
      <c r="D19" s="147"/>
      <c r="E19" s="147" t="s">
        <v>1068</v>
      </c>
      <c r="F19" s="147"/>
      <c r="G19" s="147"/>
      <c r="H19" s="148"/>
      <c r="I19" s="435"/>
      <c r="J19" s="28"/>
      <c r="K19" s="28"/>
      <c r="L19" s="28"/>
      <c r="M19" s="28"/>
      <c r="N19" s="149"/>
      <c r="O19" s="152">
        <v>0.40247999999999995</v>
      </c>
      <c r="P19" s="153"/>
      <c r="Q19" s="153"/>
      <c r="R19" s="147"/>
      <c r="S19" s="147"/>
      <c r="T19" s="147"/>
      <c r="U19" s="150"/>
      <c r="V19" s="150"/>
    </row>
    <row r="20" spans="2:22" x14ac:dyDescent="0.2">
      <c r="B20" s="154"/>
      <c r="C20" s="154"/>
      <c r="D20" s="154"/>
      <c r="E20" s="154" t="s">
        <v>1066</v>
      </c>
      <c r="F20" s="154"/>
      <c r="G20" s="154"/>
      <c r="H20" s="155"/>
      <c r="I20" s="436"/>
      <c r="J20" s="45"/>
      <c r="K20" s="45"/>
      <c r="L20" s="45"/>
      <c r="M20" s="45"/>
      <c r="N20" s="156"/>
      <c r="O20" s="157">
        <v>3</v>
      </c>
      <c r="P20" s="158"/>
      <c r="Q20" s="158"/>
      <c r="R20" s="154"/>
      <c r="S20" s="154"/>
      <c r="T20" s="154"/>
      <c r="U20" s="45"/>
      <c r="V20" s="45"/>
    </row>
    <row r="21" spans="2:22" x14ac:dyDescent="0.2">
      <c r="B21" s="176" t="s">
        <v>1395</v>
      </c>
      <c r="C21" s="147" t="s">
        <v>143</v>
      </c>
      <c r="D21" s="147" t="s">
        <v>144</v>
      </c>
      <c r="E21" s="147" t="s">
        <v>844</v>
      </c>
      <c r="F21" s="147" t="s">
        <v>547</v>
      </c>
      <c r="G21" s="147"/>
      <c r="H21" s="148" t="s">
        <v>736</v>
      </c>
      <c r="I21" s="435"/>
      <c r="J21" s="159">
        <v>2.16</v>
      </c>
      <c r="K21" s="159">
        <v>2.0543978818060671</v>
      </c>
      <c r="L21" s="159">
        <v>1.934526284886094</v>
      </c>
      <c r="M21" s="159">
        <v>1.8772959977682586</v>
      </c>
      <c r="N21" s="149">
        <v>2011</v>
      </c>
      <c r="O21" s="152"/>
      <c r="P21" s="153">
        <v>1</v>
      </c>
      <c r="Q21" s="153">
        <v>1</v>
      </c>
      <c r="R21" s="147">
        <v>0.9</v>
      </c>
      <c r="S21" s="147">
        <v>30</v>
      </c>
      <c r="T21" s="145">
        <v>1236.4687709391806</v>
      </c>
      <c r="U21" s="159">
        <v>49.458750837567223</v>
      </c>
      <c r="V21" s="28">
        <v>41</v>
      </c>
    </row>
    <row r="22" spans="2:22" x14ac:dyDescent="0.2">
      <c r="B22" s="147"/>
      <c r="C22" s="147"/>
      <c r="D22" s="147"/>
      <c r="E22" s="147" t="s">
        <v>1066</v>
      </c>
      <c r="F22" s="147" t="s">
        <v>833</v>
      </c>
      <c r="G22" s="147"/>
      <c r="H22" s="148" t="s">
        <v>736</v>
      </c>
      <c r="I22" s="435"/>
      <c r="J22" s="159">
        <v>9</v>
      </c>
      <c r="K22" s="159">
        <v>8.733615992540253</v>
      </c>
      <c r="L22" s="159">
        <v>8.1282106847458007</v>
      </c>
      <c r="M22" s="159">
        <v>7.8877488027457581</v>
      </c>
      <c r="N22" s="149" t="s">
        <v>382</v>
      </c>
      <c r="O22" s="152"/>
      <c r="P22" s="153"/>
      <c r="Q22" s="153" t="s">
        <v>382</v>
      </c>
      <c r="R22" s="147" t="s">
        <v>382</v>
      </c>
      <c r="S22" s="147" t="s">
        <v>382</v>
      </c>
      <c r="T22" s="145" t="s">
        <v>382</v>
      </c>
      <c r="U22" s="159" t="s">
        <v>382</v>
      </c>
      <c r="V22" s="28" t="s">
        <v>382</v>
      </c>
    </row>
    <row r="23" spans="2:22" x14ac:dyDescent="0.2">
      <c r="B23" s="147"/>
      <c r="C23" s="147"/>
      <c r="D23" s="147"/>
      <c r="E23" s="147" t="s">
        <v>1067</v>
      </c>
      <c r="F23" s="147"/>
      <c r="G23" s="147"/>
      <c r="H23" s="148" t="s">
        <v>736</v>
      </c>
      <c r="I23" s="435"/>
      <c r="J23" s="159">
        <v>1.6</v>
      </c>
      <c r="K23" s="159">
        <v>1.5526428431182673</v>
      </c>
      <c r="L23" s="159">
        <v>1.445015232843698</v>
      </c>
      <c r="M23" s="159">
        <v>1.4022664538214682</v>
      </c>
      <c r="N23" s="149" t="s">
        <v>382</v>
      </c>
      <c r="O23" s="152"/>
      <c r="P23" s="153" t="s">
        <v>382</v>
      </c>
      <c r="Q23" s="153" t="s">
        <v>382</v>
      </c>
      <c r="R23" s="147" t="s">
        <v>382</v>
      </c>
      <c r="S23" s="147" t="s">
        <v>382</v>
      </c>
      <c r="T23" s="145" t="s">
        <v>382</v>
      </c>
      <c r="U23" s="159" t="s">
        <v>382</v>
      </c>
      <c r="V23" s="28" t="s">
        <v>382</v>
      </c>
    </row>
    <row r="24" spans="2:22" x14ac:dyDescent="0.2">
      <c r="B24" s="147"/>
      <c r="C24" s="147"/>
      <c r="D24" s="147"/>
      <c r="E24" s="147" t="s">
        <v>831</v>
      </c>
      <c r="F24" s="147" t="s">
        <v>832</v>
      </c>
      <c r="G24" s="147"/>
      <c r="H24" s="148" t="s">
        <v>736</v>
      </c>
      <c r="I24" s="435"/>
      <c r="J24" s="159">
        <v>5.7</v>
      </c>
      <c r="K24" s="159">
        <v>5.6432558171955653</v>
      </c>
      <c r="L24" s="159">
        <v>5.5591969618031669</v>
      </c>
      <c r="M24" s="159">
        <v>5.5591969618031669</v>
      </c>
      <c r="N24" s="149" t="s">
        <v>382</v>
      </c>
      <c r="O24" s="152"/>
      <c r="P24" s="153">
        <v>1.014</v>
      </c>
      <c r="Q24" s="153" t="s">
        <v>382</v>
      </c>
      <c r="R24" s="147" t="s">
        <v>382</v>
      </c>
      <c r="S24" s="147" t="s">
        <v>382</v>
      </c>
      <c r="T24" s="145" t="s">
        <v>382</v>
      </c>
      <c r="U24" s="159" t="s">
        <v>382</v>
      </c>
      <c r="V24" s="28" t="s">
        <v>382</v>
      </c>
    </row>
    <row r="25" spans="2:22" x14ac:dyDescent="0.2">
      <c r="B25" s="147"/>
      <c r="C25" s="147"/>
      <c r="D25" s="147"/>
      <c r="E25" s="147"/>
      <c r="F25" s="147" t="s">
        <v>545</v>
      </c>
      <c r="G25" s="147"/>
      <c r="H25" s="148" t="s">
        <v>741</v>
      </c>
      <c r="I25" s="435"/>
      <c r="J25" s="159">
        <v>21.422999999999998</v>
      </c>
      <c r="K25" s="159">
        <v>21.422999999999998</v>
      </c>
      <c r="L25" s="159">
        <v>21.422999999999998</v>
      </c>
      <c r="M25" s="159">
        <v>21.422999999999998</v>
      </c>
      <c r="N25" s="149" t="s">
        <v>382</v>
      </c>
      <c r="O25" s="152"/>
      <c r="P25" s="153" t="s">
        <v>382</v>
      </c>
      <c r="Q25" s="153" t="s">
        <v>382</v>
      </c>
      <c r="R25" s="147" t="s">
        <v>382</v>
      </c>
      <c r="S25" s="147" t="s">
        <v>382</v>
      </c>
      <c r="T25" s="145" t="s">
        <v>382</v>
      </c>
      <c r="U25" s="159" t="s">
        <v>382</v>
      </c>
      <c r="V25" s="28" t="s">
        <v>382</v>
      </c>
    </row>
    <row r="26" spans="2:22" x14ac:dyDescent="0.2">
      <c r="B26" s="176" t="s">
        <v>1395</v>
      </c>
      <c r="C26" s="147" t="s">
        <v>145</v>
      </c>
      <c r="D26" s="147" t="s">
        <v>146</v>
      </c>
      <c r="E26" s="147" t="s">
        <v>844</v>
      </c>
      <c r="F26" s="147" t="s">
        <v>548</v>
      </c>
      <c r="G26" s="147"/>
      <c r="H26" s="148" t="s">
        <v>736</v>
      </c>
      <c r="I26" s="435"/>
      <c r="J26" s="159">
        <v>2.16</v>
      </c>
      <c r="K26" s="159">
        <v>2.0543978818060671</v>
      </c>
      <c r="L26" s="159">
        <v>1.934526284886094</v>
      </c>
      <c r="M26" s="159">
        <v>1.8772959977682586</v>
      </c>
      <c r="N26" s="149">
        <v>2011</v>
      </c>
      <c r="O26" s="152"/>
      <c r="P26" s="153">
        <v>1</v>
      </c>
      <c r="Q26" s="153">
        <v>1</v>
      </c>
      <c r="R26" s="147">
        <v>0.9</v>
      </c>
      <c r="S26" s="147">
        <v>30</v>
      </c>
      <c r="T26" s="145">
        <v>1236.4687709391806</v>
      </c>
      <c r="U26" s="159">
        <v>49.458750837567223</v>
      </c>
      <c r="V26" s="28">
        <v>30</v>
      </c>
    </row>
    <row r="27" spans="2:22" x14ac:dyDescent="0.2">
      <c r="B27" s="147"/>
      <c r="C27" s="147"/>
      <c r="D27" s="147"/>
      <c r="E27" s="147" t="s">
        <v>1066</v>
      </c>
      <c r="F27" s="147" t="s">
        <v>833</v>
      </c>
      <c r="G27" s="147"/>
      <c r="H27" s="148" t="s">
        <v>736</v>
      </c>
      <c r="I27" s="435"/>
      <c r="J27" s="159">
        <v>8</v>
      </c>
      <c r="K27" s="159">
        <v>7.7632142155913355</v>
      </c>
      <c r="L27" s="159">
        <v>6.7722989869132784</v>
      </c>
      <c r="M27" s="159">
        <v>6.5719498789704547</v>
      </c>
      <c r="N27" s="149"/>
      <c r="O27" s="152"/>
      <c r="P27" s="153"/>
      <c r="Q27" s="153"/>
      <c r="R27" s="147"/>
      <c r="S27" s="147"/>
      <c r="T27" s="145"/>
      <c r="U27" s="159"/>
      <c r="V27" s="28"/>
    </row>
    <row r="28" spans="2:22" x14ac:dyDescent="0.2">
      <c r="B28" s="147"/>
      <c r="C28" s="147"/>
      <c r="D28" s="147"/>
      <c r="E28" s="147" t="s">
        <v>1067</v>
      </c>
      <c r="F28" s="147"/>
      <c r="G28" s="147"/>
      <c r="H28" s="148" t="s">
        <v>736</v>
      </c>
      <c r="I28" s="435"/>
      <c r="J28" s="159">
        <v>1.5</v>
      </c>
      <c r="K28" s="159">
        <v>1.4556026654233754</v>
      </c>
      <c r="L28" s="159">
        <v>1.3547017807909667</v>
      </c>
      <c r="M28" s="159">
        <v>1.3146248004576262</v>
      </c>
      <c r="N28" s="149"/>
      <c r="O28" s="152"/>
      <c r="P28" s="153"/>
      <c r="Q28" s="153"/>
      <c r="R28" s="147"/>
      <c r="S28" s="147"/>
      <c r="T28" s="145"/>
      <c r="U28" s="159"/>
      <c r="V28" s="28"/>
    </row>
    <row r="29" spans="2:22" x14ac:dyDescent="0.2">
      <c r="B29" s="147"/>
      <c r="C29" s="147"/>
      <c r="D29" s="147"/>
      <c r="E29" s="147" t="s">
        <v>831</v>
      </c>
      <c r="F29" s="147" t="s">
        <v>832</v>
      </c>
      <c r="G29" s="147"/>
      <c r="H29" s="148" t="s">
        <v>736</v>
      </c>
      <c r="I29" s="435"/>
      <c r="J29" s="159">
        <v>4.2</v>
      </c>
      <c r="K29" s="159">
        <v>4.1581884968809435</v>
      </c>
      <c r="L29" s="159">
        <v>4.0962503929075975</v>
      </c>
      <c r="M29" s="159">
        <v>4.0962503929075975</v>
      </c>
      <c r="N29" s="149"/>
      <c r="O29" s="152"/>
      <c r="P29" s="153">
        <v>0.50700000000000001</v>
      </c>
      <c r="Q29" s="153"/>
      <c r="R29" s="147"/>
      <c r="S29" s="147"/>
      <c r="T29" s="145"/>
      <c r="U29" s="159"/>
      <c r="V29" s="28"/>
    </row>
    <row r="30" spans="2:22" x14ac:dyDescent="0.2">
      <c r="B30" s="147"/>
      <c r="C30" s="147"/>
      <c r="D30" s="147"/>
      <c r="E30" s="147"/>
      <c r="F30" s="147" t="s">
        <v>545</v>
      </c>
      <c r="G30" s="147"/>
      <c r="H30" s="148" t="s">
        <v>741</v>
      </c>
      <c r="I30" s="435"/>
      <c r="J30" s="159">
        <v>17.014499999999998</v>
      </c>
      <c r="K30" s="159">
        <v>17.014499999999998</v>
      </c>
      <c r="L30" s="159">
        <v>17.014499999999998</v>
      </c>
      <c r="M30" s="159">
        <v>17.014499999999998</v>
      </c>
      <c r="N30" s="149"/>
      <c r="O30" s="152"/>
      <c r="P30" s="153"/>
      <c r="Q30" s="153"/>
      <c r="R30" s="147"/>
      <c r="S30" s="147"/>
      <c r="T30" s="145"/>
      <c r="U30" s="159"/>
      <c r="V30" s="28"/>
    </row>
    <row r="31" spans="2:22" x14ac:dyDescent="0.2">
      <c r="B31" s="176" t="s">
        <v>1395</v>
      </c>
      <c r="C31" s="147" t="s">
        <v>147</v>
      </c>
      <c r="D31" s="147" t="s">
        <v>148</v>
      </c>
      <c r="E31" s="147" t="s">
        <v>844</v>
      </c>
      <c r="F31" s="147" t="s">
        <v>547</v>
      </c>
      <c r="G31" s="147"/>
      <c r="H31" s="148" t="s">
        <v>736</v>
      </c>
      <c r="I31" s="435"/>
      <c r="J31" s="159">
        <v>2.7</v>
      </c>
      <c r="K31" s="159">
        <v>2.88</v>
      </c>
      <c r="L31" s="159">
        <v>2.7119555319897315</v>
      </c>
      <c r="M31" s="159">
        <v>2.6317260748047064</v>
      </c>
      <c r="N31" s="149">
        <v>2011</v>
      </c>
      <c r="O31" s="152"/>
      <c r="P31" s="153">
        <v>1</v>
      </c>
      <c r="Q31" s="153">
        <v>1</v>
      </c>
      <c r="R31" s="147">
        <v>0.9</v>
      </c>
      <c r="S31" s="147">
        <v>30</v>
      </c>
      <c r="T31" s="145">
        <v>1433.2419318407749</v>
      </c>
      <c r="U31" s="159">
        <v>65.200603709694775</v>
      </c>
      <c r="V31" s="28">
        <v>60</v>
      </c>
    </row>
    <row r="32" spans="2:22" x14ac:dyDescent="0.2">
      <c r="B32" s="147"/>
      <c r="C32" s="147"/>
      <c r="D32" s="147"/>
      <c r="E32" s="147" t="s">
        <v>1066</v>
      </c>
      <c r="F32" s="147" t="s">
        <v>833</v>
      </c>
      <c r="G32" s="147"/>
      <c r="H32" s="148" t="s">
        <v>736</v>
      </c>
      <c r="I32" s="435"/>
      <c r="J32" s="159">
        <v>12.2</v>
      </c>
      <c r="K32" s="159">
        <v>11.528772419409854</v>
      </c>
      <c r="L32" s="159">
        <v>10.729609733412833</v>
      </c>
      <c r="M32" s="159">
        <v>10.412189055026085</v>
      </c>
      <c r="N32" s="149"/>
      <c r="O32" s="152"/>
      <c r="P32" s="153"/>
      <c r="Q32" s="153"/>
      <c r="R32" s="147"/>
      <c r="S32" s="147"/>
      <c r="T32" s="145"/>
      <c r="U32" s="159"/>
      <c r="V32" s="28"/>
    </row>
    <row r="33" spans="2:22" x14ac:dyDescent="0.2">
      <c r="B33" s="147"/>
      <c r="C33" s="147"/>
      <c r="D33" s="147"/>
      <c r="E33" s="147" t="s">
        <v>1067</v>
      </c>
      <c r="F33" s="147"/>
      <c r="G33" s="147"/>
      <c r="H33" s="148" t="s">
        <v>736</v>
      </c>
      <c r="I33" s="435"/>
      <c r="J33" s="159">
        <v>1.5</v>
      </c>
      <c r="K33" s="159">
        <v>1.4174720187799004</v>
      </c>
      <c r="L33" s="159">
        <v>1.3192143114851846</v>
      </c>
      <c r="M33" s="159">
        <v>1.2801871788966501</v>
      </c>
      <c r="N33" s="149"/>
      <c r="O33" s="152"/>
      <c r="P33" s="153"/>
      <c r="Q33" s="153"/>
      <c r="R33" s="147"/>
      <c r="S33" s="147"/>
      <c r="T33" s="145"/>
      <c r="U33" s="159"/>
      <c r="V33" s="28"/>
    </row>
    <row r="34" spans="2:22" x14ac:dyDescent="0.2">
      <c r="B34" s="147"/>
      <c r="C34" s="147"/>
      <c r="D34" s="147"/>
      <c r="E34" s="147" t="s">
        <v>831</v>
      </c>
      <c r="F34" s="147" t="s">
        <v>832</v>
      </c>
      <c r="G34" s="147"/>
      <c r="H34" s="148" t="s">
        <v>736</v>
      </c>
      <c r="I34" s="435"/>
      <c r="J34" s="159">
        <v>5.7</v>
      </c>
      <c r="K34" s="159">
        <v>5.7</v>
      </c>
      <c r="L34" s="159">
        <v>5.6150959142634118</v>
      </c>
      <c r="M34" s="159">
        <v>5.6150959142634118</v>
      </c>
      <c r="N34" s="149"/>
      <c r="O34" s="152"/>
      <c r="P34" s="153">
        <v>1.014</v>
      </c>
      <c r="Q34" s="153"/>
      <c r="R34" s="147"/>
      <c r="S34" s="147"/>
      <c r="T34" s="145"/>
      <c r="U34" s="159"/>
      <c r="V34" s="28"/>
    </row>
    <row r="35" spans="2:22" x14ac:dyDescent="0.2">
      <c r="B35" s="147"/>
      <c r="C35" s="147"/>
      <c r="D35" s="147"/>
      <c r="E35" s="147"/>
      <c r="F35" s="147" t="s">
        <v>545</v>
      </c>
      <c r="G35" s="147"/>
      <c r="H35" s="148" t="s">
        <v>741</v>
      </c>
      <c r="I35" s="435"/>
      <c r="J35" s="159">
        <v>17.2</v>
      </c>
      <c r="K35" s="159">
        <v>14</v>
      </c>
      <c r="L35" s="159">
        <v>14</v>
      </c>
      <c r="M35" s="159">
        <v>14</v>
      </c>
      <c r="N35" s="149"/>
      <c r="O35" s="152"/>
      <c r="P35" s="153"/>
      <c r="Q35" s="153"/>
      <c r="R35" s="147"/>
      <c r="S35" s="147"/>
      <c r="T35" s="145"/>
      <c r="U35" s="159"/>
      <c r="V35" s="28"/>
    </row>
    <row r="36" spans="2:22" x14ac:dyDescent="0.2">
      <c r="B36" s="147"/>
      <c r="C36" s="147"/>
      <c r="D36" s="147"/>
      <c r="E36" s="147"/>
      <c r="F36" s="147" t="s">
        <v>149</v>
      </c>
      <c r="G36" s="147"/>
      <c r="H36" s="148" t="s">
        <v>741</v>
      </c>
      <c r="I36" s="435"/>
      <c r="J36" s="159">
        <v>0.13</v>
      </c>
      <c r="K36" s="159">
        <v>0.26</v>
      </c>
      <c r="L36" s="159">
        <v>0.26</v>
      </c>
      <c r="M36" s="159">
        <v>0.26</v>
      </c>
      <c r="N36" s="149"/>
      <c r="O36" s="152"/>
      <c r="P36" s="153"/>
      <c r="Q36" s="153"/>
      <c r="R36" s="147"/>
      <c r="S36" s="147"/>
      <c r="T36" s="145"/>
      <c r="U36" s="159"/>
      <c r="V36" s="28"/>
    </row>
    <row r="37" spans="2:22" x14ac:dyDescent="0.2">
      <c r="B37" s="176" t="s">
        <v>1395</v>
      </c>
      <c r="C37" s="147" t="s">
        <v>150</v>
      </c>
      <c r="D37" s="147" t="s">
        <v>151</v>
      </c>
      <c r="E37" s="147" t="s">
        <v>844</v>
      </c>
      <c r="F37" s="147" t="s">
        <v>548</v>
      </c>
      <c r="G37" s="147"/>
      <c r="H37" s="148" t="s">
        <v>736</v>
      </c>
      <c r="I37" s="435"/>
      <c r="J37" s="159">
        <v>2.7</v>
      </c>
      <c r="K37" s="159">
        <v>2.7</v>
      </c>
      <c r="L37" s="159">
        <v>2.5424583112403734</v>
      </c>
      <c r="M37" s="159">
        <v>2.4672431951294125</v>
      </c>
      <c r="N37" s="149">
        <v>2011</v>
      </c>
      <c r="O37" s="152"/>
      <c r="P37" s="153">
        <v>1</v>
      </c>
      <c r="Q37" s="153">
        <v>1</v>
      </c>
      <c r="R37" s="147">
        <v>0.9</v>
      </c>
      <c r="S37" s="147">
        <v>30</v>
      </c>
      <c r="T37" s="145">
        <v>1433.2419318407749</v>
      </c>
      <c r="U37" s="159">
        <v>65.200603709694775</v>
      </c>
      <c r="V37" s="28">
        <v>39</v>
      </c>
    </row>
    <row r="38" spans="2:22" x14ac:dyDescent="0.2">
      <c r="B38" s="147"/>
      <c r="C38" s="147"/>
      <c r="D38" s="147"/>
      <c r="E38" s="147" t="s">
        <v>1066</v>
      </c>
      <c r="F38" s="147" t="s">
        <v>833</v>
      </c>
      <c r="G38" s="147"/>
      <c r="H38" s="148" t="s">
        <v>736</v>
      </c>
      <c r="I38" s="435"/>
      <c r="J38" s="159">
        <v>11.2</v>
      </c>
      <c r="K38" s="159">
        <v>10.314657146855955</v>
      </c>
      <c r="L38" s="159">
        <v>8.9980696404999971</v>
      </c>
      <c r="M38" s="159">
        <v>8.7318741832165543</v>
      </c>
      <c r="N38" s="149"/>
      <c r="O38" s="152"/>
      <c r="P38" s="153"/>
      <c r="Q38" s="153"/>
      <c r="R38" s="147"/>
      <c r="S38" s="147"/>
      <c r="T38" s="145"/>
      <c r="U38" s="159"/>
      <c r="V38" s="28"/>
    </row>
    <row r="39" spans="2:22" x14ac:dyDescent="0.2">
      <c r="B39" s="147"/>
      <c r="C39" s="147"/>
      <c r="D39" s="147"/>
      <c r="E39" s="147" t="s">
        <v>1067</v>
      </c>
      <c r="F39" s="147"/>
      <c r="G39" s="147"/>
      <c r="H39" s="148" t="s">
        <v>736</v>
      </c>
      <c r="I39" s="435"/>
      <c r="J39" s="159">
        <v>1.4</v>
      </c>
      <c r="K39" s="159">
        <v>1.3229738841945735</v>
      </c>
      <c r="L39" s="159">
        <v>1.2312666907195053</v>
      </c>
      <c r="M39" s="159">
        <v>1.1948413669702065</v>
      </c>
      <c r="N39" s="149"/>
      <c r="O39" s="152"/>
      <c r="P39" s="153"/>
      <c r="Q39" s="153"/>
      <c r="R39" s="147"/>
      <c r="S39" s="147"/>
      <c r="T39" s="145"/>
      <c r="U39" s="159"/>
      <c r="V39" s="28"/>
    </row>
    <row r="40" spans="2:22" x14ac:dyDescent="0.2">
      <c r="B40" s="147"/>
      <c r="C40" s="147"/>
      <c r="D40" s="147"/>
      <c r="E40" s="147" t="s">
        <v>831</v>
      </c>
      <c r="F40" s="147" t="s">
        <v>832</v>
      </c>
      <c r="G40" s="147"/>
      <c r="H40" s="148" t="s">
        <v>736</v>
      </c>
      <c r="I40" s="435"/>
      <c r="J40" s="159">
        <v>4.2</v>
      </c>
      <c r="K40" s="159">
        <v>4.2</v>
      </c>
      <c r="L40" s="159">
        <v>4.1374390947204089</v>
      </c>
      <c r="M40" s="159">
        <v>4.1374390947204089</v>
      </c>
      <c r="N40" s="149"/>
      <c r="O40" s="152"/>
      <c r="P40" s="153">
        <v>0.50700000000000001</v>
      </c>
      <c r="Q40" s="153"/>
      <c r="R40" s="147"/>
      <c r="S40" s="147"/>
      <c r="T40" s="145"/>
      <c r="U40" s="159"/>
      <c r="V40" s="28"/>
    </row>
    <row r="41" spans="2:22" x14ac:dyDescent="0.2">
      <c r="B41" s="147"/>
      <c r="C41" s="147"/>
      <c r="D41" s="147"/>
      <c r="E41" s="147"/>
      <c r="F41" s="147" t="s">
        <v>545</v>
      </c>
      <c r="G41" s="147"/>
      <c r="H41" s="148" t="s">
        <v>741</v>
      </c>
      <c r="I41" s="435"/>
      <c r="J41" s="159">
        <v>13.3</v>
      </c>
      <c r="K41" s="159">
        <v>13.3</v>
      </c>
      <c r="L41" s="159">
        <v>13.3</v>
      </c>
      <c r="M41" s="159">
        <v>13.3</v>
      </c>
      <c r="N41" s="149"/>
      <c r="O41" s="152"/>
      <c r="P41" s="153"/>
      <c r="Q41" s="153"/>
      <c r="R41" s="147"/>
      <c r="S41" s="147"/>
      <c r="T41" s="145"/>
      <c r="U41" s="159"/>
      <c r="V41" s="28"/>
    </row>
    <row r="42" spans="2:22" x14ac:dyDescent="0.2">
      <c r="B42" s="147"/>
      <c r="C42" s="147"/>
      <c r="D42" s="147"/>
      <c r="E42" s="147"/>
      <c r="F42" s="147" t="s">
        <v>149</v>
      </c>
      <c r="G42" s="147"/>
      <c r="H42" s="148" t="s">
        <v>741</v>
      </c>
      <c r="I42" s="435"/>
      <c r="J42" s="159">
        <v>0.10400000000000001</v>
      </c>
      <c r="K42" s="159">
        <v>0.10400000000000001</v>
      </c>
      <c r="L42" s="159">
        <v>0.10400000000000001</v>
      </c>
      <c r="M42" s="159">
        <v>0.10400000000000001</v>
      </c>
      <c r="N42" s="149"/>
      <c r="O42" s="152"/>
      <c r="P42" s="153"/>
      <c r="Q42" s="153"/>
      <c r="R42" s="147"/>
      <c r="S42" s="147"/>
      <c r="T42" s="145"/>
      <c r="U42" s="159"/>
      <c r="V42" s="28"/>
    </row>
    <row r="43" spans="2:22" x14ac:dyDescent="0.2">
      <c r="B43" s="176" t="s">
        <v>1395</v>
      </c>
      <c r="C43" s="147" t="s">
        <v>152</v>
      </c>
      <c r="D43" s="147" t="s">
        <v>153</v>
      </c>
      <c r="E43" s="147" t="s">
        <v>844</v>
      </c>
      <c r="F43" s="147" t="s">
        <v>138</v>
      </c>
      <c r="G43" s="147"/>
      <c r="H43" s="148" t="s">
        <v>736</v>
      </c>
      <c r="I43" s="435"/>
      <c r="J43" s="159">
        <v>2.7</v>
      </c>
      <c r="K43" s="159">
        <v>3.24</v>
      </c>
      <c r="L43" s="159">
        <v>3.0509499734884482</v>
      </c>
      <c r="M43" s="159">
        <v>2.9606918341552948</v>
      </c>
      <c r="N43" s="149">
        <v>2011</v>
      </c>
      <c r="O43" s="152"/>
      <c r="P43" s="153">
        <v>1</v>
      </c>
      <c r="Q43" s="153">
        <v>1</v>
      </c>
      <c r="R43" s="147">
        <v>0.9</v>
      </c>
      <c r="S43" s="147">
        <v>30</v>
      </c>
      <c r="T43" s="145">
        <v>1574.348911799899</v>
      </c>
      <c r="U43" s="159">
        <v>62.973956471995962</v>
      </c>
      <c r="V43" s="28">
        <v>40</v>
      </c>
    </row>
    <row r="44" spans="2:22" x14ac:dyDescent="0.2">
      <c r="B44" s="147"/>
      <c r="C44" s="147"/>
      <c r="D44" s="147"/>
      <c r="E44" s="147" t="s">
        <v>1066</v>
      </c>
      <c r="F44" s="147"/>
      <c r="G44" s="147"/>
      <c r="H44" s="148" t="s">
        <v>736</v>
      </c>
      <c r="I44" s="435"/>
      <c r="J44" s="159">
        <v>17.600000000000001</v>
      </c>
      <c r="K44" s="159">
        <v>16.631671687017494</v>
      </c>
      <c r="L44" s="159">
        <v>15.478781254759495</v>
      </c>
      <c r="M44" s="159">
        <v>15.020862899054023</v>
      </c>
      <c r="N44" s="149"/>
      <c r="O44" s="152"/>
      <c r="P44" s="153"/>
      <c r="Q44" s="153"/>
      <c r="R44" s="147"/>
      <c r="S44" s="147"/>
      <c r="T44" s="145"/>
      <c r="U44" s="159"/>
      <c r="V44" s="28"/>
    </row>
    <row r="45" spans="2:22" x14ac:dyDescent="0.2">
      <c r="B45" s="147"/>
      <c r="C45" s="147"/>
      <c r="D45" s="147"/>
      <c r="E45" s="147" t="s">
        <v>1067</v>
      </c>
      <c r="F45" s="147"/>
      <c r="G45" s="147"/>
      <c r="H45" s="148" t="s">
        <v>736</v>
      </c>
      <c r="I45" s="435"/>
      <c r="J45" s="159">
        <v>2.2000000000000002</v>
      </c>
      <c r="K45" s="159">
        <v>2.0789589608771872</v>
      </c>
      <c r="L45" s="159">
        <v>1.9348476568449373</v>
      </c>
      <c r="M45" s="159">
        <v>1.8776078623817534</v>
      </c>
      <c r="N45" s="149"/>
      <c r="O45" s="152"/>
      <c r="P45" s="153"/>
      <c r="Q45" s="153"/>
      <c r="R45" s="147"/>
      <c r="S45" s="147"/>
      <c r="T45" s="145"/>
      <c r="U45" s="159"/>
      <c r="V45" s="28"/>
    </row>
    <row r="46" spans="2:22" x14ac:dyDescent="0.2">
      <c r="B46" s="147"/>
      <c r="C46" s="147"/>
      <c r="D46" s="147"/>
      <c r="E46" s="147" t="s">
        <v>831</v>
      </c>
      <c r="F46" s="147" t="s">
        <v>832</v>
      </c>
      <c r="G46" s="147"/>
      <c r="H46" s="148" t="s">
        <v>736</v>
      </c>
      <c r="I46" s="435"/>
      <c r="J46" s="159">
        <v>6.8</v>
      </c>
      <c r="K46" s="159">
        <v>6.8</v>
      </c>
      <c r="L46" s="160">
        <v>6.841551074484105</v>
      </c>
      <c r="M46" s="160">
        <v>6.8005017680372006</v>
      </c>
      <c r="N46" s="149"/>
      <c r="O46" s="152"/>
      <c r="P46" s="153">
        <v>0.93599999999999994</v>
      </c>
      <c r="Q46" s="153"/>
      <c r="R46" s="147"/>
      <c r="S46" s="147"/>
      <c r="T46" s="145"/>
      <c r="U46" s="159"/>
      <c r="V46" s="28"/>
    </row>
    <row r="47" spans="2:22" x14ac:dyDescent="0.2">
      <c r="B47" s="147"/>
      <c r="C47" s="147"/>
      <c r="D47" s="147"/>
      <c r="E47" s="147"/>
      <c r="F47" s="147" t="s">
        <v>545</v>
      </c>
      <c r="G47" s="147"/>
      <c r="H47" s="148" t="s">
        <v>741</v>
      </c>
      <c r="I47" s="435"/>
      <c r="J47" s="159">
        <v>27.212999999999997</v>
      </c>
      <c r="K47" s="159">
        <v>21.294198254217999</v>
      </c>
      <c r="L47" s="159">
        <v>12.966942584896412</v>
      </c>
      <c r="M47" s="159">
        <v>12.966942584896412</v>
      </c>
      <c r="N47" s="149"/>
      <c r="O47" s="152"/>
      <c r="P47" s="153"/>
      <c r="Q47" s="153"/>
      <c r="R47" s="147"/>
      <c r="S47" s="147"/>
      <c r="T47" s="145"/>
      <c r="U47" s="159"/>
      <c r="V47" s="28"/>
    </row>
    <row r="48" spans="2:22" x14ac:dyDescent="0.2">
      <c r="B48" s="147"/>
      <c r="C48" s="147"/>
      <c r="D48" s="147"/>
      <c r="E48" s="147"/>
      <c r="F48" s="147" t="s">
        <v>149</v>
      </c>
      <c r="G48" s="147"/>
      <c r="H48" s="148" t="s">
        <v>741</v>
      </c>
      <c r="I48" s="435"/>
      <c r="J48" s="159">
        <v>0</v>
      </c>
      <c r="K48" s="159">
        <v>0.2</v>
      </c>
      <c r="L48" s="159">
        <v>0.6</v>
      </c>
      <c r="M48" s="159">
        <v>0.6</v>
      </c>
      <c r="N48" s="149"/>
      <c r="O48" s="152"/>
      <c r="P48" s="153"/>
      <c r="Q48" s="153"/>
      <c r="R48" s="147"/>
      <c r="S48" s="147"/>
      <c r="T48" s="145"/>
      <c r="U48" s="159"/>
      <c r="V48" s="28"/>
    </row>
    <row r="49" spans="2:22" x14ac:dyDescent="0.2">
      <c r="B49" s="147"/>
      <c r="C49" s="147"/>
      <c r="D49" s="147"/>
      <c r="E49" s="147"/>
      <c r="F49" s="147" t="s">
        <v>154</v>
      </c>
      <c r="G49" s="147"/>
      <c r="H49" s="148" t="s">
        <v>741</v>
      </c>
      <c r="I49" s="435"/>
      <c r="J49" s="159">
        <v>0</v>
      </c>
      <c r="K49" s="159">
        <v>0.1</v>
      </c>
      <c r="L49" s="159">
        <v>0.6</v>
      </c>
      <c r="M49" s="159">
        <v>0.6</v>
      </c>
      <c r="N49" s="149"/>
      <c r="O49" s="152"/>
      <c r="P49" s="153"/>
      <c r="Q49" s="153"/>
      <c r="R49" s="147"/>
      <c r="S49" s="147"/>
      <c r="T49" s="145"/>
      <c r="U49" s="159"/>
      <c r="V49" s="28"/>
    </row>
    <row r="50" spans="2:22" x14ac:dyDescent="0.2">
      <c r="B50" s="176" t="s">
        <v>1395</v>
      </c>
      <c r="C50" s="147" t="s">
        <v>155</v>
      </c>
      <c r="D50" s="147" t="s">
        <v>156</v>
      </c>
      <c r="E50" s="147" t="s">
        <v>844</v>
      </c>
      <c r="F50" s="147" t="s">
        <v>138</v>
      </c>
      <c r="G50" s="147"/>
      <c r="H50" s="148" t="s">
        <v>736</v>
      </c>
      <c r="I50" s="435"/>
      <c r="J50" s="159">
        <v>2.7</v>
      </c>
      <c r="K50" s="159">
        <v>3.24</v>
      </c>
      <c r="L50" s="159">
        <v>3.0509499734884482</v>
      </c>
      <c r="M50" s="159">
        <v>2.9606918341552948</v>
      </c>
      <c r="N50" s="149">
        <v>2011</v>
      </c>
      <c r="O50" s="152"/>
      <c r="P50" s="153">
        <v>1</v>
      </c>
      <c r="Q50" s="153">
        <v>1</v>
      </c>
      <c r="R50" s="147">
        <v>0.9</v>
      </c>
      <c r="S50" s="147">
        <v>30</v>
      </c>
      <c r="T50" s="145">
        <v>1574.348911799899</v>
      </c>
      <c r="U50" s="159">
        <v>62.973956471995962</v>
      </c>
      <c r="V50" s="28">
        <v>30</v>
      </c>
    </row>
    <row r="51" spans="2:22" x14ac:dyDescent="0.2">
      <c r="B51" s="147"/>
      <c r="C51" s="147"/>
      <c r="D51" s="147"/>
      <c r="E51" s="147" t="s">
        <v>1066</v>
      </c>
      <c r="F51" s="147"/>
      <c r="G51" s="147"/>
      <c r="H51" s="148" t="s">
        <v>736</v>
      </c>
      <c r="I51" s="435"/>
      <c r="J51" s="159">
        <v>17.7</v>
      </c>
      <c r="K51" s="159">
        <v>16.300842098156288</v>
      </c>
      <c r="L51" s="159">
        <v>14.220163628290173</v>
      </c>
      <c r="M51" s="159">
        <v>13.79947973597616</v>
      </c>
      <c r="N51" s="149"/>
      <c r="O51" s="152"/>
      <c r="P51" s="153"/>
      <c r="Q51" s="153"/>
      <c r="R51" s="147"/>
      <c r="S51" s="147"/>
      <c r="T51" s="145"/>
      <c r="U51" s="159"/>
      <c r="V51" s="28"/>
    </row>
    <row r="52" spans="2:22" x14ac:dyDescent="0.2">
      <c r="B52" s="147"/>
      <c r="C52" s="147"/>
      <c r="D52" s="147"/>
      <c r="E52" s="147" t="s">
        <v>1067</v>
      </c>
      <c r="F52" s="147"/>
      <c r="G52" s="147"/>
      <c r="H52" s="148" t="s">
        <v>736</v>
      </c>
      <c r="I52" s="435"/>
      <c r="J52" s="159">
        <v>2.1</v>
      </c>
      <c r="K52" s="159">
        <v>1.9844608262918606</v>
      </c>
      <c r="L52" s="159">
        <v>1.8469000360792585</v>
      </c>
      <c r="M52" s="159">
        <v>1.79226205045531</v>
      </c>
      <c r="N52" s="149"/>
      <c r="O52" s="152"/>
      <c r="P52" s="153"/>
      <c r="Q52" s="153"/>
      <c r="R52" s="147"/>
      <c r="S52" s="147"/>
      <c r="T52" s="145"/>
      <c r="U52" s="159"/>
      <c r="V52" s="28"/>
    </row>
    <row r="53" spans="2:22" x14ac:dyDescent="0.2">
      <c r="B53" s="147"/>
      <c r="C53" s="147"/>
      <c r="D53" s="147"/>
      <c r="E53" s="147" t="s">
        <v>831</v>
      </c>
      <c r="F53" s="147" t="s">
        <v>832</v>
      </c>
      <c r="G53" s="147"/>
      <c r="H53" s="148" t="s">
        <v>736</v>
      </c>
      <c r="I53" s="435"/>
      <c r="J53" s="159">
        <v>5.8</v>
      </c>
      <c r="K53" s="159">
        <v>5.8</v>
      </c>
      <c r="L53" s="159">
        <v>5.7136063688996117</v>
      </c>
      <c r="M53" s="159">
        <v>5.7136063688996117</v>
      </c>
      <c r="N53" s="149"/>
      <c r="O53" s="152"/>
      <c r="P53" s="153">
        <v>0.46799999999999997</v>
      </c>
      <c r="Q53" s="153"/>
      <c r="R53" s="147"/>
      <c r="S53" s="147"/>
      <c r="T53" s="145"/>
      <c r="U53" s="159"/>
      <c r="V53" s="28"/>
    </row>
    <row r="54" spans="2:22" x14ac:dyDescent="0.2">
      <c r="B54" s="147"/>
      <c r="C54" s="147"/>
      <c r="D54" s="147"/>
      <c r="E54" s="147"/>
      <c r="F54" s="147" t="s">
        <v>545</v>
      </c>
      <c r="G54" s="147"/>
      <c r="H54" s="148" t="s">
        <v>741</v>
      </c>
      <c r="I54" s="435"/>
      <c r="J54" s="159">
        <v>26.344499999999996</v>
      </c>
      <c r="K54" s="159">
        <v>25.344478688661162</v>
      </c>
      <c r="L54" s="159">
        <v>22.986852764134547</v>
      </c>
      <c r="M54" s="159">
        <v>22.986852764134547</v>
      </c>
      <c r="N54" s="149"/>
      <c r="O54" s="152"/>
      <c r="P54" s="153"/>
      <c r="Q54" s="153"/>
      <c r="R54" s="147"/>
      <c r="S54" s="147"/>
      <c r="T54" s="145"/>
      <c r="U54" s="159"/>
      <c r="V54" s="28"/>
    </row>
    <row r="55" spans="2:22" x14ac:dyDescent="0.2">
      <c r="B55" s="147"/>
      <c r="C55" s="147"/>
      <c r="D55" s="147"/>
      <c r="E55" s="147"/>
      <c r="F55" s="147" t="s">
        <v>149</v>
      </c>
      <c r="G55" s="147"/>
      <c r="H55" s="148" t="s">
        <v>741</v>
      </c>
      <c r="I55" s="435"/>
      <c r="J55" s="159">
        <v>0</v>
      </c>
      <c r="K55" s="159">
        <v>0</v>
      </c>
      <c r="L55" s="159">
        <v>0.10400000000000001</v>
      </c>
      <c r="M55" s="159">
        <v>0.10400000000000001</v>
      </c>
      <c r="N55" s="149"/>
      <c r="O55" s="152"/>
      <c r="P55" s="153"/>
      <c r="Q55" s="153"/>
      <c r="R55" s="147"/>
      <c r="S55" s="147"/>
      <c r="T55" s="145"/>
      <c r="U55" s="159"/>
      <c r="V55" s="28"/>
    </row>
    <row r="56" spans="2:22" x14ac:dyDescent="0.2">
      <c r="B56" s="147"/>
      <c r="C56" s="147"/>
      <c r="D56" s="147"/>
      <c r="E56" s="147"/>
      <c r="F56" s="147" t="s">
        <v>154</v>
      </c>
      <c r="G56" s="147"/>
      <c r="H56" s="148" t="s">
        <v>741</v>
      </c>
      <c r="I56" s="435"/>
      <c r="J56" s="159">
        <v>0</v>
      </c>
      <c r="K56" s="159">
        <v>0.12</v>
      </c>
      <c r="L56" s="159">
        <v>0.12</v>
      </c>
      <c r="M56" s="159">
        <v>0.12</v>
      </c>
      <c r="N56" s="149"/>
      <c r="O56" s="152"/>
      <c r="P56" s="153"/>
      <c r="Q56" s="153"/>
      <c r="R56" s="147"/>
      <c r="S56" s="147"/>
      <c r="T56" s="145"/>
      <c r="U56" s="159"/>
      <c r="V56" s="28"/>
    </row>
    <row r="57" spans="2:22" x14ac:dyDescent="0.2">
      <c r="B57" s="176" t="s">
        <v>1395</v>
      </c>
      <c r="C57" s="147" t="s">
        <v>157</v>
      </c>
      <c r="D57" s="147" t="s">
        <v>158</v>
      </c>
      <c r="E57" s="147" t="s">
        <v>844</v>
      </c>
      <c r="F57" s="147"/>
      <c r="G57" s="147"/>
      <c r="H57" s="148" t="s">
        <v>736</v>
      </c>
      <c r="I57" s="435"/>
      <c r="J57" s="159">
        <v>0.36</v>
      </c>
      <c r="K57" s="159"/>
      <c r="L57" s="159"/>
      <c r="M57" s="159"/>
      <c r="N57" s="149">
        <v>2011</v>
      </c>
      <c r="O57" s="152"/>
      <c r="P57" s="153"/>
      <c r="Q57" s="153"/>
      <c r="R57" s="147" t="s">
        <v>382</v>
      </c>
      <c r="S57" s="147">
        <v>30</v>
      </c>
      <c r="T57" s="145">
        <v>173.35083509064862</v>
      </c>
      <c r="U57" s="159"/>
      <c r="V57" s="159">
        <v>6.9340334036259446</v>
      </c>
    </row>
    <row r="58" spans="2:22" x14ac:dyDescent="0.2">
      <c r="B58" s="147"/>
      <c r="C58" s="147"/>
      <c r="D58" s="147"/>
      <c r="E58" s="147" t="s">
        <v>1066</v>
      </c>
      <c r="F58" s="147"/>
      <c r="G58" s="147"/>
      <c r="H58" s="148" t="s">
        <v>736</v>
      </c>
      <c r="I58" s="435"/>
      <c r="J58" s="159">
        <v>2</v>
      </c>
      <c r="K58" s="159"/>
      <c r="L58" s="159"/>
      <c r="M58" s="159"/>
      <c r="N58" s="149"/>
      <c r="O58" s="152"/>
      <c r="P58" s="153"/>
      <c r="Q58" s="153"/>
      <c r="R58" s="147"/>
      <c r="S58" s="147"/>
      <c r="T58" s="145"/>
      <c r="U58" s="159"/>
      <c r="V58" s="159"/>
    </row>
    <row r="59" spans="2:22" x14ac:dyDescent="0.2">
      <c r="B59" s="147"/>
      <c r="C59" s="147"/>
      <c r="D59" s="147"/>
      <c r="E59" s="147" t="s">
        <v>149</v>
      </c>
      <c r="F59" s="147"/>
      <c r="G59" s="147"/>
      <c r="H59" s="148"/>
      <c r="I59" s="435"/>
      <c r="J59" s="159"/>
      <c r="K59" s="159"/>
      <c r="L59" s="159"/>
      <c r="M59" s="159"/>
      <c r="N59" s="149"/>
      <c r="O59" s="152"/>
      <c r="P59" s="153"/>
      <c r="Q59" s="153"/>
      <c r="R59" s="147"/>
      <c r="S59" s="147"/>
      <c r="T59" s="145"/>
      <c r="U59" s="159"/>
      <c r="V59" s="159"/>
    </row>
    <row r="60" spans="2:22" x14ac:dyDescent="0.2">
      <c r="B60" s="176" t="s">
        <v>1395</v>
      </c>
      <c r="C60" s="147" t="s">
        <v>159</v>
      </c>
      <c r="D60" s="147" t="s">
        <v>160</v>
      </c>
      <c r="E60" s="147" t="s">
        <v>844</v>
      </c>
      <c r="F60" s="147"/>
      <c r="G60" s="147"/>
      <c r="H60" s="148" t="s">
        <v>736</v>
      </c>
      <c r="I60" s="435"/>
      <c r="J60" s="159">
        <v>0.48</v>
      </c>
      <c r="K60" s="159"/>
      <c r="L60" s="159"/>
      <c r="M60" s="159"/>
      <c r="N60" s="149">
        <v>2011</v>
      </c>
      <c r="O60" s="152"/>
      <c r="P60" s="153"/>
      <c r="Q60" s="153"/>
      <c r="R60" s="147" t="s">
        <v>382</v>
      </c>
      <c r="S60" s="147">
        <v>30</v>
      </c>
      <c r="T60" s="145">
        <v>694.16737223668372</v>
      </c>
      <c r="U60" s="159"/>
      <c r="V60" s="159">
        <v>42.417265851946958</v>
      </c>
    </row>
    <row r="61" spans="2:22" x14ac:dyDescent="0.2">
      <c r="B61" s="147"/>
      <c r="C61" s="147"/>
      <c r="D61" s="147"/>
      <c r="E61" s="147" t="s">
        <v>1066</v>
      </c>
      <c r="F61" s="147"/>
      <c r="G61" s="147"/>
      <c r="H61" s="148" t="s">
        <v>736</v>
      </c>
      <c r="I61" s="435"/>
      <c r="J61" s="159">
        <v>4.5210410256410256</v>
      </c>
      <c r="K61" s="159"/>
      <c r="L61" s="159"/>
      <c r="M61" s="159"/>
      <c r="N61" s="149"/>
      <c r="O61" s="152"/>
      <c r="P61" s="153"/>
      <c r="Q61" s="153"/>
      <c r="R61" s="147"/>
      <c r="S61" s="147"/>
      <c r="T61" s="147"/>
      <c r="U61" s="28"/>
      <c r="V61" s="28"/>
    </row>
    <row r="62" spans="2:22" x14ac:dyDescent="0.2">
      <c r="B62" s="147"/>
      <c r="C62" s="147"/>
      <c r="D62" s="147"/>
      <c r="E62" s="147" t="s">
        <v>154</v>
      </c>
      <c r="F62" s="147"/>
      <c r="G62" s="147"/>
      <c r="H62" s="148"/>
      <c r="I62" s="435"/>
      <c r="J62" s="159"/>
      <c r="K62" s="159"/>
      <c r="L62" s="159"/>
      <c r="M62" s="159"/>
      <c r="N62" s="149"/>
      <c r="O62" s="152"/>
      <c r="P62" s="153"/>
      <c r="Q62" s="153"/>
      <c r="R62" s="147"/>
      <c r="S62" s="147"/>
      <c r="T62" s="147"/>
      <c r="U62" s="147"/>
      <c r="V62" s="147"/>
    </row>
    <row r="63" spans="2:22" x14ac:dyDescent="0.2">
      <c r="B63" s="161"/>
      <c r="C63" s="161" t="s">
        <v>330</v>
      </c>
      <c r="D63" s="68"/>
      <c r="E63" s="68"/>
      <c r="F63" s="68"/>
      <c r="G63" s="68"/>
      <c r="H63" s="162"/>
      <c r="I63" s="437"/>
      <c r="J63" s="68"/>
      <c r="K63" s="68"/>
      <c r="L63" s="68"/>
      <c r="M63" s="68"/>
      <c r="N63" s="163"/>
      <c r="O63" s="164"/>
      <c r="P63" s="164"/>
      <c r="Q63" s="164"/>
      <c r="R63" s="165"/>
      <c r="S63" s="165" t="s">
        <v>161</v>
      </c>
      <c r="T63" s="164"/>
      <c r="U63" s="164"/>
      <c r="V63" s="164"/>
    </row>
    <row r="66" spans="2:31" x14ac:dyDescent="0.2">
      <c r="I66" s="84" t="s">
        <v>1062</v>
      </c>
    </row>
    <row r="67" spans="2:31" ht="28.5" customHeight="1" thickBot="1" x14ac:dyDescent="0.25">
      <c r="B67" s="20" t="s">
        <v>254</v>
      </c>
      <c r="C67" s="20" t="s">
        <v>1126</v>
      </c>
      <c r="D67" s="20" t="s">
        <v>1127</v>
      </c>
      <c r="E67" s="21" t="s">
        <v>1128</v>
      </c>
      <c r="F67" s="21" t="s">
        <v>289</v>
      </c>
      <c r="G67" s="21" t="s">
        <v>1154</v>
      </c>
      <c r="H67" s="49" t="s">
        <v>942</v>
      </c>
      <c r="I67" s="434" t="s">
        <v>943</v>
      </c>
      <c r="J67" s="46">
        <v>2020</v>
      </c>
      <c r="K67" s="46">
        <v>2035</v>
      </c>
      <c r="L67" s="46">
        <v>2050</v>
      </c>
      <c r="M67" s="46">
        <v>2080</v>
      </c>
      <c r="N67" s="367" t="s">
        <v>318</v>
      </c>
      <c r="O67" s="20" t="s">
        <v>736</v>
      </c>
      <c r="P67" s="20" t="s">
        <v>1129</v>
      </c>
      <c r="Q67" s="20" t="s">
        <v>698</v>
      </c>
      <c r="R67" s="20" t="s">
        <v>329</v>
      </c>
      <c r="S67" s="20" t="s">
        <v>541</v>
      </c>
      <c r="T67" s="20" t="s">
        <v>319</v>
      </c>
      <c r="U67" s="20" t="s">
        <v>320</v>
      </c>
      <c r="V67" s="20" t="s">
        <v>321</v>
      </c>
      <c r="W67" s="20" t="s">
        <v>1280</v>
      </c>
      <c r="X67" s="20" t="s">
        <v>711</v>
      </c>
      <c r="Y67" s="445" t="s">
        <v>726</v>
      </c>
      <c r="AA67" s="21" t="s">
        <v>1128</v>
      </c>
      <c r="AB67" s="20" t="s">
        <v>728</v>
      </c>
      <c r="AC67" s="20" t="s">
        <v>729</v>
      </c>
      <c r="AD67" s="20" t="s">
        <v>730</v>
      </c>
      <c r="AE67" s="49" t="s">
        <v>731</v>
      </c>
    </row>
    <row r="68" spans="2:31" ht="14.1" customHeight="1" x14ac:dyDescent="0.2">
      <c r="B68" s="373" t="s">
        <v>1180</v>
      </c>
      <c r="C68" s="99" t="s">
        <v>1373</v>
      </c>
      <c r="D68" s="99" t="s">
        <v>1374</v>
      </c>
      <c r="E68" s="99" t="s">
        <v>1375</v>
      </c>
      <c r="F68" s="99" t="s">
        <v>1376</v>
      </c>
      <c r="G68" s="31"/>
      <c r="H68" s="451"/>
      <c r="I68" s="452"/>
      <c r="J68" s="227"/>
      <c r="K68" s="227"/>
      <c r="L68" s="227"/>
      <c r="M68" s="28"/>
      <c r="N68" s="149">
        <v>2025</v>
      </c>
      <c r="O68" s="423">
        <f>1/0.6</f>
        <v>1.6666666666666667</v>
      </c>
      <c r="P68" s="424"/>
      <c r="Q68" s="424">
        <v>1</v>
      </c>
      <c r="R68" s="152">
        <v>0.91300000000000003</v>
      </c>
      <c r="S68" s="442">
        <v>30</v>
      </c>
      <c r="T68" s="458">
        <v>288.84399999999999</v>
      </c>
      <c r="U68" s="423">
        <v>19.010000000000002</v>
      </c>
      <c r="V68" s="423">
        <v>4.7</v>
      </c>
      <c r="W68" s="424"/>
      <c r="X68" s="424"/>
      <c r="Y68" s="446"/>
    </row>
    <row r="69" spans="2:31" ht="14.1" customHeight="1" x14ac:dyDescent="0.2">
      <c r="B69" s="373"/>
      <c r="C69" s="99"/>
      <c r="D69" s="99"/>
      <c r="E69" s="99" t="s">
        <v>1006</v>
      </c>
      <c r="F69" s="99"/>
      <c r="G69" s="31" t="s">
        <v>1377</v>
      </c>
      <c r="H69" s="453" t="s">
        <v>1378</v>
      </c>
      <c r="I69" s="452"/>
      <c r="J69" s="227"/>
      <c r="K69" s="227">
        <v>1</v>
      </c>
      <c r="L69" s="227"/>
      <c r="M69" s="28"/>
      <c r="N69" s="149"/>
      <c r="O69" s="145"/>
      <c r="P69" s="147"/>
      <c r="Q69" s="147"/>
      <c r="R69" s="147"/>
      <c r="S69" s="147"/>
      <c r="T69" s="443"/>
      <c r="U69" s="444"/>
      <c r="V69" s="444"/>
      <c r="W69" s="425"/>
      <c r="X69" s="425"/>
      <c r="Y69" s="447"/>
      <c r="AA69" s="107" t="s">
        <v>737</v>
      </c>
      <c r="AB69" s="352">
        <v>8.1</v>
      </c>
      <c r="AC69" s="426"/>
      <c r="AD69" s="361">
        <v>7.26</v>
      </c>
      <c r="AE69" s="349"/>
    </row>
    <row r="70" spans="2:31" ht="14.1" customHeight="1" x14ac:dyDescent="0.2">
      <c r="B70" s="373"/>
      <c r="C70" s="99"/>
      <c r="D70" s="99"/>
      <c r="E70" s="99" t="s">
        <v>691</v>
      </c>
      <c r="F70" s="99"/>
      <c r="G70" s="31" t="s">
        <v>1379</v>
      </c>
      <c r="H70" s="453" t="s">
        <v>1378</v>
      </c>
      <c r="I70" s="452"/>
      <c r="J70" s="227"/>
      <c r="K70" s="227">
        <v>1</v>
      </c>
      <c r="L70" s="227"/>
      <c r="M70" s="28"/>
      <c r="N70" s="149"/>
      <c r="O70" s="145"/>
      <c r="P70" s="147"/>
      <c r="Q70" s="147"/>
      <c r="R70" s="147"/>
      <c r="S70" s="147"/>
      <c r="T70" s="443"/>
      <c r="U70" s="444"/>
      <c r="V70" s="444"/>
      <c r="W70" s="425"/>
      <c r="X70" s="425"/>
      <c r="Y70" s="447"/>
      <c r="AA70" s="107" t="s">
        <v>267</v>
      </c>
      <c r="AB70" s="426"/>
      <c r="AC70" s="426"/>
      <c r="AD70" s="426"/>
      <c r="AE70" s="349"/>
    </row>
    <row r="71" spans="2:31" ht="14.1" customHeight="1" x14ac:dyDescent="0.2">
      <c r="B71" s="373"/>
      <c r="C71" s="99"/>
      <c r="D71" s="99"/>
      <c r="E71" s="99" t="s">
        <v>1377</v>
      </c>
      <c r="F71" s="99"/>
      <c r="G71" s="31" t="s">
        <v>1397</v>
      </c>
      <c r="H71" s="453" t="s">
        <v>1398</v>
      </c>
      <c r="I71" s="452"/>
      <c r="J71" s="227">
        <f>AC81</f>
        <v>9.3699999999999992</v>
      </c>
      <c r="K71" s="239">
        <f>SQRT(L71*J71)</f>
        <v>8.8708531887466311</v>
      </c>
      <c r="L71" s="239">
        <f>AD69/AB69*J71</f>
        <v>8.3982962962962944</v>
      </c>
      <c r="M71" s="239">
        <f>L71*0.998^30</f>
        <v>7.9087424219144591</v>
      </c>
      <c r="N71" s="149"/>
      <c r="O71" s="145"/>
      <c r="P71" s="147"/>
      <c r="Q71" s="147"/>
      <c r="R71" s="147"/>
      <c r="S71" s="147"/>
      <c r="T71" s="443"/>
      <c r="U71" s="444"/>
      <c r="V71" s="444"/>
      <c r="W71" s="425"/>
      <c r="X71" s="425"/>
      <c r="Y71" s="447"/>
      <c r="AA71" s="107" t="s">
        <v>690</v>
      </c>
      <c r="AB71" s="426"/>
      <c r="AC71" s="426"/>
      <c r="AD71" s="426"/>
      <c r="AE71" s="349"/>
    </row>
    <row r="72" spans="2:31" ht="14.1" customHeight="1" thickBot="1" x14ac:dyDescent="0.25">
      <c r="B72" s="373"/>
      <c r="C72" s="99"/>
      <c r="D72" s="99"/>
      <c r="E72" s="99" t="s">
        <v>1379</v>
      </c>
      <c r="F72" s="99"/>
      <c r="G72" s="31" t="s">
        <v>1397</v>
      </c>
      <c r="H72" s="453" t="s">
        <v>387</v>
      </c>
      <c r="I72" s="452" t="s">
        <v>969</v>
      </c>
      <c r="J72" s="227">
        <v>0.3</v>
      </c>
      <c r="K72" s="227"/>
      <c r="L72" s="227"/>
      <c r="M72" s="28"/>
      <c r="N72" s="149"/>
      <c r="O72" s="145"/>
      <c r="P72" s="147"/>
      <c r="Q72" s="147"/>
      <c r="R72" s="147"/>
      <c r="S72" s="147"/>
      <c r="T72" s="443"/>
      <c r="U72" s="444"/>
      <c r="V72" s="444"/>
      <c r="W72" s="425"/>
      <c r="X72" s="425"/>
      <c r="Y72" s="241">
        <v>3</v>
      </c>
      <c r="AA72" s="107" t="s">
        <v>1006</v>
      </c>
      <c r="AB72" s="426">
        <v>1.3499999999999999</v>
      </c>
      <c r="AC72" s="360">
        <v>1.2990381056766578</v>
      </c>
      <c r="AD72" s="426">
        <v>1.25</v>
      </c>
      <c r="AE72" s="349"/>
    </row>
    <row r="73" spans="2:31" ht="14.1" customHeight="1" x14ac:dyDescent="0.2">
      <c r="B73" s="373"/>
      <c r="C73" s="99"/>
      <c r="D73" s="99"/>
      <c r="E73" s="99" t="s">
        <v>1006</v>
      </c>
      <c r="F73" s="99"/>
      <c r="G73" s="31" t="s">
        <v>1376</v>
      </c>
      <c r="H73" s="453" t="s">
        <v>1378</v>
      </c>
      <c r="I73" s="452"/>
      <c r="J73" s="232">
        <f>J71*0.521</f>
        <v>4.8817699999999995</v>
      </c>
      <c r="K73" s="239">
        <f>SQRT(L73*J73)</f>
        <v>4.6217145113369948</v>
      </c>
      <c r="L73" s="232">
        <f>L71*0.521</f>
        <v>4.3755123703703696</v>
      </c>
      <c r="M73" s="239">
        <f>L73*0.998^30</f>
        <v>4.1204548018174334</v>
      </c>
      <c r="N73" s="149"/>
      <c r="O73" s="145"/>
      <c r="P73" s="147"/>
      <c r="Q73" s="147"/>
      <c r="R73" s="147"/>
      <c r="S73" s="147"/>
      <c r="T73" s="443"/>
      <c r="U73" s="444"/>
      <c r="V73" s="444"/>
      <c r="W73" s="425"/>
      <c r="X73" s="425"/>
      <c r="Y73" s="447"/>
      <c r="AA73" s="107" t="s">
        <v>268</v>
      </c>
      <c r="AB73" s="427">
        <v>4</v>
      </c>
      <c r="AC73" s="427"/>
      <c r="AD73" s="427">
        <v>2.7</v>
      </c>
      <c r="AE73" s="428"/>
    </row>
    <row r="74" spans="2:31" ht="14.1" customHeight="1" x14ac:dyDescent="0.2">
      <c r="B74" s="373"/>
      <c r="C74" s="99"/>
      <c r="D74" s="99"/>
      <c r="E74" s="99" t="s">
        <v>267</v>
      </c>
      <c r="F74" s="99"/>
      <c r="G74" s="31" t="s">
        <v>734</v>
      </c>
      <c r="H74" s="453" t="s">
        <v>735</v>
      </c>
      <c r="I74" s="452"/>
      <c r="J74" s="232">
        <f>1/AC84</f>
        <v>0.6097560975609756</v>
      </c>
      <c r="K74" s="227"/>
      <c r="L74" s="227"/>
      <c r="M74" s="28"/>
      <c r="N74" s="149"/>
      <c r="O74" s="145"/>
      <c r="P74" s="147"/>
      <c r="Q74" s="147"/>
      <c r="R74" s="147"/>
      <c r="S74" s="147"/>
      <c r="T74" s="443"/>
      <c r="U74" s="444"/>
      <c r="V74" s="444"/>
      <c r="W74" s="425"/>
      <c r="X74" s="425"/>
      <c r="Y74" s="447"/>
      <c r="AA74" s="107" t="s">
        <v>631</v>
      </c>
      <c r="AB74" s="426">
        <v>0.7</v>
      </c>
      <c r="AC74" s="360">
        <v>0.64807406984078597</v>
      </c>
      <c r="AD74" s="426">
        <v>0.6</v>
      </c>
      <c r="AE74" s="349">
        <v>0.86</v>
      </c>
    </row>
    <row r="75" spans="2:31" ht="14.1" customHeight="1" x14ac:dyDescent="0.2">
      <c r="B75" s="373"/>
      <c r="C75" s="99"/>
      <c r="D75" s="99"/>
      <c r="E75" s="99" t="s">
        <v>268</v>
      </c>
      <c r="F75" s="99"/>
      <c r="G75" s="31"/>
      <c r="H75" s="453"/>
      <c r="I75" s="452"/>
      <c r="J75" s="227"/>
      <c r="K75" s="227"/>
      <c r="L75" s="227"/>
      <c r="M75" s="28"/>
      <c r="N75" s="149"/>
      <c r="O75" s="145"/>
      <c r="P75" s="147"/>
      <c r="Q75" s="147"/>
      <c r="R75" s="147"/>
      <c r="S75" s="147"/>
      <c r="T75" s="443"/>
      <c r="U75" s="444"/>
      <c r="V75" s="444"/>
      <c r="W75" s="425"/>
      <c r="X75" s="425"/>
      <c r="Y75" s="447"/>
      <c r="AA75" s="107" t="s">
        <v>632</v>
      </c>
      <c r="AB75" s="360">
        <v>1</v>
      </c>
      <c r="AC75" s="360">
        <v>0.92195444572928875</v>
      </c>
      <c r="AD75" s="361">
        <v>0.85000000000000009</v>
      </c>
      <c r="AE75" s="349">
        <v>0.87</v>
      </c>
    </row>
    <row r="76" spans="2:31" ht="14.1" customHeight="1" x14ac:dyDescent="0.2">
      <c r="B76" s="373"/>
      <c r="C76" s="99"/>
      <c r="D76" s="99"/>
      <c r="E76" s="99" t="s">
        <v>693</v>
      </c>
      <c r="F76" s="99" t="s">
        <v>759</v>
      </c>
      <c r="G76" s="31"/>
      <c r="H76" s="453"/>
      <c r="I76" s="452"/>
      <c r="J76" s="227"/>
      <c r="K76" s="227"/>
      <c r="L76" s="227"/>
      <c r="M76" s="28"/>
      <c r="N76" s="149"/>
      <c r="O76" s="145"/>
      <c r="P76" s="429"/>
      <c r="Q76" s="147"/>
      <c r="R76" s="147"/>
      <c r="S76" s="147"/>
      <c r="T76" s="443"/>
      <c r="U76" s="444"/>
      <c r="V76" s="444"/>
      <c r="W76" s="425"/>
      <c r="X76" s="425">
        <f>O79*560*0.8</f>
        <v>33.6</v>
      </c>
      <c r="Y76" s="447"/>
      <c r="AA76" s="107" t="s">
        <v>738</v>
      </c>
      <c r="AB76" s="426">
        <v>7.05</v>
      </c>
      <c r="AC76" s="426"/>
      <c r="AD76" s="361">
        <v>5.4</v>
      </c>
      <c r="AE76" s="349"/>
    </row>
    <row r="77" spans="2:31" ht="14.1" customHeight="1" x14ac:dyDescent="0.2">
      <c r="B77" s="373"/>
      <c r="C77" s="99"/>
      <c r="D77" s="99"/>
      <c r="E77" s="99" t="s">
        <v>633</v>
      </c>
      <c r="F77" s="99" t="s">
        <v>739</v>
      </c>
      <c r="G77" s="31"/>
      <c r="H77" s="453" t="s">
        <v>736</v>
      </c>
      <c r="I77" s="452"/>
      <c r="J77" s="227">
        <f>AC85</f>
        <v>0.37</v>
      </c>
      <c r="K77" s="232">
        <f>J77*0.998^15</f>
        <v>0.35905406124536271</v>
      </c>
      <c r="L77" s="232">
        <f>K77*0.998^15</f>
        <v>0.34843194296429375</v>
      </c>
      <c r="M77" s="28"/>
      <c r="N77" s="149"/>
      <c r="O77" s="145"/>
      <c r="P77" s="147">
        <v>0.25</v>
      </c>
      <c r="Q77" s="147"/>
      <c r="R77" s="147"/>
      <c r="S77" s="147"/>
      <c r="T77" s="443"/>
      <c r="U77" s="444"/>
      <c r="V77" s="444"/>
      <c r="W77" s="425"/>
      <c r="X77" s="425"/>
      <c r="Y77" s="447"/>
    </row>
    <row r="78" spans="2:31" ht="14.1" customHeight="1" x14ac:dyDescent="0.2">
      <c r="B78" s="373"/>
      <c r="C78" s="99"/>
      <c r="D78" s="99"/>
      <c r="E78" s="99" t="s">
        <v>772</v>
      </c>
      <c r="F78" s="99" t="s">
        <v>751</v>
      </c>
      <c r="G78" s="31"/>
      <c r="H78" s="453" t="s">
        <v>741</v>
      </c>
      <c r="I78" s="452"/>
      <c r="J78" s="232">
        <f>J$10*$AC89</f>
        <v>0</v>
      </c>
      <c r="K78" s="232">
        <f>SQRT(L78*J78)</f>
        <v>0</v>
      </c>
      <c r="L78" s="232">
        <f>L$10*$AC89</f>
        <v>0</v>
      </c>
      <c r="M78" s="28"/>
      <c r="N78" s="149"/>
      <c r="O78" s="152">
        <f>AC86</f>
        <v>3.4000000000000002E-2</v>
      </c>
      <c r="P78" s="147"/>
      <c r="Q78" s="147"/>
      <c r="R78" s="147"/>
      <c r="S78" s="147"/>
      <c r="T78" s="443"/>
      <c r="U78" s="444"/>
      <c r="V78" s="444"/>
      <c r="W78" s="425"/>
      <c r="X78" s="425"/>
      <c r="Y78" s="447"/>
      <c r="AC78" s="430">
        <v>0.90839999999999999</v>
      </c>
      <c r="AD78" s="54">
        <v>1</v>
      </c>
      <c r="AE78" s="54">
        <v>1</v>
      </c>
    </row>
    <row r="79" spans="2:31" ht="14.1" customHeight="1" x14ac:dyDescent="0.2">
      <c r="B79" s="373"/>
      <c r="C79" s="99"/>
      <c r="D79" s="99"/>
      <c r="E79" s="99" t="s">
        <v>710</v>
      </c>
      <c r="F79" s="99" t="s">
        <v>740</v>
      </c>
      <c r="G79" s="31"/>
      <c r="H79" s="453" t="s">
        <v>741</v>
      </c>
      <c r="I79" s="452"/>
      <c r="J79" s="232">
        <f>J$10*$AC90</f>
        <v>0</v>
      </c>
      <c r="K79" s="232">
        <f>SQRT(L79*J79)</f>
        <v>0</v>
      </c>
      <c r="L79" s="232">
        <f>L$10*$AC90</f>
        <v>0</v>
      </c>
      <c r="M79" s="28"/>
      <c r="N79" s="149"/>
      <c r="O79" s="152">
        <f>AC87</f>
        <v>7.4999999999999997E-2</v>
      </c>
      <c r="P79" s="147"/>
      <c r="Q79" s="147"/>
      <c r="R79" s="147"/>
      <c r="S79" s="147"/>
      <c r="T79" s="443"/>
      <c r="U79" s="444"/>
      <c r="V79" s="444"/>
      <c r="W79" s="425"/>
      <c r="X79" s="425"/>
      <c r="Y79" s="447"/>
      <c r="AA79" s="431" t="s">
        <v>1381</v>
      </c>
      <c r="AB79" s="431"/>
      <c r="AC79" s="441" t="s">
        <v>1382</v>
      </c>
      <c r="AD79" s="441" t="s">
        <v>1383</v>
      </c>
      <c r="AE79" s="441" t="s">
        <v>1384</v>
      </c>
    </row>
    <row r="80" spans="2:31" ht="14.1" customHeight="1" x14ac:dyDescent="0.2">
      <c r="B80" s="450" t="s">
        <v>1180</v>
      </c>
      <c r="C80" s="98" t="s">
        <v>1385</v>
      </c>
      <c r="D80" s="98" t="s">
        <v>1386</v>
      </c>
      <c r="E80" s="98" t="s">
        <v>1375</v>
      </c>
      <c r="F80" s="98" t="s">
        <v>1376</v>
      </c>
      <c r="G80" s="98"/>
      <c r="H80" s="451"/>
      <c r="I80" s="452"/>
      <c r="J80" s="227"/>
      <c r="K80" s="227"/>
      <c r="L80" s="227"/>
      <c r="M80" s="28"/>
      <c r="N80" s="149">
        <v>2025</v>
      </c>
      <c r="O80" s="145">
        <f>O68</f>
        <v>1.6666666666666667</v>
      </c>
      <c r="P80" s="147"/>
      <c r="Q80" s="147">
        <v>1</v>
      </c>
      <c r="R80" s="152">
        <v>0.91300000000000003</v>
      </c>
      <c r="S80" s="442">
        <v>30</v>
      </c>
      <c r="T80" s="459">
        <v>398.00450000000001</v>
      </c>
      <c r="U80" s="444">
        <v>21.51</v>
      </c>
      <c r="V80" s="444">
        <v>6.45</v>
      </c>
      <c r="W80" s="425"/>
      <c r="X80" s="425"/>
      <c r="Y80" s="447"/>
      <c r="AA80" s="100" t="s">
        <v>1387</v>
      </c>
      <c r="AB80" s="100"/>
      <c r="AC80" s="423">
        <f>1/0.6</f>
        <v>1.6666666666666667</v>
      </c>
      <c r="AD80" s="438">
        <f>1/0.917*(1-1/6)</f>
        <v>0.90876045074518352</v>
      </c>
      <c r="AE80" s="438"/>
    </row>
    <row r="81" spans="2:32" ht="14.1" customHeight="1" x14ac:dyDescent="0.2">
      <c r="B81" s="373"/>
      <c r="C81" s="99"/>
      <c r="D81" s="99"/>
      <c r="E81" s="99" t="s">
        <v>1006</v>
      </c>
      <c r="F81" s="99"/>
      <c r="G81" s="31" t="s">
        <v>1377</v>
      </c>
      <c r="H81" s="453" t="s">
        <v>1378</v>
      </c>
      <c r="I81" s="452"/>
      <c r="J81" s="227"/>
      <c r="K81" s="227">
        <v>1</v>
      </c>
      <c r="L81" s="227"/>
      <c r="M81" s="28"/>
      <c r="N81" s="149"/>
      <c r="O81" s="145"/>
      <c r="P81" s="147"/>
      <c r="Q81" s="147"/>
      <c r="R81" s="147"/>
      <c r="S81" s="147"/>
      <c r="T81" s="443"/>
      <c r="U81" s="444"/>
      <c r="V81" s="444"/>
      <c r="W81" s="425"/>
      <c r="X81" s="425"/>
      <c r="Y81" s="447"/>
      <c r="AA81" s="100"/>
      <c r="AB81" s="100" t="s">
        <v>1388</v>
      </c>
      <c r="AC81" s="432">
        <v>9.3699999999999992</v>
      </c>
      <c r="AD81" s="432"/>
      <c r="AE81" s="432"/>
    </row>
    <row r="82" spans="2:32" ht="14.1" customHeight="1" x14ac:dyDescent="0.2">
      <c r="B82" s="373"/>
      <c r="C82" s="99"/>
      <c r="D82" s="99"/>
      <c r="E82" s="99" t="s">
        <v>691</v>
      </c>
      <c r="F82" s="99"/>
      <c r="G82" s="31" t="s">
        <v>1379</v>
      </c>
      <c r="H82" s="453" t="s">
        <v>1378</v>
      </c>
      <c r="I82" s="452"/>
      <c r="J82" s="227"/>
      <c r="K82" s="227">
        <v>1</v>
      </c>
      <c r="L82" s="227"/>
      <c r="M82" s="28"/>
      <c r="N82" s="149"/>
      <c r="O82" s="145"/>
      <c r="P82" s="147"/>
      <c r="Q82" s="147"/>
      <c r="R82" s="147"/>
      <c r="S82" s="147"/>
      <c r="T82" s="443"/>
      <c r="U82" s="444"/>
      <c r="V82" s="444"/>
      <c r="W82" s="425"/>
      <c r="X82" s="425"/>
      <c r="Y82" s="447"/>
      <c r="AA82" s="100" t="s">
        <v>1377</v>
      </c>
      <c r="AB82" s="100" t="s">
        <v>1388</v>
      </c>
      <c r="AC82" s="432">
        <v>0.7</v>
      </c>
      <c r="AD82" s="432"/>
      <c r="AE82" s="432"/>
    </row>
    <row r="83" spans="2:32" ht="14.1" customHeight="1" x14ac:dyDescent="0.2">
      <c r="B83" s="373"/>
      <c r="C83" s="99"/>
      <c r="D83" s="99"/>
      <c r="E83" s="99" t="s">
        <v>1377</v>
      </c>
      <c r="F83" s="99"/>
      <c r="G83" s="31" t="s">
        <v>1397</v>
      </c>
      <c r="H83" s="453" t="s">
        <v>1398</v>
      </c>
      <c r="I83" s="452"/>
      <c r="J83" s="227">
        <f>J71</f>
        <v>9.3699999999999992</v>
      </c>
      <c r="K83" s="239">
        <f>SQRT(L83*J83)</f>
        <v>8.8708531887466311</v>
      </c>
      <c r="L83" s="232">
        <f>L71</f>
        <v>8.3982962962962944</v>
      </c>
      <c r="M83" s="239">
        <f>L83*0.998^30</f>
        <v>7.9087424219144591</v>
      </c>
      <c r="N83" s="149"/>
      <c r="O83" s="145"/>
      <c r="P83" s="147"/>
      <c r="Q83" s="147"/>
      <c r="R83" s="147"/>
      <c r="S83" s="147"/>
      <c r="T83" s="443"/>
      <c r="U83" s="444"/>
      <c r="V83" s="444"/>
      <c r="W83" s="425"/>
      <c r="X83" s="425"/>
      <c r="Y83" s="447"/>
      <c r="AA83" s="100" t="s">
        <v>1389</v>
      </c>
      <c r="AB83" s="100" t="s">
        <v>1377</v>
      </c>
      <c r="AC83" s="432">
        <v>0.52100000000000002</v>
      </c>
      <c r="AD83" s="432"/>
      <c r="AE83" s="432"/>
    </row>
    <row r="84" spans="2:32" ht="14.1" customHeight="1" x14ac:dyDescent="0.2">
      <c r="B84" s="373"/>
      <c r="C84" s="99"/>
      <c r="D84" s="99"/>
      <c r="E84" s="99" t="s">
        <v>1379</v>
      </c>
      <c r="F84" s="99"/>
      <c r="G84" s="31" t="s">
        <v>1397</v>
      </c>
      <c r="H84" s="453" t="s">
        <v>387</v>
      </c>
      <c r="I84" s="452" t="s">
        <v>969</v>
      </c>
      <c r="J84" s="227">
        <v>0.3</v>
      </c>
      <c r="K84" s="227"/>
      <c r="L84" s="227"/>
      <c r="M84" s="28"/>
      <c r="N84" s="149"/>
      <c r="O84" s="145"/>
      <c r="P84" s="147"/>
      <c r="Q84" s="147"/>
      <c r="R84" s="147"/>
      <c r="S84" s="147"/>
      <c r="T84" s="443"/>
      <c r="U84" s="444"/>
      <c r="V84" s="444"/>
      <c r="W84" s="425"/>
      <c r="X84" s="425"/>
      <c r="Y84" s="241">
        <v>3</v>
      </c>
      <c r="AA84" s="100"/>
      <c r="AB84" s="100" t="s">
        <v>1390</v>
      </c>
      <c r="AC84" s="432">
        <v>1.64</v>
      </c>
      <c r="AD84" s="432">
        <v>1.4999999999999999E-2</v>
      </c>
      <c r="AE84" s="432">
        <v>2.2200000000000002</v>
      </c>
      <c r="AF84" s="430">
        <f>SUMPRODUCT($AC$78:$AE$78,AC84:AE84)</f>
        <v>3.7247760000000003</v>
      </c>
    </row>
    <row r="85" spans="2:32" ht="14.1" customHeight="1" x14ac:dyDescent="0.2">
      <c r="B85" s="373"/>
      <c r="C85" s="99"/>
      <c r="D85" s="99"/>
      <c r="E85" s="99" t="s">
        <v>1006</v>
      </c>
      <c r="F85" s="99"/>
      <c r="G85" s="31" t="s">
        <v>1376</v>
      </c>
      <c r="H85" s="453" t="s">
        <v>1378</v>
      </c>
      <c r="I85" s="452"/>
      <c r="J85" s="232">
        <f>J73</f>
        <v>4.8817699999999995</v>
      </c>
      <c r="K85" s="239">
        <f>SQRT(L85*J85)</f>
        <v>4.6217145113369948</v>
      </c>
      <c r="L85" s="232">
        <f>L73</f>
        <v>4.3755123703703696</v>
      </c>
      <c r="M85" s="239">
        <f>L85*0.998^30</f>
        <v>4.1204548018174334</v>
      </c>
      <c r="N85" s="149"/>
      <c r="O85" s="145"/>
      <c r="P85" s="147"/>
      <c r="Q85" s="147"/>
      <c r="R85" s="147"/>
      <c r="S85" s="147"/>
      <c r="T85" s="443"/>
      <c r="U85" s="444"/>
      <c r="V85" s="444"/>
      <c r="W85" s="425"/>
      <c r="X85" s="425"/>
      <c r="Y85" s="447"/>
      <c r="AA85" s="100" t="s">
        <v>692</v>
      </c>
      <c r="AB85" s="100"/>
      <c r="AC85" s="432">
        <v>0.37</v>
      </c>
      <c r="AD85" s="432">
        <v>0.16200000000000001</v>
      </c>
      <c r="AE85" s="432">
        <v>0.5</v>
      </c>
      <c r="AF85" s="430">
        <f>SUMPRODUCT($AC$78:$AE$78,AC85:AE85)</f>
        <v>0.998108</v>
      </c>
    </row>
    <row r="86" spans="2:32" ht="14.1" customHeight="1" x14ac:dyDescent="0.2">
      <c r="B86" s="373"/>
      <c r="C86" s="99"/>
      <c r="D86" s="99"/>
      <c r="E86" s="99" t="s">
        <v>267</v>
      </c>
      <c r="F86" s="99"/>
      <c r="G86" s="31" t="s">
        <v>734</v>
      </c>
      <c r="H86" s="453" t="s">
        <v>735</v>
      </c>
      <c r="I86" s="452"/>
      <c r="J86" s="232">
        <f>J74</f>
        <v>0.6097560975609756</v>
      </c>
      <c r="K86" s="227"/>
      <c r="L86" s="227"/>
      <c r="M86" s="28"/>
      <c r="N86" s="149"/>
      <c r="O86" s="145"/>
      <c r="P86" s="147"/>
      <c r="Q86" s="147"/>
      <c r="R86" s="147"/>
      <c r="S86" s="147"/>
      <c r="T86" s="443"/>
      <c r="U86" s="444"/>
      <c r="V86" s="444"/>
      <c r="W86" s="425"/>
      <c r="X86" s="425"/>
      <c r="Y86" s="447"/>
      <c r="AA86" s="100" t="s">
        <v>772</v>
      </c>
      <c r="AB86" s="100"/>
      <c r="AC86" s="432">
        <v>3.4000000000000002E-2</v>
      </c>
      <c r="AD86" s="432">
        <v>1.6E-2</v>
      </c>
      <c r="AE86" s="432"/>
    </row>
    <row r="87" spans="2:32" ht="14.1" customHeight="1" x14ac:dyDescent="0.2">
      <c r="B87" s="373"/>
      <c r="C87" s="99"/>
      <c r="D87" s="99"/>
      <c r="E87" s="99" t="s">
        <v>268</v>
      </c>
      <c r="F87" s="99" t="s">
        <v>764</v>
      </c>
      <c r="G87" s="31"/>
      <c r="H87" s="453" t="s">
        <v>741</v>
      </c>
      <c r="I87" s="452"/>
      <c r="J87" s="237">
        <f>($P88+J83*93+J85*102+$J86*55)*2/3</f>
        <v>935.25808357723565</v>
      </c>
      <c r="K87" s="237">
        <f>($P88+K83*93+K85*102+$J86*55)*2/3</f>
        <v>886.62720805044262</v>
      </c>
      <c r="L87" s="237">
        <f>($P88+L83*93+L85*102+$J86*55)*2/3</f>
        <v>840.58693513279115</v>
      </c>
      <c r="M87" s="237">
        <f>($P88+M83*93+M85*102+$J86*55)*2/3</f>
        <v>792.89068025951781</v>
      </c>
      <c r="N87" s="149"/>
      <c r="O87" s="145"/>
      <c r="P87" s="147"/>
      <c r="Q87" s="147"/>
      <c r="R87" s="147"/>
      <c r="S87" s="147"/>
      <c r="T87" s="443"/>
      <c r="U87" s="444"/>
      <c r="V87" s="444"/>
      <c r="W87" s="425"/>
      <c r="X87" s="425"/>
      <c r="Y87" s="447"/>
      <c r="AA87" s="100" t="s">
        <v>1380</v>
      </c>
      <c r="AB87" s="100"/>
      <c r="AC87" s="432">
        <v>7.4999999999999997E-2</v>
      </c>
      <c r="AD87" s="432"/>
      <c r="AE87" s="432"/>
    </row>
    <row r="88" spans="2:32" ht="14.1" customHeight="1" x14ac:dyDescent="0.2">
      <c r="B88" s="373"/>
      <c r="C88" s="99"/>
      <c r="D88" s="99"/>
      <c r="E88" s="99" t="s">
        <v>693</v>
      </c>
      <c r="F88" s="99" t="s">
        <v>759</v>
      </c>
      <c r="G88" s="31"/>
      <c r="H88" s="453"/>
      <c r="I88" s="452"/>
      <c r="J88" s="227"/>
      <c r="K88" s="227"/>
      <c r="L88" s="227"/>
      <c r="M88" s="28"/>
      <c r="N88" s="149"/>
      <c r="O88" s="145"/>
      <c r="P88" s="429"/>
      <c r="Q88" s="147"/>
      <c r="R88" s="147"/>
      <c r="S88" s="147"/>
      <c r="T88" s="443"/>
      <c r="U88" s="444"/>
      <c r="V88" s="444"/>
      <c r="W88" s="425"/>
      <c r="X88" s="425">
        <f>O91*560*0.8</f>
        <v>33.6</v>
      </c>
      <c r="Y88" s="447"/>
      <c r="AA88" s="431" t="s">
        <v>1391</v>
      </c>
      <c r="AB88" s="431"/>
      <c r="AC88" s="441"/>
      <c r="AD88" s="441"/>
      <c r="AE88" s="441"/>
    </row>
    <row r="89" spans="2:32" ht="14.1" customHeight="1" x14ac:dyDescent="0.2">
      <c r="B89" s="373"/>
      <c r="C89" s="99"/>
      <c r="D89" s="99"/>
      <c r="E89" s="99" t="s">
        <v>633</v>
      </c>
      <c r="F89" s="99" t="s">
        <v>739</v>
      </c>
      <c r="G89" s="31"/>
      <c r="H89" s="453" t="s">
        <v>736</v>
      </c>
      <c r="I89" s="452"/>
      <c r="J89" s="232">
        <f>J77+0.183</f>
        <v>0.55299999999999994</v>
      </c>
      <c r="K89" s="232">
        <f>J89*0.998^15</f>
        <v>0.53664025910455559</v>
      </c>
      <c r="L89" s="232">
        <f>K89*0.998^15</f>
        <v>0.52076449853852547</v>
      </c>
      <c r="M89" s="28"/>
      <c r="N89" s="149"/>
      <c r="O89" s="145"/>
      <c r="P89" s="152">
        <f>P77</f>
        <v>0.25</v>
      </c>
      <c r="Q89" s="147"/>
      <c r="R89" s="147"/>
      <c r="S89" s="147"/>
      <c r="T89" s="443"/>
      <c r="U89" s="444"/>
      <c r="V89" s="444"/>
      <c r="W89" s="425"/>
      <c r="X89" s="425"/>
      <c r="Y89" s="447"/>
      <c r="AA89" s="100" t="s">
        <v>751</v>
      </c>
      <c r="AB89" s="100"/>
      <c r="AC89" s="432">
        <v>0.45800000000000002</v>
      </c>
    </row>
    <row r="90" spans="2:32" ht="14.1" customHeight="1" x14ac:dyDescent="0.2">
      <c r="B90" s="373"/>
      <c r="C90" s="99"/>
      <c r="D90" s="99"/>
      <c r="E90" s="99" t="s">
        <v>772</v>
      </c>
      <c r="F90" s="99" t="s">
        <v>751</v>
      </c>
      <c r="G90" s="31"/>
      <c r="H90" s="453" t="s">
        <v>741</v>
      </c>
      <c r="I90" s="452"/>
      <c r="J90" s="239">
        <f>J78</f>
        <v>0</v>
      </c>
      <c r="K90" s="239">
        <f>SQRT(L90*J90)</f>
        <v>0</v>
      </c>
      <c r="L90" s="239">
        <f>L78</f>
        <v>0</v>
      </c>
      <c r="M90" s="28"/>
      <c r="N90" s="149"/>
      <c r="O90" s="152">
        <f>O78</f>
        <v>3.4000000000000002E-2</v>
      </c>
      <c r="P90" s="147"/>
      <c r="Q90" s="147"/>
      <c r="R90" s="147"/>
      <c r="S90" s="147"/>
      <c r="T90" s="443"/>
      <c r="U90" s="444"/>
      <c r="V90" s="444"/>
      <c r="W90" s="425"/>
      <c r="X90" s="425"/>
      <c r="Y90" s="447"/>
      <c r="AA90" s="100" t="s">
        <v>740</v>
      </c>
      <c r="AB90" s="100"/>
      <c r="AC90" s="432">
        <f>ROUND(0.59/AC81,3)</f>
        <v>6.3E-2</v>
      </c>
    </row>
    <row r="91" spans="2:32" ht="14.1" customHeight="1" x14ac:dyDescent="0.2">
      <c r="B91" s="373"/>
      <c r="C91" s="99"/>
      <c r="D91" s="99"/>
      <c r="E91" s="99" t="s">
        <v>710</v>
      </c>
      <c r="F91" s="99" t="s">
        <v>740</v>
      </c>
      <c r="G91" s="31"/>
      <c r="H91" s="453" t="s">
        <v>741</v>
      </c>
      <c r="I91" s="452"/>
      <c r="J91" s="239">
        <f>J79</f>
        <v>0</v>
      </c>
      <c r="K91" s="239">
        <f>SQRT(L91*J91)</f>
        <v>0</v>
      </c>
      <c r="L91" s="239">
        <f>L79</f>
        <v>0</v>
      </c>
      <c r="M91" s="28"/>
      <c r="N91" s="149"/>
      <c r="O91" s="152">
        <f>O79</f>
        <v>7.4999999999999997E-2</v>
      </c>
      <c r="P91" s="147"/>
      <c r="Q91" s="147"/>
      <c r="R91" s="147"/>
      <c r="S91" s="147"/>
      <c r="T91" s="443"/>
      <c r="U91" s="444"/>
      <c r="V91" s="444"/>
      <c r="W91" s="425"/>
      <c r="X91" s="425"/>
      <c r="Y91" s="447"/>
    </row>
    <row r="92" spans="2:32" ht="14.1" customHeight="1" x14ac:dyDescent="0.2">
      <c r="B92" s="450" t="s">
        <v>1180</v>
      </c>
      <c r="C92" s="98" t="s">
        <v>1392</v>
      </c>
      <c r="D92" s="98" t="s">
        <v>1393</v>
      </c>
      <c r="E92" s="98" t="s">
        <v>1375</v>
      </c>
      <c r="F92" s="98"/>
      <c r="G92" s="98"/>
      <c r="H92" s="451"/>
      <c r="I92" s="452"/>
      <c r="J92" s="227"/>
      <c r="K92" s="227"/>
      <c r="L92" s="227"/>
      <c r="M92" s="28"/>
      <c r="N92" s="149">
        <v>2025</v>
      </c>
      <c r="O92" s="145">
        <f>1/0.7</f>
        <v>1.4285714285714286</v>
      </c>
      <c r="P92" s="147"/>
      <c r="Q92" s="147">
        <v>1</v>
      </c>
      <c r="R92" s="152">
        <v>0.91300000000000003</v>
      </c>
      <c r="S92" s="442">
        <v>30</v>
      </c>
      <c r="T92" s="459">
        <v>345.125</v>
      </c>
      <c r="U92" s="444">
        <f>20.36*2</f>
        <v>40.72</v>
      </c>
      <c r="V92" s="444">
        <f>5.09*2</f>
        <v>10.18</v>
      </c>
      <c r="W92" s="425"/>
      <c r="X92" s="425"/>
      <c r="Y92" s="447"/>
      <c r="AA92" s="107" t="s">
        <v>633</v>
      </c>
      <c r="AB92" s="360">
        <v>1.75</v>
      </c>
      <c r="AC92" s="360">
        <v>1.6733200530681511</v>
      </c>
      <c r="AD92" s="361">
        <v>1.6</v>
      </c>
      <c r="AE92" s="349"/>
    </row>
    <row r="93" spans="2:32" ht="14.1" customHeight="1" x14ac:dyDescent="0.2">
      <c r="B93" s="373"/>
      <c r="C93" s="99"/>
      <c r="D93" s="99"/>
      <c r="E93" s="99" t="s">
        <v>921</v>
      </c>
      <c r="F93" s="99"/>
      <c r="G93" s="31"/>
      <c r="H93" s="453" t="s">
        <v>736</v>
      </c>
      <c r="I93" s="452"/>
      <c r="J93" s="239">
        <f>6.42+AB100-1/J94</f>
        <v>7.06</v>
      </c>
      <c r="K93" s="239">
        <f>6.42+AC100-1/K94</f>
        <v>6.9259644256269413</v>
      </c>
      <c r="L93" s="239">
        <f>6.42+AD100-1/L94</f>
        <v>6.82</v>
      </c>
      <c r="M93" s="239">
        <f>L93*0.998^30</f>
        <v>6.4224482459904957</v>
      </c>
      <c r="N93" s="149"/>
      <c r="O93" s="145"/>
      <c r="P93" s="147"/>
      <c r="Q93" s="147"/>
      <c r="R93" s="147"/>
      <c r="S93" s="147"/>
      <c r="T93" s="443"/>
      <c r="U93" s="444"/>
      <c r="V93" s="444"/>
      <c r="W93" s="425"/>
      <c r="X93" s="425"/>
      <c r="Y93" s="447"/>
      <c r="AA93" s="107" t="s">
        <v>921</v>
      </c>
      <c r="AB93" s="360"/>
      <c r="AC93" s="360"/>
      <c r="AD93" s="361"/>
      <c r="AE93" s="349"/>
    </row>
    <row r="94" spans="2:32" ht="14.1" customHeight="1" x14ac:dyDescent="0.2">
      <c r="B94" s="373"/>
      <c r="C94" s="99"/>
      <c r="D94" s="99"/>
      <c r="E94" s="99" t="s">
        <v>690</v>
      </c>
      <c r="F94" s="99"/>
      <c r="G94" s="31" t="s">
        <v>734</v>
      </c>
      <c r="H94" s="453" t="s">
        <v>735</v>
      </c>
      <c r="I94" s="452"/>
      <c r="J94" s="239">
        <f>1/(AB100*0.6)</f>
        <v>1.0416666666666667</v>
      </c>
      <c r="K94" s="239">
        <f>1/(AC100*0.6)</f>
        <v>1.3176156917368249</v>
      </c>
      <c r="L94" s="239">
        <f>1/(AD100*0.6)</f>
        <v>1.6666666666666667</v>
      </c>
      <c r="M94" s="239">
        <f>L94/0.998^30</f>
        <v>1.7698339062152542</v>
      </c>
      <c r="N94" s="149"/>
      <c r="O94" s="145"/>
      <c r="P94" s="147"/>
      <c r="Q94" s="147"/>
      <c r="R94" s="147"/>
      <c r="S94" s="147"/>
      <c r="T94" s="443"/>
      <c r="U94" s="444"/>
      <c r="V94" s="444"/>
      <c r="W94" s="425"/>
      <c r="X94" s="425"/>
      <c r="Y94" s="447"/>
      <c r="AA94" s="107" t="s">
        <v>1006</v>
      </c>
      <c r="AB94" s="360">
        <v>1.05</v>
      </c>
      <c r="AC94" s="360">
        <v>0.97211110476117901</v>
      </c>
      <c r="AD94" s="361">
        <v>0.9</v>
      </c>
      <c r="AE94" s="349"/>
    </row>
    <row r="95" spans="2:32" ht="14.1" customHeight="1" x14ac:dyDescent="0.2">
      <c r="B95" s="373"/>
      <c r="C95" s="99"/>
      <c r="D95" s="99"/>
      <c r="E95" s="99" t="s">
        <v>693</v>
      </c>
      <c r="F95" s="99"/>
      <c r="G95" s="31"/>
      <c r="H95" s="453"/>
      <c r="I95" s="452"/>
      <c r="J95" s="227"/>
      <c r="K95" s="227"/>
      <c r="L95" s="227"/>
      <c r="M95" s="28"/>
      <c r="N95" s="149"/>
      <c r="O95" s="145"/>
      <c r="P95" s="147"/>
      <c r="Q95" s="147"/>
      <c r="R95" s="147"/>
      <c r="S95" s="147"/>
      <c r="T95" s="443"/>
      <c r="U95" s="444"/>
      <c r="V95" s="444"/>
      <c r="W95" s="425"/>
      <c r="X95" s="425"/>
      <c r="Y95" s="447"/>
      <c r="AA95" s="107" t="s">
        <v>631</v>
      </c>
      <c r="AB95" s="360">
        <v>0.9</v>
      </c>
      <c r="AC95" s="360">
        <v>0.73484692283495345</v>
      </c>
      <c r="AD95" s="361">
        <v>0.6</v>
      </c>
      <c r="AE95" s="349">
        <v>0.86</v>
      </c>
    </row>
    <row r="96" spans="2:32" ht="14.1" customHeight="1" x14ac:dyDescent="0.2">
      <c r="B96" s="373"/>
      <c r="C96" s="99"/>
      <c r="D96" s="99"/>
      <c r="E96" s="99" t="s">
        <v>631</v>
      </c>
      <c r="F96" s="99"/>
      <c r="G96" s="31"/>
      <c r="H96" s="453" t="s">
        <v>736</v>
      </c>
      <c r="I96" s="452"/>
      <c r="J96" s="232">
        <f t="shared" ref="J96:L97" si="0">AB95*$AE95</f>
        <v>0.77400000000000002</v>
      </c>
      <c r="K96" s="232">
        <f t="shared" si="0"/>
        <v>0.63196835363805992</v>
      </c>
      <c r="L96" s="232">
        <f t="shared" si="0"/>
        <v>0.51600000000000001</v>
      </c>
      <c r="M96" s="28"/>
      <c r="N96" s="149"/>
      <c r="O96" s="145"/>
      <c r="P96" s="147"/>
      <c r="Q96" s="147"/>
      <c r="R96" s="147"/>
      <c r="S96" s="147"/>
      <c r="T96" s="443"/>
      <c r="U96" s="444"/>
      <c r="V96" s="444"/>
      <c r="W96" s="425"/>
      <c r="X96" s="425"/>
      <c r="Y96" s="447"/>
      <c r="AA96" s="107" t="s">
        <v>632</v>
      </c>
      <c r="AB96" s="360">
        <v>1.4</v>
      </c>
      <c r="AC96" s="360">
        <v>1.3228756555322954</v>
      </c>
      <c r="AD96" s="361">
        <v>1.25</v>
      </c>
      <c r="AE96" s="349">
        <v>0.87</v>
      </c>
    </row>
    <row r="97" spans="2:31" ht="14.1" customHeight="1" x14ac:dyDescent="0.2">
      <c r="B97" s="373"/>
      <c r="C97" s="99"/>
      <c r="D97" s="99"/>
      <c r="E97" s="99" t="s">
        <v>632</v>
      </c>
      <c r="F97" s="99"/>
      <c r="G97" s="31"/>
      <c r="H97" s="453" t="s">
        <v>736</v>
      </c>
      <c r="I97" s="452"/>
      <c r="J97" s="232">
        <f t="shared" si="0"/>
        <v>1.218</v>
      </c>
      <c r="K97" s="232">
        <f t="shared" si="0"/>
        <v>1.150901820313097</v>
      </c>
      <c r="L97" s="232">
        <f t="shared" si="0"/>
        <v>1.0874999999999999</v>
      </c>
      <c r="M97" s="28"/>
      <c r="N97" s="149"/>
      <c r="O97" s="145"/>
      <c r="P97" s="147"/>
      <c r="Q97" s="147"/>
      <c r="R97" s="147"/>
      <c r="S97" s="147"/>
      <c r="T97" s="443"/>
      <c r="U97" s="444"/>
      <c r="V97" s="444"/>
      <c r="W97" s="425"/>
      <c r="X97" s="425"/>
      <c r="Y97" s="447"/>
      <c r="AA97" s="107" t="s">
        <v>738</v>
      </c>
      <c r="AB97" s="360">
        <v>21.2</v>
      </c>
      <c r="AC97" s="360"/>
      <c r="AD97" s="361">
        <v>18.7</v>
      </c>
      <c r="AE97" s="349"/>
    </row>
    <row r="98" spans="2:31" ht="14.1" customHeight="1" x14ac:dyDescent="0.2">
      <c r="B98" s="373"/>
      <c r="C98" s="99"/>
      <c r="D98" s="99"/>
      <c r="E98" s="99" t="s">
        <v>715</v>
      </c>
      <c r="F98" s="99" t="s">
        <v>745</v>
      </c>
      <c r="G98" s="31"/>
      <c r="H98" s="453" t="s">
        <v>736</v>
      </c>
      <c r="I98" s="452"/>
      <c r="J98" s="232">
        <v>1.6579999999999999</v>
      </c>
      <c r="K98" s="227"/>
      <c r="L98" s="227"/>
      <c r="M98" s="28"/>
      <c r="N98" s="149"/>
      <c r="O98" s="145"/>
      <c r="P98" s="147"/>
      <c r="Q98" s="147"/>
      <c r="R98" s="147"/>
      <c r="S98" s="147"/>
      <c r="T98" s="443"/>
      <c r="U98" s="444"/>
      <c r="V98" s="444"/>
      <c r="W98" s="425"/>
      <c r="X98" s="425"/>
      <c r="Y98" s="447"/>
    </row>
    <row r="99" spans="2:31" ht="14.1" customHeight="1" x14ac:dyDescent="0.2">
      <c r="B99" s="450" t="s">
        <v>1180</v>
      </c>
      <c r="C99" s="98" t="s">
        <v>1399</v>
      </c>
      <c r="D99" s="98" t="s">
        <v>1394</v>
      </c>
      <c r="E99" s="98" t="s">
        <v>1376</v>
      </c>
      <c r="F99" s="98"/>
      <c r="G99" s="98"/>
      <c r="H99" s="451"/>
      <c r="I99" s="452"/>
      <c r="J99" s="227"/>
      <c r="K99" s="227"/>
      <c r="L99" s="227"/>
      <c r="M99" s="28"/>
      <c r="N99" s="149">
        <v>2025</v>
      </c>
      <c r="O99" s="145">
        <f>AD80</f>
        <v>0.90876045074518352</v>
      </c>
      <c r="P99" s="147"/>
      <c r="Q99" s="147">
        <v>1</v>
      </c>
      <c r="R99" s="152">
        <v>0.91300000000000003</v>
      </c>
      <c r="S99" s="442">
        <v>30</v>
      </c>
      <c r="T99" s="459">
        <v>200.11449999999999</v>
      </c>
      <c r="U99" s="444">
        <v>19.27</v>
      </c>
      <c r="V99" s="444">
        <v>33.619999999999997</v>
      </c>
      <c r="W99" s="425"/>
      <c r="X99" s="425"/>
      <c r="Y99" s="447"/>
      <c r="AA99" s="107" t="s">
        <v>633</v>
      </c>
      <c r="AB99" s="360">
        <v>1.6</v>
      </c>
      <c r="AC99" s="360">
        <v>1.517893276880822</v>
      </c>
      <c r="AD99" s="361">
        <v>1.44</v>
      </c>
      <c r="AE99" s="349"/>
    </row>
    <row r="100" spans="2:31" ht="14.1" customHeight="1" x14ac:dyDescent="0.2">
      <c r="B100" s="373"/>
      <c r="C100" s="99"/>
      <c r="D100" s="99"/>
      <c r="E100" s="99" t="s">
        <v>268</v>
      </c>
      <c r="F100" s="99"/>
      <c r="G100" s="31" t="s">
        <v>734</v>
      </c>
      <c r="H100" s="453" t="s">
        <v>735</v>
      </c>
      <c r="I100" s="452"/>
      <c r="J100" s="239">
        <f>1/SUM(AD84:AE84)</f>
        <v>0.44742729306487689</v>
      </c>
      <c r="K100" s="239">
        <f>SQRT(L100*J100)</f>
        <v>0.51341216172646864</v>
      </c>
      <c r="L100" s="239">
        <f>(AB73/AD73)^0.7*J100</f>
        <v>0.58912822685232313</v>
      </c>
      <c r="M100" s="239">
        <f>L100/0.998^30</f>
        <v>0.62559546659502807</v>
      </c>
      <c r="N100" s="149"/>
      <c r="O100" s="145"/>
      <c r="P100" s="147"/>
      <c r="Q100" s="147"/>
      <c r="R100" s="147"/>
      <c r="S100" s="147"/>
      <c r="T100" s="443"/>
      <c r="U100" s="444"/>
      <c r="V100" s="444"/>
      <c r="W100" s="425"/>
      <c r="X100" s="425"/>
      <c r="Y100" s="447"/>
      <c r="AA100" s="107" t="s">
        <v>690</v>
      </c>
      <c r="AB100" s="360">
        <v>1.6</v>
      </c>
      <c r="AC100" s="360">
        <v>1.2649110640673518</v>
      </c>
      <c r="AD100" s="361">
        <v>1</v>
      </c>
      <c r="AE100" s="349"/>
    </row>
    <row r="101" spans="2:31" ht="14.1" customHeight="1" x14ac:dyDescent="0.2">
      <c r="B101" s="373"/>
      <c r="C101" s="99"/>
      <c r="D101" s="99"/>
      <c r="E101" s="99" t="s">
        <v>693</v>
      </c>
      <c r="F101" s="99"/>
      <c r="G101" s="31"/>
      <c r="H101" s="453"/>
      <c r="I101" s="452"/>
      <c r="J101" s="227"/>
      <c r="K101" s="227"/>
      <c r="L101" s="227"/>
      <c r="M101" s="28"/>
      <c r="N101" s="149"/>
      <c r="O101" s="145"/>
      <c r="P101" s="147"/>
      <c r="Q101" s="147"/>
      <c r="R101" s="147"/>
      <c r="S101" s="147"/>
      <c r="T101" s="147"/>
      <c r="U101" s="425"/>
      <c r="V101" s="425"/>
      <c r="W101" s="425"/>
      <c r="X101" s="425"/>
      <c r="Y101" s="447"/>
      <c r="AA101" s="107" t="s">
        <v>693</v>
      </c>
      <c r="AB101" s="360"/>
      <c r="AC101" s="360"/>
      <c r="AD101" s="361"/>
      <c r="AE101" s="349"/>
    </row>
    <row r="102" spans="2:31" ht="14.1" customHeight="1" x14ac:dyDescent="0.2">
      <c r="B102" s="373"/>
      <c r="C102" s="99"/>
      <c r="D102" s="99"/>
      <c r="E102" s="99" t="s">
        <v>631</v>
      </c>
      <c r="F102" s="99"/>
      <c r="G102" s="31"/>
      <c r="H102" s="453" t="s">
        <v>736</v>
      </c>
      <c r="I102" s="452"/>
      <c r="J102" s="232">
        <f>AB74*$AE74</f>
        <v>0.60199999999999998</v>
      </c>
      <c r="K102" s="232">
        <f>AC74*$AE74</f>
        <v>0.55734370006307588</v>
      </c>
      <c r="L102" s="232">
        <f>AD74*$AE74</f>
        <v>0.51600000000000001</v>
      </c>
      <c r="M102" s="239">
        <f>L102*0.996^30</f>
        <v>0.4575408285909397</v>
      </c>
      <c r="N102" s="149"/>
      <c r="O102" s="145"/>
      <c r="P102" s="147"/>
      <c r="Q102" s="147"/>
      <c r="R102" s="147"/>
      <c r="S102" s="147"/>
      <c r="T102" s="147"/>
      <c r="U102" s="425"/>
      <c r="V102" s="425"/>
      <c r="W102" s="425"/>
      <c r="X102" s="425"/>
      <c r="Y102" s="447"/>
      <c r="AA102" s="107" t="s">
        <v>631</v>
      </c>
      <c r="AB102" s="360">
        <v>1</v>
      </c>
      <c r="AC102" s="360">
        <v>0.7745966692414834</v>
      </c>
      <c r="AD102" s="361">
        <v>0.6</v>
      </c>
      <c r="AE102" s="349">
        <v>0.86</v>
      </c>
    </row>
    <row r="103" spans="2:31" ht="14.1" customHeight="1" x14ac:dyDescent="0.2">
      <c r="B103" s="373"/>
      <c r="C103" s="99"/>
      <c r="D103" s="99"/>
      <c r="E103" s="99" t="s">
        <v>632</v>
      </c>
      <c r="F103" s="99"/>
      <c r="G103" s="31"/>
      <c r="H103" s="453" t="s">
        <v>736</v>
      </c>
      <c r="I103" s="452"/>
      <c r="J103" s="232">
        <f>(AB75-$J77)*$AE75</f>
        <v>0.54810000000000003</v>
      </c>
      <c r="K103" s="232">
        <f>(AC75-$J77)*$AE75</f>
        <v>0.48020036778448122</v>
      </c>
      <c r="L103" s="232">
        <f>(AD75-$J77)*$AE75</f>
        <v>0.41760000000000008</v>
      </c>
      <c r="M103" s="239">
        <f>(AE75-$J77)*$AE75</f>
        <v>0.435</v>
      </c>
      <c r="N103" s="149"/>
      <c r="O103" s="145"/>
      <c r="P103" s="147"/>
      <c r="Q103" s="147"/>
      <c r="R103" s="147"/>
      <c r="S103" s="147"/>
      <c r="T103" s="147"/>
      <c r="U103" s="425"/>
      <c r="V103" s="425"/>
      <c r="W103" s="425"/>
      <c r="X103" s="425"/>
      <c r="Y103" s="447"/>
      <c r="AA103" s="107" t="s">
        <v>632</v>
      </c>
      <c r="AB103" s="360">
        <v>1.1000000000000001</v>
      </c>
      <c r="AC103" s="360">
        <v>1.0222524150130436</v>
      </c>
      <c r="AD103" s="361">
        <v>0.95</v>
      </c>
      <c r="AE103" s="349">
        <v>0.87</v>
      </c>
    </row>
    <row r="104" spans="2:31" ht="14.1" customHeight="1" x14ac:dyDescent="0.2">
      <c r="B104" s="373"/>
      <c r="C104" s="99"/>
      <c r="D104" s="99"/>
      <c r="E104" s="99" t="s">
        <v>772</v>
      </c>
      <c r="F104" s="99" t="s">
        <v>742</v>
      </c>
      <c r="G104" s="31"/>
      <c r="H104" s="453"/>
      <c r="I104" s="452"/>
      <c r="J104" s="227"/>
      <c r="K104" s="227"/>
      <c r="L104" s="227"/>
      <c r="M104" s="28"/>
      <c r="N104" s="149"/>
      <c r="O104" s="152">
        <f>AD86</f>
        <v>1.6E-2</v>
      </c>
      <c r="P104" s="147"/>
      <c r="Q104" s="147"/>
      <c r="R104" s="147"/>
      <c r="S104" s="147"/>
      <c r="T104" s="147"/>
      <c r="U104" s="425"/>
      <c r="V104" s="425"/>
      <c r="W104" s="425"/>
      <c r="X104" s="425"/>
      <c r="Y104" s="447"/>
    </row>
    <row r="105" spans="2:31" ht="14.1" customHeight="1" x14ac:dyDescent="0.2">
      <c r="B105" s="161" t="s">
        <v>330</v>
      </c>
      <c r="C105" s="161" t="s">
        <v>330</v>
      </c>
      <c r="D105" s="314"/>
      <c r="E105" s="315"/>
      <c r="F105" s="315"/>
      <c r="G105" s="315"/>
      <c r="H105" s="364"/>
      <c r="I105" s="439"/>
      <c r="J105" s="316"/>
      <c r="K105" s="316"/>
      <c r="L105" s="316"/>
      <c r="M105" s="316"/>
      <c r="N105" s="440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448"/>
      <c r="AA105" s="421"/>
      <c r="AB105" s="421"/>
      <c r="AC105" s="421"/>
      <c r="AD105" s="422"/>
    </row>
    <row r="106" spans="2:31" x14ac:dyDescent="0.2">
      <c r="B106" s="373" t="s">
        <v>1180</v>
      </c>
      <c r="C106" s="99" t="s">
        <v>1281</v>
      </c>
      <c r="D106" s="99" t="s">
        <v>1290</v>
      </c>
      <c r="E106" s="99" t="s">
        <v>690</v>
      </c>
      <c r="F106" s="99"/>
      <c r="G106" s="31" t="s">
        <v>757</v>
      </c>
      <c r="H106" s="454" t="s">
        <v>735</v>
      </c>
      <c r="I106" s="455"/>
      <c r="J106" s="376">
        <f>1/AB106*0.85</f>
        <v>0.34722222222222215</v>
      </c>
      <c r="K106" s="376">
        <f>SQRT(J106*L106)</f>
        <v>0.38036288715636529</v>
      </c>
      <c r="L106" s="376">
        <f>1/AC106*0.9</f>
        <v>0.41666666666666663</v>
      </c>
      <c r="M106" s="376">
        <f>L106*1.08</f>
        <v>0.45</v>
      </c>
      <c r="N106" s="368">
        <v>2050</v>
      </c>
      <c r="O106" s="31"/>
      <c r="P106" s="31"/>
      <c r="Q106" s="259">
        <v>1</v>
      </c>
      <c r="R106" s="259">
        <v>0.9</v>
      </c>
      <c r="S106" s="172">
        <v>30</v>
      </c>
      <c r="T106" s="258">
        <f>130+200*(K107+K111/J106)/1000*0.5</f>
        <v>193.97020000000001</v>
      </c>
      <c r="U106" s="258">
        <f>T106*0.075</f>
        <v>14.547765</v>
      </c>
      <c r="V106" s="31"/>
      <c r="W106" s="31"/>
      <c r="X106" s="31"/>
      <c r="Y106" s="368"/>
      <c r="AA106" s="351">
        <v>3.06</v>
      </c>
      <c r="AB106" s="351">
        <v>2.4480000000000004</v>
      </c>
      <c r="AC106" s="351">
        <v>2.16</v>
      </c>
      <c r="AD106" s="346">
        <v>1</v>
      </c>
    </row>
    <row r="107" spans="2:31" x14ac:dyDescent="0.2">
      <c r="B107" s="374"/>
      <c r="C107" s="31"/>
      <c r="D107" s="31"/>
      <c r="E107" s="31" t="s">
        <v>1282</v>
      </c>
      <c r="F107" s="31" t="s">
        <v>764</v>
      </c>
      <c r="G107" s="31" t="s">
        <v>821</v>
      </c>
      <c r="H107" s="454" t="s">
        <v>765</v>
      </c>
      <c r="I107" s="455"/>
      <c r="J107" s="377"/>
      <c r="K107" s="378">
        <f>0.9*X109</f>
        <v>494.55</v>
      </c>
      <c r="L107" s="377"/>
      <c r="M107" s="264"/>
      <c r="N107" s="368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68"/>
      <c r="AA107" s="118"/>
      <c r="AB107" s="118"/>
      <c r="AC107" s="118"/>
      <c r="AD107" s="118"/>
    </row>
    <row r="108" spans="2:31" x14ac:dyDescent="0.2">
      <c r="B108" s="374"/>
      <c r="C108" s="31"/>
      <c r="D108" s="31"/>
      <c r="E108" s="107" t="s">
        <v>985</v>
      </c>
      <c r="F108" s="31"/>
      <c r="G108" s="31" t="s">
        <v>764</v>
      </c>
      <c r="H108" s="454" t="s">
        <v>387</v>
      </c>
      <c r="I108" s="455" t="s">
        <v>926</v>
      </c>
      <c r="J108" s="379">
        <f>0.9/1000</f>
        <v>8.9999999999999998E-4</v>
      </c>
      <c r="K108" s="379"/>
      <c r="L108" s="377"/>
      <c r="M108" s="264"/>
      <c r="N108" s="368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449">
        <v>3</v>
      </c>
      <c r="AA108" s="118"/>
      <c r="AB108" s="118"/>
      <c r="AC108" s="118"/>
      <c r="AD108" s="118"/>
    </row>
    <row r="109" spans="2:31" x14ac:dyDescent="0.2">
      <c r="B109" s="374"/>
      <c r="C109" s="31"/>
      <c r="D109" s="31"/>
      <c r="E109" s="31" t="s">
        <v>1286</v>
      </c>
      <c r="F109" s="31" t="s">
        <v>759</v>
      </c>
      <c r="G109" s="31"/>
      <c r="H109" s="454" t="s">
        <v>736</v>
      </c>
      <c r="I109" s="455"/>
      <c r="J109" s="376">
        <f>0.23+0.16</f>
        <v>0.39</v>
      </c>
      <c r="K109" s="376">
        <f>J109*0.997^10</f>
        <v>0.37845669301007762</v>
      </c>
      <c r="L109" s="376">
        <f>K109*0.997^10</f>
        <v>0.36725504739519005</v>
      </c>
      <c r="M109" s="264"/>
      <c r="N109" s="368"/>
      <c r="O109" s="31"/>
      <c r="P109" s="31"/>
      <c r="Q109" s="31"/>
      <c r="R109" s="31"/>
      <c r="S109" s="31"/>
      <c r="T109" s="31"/>
      <c r="U109" s="31"/>
      <c r="V109" s="31"/>
      <c r="W109" s="31"/>
      <c r="X109" s="270">
        <f>0.785*0.7*1000</f>
        <v>549.5</v>
      </c>
      <c r="Y109" s="449"/>
      <c r="AA109" s="118"/>
      <c r="AB109" s="118"/>
      <c r="AC109" s="118"/>
      <c r="AD109" s="118"/>
    </row>
    <row r="110" spans="2:31" x14ac:dyDescent="0.2">
      <c r="B110" s="374"/>
      <c r="C110" s="31"/>
      <c r="D110" s="31"/>
      <c r="E110" s="31" t="s">
        <v>710</v>
      </c>
      <c r="F110" s="31" t="s">
        <v>758</v>
      </c>
      <c r="G110" s="247"/>
      <c r="H110" s="454"/>
      <c r="I110" s="455"/>
      <c r="J110" s="377"/>
      <c r="K110" s="377"/>
      <c r="L110" s="377"/>
      <c r="M110" s="264"/>
      <c r="N110" s="368"/>
      <c r="O110" s="31">
        <v>1.55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68"/>
      <c r="AA110" s="118"/>
      <c r="AB110" s="118"/>
      <c r="AC110" s="118"/>
      <c r="AD110" s="118"/>
    </row>
    <row r="111" spans="2:31" x14ac:dyDescent="0.2">
      <c r="B111" s="373" t="s">
        <v>1180</v>
      </c>
      <c r="C111" s="31"/>
      <c r="D111" s="31"/>
      <c r="E111" s="31"/>
      <c r="F111" s="31" t="s">
        <v>764</v>
      </c>
      <c r="G111" s="247" t="s">
        <v>690</v>
      </c>
      <c r="H111" s="454" t="s">
        <v>765</v>
      </c>
      <c r="I111" s="455"/>
      <c r="J111" s="378">
        <v>1</v>
      </c>
      <c r="K111" s="378">
        <f>56*0.9</f>
        <v>50.4</v>
      </c>
      <c r="L111" s="377"/>
      <c r="M111" s="264"/>
      <c r="N111" s="368"/>
      <c r="O111" s="31"/>
      <c r="P111" s="31"/>
      <c r="Q111" s="31"/>
      <c r="R111" s="31"/>
      <c r="S111" s="31"/>
      <c r="T111" s="31"/>
      <c r="U111" s="31"/>
      <c r="V111" s="31"/>
      <c r="W111" s="370">
        <f>PMT(0.1,S106,-200)*0.5/1000</f>
        <v>1.0607924825263392E-2</v>
      </c>
      <c r="X111" s="274"/>
      <c r="Y111" s="449"/>
      <c r="AA111" s="118"/>
      <c r="AB111" s="118"/>
      <c r="AC111" s="118"/>
      <c r="AD111" s="118"/>
    </row>
    <row r="112" spans="2:31" x14ac:dyDescent="0.2">
      <c r="B112" s="375"/>
      <c r="C112" s="279"/>
      <c r="D112" s="279"/>
      <c r="E112" s="279"/>
      <c r="F112" s="279" t="s">
        <v>764</v>
      </c>
      <c r="G112" s="369" t="s">
        <v>1282</v>
      </c>
      <c r="H112" s="456" t="s">
        <v>765</v>
      </c>
      <c r="I112" s="455"/>
      <c r="J112" s="378">
        <v>1</v>
      </c>
      <c r="K112" s="378">
        <f>69*0.9</f>
        <v>62.1</v>
      </c>
      <c r="L112" s="377"/>
      <c r="M112" s="264"/>
      <c r="N112" s="368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68"/>
      <c r="AA112" s="118"/>
      <c r="AB112" s="118"/>
      <c r="AC112" s="118"/>
      <c r="AD112" s="118"/>
    </row>
    <row r="113" spans="2:30" x14ac:dyDescent="0.2">
      <c r="B113" s="373" t="s">
        <v>1180</v>
      </c>
      <c r="C113" s="99" t="s">
        <v>1283</v>
      </c>
      <c r="D113" s="99" t="s">
        <v>1284</v>
      </c>
      <c r="E113" s="99" t="s">
        <v>1070</v>
      </c>
      <c r="F113" s="99"/>
      <c r="G113" s="31" t="s">
        <v>757</v>
      </c>
      <c r="H113" s="454" t="s">
        <v>735</v>
      </c>
      <c r="I113" s="455"/>
      <c r="J113" s="376">
        <f>1/(AB113-J116+J109)*0.95</f>
        <v>0.42222222222222217</v>
      </c>
      <c r="K113" s="376">
        <f>SQRT(J113*L113)</f>
        <v>0.4843221048378526</v>
      </c>
      <c r="L113" s="376">
        <f>1/(AC113-L116+L109)</f>
        <v>0.55555555555555558</v>
      </c>
      <c r="M113" s="376">
        <f>L113*1.004^50</f>
        <v>0.67828644065050392</v>
      </c>
      <c r="N113" s="368">
        <v>2030</v>
      </c>
      <c r="O113" s="31"/>
      <c r="P113" s="31"/>
      <c r="Q113" s="259">
        <v>1</v>
      </c>
      <c r="R113" s="259">
        <v>0.9</v>
      </c>
      <c r="S113" s="172">
        <v>30</v>
      </c>
      <c r="T113" s="258">
        <f>130+200*(K114+K118/J113)/1000*0.5+38</f>
        <v>239.83657894736842</v>
      </c>
      <c r="U113" s="258">
        <f>T113*0.075</f>
        <v>17.987743421052631</v>
      </c>
      <c r="V113" s="31"/>
      <c r="W113" s="31"/>
      <c r="X113" s="31"/>
      <c r="Y113" s="368"/>
      <c r="AA113" s="351">
        <v>3.4</v>
      </c>
      <c r="AB113" s="351">
        <v>2.95</v>
      </c>
      <c r="AC113" s="351">
        <v>2.5</v>
      </c>
      <c r="AD113" s="346">
        <v>1</v>
      </c>
    </row>
    <row r="114" spans="2:30" x14ac:dyDescent="0.2">
      <c r="B114" s="374"/>
      <c r="C114" s="31"/>
      <c r="D114" s="31"/>
      <c r="E114" s="31" t="s">
        <v>1285</v>
      </c>
      <c r="F114" s="31" t="s">
        <v>764</v>
      </c>
      <c r="G114" s="31" t="s">
        <v>821</v>
      </c>
      <c r="H114" s="454" t="s">
        <v>765</v>
      </c>
      <c r="I114" s="455"/>
      <c r="J114" s="377">
        <v>1</v>
      </c>
      <c r="K114" s="378">
        <f>0.9*X116</f>
        <v>494.55</v>
      </c>
      <c r="L114" s="377"/>
      <c r="M114" s="264"/>
      <c r="N114" s="368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68"/>
      <c r="AA114" s="118"/>
      <c r="AB114" s="118"/>
      <c r="AC114" s="118"/>
      <c r="AD114" s="118"/>
    </row>
    <row r="115" spans="2:30" x14ac:dyDescent="0.2">
      <c r="B115" s="374"/>
      <c r="C115" s="31"/>
      <c r="D115" s="31"/>
      <c r="E115" s="107" t="s">
        <v>985</v>
      </c>
      <c r="F115" s="31"/>
      <c r="G115" s="31" t="s">
        <v>764</v>
      </c>
      <c r="H115" s="454" t="s">
        <v>387</v>
      </c>
      <c r="I115" s="455" t="s">
        <v>926</v>
      </c>
      <c r="J115" s="379">
        <f>(0.9+AB113*0.1/0.85)/1000</f>
        <v>1.2470588235294119E-3</v>
      </c>
      <c r="K115" s="376"/>
      <c r="L115" s="379">
        <f>(0.9+AC113*0.1/0.85)/1000</f>
        <v>1.1941176470588236E-3</v>
      </c>
      <c r="M115" s="264"/>
      <c r="N115" s="368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49">
        <v>3</v>
      </c>
      <c r="AA115" s="118"/>
      <c r="AB115" s="118"/>
      <c r="AC115" s="118"/>
      <c r="AD115" s="118"/>
    </row>
    <row r="116" spans="2:30" x14ac:dyDescent="0.2">
      <c r="B116" s="374"/>
      <c r="C116" s="31"/>
      <c r="D116" s="31"/>
      <c r="E116" s="31" t="s">
        <v>1286</v>
      </c>
      <c r="F116" s="31" t="s">
        <v>759</v>
      </c>
      <c r="G116" s="247"/>
      <c r="H116" s="454" t="s">
        <v>736</v>
      </c>
      <c r="I116" s="455"/>
      <c r="J116" s="418">
        <f>3.5*0.2+J$109</f>
        <v>1.0900000000000001</v>
      </c>
      <c r="K116" s="418">
        <f>3.5*0.2+K$109</f>
        <v>1.0784566930100776</v>
      </c>
      <c r="L116" s="418">
        <f>3.5*0.2+L$109</f>
        <v>1.0672550473951901</v>
      </c>
      <c r="M116" s="264"/>
      <c r="N116" s="368"/>
      <c r="O116" s="31"/>
      <c r="P116" s="31"/>
      <c r="Q116" s="31"/>
      <c r="R116" s="31"/>
      <c r="S116" s="31"/>
      <c r="T116" s="31"/>
      <c r="U116" s="31"/>
      <c r="V116" s="31"/>
      <c r="W116" s="31"/>
      <c r="X116" s="270">
        <f>0.785*0.7*1000</f>
        <v>549.5</v>
      </c>
      <c r="Y116" s="368"/>
      <c r="AA116" s="118"/>
      <c r="AB116" s="118"/>
      <c r="AC116" s="118"/>
      <c r="AD116" s="118"/>
    </row>
    <row r="117" spans="2:30" x14ac:dyDescent="0.2">
      <c r="B117" s="374"/>
      <c r="C117" s="31"/>
      <c r="D117" s="31"/>
      <c r="E117" s="31" t="s">
        <v>710</v>
      </c>
      <c r="F117" s="31" t="s">
        <v>758</v>
      </c>
      <c r="G117" s="247"/>
      <c r="H117" s="454"/>
      <c r="I117" s="455"/>
      <c r="J117" s="377"/>
      <c r="K117" s="377"/>
      <c r="L117" s="377"/>
      <c r="M117" s="264"/>
      <c r="N117" s="368"/>
      <c r="O117" s="31">
        <v>1.55</v>
      </c>
      <c r="P117" s="31"/>
      <c r="Q117" s="31"/>
      <c r="R117" s="31"/>
      <c r="S117" s="31"/>
      <c r="T117" s="31"/>
      <c r="U117" s="31"/>
      <c r="V117" s="31"/>
      <c r="W117" s="31"/>
      <c r="X117" s="31"/>
      <c r="Y117" s="368"/>
      <c r="AA117" s="118"/>
      <c r="AB117" s="118"/>
      <c r="AC117" s="118"/>
      <c r="AD117" s="118"/>
    </row>
    <row r="118" spans="2:30" x14ac:dyDescent="0.2">
      <c r="B118" s="373" t="s">
        <v>1180</v>
      </c>
      <c r="C118" s="31"/>
      <c r="D118" s="31"/>
      <c r="E118" s="31"/>
      <c r="F118" s="31" t="s">
        <v>764</v>
      </c>
      <c r="G118" s="247" t="s">
        <v>1070</v>
      </c>
      <c r="H118" s="454" t="s">
        <v>765</v>
      </c>
      <c r="I118" s="455"/>
      <c r="J118" s="378">
        <v>1</v>
      </c>
      <c r="K118" s="378">
        <f>105*0.9</f>
        <v>94.5</v>
      </c>
      <c r="L118" s="377"/>
      <c r="M118" s="264"/>
      <c r="N118" s="368"/>
      <c r="O118" s="31"/>
      <c r="P118" s="31"/>
      <c r="Q118" s="31"/>
      <c r="R118" s="31"/>
      <c r="S118" s="31"/>
      <c r="T118" s="31"/>
      <c r="U118" s="31"/>
      <c r="V118" s="31"/>
      <c r="W118" s="370">
        <f>PMT(0.1,S113,-200)*0.5/1000</f>
        <v>1.0607924825263392E-2</v>
      </c>
      <c r="X118" s="274"/>
      <c r="Y118" s="449"/>
      <c r="AA118" s="118"/>
      <c r="AB118" s="118"/>
      <c r="AC118" s="118"/>
      <c r="AD118" s="118"/>
    </row>
    <row r="119" spans="2:30" x14ac:dyDescent="0.2">
      <c r="B119" s="375"/>
      <c r="C119" s="279"/>
      <c r="D119" s="279"/>
      <c r="E119" s="279"/>
      <c r="F119" s="279" t="s">
        <v>764</v>
      </c>
      <c r="G119" s="369" t="s">
        <v>1285</v>
      </c>
      <c r="H119" s="456" t="s">
        <v>765</v>
      </c>
      <c r="I119" s="455"/>
      <c r="J119" s="378">
        <v>1</v>
      </c>
      <c r="K119" s="378">
        <f>95*0.9</f>
        <v>85.5</v>
      </c>
      <c r="L119" s="377"/>
      <c r="M119" s="264"/>
      <c r="N119" s="368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68"/>
      <c r="AA119" s="118"/>
      <c r="AB119" s="371"/>
      <c r="AC119" s="118"/>
      <c r="AD119" s="118"/>
    </row>
    <row r="120" spans="2:30" x14ac:dyDescent="0.2">
      <c r="B120" s="373" t="s">
        <v>1180</v>
      </c>
      <c r="C120" s="99" t="s">
        <v>1371</v>
      </c>
      <c r="D120" s="99" t="s">
        <v>1372</v>
      </c>
      <c r="E120" s="99" t="s">
        <v>1282</v>
      </c>
      <c r="F120" s="99"/>
      <c r="G120" s="31" t="s">
        <v>757</v>
      </c>
      <c r="H120" s="454" t="s">
        <v>735</v>
      </c>
      <c r="I120" s="455"/>
      <c r="J120" s="376">
        <f>J106/0.3</f>
        <v>1.1574074074074072</v>
      </c>
      <c r="K120" s="376">
        <f>K106/0.3</f>
        <v>1.2678762905212178</v>
      </c>
      <c r="L120" s="376">
        <f>L106/0.3</f>
        <v>1.3888888888888888</v>
      </c>
      <c r="M120" s="376">
        <f>M106/0.3</f>
        <v>1.5</v>
      </c>
      <c r="N120" s="368">
        <v>2040</v>
      </c>
      <c r="O120" s="31"/>
      <c r="P120" s="31"/>
      <c r="Q120" s="259">
        <v>1</v>
      </c>
      <c r="R120" s="259">
        <v>0.9</v>
      </c>
      <c r="S120" s="172">
        <v>30</v>
      </c>
      <c r="T120" s="258">
        <v>210.99</v>
      </c>
      <c r="U120" s="258">
        <f>T120*0.075</f>
        <v>15.824249999999999</v>
      </c>
      <c r="V120" s="31"/>
      <c r="W120" s="31"/>
      <c r="X120" s="31"/>
      <c r="Y120" s="368"/>
      <c r="AA120" s="118"/>
      <c r="AB120" s="371"/>
      <c r="AC120" s="118"/>
      <c r="AD120" s="118"/>
    </row>
    <row r="121" spans="2:30" x14ac:dyDescent="0.2">
      <c r="B121" s="374"/>
      <c r="C121" s="31"/>
      <c r="D121" s="31"/>
      <c r="E121" s="31"/>
      <c r="F121" s="31" t="s">
        <v>764</v>
      </c>
      <c r="G121" s="31" t="s">
        <v>821</v>
      </c>
      <c r="H121" s="454" t="s">
        <v>765</v>
      </c>
      <c r="I121" s="455"/>
      <c r="J121" s="377"/>
      <c r="K121" s="378">
        <f>0.95*X123</f>
        <v>522.02499999999998</v>
      </c>
      <c r="L121" s="377"/>
      <c r="M121" s="264"/>
      <c r="N121" s="368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68"/>
      <c r="AA121" s="118"/>
      <c r="AB121" s="371"/>
      <c r="AC121" s="118"/>
      <c r="AD121" s="118"/>
    </row>
    <row r="122" spans="2:30" x14ac:dyDescent="0.2">
      <c r="B122" s="374"/>
      <c r="C122" s="31"/>
      <c r="D122" s="31"/>
      <c r="E122" s="107" t="s">
        <v>985</v>
      </c>
      <c r="F122" s="31"/>
      <c r="G122" s="31" t="s">
        <v>764</v>
      </c>
      <c r="H122" s="454" t="s">
        <v>387</v>
      </c>
      <c r="I122" s="455" t="s">
        <v>926</v>
      </c>
      <c r="J122" s="379">
        <v>8.9999999999999998E-4</v>
      </c>
      <c r="K122" s="379"/>
      <c r="L122" s="377"/>
      <c r="M122" s="264"/>
      <c r="N122" s="368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449">
        <v>3</v>
      </c>
      <c r="AA122" s="118"/>
      <c r="AB122" s="371"/>
      <c r="AC122" s="118"/>
      <c r="AD122" s="118"/>
    </row>
    <row r="123" spans="2:30" x14ac:dyDescent="0.2">
      <c r="B123" s="374"/>
      <c r="C123" s="31"/>
      <c r="D123" s="31"/>
      <c r="E123" s="31" t="s">
        <v>1286</v>
      </c>
      <c r="F123" s="31" t="s">
        <v>759</v>
      </c>
      <c r="G123" s="31"/>
      <c r="H123" s="454" t="s">
        <v>736</v>
      </c>
      <c r="I123" s="455"/>
      <c r="J123" s="376">
        <f>4.77-J122*K121</f>
        <v>4.3001774999999993</v>
      </c>
      <c r="K123" s="376"/>
      <c r="L123" s="376"/>
      <c r="M123" s="264"/>
      <c r="N123" s="368"/>
      <c r="O123" s="31"/>
      <c r="P123" s="31"/>
      <c r="Q123" s="31"/>
      <c r="R123" s="31"/>
      <c r="S123" s="31"/>
      <c r="T123" s="31"/>
      <c r="U123" s="31"/>
      <c r="V123" s="31"/>
      <c r="W123" s="31"/>
      <c r="X123" s="270">
        <v>549.5</v>
      </c>
      <c r="Y123" s="449"/>
      <c r="AA123" s="118"/>
      <c r="AB123" s="371"/>
      <c r="AC123" s="118"/>
      <c r="AD123" s="118"/>
    </row>
    <row r="124" spans="2:30" x14ac:dyDescent="0.2">
      <c r="B124" s="374"/>
      <c r="C124" s="31"/>
      <c r="D124" s="31"/>
      <c r="E124" s="31" t="s">
        <v>710</v>
      </c>
      <c r="F124" s="31" t="s">
        <v>758</v>
      </c>
      <c r="G124" s="247"/>
      <c r="H124" s="454"/>
      <c r="I124" s="455"/>
      <c r="J124" s="377"/>
      <c r="K124" s="377"/>
      <c r="L124" s="377"/>
      <c r="M124" s="264"/>
      <c r="N124" s="368"/>
      <c r="O124" s="31">
        <v>1.55</v>
      </c>
      <c r="P124" s="31"/>
      <c r="Q124" s="31"/>
      <c r="R124" s="31"/>
      <c r="S124" s="31"/>
      <c r="T124" s="31"/>
      <c r="U124" s="31"/>
      <c r="V124" s="31"/>
      <c r="W124" s="31"/>
      <c r="X124" s="31"/>
      <c r="Y124" s="368"/>
      <c r="AA124" s="118"/>
      <c r="AB124" s="371"/>
      <c r="AC124" s="118"/>
      <c r="AD124" s="118"/>
    </row>
    <row r="125" spans="2:30" x14ac:dyDescent="0.2">
      <c r="B125" s="375"/>
      <c r="C125" s="279"/>
      <c r="D125" s="279"/>
      <c r="E125" s="279"/>
      <c r="F125" s="279" t="s">
        <v>764</v>
      </c>
      <c r="G125" s="369" t="s">
        <v>1282</v>
      </c>
      <c r="H125" s="456" t="s">
        <v>765</v>
      </c>
      <c r="I125" s="455"/>
      <c r="J125" s="378">
        <v>1</v>
      </c>
      <c r="K125" s="378">
        <f>69*0.95</f>
        <v>65.55</v>
      </c>
      <c r="L125" s="377"/>
      <c r="M125" s="264"/>
      <c r="N125" s="368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68"/>
      <c r="AA125" s="118"/>
      <c r="AB125" s="371"/>
      <c r="AC125" s="118"/>
      <c r="AD125" s="118"/>
    </row>
    <row r="126" spans="2:30" x14ac:dyDescent="0.2">
      <c r="B126" s="373" t="s">
        <v>1180</v>
      </c>
      <c r="C126" s="31" t="s">
        <v>1287</v>
      </c>
      <c r="D126" s="31" t="s">
        <v>1288</v>
      </c>
      <c r="E126" s="31" t="s">
        <v>710</v>
      </c>
      <c r="F126" s="31" t="s">
        <v>739</v>
      </c>
      <c r="G126" s="31"/>
      <c r="H126" s="454" t="s">
        <v>736</v>
      </c>
      <c r="I126" s="455"/>
      <c r="J126" s="172"/>
      <c r="K126" s="172">
        <v>1</v>
      </c>
      <c r="L126" s="172"/>
      <c r="M126" s="172"/>
      <c r="N126" s="368">
        <v>2035</v>
      </c>
      <c r="O126" s="31"/>
      <c r="P126" s="31"/>
      <c r="Q126" s="31"/>
      <c r="R126" s="31"/>
      <c r="S126" s="31"/>
      <c r="T126" s="31"/>
      <c r="U126" s="31"/>
      <c r="V126" s="172">
        <v>160</v>
      </c>
      <c r="W126" s="31"/>
      <c r="X126" s="267"/>
      <c r="Y126" s="368"/>
      <c r="AA126" s="118"/>
      <c r="AB126" s="118"/>
      <c r="AC126" s="118"/>
      <c r="AD126" s="118"/>
    </row>
    <row r="131" spans="2:10" x14ac:dyDescent="0.2">
      <c r="B131" s="166" t="s">
        <v>269</v>
      </c>
      <c r="C131" s="167"/>
      <c r="D131" s="167"/>
      <c r="E131" s="167"/>
    </row>
    <row r="132" spans="2:10" x14ac:dyDescent="0.2">
      <c r="B132" s="133" t="s">
        <v>270</v>
      </c>
      <c r="C132" s="133" t="s">
        <v>271</v>
      </c>
      <c r="D132" s="133" t="s">
        <v>272</v>
      </c>
      <c r="E132" s="133" t="s">
        <v>273</v>
      </c>
      <c r="F132" s="168" t="s">
        <v>1139</v>
      </c>
      <c r="G132" s="168" t="s">
        <v>1140</v>
      </c>
      <c r="H132" s="168" t="s">
        <v>1141</v>
      </c>
      <c r="I132" s="168"/>
      <c r="J132" s="168" t="s">
        <v>1142</v>
      </c>
    </row>
    <row r="133" spans="2:10" x14ac:dyDescent="0.2">
      <c r="B133" s="28" t="s">
        <v>768</v>
      </c>
      <c r="C133" s="147" t="s">
        <v>138</v>
      </c>
      <c r="D133" s="28" t="s">
        <v>162</v>
      </c>
      <c r="E133" s="28" t="s">
        <v>1152</v>
      </c>
      <c r="F133" s="28"/>
      <c r="G133" s="28"/>
      <c r="H133" s="28"/>
      <c r="I133" s="28"/>
      <c r="J133" s="28"/>
    </row>
    <row r="134" spans="2:10" x14ac:dyDescent="0.2">
      <c r="B134" s="169" t="s">
        <v>768</v>
      </c>
      <c r="C134" s="170" t="s">
        <v>833</v>
      </c>
      <c r="D134" s="171" t="s">
        <v>163</v>
      </c>
      <c r="E134" s="171" t="s">
        <v>1152</v>
      </c>
      <c r="F134" s="28"/>
      <c r="G134" s="28"/>
      <c r="H134" s="28"/>
      <c r="I134" s="28"/>
      <c r="J134" s="28"/>
    </row>
    <row r="135" spans="2:10" x14ac:dyDescent="0.2">
      <c r="B135" s="169" t="s">
        <v>768</v>
      </c>
      <c r="C135" s="30" t="s">
        <v>831</v>
      </c>
      <c r="D135" s="30" t="s">
        <v>938</v>
      </c>
      <c r="E135" s="30" t="s">
        <v>1152</v>
      </c>
      <c r="F135" s="28"/>
      <c r="G135" s="28" t="s">
        <v>929</v>
      </c>
      <c r="H135" s="28"/>
      <c r="I135" s="28"/>
      <c r="J135" s="28"/>
    </row>
    <row r="136" spans="2:10" x14ac:dyDescent="0.2">
      <c r="B136" s="169" t="s">
        <v>768</v>
      </c>
      <c r="C136" s="147" t="s">
        <v>149</v>
      </c>
      <c r="D136" s="28" t="s">
        <v>164</v>
      </c>
      <c r="E136" s="30" t="s">
        <v>1152</v>
      </c>
      <c r="F136" s="28"/>
      <c r="G136" s="28"/>
      <c r="H136" s="28"/>
      <c r="I136" s="28"/>
      <c r="J136" s="28"/>
    </row>
    <row r="137" spans="2:10" x14ac:dyDescent="0.2">
      <c r="B137" s="169" t="s">
        <v>768</v>
      </c>
      <c r="C137" s="147" t="s">
        <v>154</v>
      </c>
      <c r="D137" s="28" t="s">
        <v>165</v>
      </c>
      <c r="E137" s="30" t="s">
        <v>1152</v>
      </c>
      <c r="F137" s="28"/>
      <c r="G137" s="28"/>
      <c r="H137" s="28"/>
      <c r="I137" s="28"/>
      <c r="J137" s="28"/>
    </row>
    <row r="138" spans="2:10" x14ac:dyDescent="0.2">
      <c r="B138" s="31" t="s">
        <v>166</v>
      </c>
      <c r="C138" s="31" t="s">
        <v>167</v>
      </c>
      <c r="D138" s="31" t="s">
        <v>168</v>
      </c>
      <c r="E138" s="31" t="s">
        <v>1152</v>
      </c>
      <c r="F138" s="172" t="s">
        <v>960</v>
      </c>
      <c r="G138" s="31"/>
      <c r="H138" s="31"/>
      <c r="I138" s="31"/>
      <c r="J138" s="31"/>
    </row>
    <row r="139" spans="2:10" x14ac:dyDescent="0.2">
      <c r="B139" s="173" t="s">
        <v>166</v>
      </c>
      <c r="C139" s="174" t="s">
        <v>552</v>
      </c>
      <c r="D139" s="174" t="s">
        <v>169</v>
      </c>
      <c r="E139" s="174" t="s">
        <v>1152</v>
      </c>
      <c r="F139" s="175" t="s">
        <v>966</v>
      </c>
      <c r="G139" s="174" t="s">
        <v>929</v>
      </c>
      <c r="H139" s="134"/>
      <c r="I139" s="134"/>
      <c r="J139" s="134"/>
    </row>
    <row r="140" spans="2:10" x14ac:dyDescent="0.2">
      <c r="B140" s="173" t="s">
        <v>166</v>
      </c>
      <c r="C140" s="174" t="s">
        <v>557</v>
      </c>
      <c r="D140" s="174" t="s">
        <v>170</v>
      </c>
      <c r="E140" s="174" t="s">
        <v>1152</v>
      </c>
      <c r="F140" s="175" t="s">
        <v>966</v>
      </c>
      <c r="G140" s="174" t="s">
        <v>929</v>
      </c>
      <c r="H140" s="134"/>
      <c r="I140" s="134"/>
      <c r="J140" s="134"/>
    </row>
    <row r="141" spans="2:10" x14ac:dyDescent="0.2">
      <c r="B141" s="173" t="s">
        <v>166</v>
      </c>
      <c r="C141" s="174" t="s">
        <v>551</v>
      </c>
      <c r="D141" s="174" t="s">
        <v>171</v>
      </c>
      <c r="E141" s="174" t="s">
        <v>1152</v>
      </c>
      <c r="F141" s="175" t="s">
        <v>966</v>
      </c>
      <c r="G141" s="174" t="s">
        <v>929</v>
      </c>
      <c r="H141" s="134"/>
      <c r="I141" s="134"/>
      <c r="J141" s="134"/>
    </row>
    <row r="142" spans="2:10" x14ac:dyDescent="0.2">
      <c r="B142" s="173" t="s">
        <v>166</v>
      </c>
      <c r="C142" s="174" t="s">
        <v>554</v>
      </c>
      <c r="D142" s="174" t="s">
        <v>172</v>
      </c>
      <c r="E142" s="174" t="s">
        <v>1152</v>
      </c>
      <c r="F142" s="175" t="s">
        <v>966</v>
      </c>
      <c r="G142" s="174" t="s">
        <v>929</v>
      </c>
      <c r="H142" s="134"/>
      <c r="I142" s="134"/>
      <c r="J142" s="134"/>
    </row>
    <row r="143" spans="2:10" x14ac:dyDescent="0.2">
      <c r="B143" s="173" t="s">
        <v>166</v>
      </c>
      <c r="C143" s="174" t="s">
        <v>558</v>
      </c>
      <c r="D143" s="174" t="s">
        <v>173</v>
      </c>
      <c r="E143" s="174" t="s">
        <v>1152</v>
      </c>
      <c r="F143" s="175" t="s">
        <v>966</v>
      </c>
      <c r="G143" s="174" t="s">
        <v>929</v>
      </c>
      <c r="H143" s="134"/>
      <c r="I143" s="134"/>
      <c r="J143" s="134"/>
    </row>
    <row r="144" spans="2:10" x14ac:dyDescent="0.2">
      <c r="B144" s="173" t="s">
        <v>166</v>
      </c>
      <c r="C144" s="174" t="s">
        <v>548</v>
      </c>
      <c r="D144" s="174" t="s">
        <v>174</v>
      </c>
      <c r="E144" s="174" t="s">
        <v>1152</v>
      </c>
      <c r="F144" s="175" t="s">
        <v>966</v>
      </c>
      <c r="G144" s="174" t="s">
        <v>929</v>
      </c>
      <c r="H144" s="134"/>
      <c r="I144" s="134"/>
      <c r="J144" s="134"/>
    </row>
    <row r="145" spans="2:10" x14ac:dyDescent="0.2">
      <c r="B145" s="173" t="s">
        <v>166</v>
      </c>
      <c r="C145" s="174" t="s">
        <v>547</v>
      </c>
      <c r="D145" s="174" t="s">
        <v>175</v>
      </c>
      <c r="E145" s="174" t="s">
        <v>1152</v>
      </c>
      <c r="F145" s="175" t="s">
        <v>966</v>
      </c>
      <c r="G145" s="174" t="s">
        <v>929</v>
      </c>
      <c r="H145" s="134"/>
      <c r="I145" s="134"/>
      <c r="J145" s="134"/>
    </row>
    <row r="146" spans="2:10" x14ac:dyDescent="0.2">
      <c r="B146" s="173" t="s">
        <v>166</v>
      </c>
      <c r="C146" s="174" t="s">
        <v>550</v>
      </c>
      <c r="D146" s="174" t="s">
        <v>176</v>
      </c>
      <c r="E146" s="174" t="s">
        <v>1152</v>
      </c>
      <c r="F146" s="175" t="s">
        <v>966</v>
      </c>
      <c r="G146" s="174" t="s">
        <v>929</v>
      </c>
      <c r="H146" s="134"/>
      <c r="I146" s="134"/>
      <c r="J146" s="134"/>
    </row>
    <row r="147" spans="2:10" x14ac:dyDescent="0.2">
      <c r="B147" s="31" t="s">
        <v>276</v>
      </c>
      <c r="C147" s="31" t="s">
        <v>177</v>
      </c>
      <c r="D147" s="31" t="s">
        <v>178</v>
      </c>
      <c r="E147" s="31" t="s">
        <v>274</v>
      </c>
      <c r="F147" s="31"/>
      <c r="G147" s="31"/>
      <c r="H147" s="31"/>
      <c r="I147" s="31"/>
      <c r="J147" s="31"/>
    </row>
    <row r="152" spans="2:10" x14ac:dyDescent="0.2">
      <c r="B152" s="23" t="s">
        <v>1114</v>
      </c>
    </row>
    <row r="153" spans="2:10" x14ac:dyDescent="0.2">
      <c r="B153" s="34" t="s">
        <v>316</v>
      </c>
      <c r="C153" s="35" t="s">
        <v>1126</v>
      </c>
      <c r="D153" s="35" t="s">
        <v>1127</v>
      </c>
      <c r="E153" s="35" t="s">
        <v>1115</v>
      </c>
      <c r="F153" s="35" t="s">
        <v>1116</v>
      </c>
      <c r="G153" s="35" t="s">
        <v>1117</v>
      </c>
      <c r="H153" s="35" t="s">
        <v>1118</v>
      </c>
      <c r="I153" s="35"/>
      <c r="J153" s="36" t="s">
        <v>1119</v>
      </c>
    </row>
    <row r="154" spans="2:10" x14ac:dyDescent="0.2">
      <c r="B154" s="37" t="s">
        <v>957</v>
      </c>
      <c r="C154" s="37" t="s">
        <v>136</v>
      </c>
      <c r="D154" s="37" t="s">
        <v>137</v>
      </c>
      <c r="E154" s="37" t="s">
        <v>1152</v>
      </c>
      <c r="F154" s="37" t="s">
        <v>971</v>
      </c>
      <c r="G154" s="37" t="s">
        <v>929</v>
      </c>
      <c r="H154" s="37" t="s">
        <v>138</v>
      </c>
      <c r="I154" s="37"/>
      <c r="J154" s="37" t="s">
        <v>1120</v>
      </c>
    </row>
    <row r="155" spans="2:10" x14ac:dyDescent="0.2">
      <c r="B155" s="37" t="s">
        <v>957</v>
      </c>
      <c r="C155" s="37" t="s">
        <v>139</v>
      </c>
      <c r="D155" s="37" t="s">
        <v>140</v>
      </c>
      <c r="E155" s="37" t="s">
        <v>1152</v>
      </c>
      <c r="F155" s="37" t="s">
        <v>971</v>
      </c>
      <c r="G155" s="37" t="s">
        <v>929</v>
      </c>
      <c r="H155" s="37"/>
      <c r="I155" s="37"/>
      <c r="J155" s="37" t="s">
        <v>1120</v>
      </c>
    </row>
    <row r="156" spans="2:10" x14ac:dyDescent="0.2">
      <c r="B156" s="37" t="s">
        <v>957</v>
      </c>
      <c r="C156" s="37" t="s">
        <v>141</v>
      </c>
      <c r="D156" s="37" t="s">
        <v>142</v>
      </c>
      <c r="E156" s="37" t="s">
        <v>1152</v>
      </c>
      <c r="F156" s="37" t="s">
        <v>971</v>
      </c>
      <c r="G156" s="37" t="s">
        <v>929</v>
      </c>
      <c r="H156" s="37" t="s">
        <v>833</v>
      </c>
      <c r="I156" s="37"/>
      <c r="J156" s="37" t="s">
        <v>1120</v>
      </c>
    </row>
    <row r="157" spans="2:10" x14ac:dyDescent="0.2">
      <c r="B157" s="37" t="s">
        <v>957</v>
      </c>
      <c r="C157" s="37" t="s">
        <v>143</v>
      </c>
      <c r="D157" s="37" t="s">
        <v>144</v>
      </c>
      <c r="E157" s="37" t="s">
        <v>1152</v>
      </c>
      <c r="F157" s="37" t="s">
        <v>1152</v>
      </c>
      <c r="G157" s="37" t="s">
        <v>929</v>
      </c>
      <c r="H157" s="37" t="s">
        <v>833</v>
      </c>
      <c r="I157" s="37"/>
      <c r="J157" s="37" t="s">
        <v>1120</v>
      </c>
    </row>
    <row r="158" spans="2:10" x14ac:dyDescent="0.2">
      <c r="B158" s="37" t="s">
        <v>957</v>
      </c>
      <c r="C158" s="37" t="s">
        <v>145</v>
      </c>
      <c r="D158" s="37" t="s">
        <v>146</v>
      </c>
      <c r="E158" s="37" t="s">
        <v>1152</v>
      </c>
      <c r="F158" s="37" t="s">
        <v>1152</v>
      </c>
      <c r="G158" s="37" t="s">
        <v>929</v>
      </c>
      <c r="H158" s="37" t="s">
        <v>833</v>
      </c>
      <c r="I158" s="37"/>
      <c r="J158" s="37" t="s">
        <v>1120</v>
      </c>
    </row>
    <row r="159" spans="2:10" x14ac:dyDescent="0.2">
      <c r="B159" s="37" t="s">
        <v>957</v>
      </c>
      <c r="C159" s="37" t="s">
        <v>147</v>
      </c>
      <c r="D159" s="37" t="s">
        <v>148</v>
      </c>
      <c r="E159" s="37" t="s">
        <v>1152</v>
      </c>
      <c r="F159" s="37" t="s">
        <v>1152</v>
      </c>
      <c r="G159" s="37" t="s">
        <v>929</v>
      </c>
      <c r="H159" s="37" t="s">
        <v>833</v>
      </c>
      <c r="I159" s="37"/>
      <c r="J159" s="37" t="s">
        <v>1120</v>
      </c>
    </row>
    <row r="160" spans="2:10" x14ac:dyDescent="0.2">
      <c r="B160" s="37" t="s">
        <v>957</v>
      </c>
      <c r="C160" s="37" t="s">
        <v>150</v>
      </c>
      <c r="D160" s="37" t="s">
        <v>151</v>
      </c>
      <c r="E160" s="37" t="s">
        <v>1152</v>
      </c>
      <c r="F160" s="37" t="s">
        <v>1152</v>
      </c>
      <c r="G160" s="37" t="s">
        <v>929</v>
      </c>
      <c r="H160" s="37" t="s">
        <v>833</v>
      </c>
      <c r="I160" s="37"/>
      <c r="J160" s="37" t="s">
        <v>1120</v>
      </c>
    </row>
    <row r="161" spans="2:10" x14ac:dyDescent="0.2">
      <c r="B161" s="37" t="s">
        <v>957</v>
      </c>
      <c r="C161" s="37" t="s">
        <v>152</v>
      </c>
      <c r="D161" s="37" t="s">
        <v>153</v>
      </c>
      <c r="E161" s="37" t="s">
        <v>1152</v>
      </c>
      <c r="F161" s="37" t="s">
        <v>1152</v>
      </c>
      <c r="G161" s="37" t="s">
        <v>929</v>
      </c>
      <c r="H161" s="37" t="s">
        <v>138</v>
      </c>
      <c r="I161" s="37"/>
      <c r="J161" s="37" t="s">
        <v>1120</v>
      </c>
    </row>
    <row r="162" spans="2:10" x14ac:dyDescent="0.2">
      <c r="B162" s="37" t="s">
        <v>957</v>
      </c>
      <c r="C162" s="37" t="s">
        <v>155</v>
      </c>
      <c r="D162" s="37" t="s">
        <v>156</v>
      </c>
      <c r="E162" s="37" t="s">
        <v>1152</v>
      </c>
      <c r="F162" s="37" t="s">
        <v>1152</v>
      </c>
      <c r="G162" s="37" t="s">
        <v>929</v>
      </c>
      <c r="H162" s="37" t="s">
        <v>138</v>
      </c>
      <c r="I162" s="37"/>
      <c r="J162" s="37" t="s">
        <v>1120</v>
      </c>
    </row>
    <row r="163" spans="2:10" x14ac:dyDescent="0.2">
      <c r="B163" s="37" t="s">
        <v>957</v>
      </c>
      <c r="C163" s="37" t="s">
        <v>157</v>
      </c>
      <c r="D163" s="37" t="s">
        <v>158</v>
      </c>
      <c r="E163" s="37" t="s">
        <v>1152</v>
      </c>
      <c r="F163" s="37" t="s">
        <v>1152</v>
      </c>
      <c r="G163" s="37" t="s">
        <v>929</v>
      </c>
      <c r="H163" s="37" t="s">
        <v>149</v>
      </c>
      <c r="I163" s="37"/>
      <c r="J163" s="37" t="s">
        <v>1120</v>
      </c>
    </row>
    <row r="164" spans="2:10" x14ac:dyDescent="0.2">
      <c r="B164" s="37" t="s">
        <v>957</v>
      </c>
      <c r="C164" s="37" t="s">
        <v>159</v>
      </c>
      <c r="D164" s="37" t="s">
        <v>160</v>
      </c>
      <c r="E164" s="37" t="s">
        <v>1152</v>
      </c>
      <c r="F164" s="37" t="s">
        <v>1152</v>
      </c>
      <c r="G164" s="37" t="s">
        <v>929</v>
      </c>
      <c r="H164" s="37" t="s">
        <v>154</v>
      </c>
      <c r="I164" s="37"/>
      <c r="J164" s="37" t="s">
        <v>1120</v>
      </c>
    </row>
    <row r="165" spans="2:10" x14ac:dyDescent="0.2">
      <c r="B165" s="40" t="s">
        <v>957</v>
      </c>
      <c r="C165" s="40" t="s">
        <v>1373</v>
      </c>
      <c r="D165" s="40" t="s">
        <v>1374</v>
      </c>
      <c r="E165" s="40" t="s">
        <v>1152</v>
      </c>
      <c r="F165" s="40" t="s">
        <v>971</v>
      </c>
      <c r="G165" s="40" t="s">
        <v>929</v>
      </c>
      <c r="H165" s="40" t="s">
        <v>1376</v>
      </c>
      <c r="I165" s="40"/>
      <c r="J165" s="40"/>
    </row>
    <row r="166" spans="2:10" x14ac:dyDescent="0.2">
      <c r="B166" s="40" t="s">
        <v>957</v>
      </c>
      <c r="C166" s="40" t="s">
        <v>1385</v>
      </c>
      <c r="D166" s="40" t="s">
        <v>1386</v>
      </c>
      <c r="E166" s="40" t="s">
        <v>1152</v>
      </c>
      <c r="F166" s="40" t="s">
        <v>971</v>
      </c>
      <c r="G166" s="40" t="s">
        <v>929</v>
      </c>
      <c r="H166" s="40" t="s">
        <v>1376</v>
      </c>
      <c r="I166" s="40"/>
      <c r="J166" s="40"/>
    </row>
    <row r="167" spans="2:10" x14ac:dyDescent="0.2">
      <c r="B167" s="40" t="s">
        <v>957</v>
      </c>
      <c r="C167" s="40" t="s">
        <v>1392</v>
      </c>
      <c r="D167" s="40" t="s">
        <v>1393</v>
      </c>
      <c r="E167" s="40" t="s">
        <v>1152</v>
      </c>
      <c r="F167" s="40" t="s">
        <v>971</v>
      </c>
      <c r="G167" s="40" t="s">
        <v>929</v>
      </c>
      <c r="H167" s="40" t="s">
        <v>745</v>
      </c>
      <c r="I167" s="40"/>
      <c r="J167" s="40"/>
    </row>
    <row r="168" spans="2:10" x14ac:dyDescent="0.2">
      <c r="B168" s="40" t="s">
        <v>957</v>
      </c>
      <c r="C168" s="40" t="s">
        <v>1399</v>
      </c>
      <c r="D168" s="40" t="s">
        <v>1394</v>
      </c>
      <c r="E168" s="40" t="s">
        <v>1152</v>
      </c>
      <c r="F168" s="40" t="s">
        <v>971</v>
      </c>
      <c r="G168" s="40" t="s">
        <v>929</v>
      </c>
      <c r="H168" s="40" t="s">
        <v>742</v>
      </c>
      <c r="I168" s="40"/>
      <c r="J168" s="40"/>
    </row>
    <row r="169" spans="2:10" x14ac:dyDescent="0.2">
      <c r="B169" s="40" t="s">
        <v>957</v>
      </c>
      <c r="C169" s="40" t="s">
        <v>1281</v>
      </c>
      <c r="D169" s="40" t="s">
        <v>1335</v>
      </c>
      <c r="E169" s="40" t="s">
        <v>1152</v>
      </c>
      <c r="F169" s="40" t="s">
        <v>971</v>
      </c>
      <c r="G169" s="40" t="s">
        <v>929</v>
      </c>
      <c r="H169" s="40" t="s">
        <v>758</v>
      </c>
      <c r="I169" s="40"/>
      <c r="J169" s="40" t="s">
        <v>1120</v>
      </c>
    </row>
    <row r="170" spans="2:10" x14ac:dyDescent="0.2">
      <c r="B170" s="40" t="s">
        <v>957</v>
      </c>
      <c r="C170" s="40" t="s">
        <v>1283</v>
      </c>
      <c r="D170" s="40" t="s">
        <v>1284</v>
      </c>
      <c r="E170" s="40" t="s">
        <v>1152</v>
      </c>
      <c r="F170" s="40" t="s">
        <v>971</v>
      </c>
      <c r="G170" s="40" t="s">
        <v>929</v>
      </c>
      <c r="H170" s="40" t="s">
        <v>758</v>
      </c>
      <c r="I170" s="40"/>
      <c r="J170" s="40" t="s">
        <v>1120</v>
      </c>
    </row>
    <row r="171" spans="2:10" x14ac:dyDescent="0.2">
      <c r="B171" s="40" t="s">
        <v>957</v>
      </c>
      <c r="C171" s="40" t="s">
        <v>1371</v>
      </c>
      <c r="D171" s="40" t="s">
        <v>1372</v>
      </c>
      <c r="E171" s="40" t="s">
        <v>1152</v>
      </c>
      <c r="F171" s="40" t="s">
        <v>971</v>
      </c>
      <c r="G171" s="40" t="s">
        <v>929</v>
      </c>
      <c r="H171" s="40" t="s">
        <v>758</v>
      </c>
      <c r="I171" s="40"/>
      <c r="J171" s="40" t="s">
        <v>1120</v>
      </c>
    </row>
    <row r="172" spans="2:10" x14ac:dyDescent="0.2">
      <c r="B172" s="40" t="s">
        <v>957</v>
      </c>
      <c r="C172" s="40" t="s">
        <v>1371</v>
      </c>
      <c r="D172" s="40" t="s">
        <v>1372</v>
      </c>
      <c r="E172" s="40" t="s">
        <v>1152</v>
      </c>
      <c r="F172" s="40" t="s">
        <v>971</v>
      </c>
      <c r="G172" s="40" t="s">
        <v>929</v>
      </c>
      <c r="H172" s="40" t="s">
        <v>758</v>
      </c>
      <c r="I172" s="40"/>
      <c r="J172" s="40"/>
    </row>
    <row r="173" spans="2:10" x14ac:dyDescent="0.2">
      <c r="B173" s="40" t="s">
        <v>957</v>
      </c>
      <c r="C173" s="40" t="s">
        <v>1287</v>
      </c>
      <c r="D173" s="40" t="s">
        <v>1288</v>
      </c>
      <c r="E173" s="40" t="s">
        <v>1152</v>
      </c>
      <c r="F173" s="40" t="s">
        <v>971</v>
      </c>
      <c r="G173" s="40" t="s">
        <v>929</v>
      </c>
      <c r="H173" s="40"/>
      <c r="I173" s="40"/>
      <c r="J173" s="40" t="s">
        <v>1120</v>
      </c>
    </row>
  </sheetData>
  <phoneticPr fontId="19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539"/>
  <sheetViews>
    <sheetView zoomScale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9.85546875" style="7" customWidth="1"/>
    <col min="2" max="2" width="15.28515625" style="7" customWidth="1"/>
    <col min="3" max="3" width="58.28515625" style="7" customWidth="1"/>
    <col min="4" max="4" width="12.7109375" style="7" customWidth="1"/>
    <col min="5" max="5" width="10.5703125" style="7" customWidth="1"/>
    <col min="6" max="6" width="9.140625" style="1"/>
    <col min="7" max="7" width="7.140625" style="7" customWidth="1"/>
    <col min="8" max="8" width="5.7109375" style="1" customWidth="1"/>
    <col min="9" max="9" width="8" style="1" customWidth="1"/>
    <col min="10" max="10" width="5.85546875" style="7" customWidth="1"/>
    <col min="11" max="11" width="9.28515625" style="7" customWidth="1"/>
    <col min="12" max="12" width="9.140625" style="7"/>
    <col min="13" max="13" width="8.85546875" style="7" customWidth="1"/>
    <col min="14" max="14" width="6.85546875" style="7" customWidth="1"/>
    <col min="15" max="15" width="6.5703125" style="7" customWidth="1"/>
    <col min="16" max="18" width="9.140625" style="7" bestFit="1"/>
    <col min="19" max="24" width="9.140625" style="7"/>
    <col min="25" max="25" width="8.42578125" style="7" customWidth="1"/>
    <col min="26" max="26" width="11.7109375" style="7" customWidth="1"/>
    <col min="27" max="27" width="9" style="7" customWidth="1"/>
    <col min="28" max="31" width="9.140625" style="7"/>
    <col min="32" max="32" width="9.140625" style="7" bestFit="1"/>
    <col min="33" max="34" width="9.140625" style="7"/>
    <col min="35" max="35" width="12" style="7" customWidth="1"/>
    <col min="36" max="16384" width="9.140625" style="7"/>
  </cols>
  <sheetData>
    <row r="1" spans="1:32" ht="36.75" thickBot="1" x14ac:dyDescent="0.25">
      <c r="B1" s="20" t="s">
        <v>1126</v>
      </c>
      <c r="C1" s="20" t="s">
        <v>1127</v>
      </c>
      <c r="D1" s="20" t="s">
        <v>540</v>
      </c>
      <c r="E1" s="42" t="s">
        <v>1128</v>
      </c>
      <c r="F1" s="42" t="s">
        <v>289</v>
      </c>
      <c r="G1" s="93" t="s">
        <v>318</v>
      </c>
      <c r="H1" s="42" t="s">
        <v>317</v>
      </c>
      <c r="I1" s="42" t="s">
        <v>541</v>
      </c>
      <c r="J1" s="86" t="s">
        <v>322</v>
      </c>
      <c r="K1" s="85" t="s">
        <v>319</v>
      </c>
      <c r="L1" s="42" t="s">
        <v>27</v>
      </c>
      <c r="M1" s="42" t="s">
        <v>28</v>
      </c>
      <c r="N1" s="86" t="s">
        <v>1011</v>
      </c>
      <c r="O1" s="42" t="s">
        <v>320</v>
      </c>
      <c r="P1" s="42" t="s">
        <v>29</v>
      </c>
      <c r="Q1" s="42" t="s">
        <v>30</v>
      </c>
      <c r="R1" s="86" t="s">
        <v>1013</v>
      </c>
      <c r="S1" s="85" t="s">
        <v>321</v>
      </c>
      <c r="T1" s="85" t="s">
        <v>323</v>
      </c>
      <c r="U1" s="42" t="s">
        <v>31</v>
      </c>
      <c r="V1" s="86" t="s">
        <v>32</v>
      </c>
      <c r="W1" s="86" t="s">
        <v>1017</v>
      </c>
      <c r="X1" s="20" t="s">
        <v>890</v>
      </c>
    </row>
    <row r="2" spans="1:32" x14ac:dyDescent="0.2">
      <c r="F2" s="7"/>
      <c r="H2" s="7"/>
    </row>
    <row r="3" spans="1:32" ht="15.75" x14ac:dyDescent="0.25">
      <c r="C3" s="73" t="s">
        <v>651</v>
      </c>
      <c r="F3" s="27" t="s">
        <v>978</v>
      </c>
      <c r="G3" s="27">
        <v>2010</v>
      </c>
      <c r="H3" s="7"/>
    </row>
    <row r="4" spans="1:32" x14ac:dyDescent="0.2">
      <c r="C4" s="74" t="s">
        <v>652</v>
      </c>
      <c r="F4" s="7"/>
      <c r="H4" s="7"/>
    </row>
    <row r="5" spans="1:32" x14ac:dyDescent="0.2">
      <c r="C5" s="4" t="s">
        <v>659</v>
      </c>
      <c r="F5" s="7"/>
      <c r="H5" s="7"/>
    </row>
    <row r="6" spans="1:32" s="6" customFormat="1" x14ac:dyDescent="0.2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2" s="6" customFormat="1" x14ac:dyDescent="0.2">
      <c r="A7" s="7"/>
      <c r="B7" s="1"/>
      <c r="C7" s="1"/>
      <c r="D7" s="1"/>
      <c r="E7" s="1"/>
      <c r="F7" s="1"/>
      <c r="G7" s="1"/>
      <c r="H7" s="1"/>
      <c r="I7" s="1"/>
      <c r="J7" s="1"/>
      <c r="K7" s="82"/>
      <c r="L7" s="82"/>
      <c r="M7" s="1"/>
      <c r="N7"/>
      <c r="O7" s="82"/>
      <c r="P7" s="1"/>
    </row>
    <row r="8" spans="1:32" s="6" customFormat="1" x14ac:dyDescent="0.2">
      <c r="A8" s="7"/>
      <c r="B8" s="1"/>
      <c r="C8" s="1"/>
      <c r="D8" s="1"/>
      <c r="E8" s="1"/>
      <c r="F8" s="1"/>
      <c r="G8" s="1"/>
      <c r="H8" s="1"/>
      <c r="I8" s="1"/>
      <c r="J8" s="1"/>
      <c r="K8" s="82"/>
      <c r="L8" s="82"/>
      <c r="M8" s="1"/>
      <c r="N8"/>
      <c r="O8" s="82"/>
      <c r="P8" s="1"/>
    </row>
    <row r="9" spans="1:32" s="6" customFormat="1" ht="18" x14ac:dyDescent="0.25">
      <c r="A9" s="7"/>
      <c r="B9" s="397" t="s">
        <v>1328</v>
      </c>
      <c r="C9" s="395"/>
      <c r="D9" s="396"/>
      <c r="E9"/>
      <c r="F9" s="23" t="s">
        <v>82</v>
      </c>
      <c r="G9"/>
      <c r="H9"/>
      <c r="I9"/>
      <c r="J9"/>
      <c r="K9"/>
      <c r="L9"/>
      <c r="M9"/>
      <c r="N9"/>
      <c r="O9"/>
      <c r="P9"/>
      <c r="Q9"/>
      <c r="Z9"/>
      <c r="AA9"/>
      <c r="AB9" s="23" t="s">
        <v>1062</v>
      </c>
      <c r="AC9"/>
      <c r="AD9"/>
      <c r="AE9"/>
      <c r="AF9"/>
    </row>
    <row r="10" spans="1:32" s="6" customFormat="1" ht="36.75" thickBot="1" x14ac:dyDescent="0.25">
      <c r="A10" s="7"/>
      <c r="B10" s="20" t="s">
        <v>1126</v>
      </c>
      <c r="C10" s="20" t="s">
        <v>1127</v>
      </c>
      <c r="D10" s="20" t="s">
        <v>540</v>
      </c>
      <c r="E10" s="42" t="s">
        <v>1128</v>
      </c>
      <c r="F10" s="42" t="s">
        <v>289</v>
      </c>
      <c r="G10" s="93" t="s">
        <v>318</v>
      </c>
      <c r="H10" s="42" t="s">
        <v>317</v>
      </c>
      <c r="I10" s="42" t="s">
        <v>541</v>
      </c>
      <c r="J10" s="86" t="s">
        <v>322</v>
      </c>
      <c r="K10" s="85" t="s">
        <v>319</v>
      </c>
      <c r="L10" s="42" t="s">
        <v>27</v>
      </c>
      <c r="M10" s="42" t="s">
        <v>28</v>
      </c>
      <c r="N10" s="86" t="s">
        <v>1011</v>
      </c>
      <c r="O10" s="42" t="s">
        <v>320</v>
      </c>
      <c r="P10" s="42" t="s">
        <v>29</v>
      </c>
      <c r="Q10" s="42" t="s">
        <v>30</v>
      </c>
      <c r="R10" s="86" t="s">
        <v>1013</v>
      </c>
      <c r="S10" s="398" t="s">
        <v>321</v>
      </c>
      <c r="T10" s="42" t="s">
        <v>323</v>
      </c>
      <c r="U10" s="42" t="s">
        <v>31</v>
      </c>
      <c r="V10" s="42" t="s">
        <v>32</v>
      </c>
      <c r="W10" s="86" t="s">
        <v>1017</v>
      </c>
      <c r="X10" s="20" t="s">
        <v>890</v>
      </c>
      <c r="Z10" s="20" t="s">
        <v>1126</v>
      </c>
      <c r="AA10" s="42" t="s">
        <v>1128</v>
      </c>
      <c r="AB10" s="42" t="s">
        <v>289</v>
      </c>
      <c r="AC10" s="42" t="s">
        <v>1129</v>
      </c>
      <c r="AD10" s="42" t="s">
        <v>44</v>
      </c>
      <c r="AE10" s="42" t="s">
        <v>45</v>
      </c>
      <c r="AF10" s="42" t="s">
        <v>46</v>
      </c>
    </row>
    <row r="11" spans="1:32" s="6" customFormat="1" x14ac:dyDescent="0.2">
      <c r="A11" s="7"/>
      <c r="B11" s="28" t="s">
        <v>66</v>
      </c>
      <c r="C11" s="28" t="s">
        <v>67</v>
      </c>
      <c r="D11" s="28"/>
      <c r="E11" s="28" t="s">
        <v>502</v>
      </c>
      <c r="F11" s="28" t="s">
        <v>342</v>
      </c>
      <c r="G11" s="235">
        <v>2012</v>
      </c>
      <c r="H11" s="28">
        <v>31.536000000000001</v>
      </c>
      <c r="I11" s="227">
        <v>25</v>
      </c>
      <c r="J11" s="227">
        <v>1</v>
      </c>
      <c r="K11" s="236">
        <v>149.93939393939397</v>
      </c>
      <c r="L11" s="237">
        <v>149.93939393939394</v>
      </c>
      <c r="M11" s="237">
        <v>149.93939393939394</v>
      </c>
      <c r="N11" s="237">
        <v>149.93939393939399</v>
      </c>
      <c r="O11" s="236">
        <v>5.622727272727273</v>
      </c>
      <c r="P11" s="237">
        <v>5.622727272727273</v>
      </c>
      <c r="Q11" s="237">
        <v>5.622727272727273</v>
      </c>
      <c r="R11" s="237">
        <v>5.622727272727273</v>
      </c>
      <c r="S11" s="238">
        <v>0</v>
      </c>
      <c r="T11" s="238">
        <v>1</v>
      </c>
      <c r="U11" s="239">
        <v>1</v>
      </c>
      <c r="V11" s="239">
        <v>1</v>
      </c>
      <c r="W11" s="239">
        <v>1</v>
      </c>
      <c r="X11" s="238"/>
      <c r="Z11" s="30" t="str">
        <f>B11</f>
        <v>RH1ELC005</v>
      </c>
      <c r="AA11" s="30"/>
      <c r="AB11" s="30"/>
      <c r="AC11" s="30"/>
      <c r="AD11" s="30"/>
      <c r="AE11" s="30"/>
      <c r="AF11" s="30"/>
    </row>
    <row r="12" spans="1:32" s="6" customFormat="1" x14ac:dyDescent="0.2">
      <c r="A12" s="7"/>
      <c r="B12" s="28" t="s">
        <v>68</v>
      </c>
      <c r="C12" s="28" t="s">
        <v>69</v>
      </c>
      <c r="D12" s="28"/>
      <c r="E12" s="28" t="s">
        <v>658</v>
      </c>
      <c r="F12" s="28" t="s">
        <v>342</v>
      </c>
      <c r="G12" s="240">
        <v>2015</v>
      </c>
      <c r="H12" s="28">
        <v>31.536000000000001</v>
      </c>
      <c r="I12" s="227">
        <v>18</v>
      </c>
      <c r="J12" s="227">
        <v>1</v>
      </c>
      <c r="K12" s="241">
        <v>937.12121212121224</v>
      </c>
      <c r="L12" s="237">
        <v>880.89393939393949</v>
      </c>
      <c r="M12" s="237">
        <v>796.55303030303037</v>
      </c>
      <c r="N12" s="237">
        <v>712.21212121212125</v>
      </c>
      <c r="O12" s="241">
        <v>19.304696969696973</v>
      </c>
      <c r="P12" s="237">
        <v>18.27386363636364</v>
      </c>
      <c r="Q12" s="237">
        <v>16.774469696969696</v>
      </c>
      <c r="R12" s="237">
        <v>15.837348484848485</v>
      </c>
      <c r="S12" s="242">
        <v>0</v>
      </c>
      <c r="T12" s="242">
        <v>2.4180000000000001</v>
      </c>
      <c r="U12" s="239">
        <v>3.0025828869042881</v>
      </c>
      <c r="V12" s="239">
        <v>3.4219550478797065</v>
      </c>
      <c r="W12" s="239">
        <v>3.8121517772272338</v>
      </c>
      <c r="X12" s="242"/>
      <c r="Z12" s="30" t="str">
        <f>B12</f>
        <v>RH1EHA005</v>
      </c>
      <c r="AA12" s="30"/>
      <c r="AB12" s="30"/>
      <c r="AC12" s="30"/>
      <c r="AD12" s="30"/>
      <c r="AE12" s="30"/>
      <c r="AF12" s="30"/>
    </row>
    <row r="13" spans="1:32" s="6" customFormat="1" x14ac:dyDescent="0.2">
      <c r="A13" s="7"/>
      <c r="B13" s="28" t="s">
        <v>70</v>
      </c>
      <c r="C13" s="28" t="s">
        <v>71</v>
      </c>
      <c r="D13" s="28"/>
      <c r="E13" s="28" t="s">
        <v>503</v>
      </c>
      <c r="F13" s="28" t="s">
        <v>342</v>
      </c>
      <c r="G13" s="240">
        <v>2015</v>
      </c>
      <c r="H13" s="28">
        <v>31.536000000000001</v>
      </c>
      <c r="I13" s="227">
        <v>30</v>
      </c>
      <c r="J13" s="227">
        <v>1</v>
      </c>
      <c r="K13" s="241">
        <v>1499.3939393939395</v>
      </c>
      <c r="L13" s="237">
        <v>1405.6818181818182</v>
      </c>
      <c r="M13" s="237">
        <v>1311.9696969696972</v>
      </c>
      <c r="N13" s="237">
        <v>1124.5454545454547</v>
      </c>
      <c r="O13" s="241">
        <v>27.219622727272728</v>
      </c>
      <c r="P13" s="237">
        <v>25.766147727272731</v>
      </c>
      <c r="Q13" s="237">
        <v>23.652002272727273</v>
      </c>
      <c r="R13" s="237">
        <v>22.330661363636363</v>
      </c>
      <c r="S13" s="242">
        <v>0</v>
      </c>
      <c r="T13" s="242">
        <v>3.0150000000000001</v>
      </c>
      <c r="U13" s="239">
        <v>3.2386543570905144</v>
      </c>
      <c r="V13" s="239">
        <v>3.4410592267822495</v>
      </c>
      <c r="W13" s="239">
        <v>3.6333231044897376</v>
      </c>
      <c r="X13" s="242"/>
      <c r="Z13" s="28" t="s">
        <v>70</v>
      </c>
      <c r="AA13" s="227"/>
      <c r="AB13" s="227" t="s">
        <v>1207</v>
      </c>
      <c r="AC13" s="227">
        <v>1</v>
      </c>
      <c r="AD13" s="28"/>
      <c r="AE13" s="28"/>
      <c r="AF13" s="28"/>
    </row>
    <row r="14" spans="1:32" s="6" customFormat="1" x14ac:dyDescent="0.2">
      <c r="A14" s="7"/>
      <c r="B14" s="28" t="s">
        <v>344</v>
      </c>
      <c r="C14" s="28" t="s">
        <v>72</v>
      </c>
      <c r="D14" s="28"/>
      <c r="E14" s="28" t="s">
        <v>503</v>
      </c>
      <c r="F14" s="28" t="s">
        <v>342</v>
      </c>
      <c r="G14" s="240">
        <v>2015</v>
      </c>
      <c r="H14" s="28">
        <v>31.536000000000001</v>
      </c>
      <c r="I14" s="227">
        <v>35</v>
      </c>
      <c r="J14" s="227">
        <v>1</v>
      </c>
      <c r="K14" s="241">
        <v>2053.1297079814867</v>
      </c>
      <c r="L14" s="237">
        <v>1903.3021792679326</v>
      </c>
      <c r="M14" s="237">
        <v>1753.1932528179416</v>
      </c>
      <c r="N14" s="237">
        <v>1539.847280986115</v>
      </c>
      <c r="O14" s="241">
        <v>30.523405981796472</v>
      </c>
      <c r="P14" s="237">
        <v>28.893515371118021</v>
      </c>
      <c r="Q14" s="237">
        <v>26.522765391949363</v>
      </c>
      <c r="R14" s="237">
        <v>25.041046654968948</v>
      </c>
      <c r="S14" s="242">
        <v>0</v>
      </c>
      <c r="T14" s="242">
        <v>3.44</v>
      </c>
      <c r="U14" s="239">
        <v>3.848634500280339</v>
      </c>
      <c r="V14" s="239">
        <v>4.0895888781516936</v>
      </c>
      <c r="W14" s="239">
        <v>4.4424301271574507</v>
      </c>
      <c r="X14" s="242"/>
      <c r="Z14" s="28" t="s">
        <v>344</v>
      </c>
      <c r="AA14" s="227"/>
      <c r="AB14" s="227" t="s">
        <v>1207</v>
      </c>
      <c r="AC14" s="227">
        <v>1</v>
      </c>
      <c r="AD14" s="28"/>
      <c r="AE14" s="28"/>
      <c r="AF14" s="28"/>
    </row>
    <row r="15" spans="1:32" s="6" customFormat="1" x14ac:dyDescent="0.2">
      <c r="A15" s="7"/>
      <c r="B15" s="28" t="s">
        <v>356</v>
      </c>
      <c r="C15" s="28" t="s">
        <v>73</v>
      </c>
      <c r="D15" s="28"/>
      <c r="E15" s="28" t="s">
        <v>1122</v>
      </c>
      <c r="F15" s="28" t="s">
        <v>342</v>
      </c>
      <c r="G15" s="240">
        <v>2015</v>
      </c>
      <c r="H15" s="28">
        <v>31.536000000000001</v>
      </c>
      <c r="I15" s="227">
        <v>30</v>
      </c>
      <c r="J15" s="227">
        <v>1</v>
      </c>
      <c r="K15" s="241">
        <v>464.32909497661171</v>
      </c>
      <c r="L15" s="237">
        <v>426.59267032743548</v>
      </c>
      <c r="M15" s="237">
        <v>401.43505389465128</v>
      </c>
      <c r="N15" s="237">
        <v>338.54101281269067</v>
      </c>
      <c r="O15" s="241">
        <v>15.495968614718615</v>
      </c>
      <c r="P15" s="237">
        <v>15.211468697096967</v>
      </c>
      <c r="Q15" s="237">
        <v>15.347398785298759</v>
      </c>
      <c r="R15" s="237">
        <v>14.104860508965444</v>
      </c>
      <c r="S15" s="242">
        <v>0</v>
      </c>
      <c r="T15" s="243">
        <v>1</v>
      </c>
      <c r="U15" s="232">
        <v>1</v>
      </c>
      <c r="V15" s="232">
        <v>1</v>
      </c>
      <c r="W15" s="232">
        <v>1</v>
      </c>
      <c r="X15" s="243"/>
      <c r="Z15" s="28" t="s">
        <v>356</v>
      </c>
      <c r="AA15" s="227" t="s">
        <v>1170</v>
      </c>
      <c r="AB15" s="227" t="s">
        <v>1207</v>
      </c>
      <c r="AC15" s="227">
        <v>1</v>
      </c>
      <c r="AD15" s="28"/>
      <c r="AE15" s="28"/>
      <c r="AF15" s="28"/>
    </row>
    <row r="16" spans="1:32" s="6" customFormat="1" x14ac:dyDescent="0.2">
      <c r="A16" s="7"/>
      <c r="B16" s="28" t="s">
        <v>1147</v>
      </c>
      <c r="C16" s="28" t="s">
        <v>74</v>
      </c>
      <c r="D16" s="28"/>
      <c r="E16" s="28" t="s">
        <v>42</v>
      </c>
      <c r="F16" s="28" t="s">
        <v>342</v>
      </c>
      <c r="G16" s="240">
        <v>2015</v>
      </c>
      <c r="H16" s="28">
        <v>31.536000000000001</v>
      </c>
      <c r="I16" s="227">
        <v>24</v>
      </c>
      <c r="J16" s="227">
        <v>1</v>
      </c>
      <c r="K16" s="241">
        <v>624.74747474747483</v>
      </c>
      <c r="L16" s="237">
        <v>609.28419576351496</v>
      </c>
      <c r="M16" s="237">
        <v>579.49637092336968</v>
      </c>
      <c r="N16" s="237">
        <v>524.21849041838743</v>
      </c>
      <c r="O16" s="241">
        <v>15.387530303030307</v>
      </c>
      <c r="P16" s="237">
        <v>15.032342668021329</v>
      </c>
      <c r="Q16" s="237">
        <v>14.475808356706327</v>
      </c>
      <c r="R16" s="237">
        <v>13.129459679132209</v>
      </c>
      <c r="S16" s="242">
        <v>0</v>
      </c>
      <c r="T16" s="243">
        <v>0.88</v>
      </c>
      <c r="U16" s="232">
        <v>0.88</v>
      </c>
      <c r="V16" s="232">
        <v>0.92</v>
      </c>
      <c r="W16" s="232">
        <v>0.94</v>
      </c>
      <c r="X16" s="243">
        <v>0.1</v>
      </c>
      <c r="Z16" s="28" t="s">
        <v>1147</v>
      </c>
      <c r="AA16" s="227"/>
      <c r="AB16" s="227" t="s">
        <v>1207</v>
      </c>
      <c r="AC16" s="227">
        <v>1</v>
      </c>
      <c r="AD16" s="28"/>
      <c r="AE16" s="28"/>
      <c r="AF16" s="28"/>
    </row>
    <row r="17" spans="1:32" s="6" customFormat="1" x14ac:dyDescent="0.2">
      <c r="A17" s="7"/>
      <c r="B17" s="28" t="s">
        <v>75</v>
      </c>
      <c r="C17" s="28" t="s">
        <v>76</v>
      </c>
      <c r="D17" s="28"/>
      <c r="E17" s="28" t="s">
        <v>3</v>
      </c>
      <c r="F17" s="28" t="s">
        <v>342</v>
      </c>
      <c r="G17" s="240">
        <v>2015</v>
      </c>
      <c r="H17" s="28">
        <v>31.536000000000001</v>
      </c>
      <c r="I17" s="227">
        <v>24</v>
      </c>
      <c r="J17" s="227">
        <v>1</v>
      </c>
      <c r="K17" s="241">
        <v>374.84848484848487</v>
      </c>
      <c r="L17" s="237">
        <v>365.57051745810895</v>
      </c>
      <c r="M17" s="237">
        <v>347.6978225540218</v>
      </c>
      <c r="N17" s="237">
        <v>314.53109425103253</v>
      </c>
      <c r="O17" s="241">
        <v>15.584325757575758</v>
      </c>
      <c r="P17" s="237">
        <v>15.226326758930419</v>
      </c>
      <c r="Q17" s="237">
        <v>14.728206336504307</v>
      </c>
      <c r="R17" s="237">
        <v>13.385293770041299</v>
      </c>
      <c r="S17" s="242">
        <v>0</v>
      </c>
      <c r="T17" s="243">
        <v>0.92</v>
      </c>
      <c r="U17" s="232">
        <v>0.92</v>
      </c>
      <c r="V17" s="232">
        <v>0.93</v>
      </c>
      <c r="W17" s="232">
        <v>0.95</v>
      </c>
      <c r="X17" s="243"/>
      <c r="Z17" s="28" t="s">
        <v>75</v>
      </c>
      <c r="AA17" s="227"/>
      <c r="AB17" s="227" t="s">
        <v>1207</v>
      </c>
      <c r="AC17" s="227">
        <v>1</v>
      </c>
      <c r="AD17" s="28"/>
      <c r="AE17" s="28"/>
      <c r="AF17" s="28"/>
    </row>
    <row r="18" spans="1:32" s="6" customFormat="1" x14ac:dyDescent="0.2">
      <c r="A18" s="7"/>
      <c r="B18" s="28" t="s">
        <v>77</v>
      </c>
      <c r="C18" s="28" t="s">
        <v>78</v>
      </c>
      <c r="D18" s="28"/>
      <c r="E18" s="28" t="s">
        <v>4</v>
      </c>
      <c r="F18" s="28" t="s">
        <v>342</v>
      </c>
      <c r="G18" s="240">
        <v>2015</v>
      </c>
      <c r="H18" s="28">
        <v>31.536000000000001</v>
      </c>
      <c r="I18" s="227">
        <v>24</v>
      </c>
      <c r="J18" s="227">
        <v>1</v>
      </c>
      <c r="K18" s="241">
        <v>487.30303030303037</v>
      </c>
      <c r="L18" s="237">
        <v>475.24167269554169</v>
      </c>
      <c r="M18" s="237">
        <v>452.00716932022834</v>
      </c>
      <c r="N18" s="237">
        <v>408.89042252634226</v>
      </c>
      <c r="O18" s="241">
        <v>19.628003787878789</v>
      </c>
      <c r="P18" s="237">
        <v>19.183784963814539</v>
      </c>
      <c r="Q18" s="237">
        <v>18.615331279216242</v>
      </c>
      <c r="R18" s="237">
        <v>16.932629712551623</v>
      </c>
      <c r="S18" s="242">
        <v>0</v>
      </c>
      <c r="T18" s="243">
        <v>0.97</v>
      </c>
      <c r="U18" s="232">
        <v>0.97</v>
      </c>
      <c r="V18" s="232">
        <v>0.98</v>
      </c>
      <c r="W18" s="232">
        <v>0.99</v>
      </c>
      <c r="X18" s="243"/>
      <c r="Z18" s="28" t="s">
        <v>77</v>
      </c>
      <c r="AA18" s="227"/>
      <c r="AB18" s="227" t="s">
        <v>1207</v>
      </c>
      <c r="AC18" s="227">
        <v>1</v>
      </c>
      <c r="AD18" s="28"/>
      <c r="AE18" s="28"/>
      <c r="AF18" s="28"/>
    </row>
    <row r="19" spans="1:32" s="6" customFormat="1" x14ac:dyDescent="0.2">
      <c r="A19" s="7"/>
      <c r="B19" s="28" t="s">
        <v>79</v>
      </c>
      <c r="C19" s="28" t="s">
        <v>80</v>
      </c>
      <c r="D19" s="28"/>
      <c r="E19" s="28" t="s">
        <v>5</v>
      </c>
      <c r="F19" s="28" t="s">
        <v>342</v>
      </c>
      <c r="G19" s="240">
        <v>2015</v>
      </c>
      <c r="H19" s="28">
        <v>31.536000000000001</v>
      </c>
      <c r="I19" s="227">
        <v>24</v>
      </c>
      <c r="J19" s="227">
        <v>1</v>
      </c>
      <c r="K19" s="241">
        <v>487.30303030303037</v>
      </c>
      <c r="L19" s="237">
        <v>475.24167269554169</v>
      </c>
      <c r="M19" s="237">
        <v>452.00716932022834</v>
      </c>
      <c r="N19" s="237">
        <v>408.89042252634226</v>
      </c>
      <c r="O19" s="241">
        <v>19.628003787878789</v>
      </c>
      <c r="P19" s="237">
        <v>19.183784963814539</v>
      </c>
      <c r="Q19" s="237">
        <v>18.615331279216242</v>
      </c>
      <c r="R19" s="237">
        <v>16.932629712551623</v>
      </c>
      <c r="S19" s="242">
        <v>0</v>
      </c>
      <c r="T19" s="243">
        <v>0.97</v>
      </c>
      <c r="U19" s="232">
        <v>0.97</v>
      </c>
      <c r="V19" s="232">
        <v>0.98</v>
      </c>
      <c r="W19" s="232">
        <v>0.99</v>
      </c>
      <c r="X19" s="243"/>
      <c r="Z19" s="28" t="s">
        <v>79</v>
      </c>
      <c r="AA19" s="227"/>
      <c r="AB19" s="227" t="s">
        <v>1207</v>
      </c>
      <c r="AC19" s="227">
        <v>1</v>
      </c>
      <c r="AD19" s="28"/>
      <c r="AE19" s="28"/>
      <c r="AF19" s="28"/>
    </row>
    <row r="20" spans="1:32" s="6" customFormat="1" x14ac:dyDescent="0.2">
      <c r="A20" s="7"/>
      <c r="B20" s="28" t="s">
        <v>288</v>
      </c>
      <c r="C20" s="28" t="s">
        <v>34</v>
      </c>
      <c r="D20" s="28"/>
      <c r="E20" s="28" t="s">
        <v>5</v>
      </c>
      <c r="F20" s="28" t="s">
        <v>342</v>
      </c>
      <c r="G20" s="240">
        <v>2015</v>
      </c>
      <c r="H20" s="28">
        <v>31.536000000000001</v>
      </c>
      <c r="I20" s="227">
        <v>20</v>
      </c>
      <c r="J20" s="227">
        <v>1</v>
      </c>
      <c r="K20" s="241">
        <v>1311.9696969696972</v>
      </c>
      <c r="L20" s="237">
        <v>1233.2515151515154</v>
      </c>
      <c r="M20" s="237">
        <v>1109.9263636363639</v>
      </c>
      <c r="N20" s="237">
        <v>998.93372727272742</v>
      </c>
      <c r="O20" s="241">
        <v>22.022348484848486</v>
      </c>
      <c r="P20" s="237">
        <v>22.022348484848486</v>
      </c>
      <c r="Q20" s="237">
        <v>22.022348484848486</v>
      </c>
      <c r="R20" s="237">
        <v>22.022348484848486</v>
      </c>
      <c r="S20" s="242">
        <v>0</v>
      </c>
      <c r="T20" s="242">
        <v>1.4175</v>
      </c>
      <c r="U20" s="239">
        <v>1.3901041757986787</v>
      </c>
      <c r="V20" s="239">
        <v>1.3785257938055204</v>
      </c>
      <c r="W20" s="239">
        <v>1.3699053388202473</v>
      </c>
      <c r="X20" s="242"/>
      <c r="Z20" s="28" t="s">
        <v>288</v>
      </c>
      <c r="AA20" s="227"/>
      <c r="AB20" s="227" t="s">
        <v>1207</v>
      </c>
      <c r="AC20" s="227">
        <v>1</v>
      </c>
      <c r="AD20" s="28"/>
      <c r="AE20" s="28"/>
      <c r="AF20" s="28"/>
    </row>
    <row r="21" spans="1:32" s="6" customFormat="1" x14ac:dyDescent="0.2">
      <c r="A21" s="7"/>
      <c r="B21" s="28" t="s">
        <v>534</v>
      </c>
      <c r="C21" s="28" t="s">
        <v>81</v>
      </c>
      <c r="D21" s="28"/>
      <c r="E21" s="28" t="s">
        <v>1124</v>
      </c>
      <c r="F21" s="28" t="s">
        <v>342</v>
      </c>
      <c r="G21" s="240">
        <v>2015</v>
      </c>
      <c r="H21" s="28">
        <v>31.536000000000001</v>
      </c>
      <c r="I21" s="227">
        <v>25</v>
      </c>
      <c r="J21" s="227">
        <v>1</v>
      </c>
      <c r="K21" s="241">
        <v>406.08585858585866</v>
      </c>
      <c r="L21" s="237">
        <v>396.03472724628477</v>
      </c>
      <c r="M21" s="237">
        <v>376.67264110019033</v>
      </c>
      <c r="N21" s="237">
        <v>340.7420187719519</v>
      </c>
      <c r="O21" s="241">
        <v>4.4950580808080813</v>
      </c>
      <c r="P21" s="237">
        <v>4.4007553901886354</v>
      </c>
      <c r="Q21" s="237">
        <v>4.4105960051397473</v>
      </c>
      <c r="R21" s="237">
        <v>4.0073201105694665</v>
      </c>
      <c r="S21" s="242">
        <v>0</v>
      </c>
      <c r="T21" s="243">
        <v>0.9597140244425254</v>
      </c>
      <c r="U21" s="232">
        <v>0.97309491291462735</v>
      </c>
      <c r="V21" s="232">
        <v>0.97309491291462735</v>
      </c>
      <c r="W21" s="232">
        <v>0.97309491291462735</v>
      </c>
      <c r="X21" s="243"/>
      <c r="Z21" s="28" t="s">
        <v>534</v>
      </c>
      <c r="AA21" s="227"/>
      <c r="AB21" s="227" t="s">
        <v>1207</v>
      </c>
      <c r="AC21" s="227">
        <v>1</v>
      </c>
      <c r="AD21" s="28"/>
      <c r="AE21" s="28"/>
      <c r="AF21" s="28"/>
    </row>
    <row r="22" spans="1:32" s="6" customFormat="1" x14ac:dyDescent="0.2">
      <c r="A22" s="7"/>
      <c r="B22" s="28" t="s">
        <v>1187</v>
      </c>
      <c r="C22" s="28" t="s">
        <v>83</v>
      </c>
      <c r="D22" s="28"/>
      <c r="E22" s="28" t="s">
        <v>6</v>
      </c>
      <c r="F22" s="28" t="s">
        <v>342</v>
      </c>
      <c r="G22" s="240">
        <v>2015</v>
      </c>
      <c r="H22" s="28">
        <v>31.536000000000001</v>
      </c>
      <c r="I22" s="227">
        <v>30</v>
      </c>
      <c r="J22" s="227">
        <v>1</v>
      </c>
      <c r="K22" s="241">
        <v>640.36616161616166</v>
      </c>
      <c r="L22" s="237">
        <v>667.55878949745033</v>
      </c>
      <c r="M22" s="237">
        <v>667.55878949745033</v>
      </c>
      <c r="N22" s="237">
        <v>667.55878949745033</v>
      </c>
      <c r="O22" s="241">
        <v>23.428030303030305</v>
      </c>
      <c r="P22" s="237">
        <v>23.839048378522069</v>
      </c>
      <c r="Q22" s="237">
        <v>23.839048378522069</v>
      </c>
      <c r="R22" s="237">
        <v>23.839048378522069</v>
      </c>
      <c r="S22" s="242">
        <v>0</v>
      </c>
      <c r="T22" s="242">
        <v>0.65</v>
      </c>
      <c r="U22" s="239">
        <v>0.7</v>
      </c>
      <c r="V22" s="239">
        <v>0.75</v>
      </c>
      <c r="W22" s="239">
        <v>0.75</v>
      </c>
      <c r="X22" s="242"/>
      <c r="Z22" s="28" t="s">
        <v>1187</v>
      </c>
      <c r="AA22" s="227"/>
      <c r="AB22" s="245"/>
      <c r="AC22" s="245"/>
      <c r="AD22" s="28"/>
      <c r="AE22" s="28"/>
      <c r="AF22" s="28"/>
    </row>
    <row r="23" spans="1:32" s="6" customFormat="1" x14ac:dyDescent="0.2">
      <c r="A23" s="7"/>
      <c r="B23" s="28" t="s">
        <v>625</v>
      </c>
      <c r="C23" s="28" t="s">
        <v>35</v>
      </c>
      <c r="D23" s="28"/>
      <c r="E23" s="28" t="s">
        <v>6</v>
      </c>
      <c r="F23" s="28" t="s">
        <v>342</v>
      </c>
      <c r="G23" s="240">
        <v>2015</v>
      </c>
      <c r="H23" s="28">
        <v>31.536000000000001</v>
      </c>
      <c r="I23" s="227">
        <v>22</v>
      </c>
      <c r="J23" s="227">
        <v>1</v>
      </c>
      <c r="K23" s="241">
        <v>540.85281385281394</v>
      </c>
      <c r="L23" s="237">
        <v>543.77941477568493</v>
      </c>
      <c r="M23" s="237">
        <v>543.77941477568493</v>
      </c>
      <c r="N23" s="237">
        <v>543.77941477568493</v>
      </c>
      <c r="O23" s="241">
        <v>27.434892857142863</v>
      </c>
      <c r="P23" s="237">
        <v>27.434892857142863</v>
      </c>
      <c r="Q23" s="237">
        <v>27.434892857142863</v>
      </c>
      <c r="R23" s="237">
        <v>27.434892857142863</v>
      </c>
      <c r="S23" s="242">
        <v>0</v>
      </c>
      <c r="T23" s="243">
        <v>0.8</v>
      </c>
      <c r="U23" s="232">
        <v>0.82</v>
      </c>
      <c r="V23" s="232">
        <v>0.86</v>
      </c>
      <c r="W23" s="232">
        <v>0.88</v>
      </c>
      <c r="X23" s="243"/>
      <c r="Z23" s="28" t="s">
        <v>625</v>
      </c>
      <c r="AA23" s="227"/>
      <c r="AB23" s="227" t="s">
        <v>1207</v>
      </c>
      <c r="AC23" s="227">
        <v>1</v>
      </c>
      <c r="AD23" s="28"/>
      <c r="AE23" s="28"/>
      <c r="AF23" s="28"/>
    </row>
    <row r="24" spans="1:32" s="6" customFormat="1" x14ac:dyDescent="0.2">
      <c r="A24" s="7"/>
      <c r="B24" s="28" t="s">
        <v>84</v>
      </c>
      <c r="C24" s="28" t="s">
        <v>85</v>
      </c>
      <c r="D24" s="28"/>
      <c r="E24" s="28" t="s">
        <v>184</v>
      </c>
      <c r="F24" s="28" t="s">
        <v>342</v>
      </c>
      <c r="G24" s="240">
        <v>2015</v>
      </c>
      <c r="H24" s="28">
        <v>31.536000000000001</v>
      </c>
      <c r="I24" s="227">
        <v>22</v>
      </c>
      <c r="J24" s="227">
        <v>1</v>
      </c>
      <c r="K24" s="241">
        <v>671.60353535353545</v>
      </c>
      <c r="L24" s="237">
        <v>675.23763963482327</v>
      </c>
      <c r="M24" s="237">
        <v>662.08799951389346</v>
      </c>
      <c r="N24" s="237">
        <v>617.45540538590114</v>
      </c>
      <c r="O24" s="241">
        <v>31.69437347317977</v>
      </c>
      <c r="P24" s="237">
        <v>31.945968027091912</v>
      </c>
      <c r="Q24" s="237">
        <v>31.769069384439319</v>
      </c>
      <c r="R24" s="237">
        <v>29.86153873418149</v>
      </c>
      <c r="S24" s="242">
        <v>0</v>
      </c>
      <c r="T24" s="243">
        <v>0.83130139488676535</v>
      </c>
      <c r="U24" s="232">
        <v>0.8484726932016825</v>
      </c>
      <c r="V24" s="232">
        <v>0.88260161467091813</v>
      </c>
      <c r="W24" s="232">
        <v>0.89956314170229523</v>
      </c>
      <c r="X24" s="243"/>
      <c r="Z24" s="28" t="s">
        <v>84</v>
      </c>
      <c r="AA24" s="227"/>
      <c r="AB24" s="227" t="s">
        <v>1207</v>
      </c>
      <c r="AC24" s="227">
        <v>1</v>
      </c>
      <c r="AD24" s="28"/>
      <c r="AE24" s="28"/>
      <c r="AF24" s="28"/>
    </row>
    <row r="25" spans="1:32" s="6" customFormat="1" x14ac:dyDescent="0.2">
      <c r="A25" s="7"/>
      <c r="B25" s="68" t="s">
        <v>33</v>
      </c>
      <c r="C25" s="231"/>
      <c r="D25" s="231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312"/>
      <c r="Z25" s="68" t="s">
        <v>33</v>
      </c>
      <c r="AA25" s="231"/>
      <c r="AB25" s="231"/>
      <c r="AC25" s="68"/>
      <c r="AD25" s="68"/>
      <c r="AE25" s="68"/>
      <c r="AF25" s="68"/>
    </row>
    <row r="26" spans="1:32" s="6" customFormat="1" x14ac:dyDescent="0.2">
      <c r="A26" s="7"/>
      <c r="B26" s="28" t="s">
        <v>86</v>
      </c>
      <c r="C26" s="28" t="s">
        <v>87</v>
      </c>
      <c r="D26" s="28"/>
      <c r="E26" s="244" t="s">
        <v>502</v>
      </c>
      <c r="F26" s="28" t="s">
        <v>343</v>
      </c>
      <c r="G26" s="240">
        <v>2012</v>
      </c>
      <c r="H26" s="28">
        <v>31.536000000000001</v>
      </c>
      <c r="I26" s="227">
        <v>25</v>
      </c>
      <c r="J26" s="227">
        <v>1</v>
      </c>
      <c r="K26" s="241">
        <v>56.580418365015447</v>
      </c>
      <c r="L26" s="237">
        <v>56.580418365015447</v>
      </c>
      <c r="M26" s="237">
        <v>56.580418365015447</v>
      </c>
      <c r="N26" s="237">
        <v>56.580418365015447</v>
      </c>
      <c r="O26" s="241">
        <v>5.6580418365015452</v>
      </c>
      <c r="P26" s="237">
        <v>5.6580418365015452</v>
      </c>
      <c r="Q26" s="237">
        <v>5.6580418365015452</v>
      </c>
      <c r="R26" s="237">
        <v>5.6580418365015452</v>
      </c>
      <c r="S26" s="242">
        <v>0</v>
      </c>
      <c r="T26" s="242">
        <v>1</v>
      </c>
      <c r="U26" s="239">
        <v>1</v>
      </c>
      <c r="V26" s="239">
        <v>1</v>
      </c>
      <c r="W26" s="239">
        <v>1</v>
      </c>
      <c r="X26" s="242"/>
      <c r="Z26" s="28" t="str">
        <f>$B26</f>
        <v>RH2ELC005</v>
      </c>
      <c r="AA26" s="78"/>
      <c r="AB26" s="78"/>
      <c r="AC26" s="78"/>
      <c r="AD26" s="78"/>
      <c r="AE26" s="78"/>
      <c r="AF26" s="78"/>
    </row>
    <row r="27" spans="1:32" s="6" customFormat="1" x14ac:dyDescent="0.2">
      <c r="A27" s="7"/>
      <c r="B27" s="28" t="s">
        <v>88</v>
      </c>
      <c r="C27" s="28" t="s">
        <v>89</v>
      </c>
      <c r="D27" s="28"/>
      <c r="E27" s="244" t="s">
        <v>503</v>
      </c>
      <c r="F27" s="28" t="s">
        <v>343</v>
      </c>
      <c r="G27" s="240">
        <v>2015</v>
      </c>
      <c r="H27" s="28">
        <v>31.536000000000001</v>
      </c>
      <c r="I27" s="227">
        <v>20</v>
      </c>
      <c r="J27" s="227">
        <v>1</v>
      </c>
      <c r="K27" s="241">
        <v>439.27556818181824</v>
      </c>
      <c r="L27" s="237">
        <v>415.84753787878793</v>
      </c>
      <c r="M27" s="237">
        <v>368.99147727272731</v>
      </c>
      <c r="N27" s="237">
        <v>333.84943181818187</v>
      </c>
      <c r="O27" s="241">
        <v>10.929176136363637</v>
      </c>
      <c r="P27" s="237">
        <v>10.929176136363637</v>
      </c>
      <c r="Q27" s="237">
        <v>10.929176136363637</v>
      </c>
      <c r="R27" s="237">
        <v>10.929176136363637</v>
      </c>
      <c r="S27" s="242">
        <v>0</v>
      </c>
      <c r="T27" s="242">
        <v>2.5350000000000001</v>
      </c>
      <c r="U27" s="239">
        <v>3.0889295639669707</v>
      </c>
      <c r="V27" s="239">
        <v>3.3672474539146493</v>
      </c>
      <c r="W27" s="239">
        <v>3.6029469178120284</v>
      </c>
      <c r="X27" s="242"/>
      <c r="Z27" s="28" t="str">
        <f>$B27</f>
        <v>RH2EHA005</v>
      </c>
      <c r="AA27" s="227"/>
      <c r="AB27" s="227" t="s">
        <v>1208</v>
      </c>
      <c r="AC27" s="227">
        <v>1</v>
      </c>
      <c r="AD27" s="28"/>
      <c r="AE27" s="28"/>
      <c r="AF27" s="28"/>
    </row>
    <row r="28" spans="1:32" s="6" customFormat="1" x14ac:dyDescent="0.2">
      <c r="A28" s="7"/>
      <c r="B28" s="28" t="s">
        <v>345</v>
      </c>
      <c r="C28" s="28" t="s">
        <v>90</v>
      </c>
      <c r="D28" s="28"/>
      <c r="E28" s="244" t="s">
        <v>503</v>
      </c>
      <c r="F28" s="28" t="s">
        <v>343</v>
      </c>
      <c r="G28" s="240">
        <v>2015</v>
      </c>
      <c r="H28" s="28">
        <v>31.536000000000001</v>
      </c>
      <c r="I28" s="227">
        <v>25</v>
      </c>
      <c r="J28" s="227">
        <v>1</v>
      </c>
      <c r="K28" s="241">
        <v>623.01196343011372</v>
      </c>
      <c r="L28" s="237">
        <v>584.52935136561007</v>
      </c>
      <c r="M28" s="237">
        <v>525.63061122638078</v>
      </c>
      <c r="N28" s="237">
        <v>473.53663058597164</v>
      </c>
      <c r="O28" s="241">
        <v>6.9122179080136181</v>
      </c>
      <c r="P28" s="237">
        <v>6.9122179080136181</v>
      </c>
      <c r="Q28" s="237">
        <v>6.9122179080136181</v>
      </c>
      <c r="R28" s="237">
        <v>6.9122179080136181</v>
      </c>
      <c r="S28" s="242">
        <v>0</v>
      </c>
      <c r="T28" s="242">
        <v>3.01</v>
      </c>
      <c r="U28" s="239">
        <v>3.5523152519681078</v>
      </c>
      <c r="V28" s="239">
        <v>3.8621217418543248</v>
      </c>
      <c r="W28" s="239">
        <v>4.1332078322369421</v>
      </c>
      <c r="X28" s="242"/>
      <c r="Z28" s="28" t="s">
        <v>345</v>
      </c>
      <c r="AA28" s="227"/>
      <c r="AB28" s="227" t="s">
        <v>1208</v>
      </c>
      <c r="AC28" s="227">
        <v>1</v>
      </c>
      <c r="AD28" s="28"/>
      <c r="AE28" s="28"/>
      <c r="AF28" s="28"/>
    </row>
    <row r="29" spans="1:32" s="6" customFormat="1" x14ac:dyDescent="0.2">
      <c r="A29" s="7"/>
      <c r="B29" s="28" t="s">
        <v>1148</v>
      </c>
      <c r="C29" s="28" t="s">
        <v>91</v>
      </c>
      <c r="D29" s="28"/>
      <c r="E29" s="28" t="s">
        <v>42</v>
      </c>
      <c r="F29" s="28" t="s">
        <v>343</v>
      </c>
      <c r="G29" s="240">
        <v>2015</v>
      </c>
      <c r="H29" s="28">
        <v>31.536000000000001</v>
      </c>
      <c r="I29" s="227">
        <v>25</v>
      </c>
      <c r="J29" s="227">
        <v>1</v>
      </c>
      <c r="K29" s="241">
        <v>144.34672832568717</v>
      </c>
      <c r="L29" s="237">
        <v>140.77396681684846</v>
      </c>
      <c r="M29" s="237">
        <v>133.891545945357</v>
      </c>
      <c r="N29" s="237">
        <v>121.11969568234042</v>
      </c>
      <c r="O29" s="241">
        <v>2.9024002874057802</v>
      </c>
      <c r="P29" s="237">
        <v>2.8339612584803353</v>
      </c>
      <c r="Q29" s="237">
        <v>2.6616736837265562</v>
      </c>
      <c r="R29" s="237">
        <v>2.4523700037121712</v>
      </c>
      <c r="S29" s="242">
        <v>6.5598484848484855</v>
      </c>
      <c r="T29" s="243">
        <v>0.88</v>
      </c>
      <c r="U29" s="232">
        <v>0.88</v>
      </c>
      <c r="V29" s="232">
        <v>0.92</v>
      </c>
      <c r="W29" s="232">
        <v>0.94</v>
      </c>
      <c r="X29" s="243">
        <v>0.2</v>
      </c>
      <c r="Z29" s="28" t="s">
        <v>1148</v>
      </c>
      <c r="AA29" s="227"/>
      <c r="AB29" s="227" t="s">
        <v>1208</v>
      </c>
      <c r="AC29" s="227">
        <v>1</v>
      </c>
      <c r="AD29" s="28"/>
      <c r="AE29" s="28"/>
      <c r="AF29" s="28"/>
    </row>
    <row r="30" spans="1:32" s="6" customFormat="1" x14ac:dyDescent="0.2">
      <c r="A30" s="7"/>
      <c r="B30" s="28" t="s">
        <v>185</v>
      </c>
      <c r="C30" s="28" t="s">
        <v>92</v>
      </c>
      <c r="D30" s="28"/>
      <c r="E30" s="244" t="s">
        <v>3</v>
      </c>
      <c r="F30" s="28" t="s">
        <v>343</v>
      </c>
      <c r="G30" s="240">
        <v>2015</v>
      </c>
      <c r="H30" s="28">
        <v>31.536000000000001</v>
      </c>
      <c r="I30" s="227">
        <v>25</v>
      </c>
      <c r="J30" s="227">
        <v>1</v>
      </c>
      <c r="K30" s="241">
        <v>138.55340271700578</v>
      </c>
      <c r="L30" s="237">
        <v>135.12403324055293</v>
      </c>
      <c r="M30" s="237">
        <v>128.51783688448359</v>
      </c>
      <c r="N30" s="237">
        <v>116.25858214792768</v>
      </c>
      <c r="O30" s="241">
        <v>3.3826823606194694</v>
      </c>
      <c r="P30" s="237">
        <v>3.3165292561509419</v>
      </c>
      <c r="Q30" s="237">
        <v>3.310446223112868</v>
      </c>
      <c r="R30" s="237">
        <v>3.0802691478255038</v>
      </c>
      <c r="S30" s="242">
        <v>6.5598484848484855</v>
      </c>
      <c r="T30" s="243">
        <v>0.92</v>
      </c>
      <c r="U30" s="232">
        <v>0.92</v>
      </c>
      <c r="V30" s="232">
        <v>0.93</v>
      </c>
      <c r="W30" s="232">
        <v>0.95</v>
      </c>
      <c r="X30" s="243"/>
      <c r="Z30" s="28" t="s">
        <v>185</v>
      </c>
      <c r="AA30" s="227"/>
      <c r="AB30" s="227" t="s">
        <v>1208</v>
      </c>
      <c r="AC30" s="227">
        <v>1</v>
      </c>
      <c r="AD30" s="28"/>
      <c r="AE30" s="28"/>
      <c r="AF30" s="28"/>
    </row>
    <row r="31" spans="1:32" s="6" customFormat="1" x14ac:dyDescent="0.2">
      <c r="A31" s="7"/>
      <c r="B31" s="28" t="s">
        <v>186</v>
      </c>
      <c r="C31" s="28" t="s">
        <v>93</v>
      </c>
      <c r="D31" s="28"/>
      <c r="E31" s="244" t="s">
        <v>4</v>
      </c>
      <c r="F31" s="28" t="s">
        <v>343</v>
      </c>
      <c r="G31" s="240">
        <v>2015</v>
      </c>
      <c r="H31" s="28">
        <v>31.536000000000001</v>
      </c>
      <c r="I31" s="227">
        <v>25</v>
      </c>
      <c r="J31" s="227">
        <v>1</v>
      </c>
      <c r="K31" s="241">
        <v>102.59915863522801</v>
      </c>
      <c r="L31" s="237">
        <v>100.0597015303596</v>
      </c>
      <c r="M31" s="237">
        <v>95.167795776906516</v>
      </c>
      <c r="N31" s="237">
        <v>86.089785444424137</v>
      </c>
      <c r="O31" s="241">
        <v>2.5772380565264537</v>
      </c>
      <c r="P31" s="237">
        <v>2.5246182674469893</v>
      </c>
      <c r="Q31" s="237">
        <v>2.4540813458852702</v>
      </c>
      <c r="R31" s="237">
        <v>2.3367712784751382</v>
      </c>
      <c r="S31" s="242">
        <v>0</v>
      </c>
      <c r="T31" s="243">
        <v>1.01</v>
      </c>
      <c r="U31" s="232">
        <v>1.01</v>
      </c>
      <c r="V31" s="232">
        <v>1.02</v>
      </c>
      <c r="W31" s="232">
        <v>1.02</v>
      </c>
      <c r="X31" s="243"/>
      <c r="Z31" s="28" t="s">
        <v>186</v>
      </c>
      <c r="AA31" s="227"/>
      <c r="AB31" s="227" t="s">
        <v>1208</v>
      </c>
      <c r="AC31" s="227">
        <v>1</v>
      </c>
      <c r="AD31" s="28"/>
      <c r="AE31" s="28"/>
      <c r="AF31" s="28"/>
    </row>
    <row r="32" spans="1:32" s="6" customFormat="1" x14ac:dyDescent="0.2">
      <c r="A32" s="7"/>
      <c r="B32" s="28" t="s">
        <v>94</v>
      </c>
      <c r="C32" s="28" t="s">
        <v>95</v>
      </c>
      <c r="D32" s="28"/>
      <c r="E32" s="244" t="s">
        <v>5</v>
      </c>
      <c r="F32" s="28" t="s">
        <v>343</v>
      </c>
      <c r="G32" s="240">
        <v>2015</v>
      </c>
      <c r="H32" s="28">
        <v>31.536000000000001</v>
      </c>
      <c r="I32" s="227">
        <v>25</v>
      </c>
      <c r="J32" s="227">
        <v>1</v>
      </c>
      <c r="K32" s="241">
        <v>102.59915863522801</v>
      </c>
      <c r="L32" s="237">
        <v>100.0597015303596</v>
      </c>
      <c r="M32" s="237">
        <v>95.167795776906516</v>
      </c>
      <c r="N32" s="237">
        <v>86.089785444424137</v>
      </c>
      <c r="O32" s="241">
        <v>2.5772380565264537</v>
      </c>
      <c r="P32" s="237">
        <v>2.5246182674469893</v>
      </c>
      <c r="Q32" s="237">
        <v>2.4540813458852702</v>
      </c>
      <c r="R32" s="237">
        <v>2.3367712784751382</v>
      </c>
      <c r="S32" s="242">
        <v>0</v>
      </c>
      <c r="T32" s="243">
        <v>1.01</v>
      </c>
      <c r="U32" s="232">
        <v>1.01</v>
      </c>
      <c r="V32" s="232">
        <v>1.02</v>
      </c>
      <c r="W32" s="232">
        <v>1.02</v>
      </c>
      <c r="X32" s="243"/>
      <c r="Z32" s="28" t="s">
        <v>94</v>
      </c>
      <c r="AA32" s="227"/>
      <c r="AB32" s="227" t="s">
        <v>1208</v>
      </c>
      <c r="AC32" s="227">
        <v>1</v>
      </c>
      <c r="AD32" s="28"/>
      <c r="AE32" s="28"/>
      <c r="AF32" s="28"/>
    </row>
    <row r="33" spans="1:32" s="6" customFormat="1" x14ac:dyDescent="0.2">
      <c r="A33" s="7"/>
      <c r="B33" s="28" t="s">
        <v>1123</v>
      </c>
      <c r="C33" s="28" t="s">
        <v>36</v>
      </c>
      <c r="D33" s="28"/>
      <c r="E33" s="244" t="s">
        <v>5</v>
      </c>
      <c r="F33" s="28" t="s">
        <v>343</v>
      </c>
      <c r="G33" s="240">
        <v>2015</v>
      </c>
      <c r="H33" s="28">
        <v>31.536000000000001</v>
      </c>
      <c r="I33" s="227">
        <v>20</v>
      </c>
      <c r="J33" s="227">
        <v>1</v>
      </c>
      <c r="K33" s="241">
        <v>369.48556918737171</v>
      </c>
      <c r="L33" s="237">
        <v>258.18497244414243</v>
      </c>
      <c r="M33" s="237">
        <v>230.07709448916117</v>
      </c>
      <c r="N33" s="237">
        <v>210.86914023441764</v>
      </c>
      <c r="O33" s="241">
        <v>4.6951804728025888</v>
      </c>
      <c r="P33" s="237">
        <v>3.4820390319039665</v>
      </c>
      <c r="Q33" s="237">
        <v>3.4820390319039665</v>
      </c>
      <c r="R33" s="237">
        <v>3.4820390319039665</v>
      </c>
      <c r="S33" s="242">
        <v>0</v>
      </c>
      <c r="T33" s="242">
        <v>1.575</v>
      </c>
      <c r="U33" s="239">
        <v>1.5960455351762608</v>
      </c>
      <c r="V33" s="239">
        <v>1.582751837332264</v>
      </c>
      <c r="W33" s="239">
        <v>1.6235915126758487</v>
      </c>
      <c r="X33" s="242"/>
      <c r="Z33" s="28" t="s">
        <v>1123</v>
      </c>
      <c r="AA33" s="227"/>
      <c r="AB33" s="227" t="s">
        <v>1208</v>
      </c>
      <c r="AC33" s="227">
        <v>1</v>
      </c>
      <c r="AD33" s="28"/>
      <c r="AE33" s="28"/>
      <c r="AF33" s="28"/>
    </row>
    <row r="34" spans="1:32" s="6" customFormat="1" x14ac:dyDescent="0.2">
      <c r="A34" s="7"/>
      <c r="B34" s="28" t="s">
        <v>1125</v>
      </c>
      <c r="C34" s="28" t="s">
        <v>96</v>
      </c>
      <c r="D34" s="28"/>
      <c r="E34" s="244" t="s">
        <v>1124</v>
      </c>
      <c r="F34" s="28" t="s">
        <v>343</v>
      </c>
      <c r="G34" s="240">
        <v>2015</v>
      </c>
      <c r="H34" s="28">
        <v>31.536000000000001</v>
      </c>
      <c r="I34" s="227">
        <v>25</v>
      </c>
      <c r="J34" s="227">
        <v>1</v>
      </c>
      <c r="K34" s="241">
        <v>75.440557820020615</v>
      </c>
      <c r="L34" s="237">
        <v>73.57330994879382</v>
      </c>
      <c r="M34" s="237">
        <v>69.976320424195976</v>
      </c>
      <c r="N34" s="237">
        <v>63.301312826782457</v>
      </c>
      <c r="O34" s="241">
        <v>0.52355747127094299</v>
      </c>
      <c r="P34" s="237">
        <v>0.51469367370489794</v>
      </c>
      <c r="Q34" s="237">
        <v>0.54386782663774158</v>
      </c>
      <c r="R34" s="237">
        <v>0.49620253507409956</v>
      </c>
      <c r="S34" s="242">
        <v>0</v>
      </c>
      <c r="T34" s="243">
        <v>0.98</v>
      </c>
      <c r="U34" s="232">
        <v>0.98</v>
      </c>
      <c r="V34" s="232">
        <v>0.98</v>
      </c>
      <c r="W34" s="232">
        <v>0.98</v>
      </c>
      <c r="X34" s="243"/>
      <c r="Z34" s="28" t="s">
        <v>1125</v>
      </c>
      <c r="AA34" s="227"/>
      <c r="AB34" s="227" t="s">
        <v>1208</v>
      </c>
      <c r="AC34" s="227">
        <v>1</v>
      </c>
      <c r="AD34" s="28"/>
      <c r="AE34" s="28"/>
      <c r="AF34" s="28"/>
    </row>
    <row r="35" spans="1:32" s="6" customFormat="1" x14ac:dyDescent="0.2">
      <c r="A35" s="7"/>
      <c r="B35" s="28" t="s">
        <v>535</v>
      </c>
      <c r="C35" s="28" t="s">
        <v>37</v>
      </c>
      <c r="D35" s="28"/>
      <c r="E35" s="244" t="s">
        <v>6</v>
      </c>
      <c r="F35" s="28" t="s">
        <v>343</v>
      </c>
      <c r="G35" s="240">
        <v>2015</v>
      </c>
      <c r="H35" s="28">
        <v>31.536000000000001</v>
      </c>
      <c r="I35" s="227">
        <v>25</v>
      </c>
      <c r="J35" s="227">
        <v>1</v>
      </c>
      <c r="K35" s="241">
        <v>333.16580610823911</v>
      </c>
      <c r="L35" s="237">
        <v>324.91953698990454</v>
      </c>
      <c r="M35" s="237">
        <v>324.91953698990454</v>
      </c>
      <c r="N35" s="237">
        <v>324.91953698990454</v>
      </c>
      <c r="O35" s="241">
        <v>5.5765609927164776</v>
      </c>
      <c r="P35" s="237">
        <v>5.4766049207178247</v>
      </c>
      <c r="Q35" s="237">
        <v>5.4141358406190943</v>
      </c>
      <c r="R35" s="237">
        <v>5.0023791605895056</v>
      </c>
      <c r="S35" s="242">
        <v>0</v>
      </c>
      <c r="T35" s="243">
        <v>0.8</v>
      </c>
      <c r="U35" s="232">
        <v>0.85</v>
      </c>
      <c r="V35" s="232">
        <v>0.9</v>
      </c>
      <c r="W35" s="232">
        <v>0.9</v>
      </c>
      <c r="X35" s="243"/>
      <c r="Z35" s="28" t="s">
        <v>535</v>
      </c>
      <c r="AA35" s="227"/>
      <c r="AB35" s="227" t="s">
        <v>1208</v>
      </c>
      <c r="AC35" s="227">
        <v>1</v>
      </c>
      <c r="AD35" s="28"/>
      <c r="AE35" s="28"/>
      <c r="AF35" s="28"/>
    </row>
    <row r="36" spans="1:32" s="6" customFormat="1" x14ac:dyDescent="0.2">
      <c r="A36" s="7"/>
      <c r="B36" s="28" t="s">
        <v>97</v>
      </c>
      <c r="C36" s="28" t="s">
        <v>38</v>
      </c>
      <c r="D36" s="28"/>
      <c r="E36" s="244" t="s">
        <v>184</v>
      </c>
      <c r="F36" s="28" t="s">
        <v>343</v>
      </c>
      <c r="G36" s="240">
        <v>2015</v>
      </c>
      <c r="H36" s="28">
        <v>31.536000000000001</v>
      </c>
      <c r="I36" s="227">
        <v>25</v>
      </c>
      <c r="J36" s="227">
        <v>1</v>
      </c>
      <c r="K36" s="241">
        <v>350.70084853498855</v>
      </c>
      <c r="L36" s="237">
        <v>342.02056525253107</v>
      </c>
      <c r="M36" s="237">
        <v>342.02056525253107</v>
      </c>
      <c r="N36" s="237">
        <v>342.02056525253107</v>
      </c>
      <c r="O36" s="241">
        <v>5.8700642028594512</v>
      </c>
      <c r="P36" s="237">
        <v>5.7648472849661321</v>
      </c>
      <c r="Q36" s="237">
        <v>5.6990903585464157</v>
      </c>
      <c r="R36" s="237">
        <v>5.2656622743047423</v>
      </c>
      <c r="S36" s="242">
        <v>0</v>
      </c>
      <c r="T36" s="243">
        <v>0.83130139488676535</v>
      </c>
      <c r="U36" s="232">
        <v>0.8740954719740287</v>
      </c>
      <c r="V36" s="232">
        <v>0.91645848783225881</v>
      </c>
      <c r="W36" s="232">
        <v>0.91645848783225881</v>
      </c>
      <c r="X36" s="243"/>
      <c r="Z36" s="28" t="s">
        <v>97</v>
      </c>
      <c r="AA36" s="227"/>
      <c r="AB36" s="227" t="s">
        <v>1208</v>
      </c>
      <c r="AC36" s="227">
        <v>1</v>
      </c>
      <c r="AD36" s="28"/>
      <c r="AE36" s="28"/>
      <c r="AF36" s="28"/>
    </row>
    <row r="37" spans="1:32" s="6" customFormat="1" x14ac:dyDescent="0.2">
      <c r="A37" s="7"/>
      <c r="B37" s="68" t="s">
        <v>33</v>
      </c>
      <c r="C37" s="231"/>
      <c r="D37" s="231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312"/>
      <c r="Z37" s="68" t="s">
        <v>33</v>
      </c>
      <c r="AA37" s="231"/>
      <c r="AB37" s="231"/>
      <c r="AC37" s="68"/>
      <c r="AD37" s="68"/>
      <c r="AE37" s="68"/>
      <c r="AF37" s="68"/>
    </row>
    <row r="38" spans="1:32" s="6" customFormat="1" x14ac:dyDescent="0.2">
      <c r="A38" s="7"/>
      <c r="B38" s="28" t="s">
        <v>120</v>
      </c>
      <c r="C38" s="28" t="s">
        <v>121</v>
      </c>
      <c r="D38" s="28"/>
      <c r="E38" s="28" t="s">
        <v>520</v>
      </c>
      <c r="F38" s="28" t="s">
        <v>600</v>
      </c>
      <c r="G38" s="240">
        <v>2012</v>
      </c>
      <c r="H38" s="28">
        <v>31.536000000000001</v>
      </c>
      <c r="I38" s="227">
        <v>25</v>
      </c>
      <c r="J38" s="227">
        <v>1</v>
      </c>
      <c r="K38" s="241">
        <v>68.570142158315491</v>
      </c>
      <c r="L38" s="237">
        <v>68.570142158315491</v>
      </c>
      <c r="M38" s="237">
        <v>68.570142158315491</v>
      </c>
      <c r="N38" s="237">
        <v>68.570142158315505</v>
      </c>
      <c r="O38" s="241">
        <v>5.6510599509466815</v>
      </c>
      <c r="P38" s="237">
        <v>5.6510599509466815</v>
      </c>
      <c r="Q38" s="237">
        <v>5.6510599509466815</v>
      </c>
      <c r="R38" s="237">
        <v>5.6510599509466815</v>
      </c>
      <c r="S38" s="242">
        <v>0</v>
      </c>
      <c r="T38" s="242">
        <v>1</v>
      </c>
      <c r="U38" s="239">
        <v>1</v>
      </c>
      <c r="V38" s="239">
        <v>1</v>
      </c>
      <c r="W38" s="239">
        <v>1</v>
      </c>
      <c r="X38" s="242"/>
      <c r="Z38" s="28" t="str">
        <f>$B39</f>
        <v>CH1EHA005</v>
      </c>
      <c r="AA38" s="227"/>
      <c r="AB38" s="233" t="s">
        <v>1206</v>
      </c>
      <c r="AC38" s="227">
        <v>1</v>
      </c>
      <c r="AD38" s="28"/>
      <c r="AE38" s="28"/>
      <c r="AF38" s="28"/>
    </row>
    <row r="39" spans="1:32" s="6" customFormat="1" x14ac:dyDescent="0.2">
      <c r="A39" s="7"/>
      <c r="B39" s="28" t="s">
        <v>122</v>
      </c>
      <c r="C39" s="28" t="s">
        <v>123</v>
      </c>
      <c r="D39" s="28"/>
      <c r="E39" s="28" t="s">
        <v>522</v>
      </c>
      <c r="F39" s="28" t="s">
        <v>600</v>
      </c>
      <c r="G39" s="240">
        <v>2015</v>
      </c>
      <c r="H39" s="28">
        <v>31.536000000000001</v>
      </c>
      <c r="I39" s="227">
        <v>20</v>
      </c>
      <c r="J39" s="227">
        <v>1</v>
      </c>
      <c r="K39" s="241">
        <v>510.07095799632572</v>
      </c>
      <c r="L39" s="237">
        <v>482.19466386264179</v>
      </c>
      <c r="M39" s="237">
        <v>429.46074110736333</v>
      </c>
      <c r="N39" s="237">
        <v>387.65392807720752</v>
      </c>
      <c r="O39" s="241">
        <v>12.226808357133043</v>
      </c>
      <c r="P39" s="237">
        <v>12.09520086759313</v>
      </c>
      <c r="Q39" s="237">
        <v>11.892701529341174</v>
      </c>
      <c r="R39" s="237">
        <v>11.758635270304126</v>
      </c>
      <c r="S39" s="242">
        <v>0</v>
      </c>
      <c r="T39" s="242">
        <v>2.5350000000000001</v>
      </c>
      <c r="U39" s="239">
        <v>3.0889295639669707</v>
      </c>
      <c r="V39" s="239">
        <v>3.3672474539146493</v>
      </c>
      <c r="W39" s="239">
        <v>3.6029469178120284</v>
      </c>
      <c r="X39" s="242"/>
      <c r="Z39" s="28" t="str">
        <f>B40</f>
        <v>CH1EHA007</v>
      </c>
      <c r="AA39" s="227" t="s">
        <v>522</v>
      </c>
      <c r="AB39" s="233" t="s">
        <v>1206</v>
      </c>
      <c r="AC39" s="227">
        <v>1</v>
      </c>
      <c r="AD39" s="232">
        <v>0.35562323056358708</v>
      </c>
      <c r="AE39" s="232">
        <v>0.29697847089836937</v>
      </c>
      <c r="AF39" s="232">
        <v>0.27755057812710515</v>
      </c>
    </row>
    <row r="40" spans="1:32" s="6" customFormat="1" x14ac:dyDescent="0.2">
      <c r="A40" s="7"/>
      <c r="B40" s="28" t="s">
        <v>39</v>
      </c>
      <c r="C40" s="28" t="s">
        <v>40</v>
      </c>
      <c r="D40" s="28"/>
      <c r="E40" s="28" t="s">
        <v>522</v>
      </c>
      <c r="F40" s="28" t="s">
        <v>600</v>
      </c>
      <c r="G40" s="240">
        <v>2015</v>
      </c>
      <c r="H40" s="28">
        <v>31.536000000000001</v>
      </c>
      <c r="I40" s="227">
        <v>20</v>
      </c>
      <c r="J40" s="227">
        <v>1</v>
      </c>
      <c r="K40" s="241">
        <v>586.58160169577457</v>
      </c>
      <c r="L40" s="237">
        <v>554.52386344203796</v>
      </c>
      <c r="M40" s="237">
        <v>493.8798522734678</v>
      </c>
      <c r="N40" s="237">
        <v>445.80201728878859</v>
      </c>
      <c r="O40" s="241">
        <v>14.060829610702999</v>
      </c>
      <c r="P40" s="237">
        <v>13.909480997732098</v>
      </c>
      <c r="Q40" s="237">
        <v>13.676606758742349</v>
      </c>
      <c r="R40" s="237">
        <v>13.522430560849743</v>
      </c>
      <c r="S40" s="242">
        <v>0</v>
      </c>
      <c r="T40" s="230"/>
      <c r="U40" s="230"/>
      <c r="V40" s="230"/>
      <c r="W40" s="230"/>
      <c r="X40" s="313"/>
      <c r="Z40" s="28" t="str">
        <f t="shared" ref="Z40:Z49" si="0">$B40</f>
        <v>CH1EHA007</v>
      </c>
      <c r="AA40" s="227" t="s">
        <v>512</v>
      </c>
      <c r="AB40" s="233" t="s">
        <v>621</v>
      </c>
      <c r="AC40" s="227">
        <v>0.2</v>
      </c>
      <c r="AD40" s="232">
        <v>6.4747348833409199E-2</v>
      </c>
      <c r="AE40" s="232">
        <v>5.3456124761706483E-2</v>
      </c>
      <c r="AF40" s="232">
        <v>4.9959104062878922E-2</v>
      </c>
    </row>
    <row r="41" spans="1:32" s="6" customFormat="1" x14ac:dyDescent="0.2">
      <c r="A41" s="7"/>
      <c r="B41" s="28" t="s">
        <v>602</v>
      </c>
      <c r="C41" s="28" t="s">
        <v>124</v>
      </c>
      <c r="D41" s="28"/>
      <c r="E41" s="28" t="s">
        <v>522</v>
      </c>
      <c r="F41" s="28" t="s">
        <v>600</v>
      </c>
      <c r="G41" s="240">
        <v>2015</v>
      </c>
      <c r="H41" s="28">
        <v>31.536000000000001</v>
      </c>
      <c r="I41" s="227">
        <v>25</v>
      </c>
      <c r="J41" s="227">
        <v>1</v>
      </c>
      <c r="K41" s="241">
        <v>788.19776114711556</v>
      </c>
      <c r="L41" s="237">
        <v>737.76148673671958</v>
      </c>
      <c r="M41" s="237">
        <v>666.5775715975609</v>
      </c>
      <c r="N41" s="237">
        <v>597.51577706524461</v>
      </c>
      <c r="O41" s="241">
        <v>9.2644726129374835</v>
      </c>
      <c r="P41" s="237">
        <v>9.1647512509200073</v>
      </c>
      <c r="Q41" s="237">
        <v>9.0113138600183369</v>
      </c>
      <c r="R41" s="237">
        <v>8.909729444127569</v>
      </c>
      <c r="S41" s="242">
        <v>0</v>
      </c>
      <c r="T41" s="242">
        <v>3.01</v>
      </c>
      <c r="U41" s="239">
        <v>3.5523152519681078</v>
      </c>
      <c r="V41" s="239">
        <v>3.8621217418543248</v>
      </c>
      <c r="W41" s="239">
        <v>4.1332078322369421</v>
      </c>
      <c r="X41" s="242"/>
      <c r="Z41" s="28" t="str">
        <f t="shared" si="0"/>
        <v>CH1EHP005</v>
      </c>
      <c r="AA41" s="227"/>
      <c r="AB41" s="233" t="s">
        <v>1206</v>
      </c>
      <c r="AC41" s="227">
        <v>1</v>
      </c>
      <c r="AD41" s="28"/>
      <c r="AE41" s="28"/>
      <c r="AF41" s="28"/>
    </row>
    <row r="42" spans="1:32" s="6" customFormat="1" x14ac:dyDescent="0.2">
      <c r="A42" s="7"/>
      <c r="B42" s="28" t="s">
        <v>125</v>
      </c>
      <c r="C42" s="28" t="s">
        <v>126</v>
      </c>
      <c r="D42" s="28"/>
      <c r="E42" s="28" t="s">
        <v>43</v>
      </c>
      <c r="F42" s="28" t="s">
        <v>600</v>
      </c>
      <c r="G42" s="240">
        <v>2015</v>
      </c>
      <c r="H42" s="28">
        <v>31.536000000000001</v>
      </c>
      <c r="I42" s="227">
        <v>25</v>
      </c>
      <c r="J42" s="227">
        <v>1</v>
      </c>
      <c r="K42" s="241">
        <v>192.70409818744915</v>
      </c>
      <c r="L42" s="237">
        <v>187.93443147878517</v>
      </c>
      <c r="M42" s="237">
        <v>178.74634164279814</v>
      </c>
      <c r="N42" s="237">
        <v>161.69581396082242</v>
      </c>
      <c r="O42" s="241">
        <v>4.0329074253346358</v>
      </c>
      <c r="P42" s="237">
        <v>3.9382063266307923</v>
      </c>
      <c r="Q42" s="237">
        <v>3.7170647659039724</v>
      </c>
      <c r="R42" s="237">
        <v>3.4141683506770528</v>
      </c>
      <c r="S42" s="242">
        <v>6.5598484848484855</v>
      </c>
      <c r="T42" s="242">
        <v>0.88</v>
      </c>
      <c r="U42" s="239">
        <v>0.88</v>
      </c>
      <c r="V42" s="239">
        <v>0.92</v>
      </c>
      <c r="W42" s="239">
        <v>0.94</v>
      </c>
      <c r="X42" s="243">
        <v>0.2</v>
      </c>
      <c r="Z42" s="28" t="str">
        <f t="shared" si="0"/>
        <v>CH1DSB005</v>
      </c>
      <c r="AA42" s="227"/>
      <c r="AB42" s="233" t="s">
        <v>1206</v>
      </c>
      <c r="AC42" s="227">
        <v>1</v>
      </c>
      <c r="AD42" s="28"/>
      <c r="AE42" s="28"/>
      <c r="AF42" s="28"/>
    </row>
    <row r="43" spans="1:32" s="6" customFormat="1" x14ac:dyDescent="0.2">
      <c r="A43" s="7"/>
      <c r="B43" s="28" t="s">
        <v>127</v>
      </c>
      <c r="C43" s="28" t="s">
        <v>128</v>
      </c>
      <c r="D43" s="28"/>
      <c r="E43" s="28" t="s">
        <v>591</v>
      </c>
      <c r="F43" s="28" t="s">
        <v>600</v>
      </c>
      <c r="G43" s="240">
        <v>2015</v>
      </c>
      <c r="H43" s="28">
        <v>31.536000000000001</v>
      </c>
      <c r="I43" s="227">
        <v>25</v>
      </c>
      <c r="J43" s="227">
        <v>1</v>
      </c>
      <c r="K43" s="241">
        <v>168.60047830085423</v>
      </c>
      <c r="L43" s="237">
        <v>164.4274062386599</v>
      </c>
      <c r="M43" s="237">
        <v>156.38857179980027</v>
      </c>
      <c r="N43" s="237">
        <v>141.47074104527886</v>
      </c>
      <c r="O43" s="241">
        <v>4.5718857699438384</v>
      </c>
      <c r="P43" s="237">
        <v>4.4793924781416559</v>
      </c>
      <c r="Q43" s="237">
        <v>4.4435524002814653</v>
      </c>
      <c r="R43" s="237">
        <v>4.1154387955049456</v>
      </c>
      <c r="S43" s="242">
        <v>6.5598484848484855</v>
      </c>
      <c r="T43" s="242">
        <v>0.92</v>
      </c>
      <c r="U43" s="239">
        <v>0.92</v>
      </c>
      <c r="V43" s="239">
        <v>0.93</v>
      </c>
      <c r="W43" s="239">
        <v>0.95</v>
      </c>
      <c r="X43" s="242"/>
      <c r="Z43" s="28" t="str">
        <f t="shared" si="0"/>
        <v>CH1DSC005</v>
      </c>
      <c r="AA43" s="227"/>
      <c r="AB43" s="233" t="s">
        <v>1206</v>
      </c>
      <c r="AC43" s="227">
        <v>1</v>
      </c>
      <c r="AD43" s="28"/>
      <c r="AE43" s="28"/>
      <c r="AF43" s="28"/>
    </row>
    <row r="44" spans="1:32" s="6" customFormat="1" x14ac:dyDescent="0.2">
      <c r="A44" s="7"/>
      <c r="B44" s="28" t="s">
        <v>129</v>
      </c>
      <c r="C44" s="28" t="s">
        <v>130</v>
      </c>
      <c r="D44" s="28"/>
      <c r="E44" s="28" t="s">
        <v>1</v>
      </c>
      <c r="F44" s="28" t="s">
        <v>600</v>
      </c>
      <c r="G44" s="240">
        <v>2015</v>
      </c>
      <c r="H44" s="28">
        <v>31.536000000000001</v>
      </c>
      <c r="I44" s="227">
        <v>25</v>
      </c>
      <c r="J44" s="227">
        <v>1</v>
      </c>
      <c r="K44" s="241">
        <v>139.5040261625503</v>
      </c>
      <c r="L44" s="237">
        <v>136.05112757050864</v>
      </c>
      <c r="M44" s="237">
        <v>129.39960569360184</v>
      </c>
      <c r="N44" s="237">
        <v>117.05623945383533</v>
      </c>
      <c r="O44" s="241">
        <v>3.8462589851114064</v>
      </c>
      <c r="P44" s="237">
        <v>3.7660479688710016</v>
      </c>
      <c r="Q44" s="237">
        <v>3.6595681615032984</v>
      </c>
      <c r="R44" s="237">
        <v>3.453327961321782</v>
      </c>
      <c r="S44" s="242">
        <v>0</v>
      </c>
      <c r="T44" s="242">
        <v>1.01</v>
      </c>
      <c r="U44" s="239">
        <v>1.01</v>
      </c>
      <c r="V44" s="239">
        <v>1.02</v>
      </c>
      <c r="W44" s="239">
        <v>1.02</v>
      </c>
      <c r="X44" s="242"/>
      <c r="Z44" s="28" t="str">
        <f t="shared" si="0"/>
        <v>CH1LPB005</v>
      </c>
      <c r="AA44" s="227"/>
      <c r="AB44" s="233" t="s">
        <v>1206</v>
      </c>
      <c r="AC44" s="227">
        <v>1</v>
      </c>
      <c r="AD44" s="28"/>
      <c r="AE44" s="28"/>
      <c r="AF44" s="28"/>
    </row>
    <row r="45" spans="1:32" s="6" customFormat="1" x14ac:dyDescent="0.2">
      <c r="A45" s="7"/>
      <c r="B45" s="28" t="s">
        <v>617</v>
      </c>
      <c r="C45" s="28" t="s">
        <v>131</v>
      </c>
      <c r="D45" s="28"/>
      <c r="E45" s="28" t="s">
        <v>2</v>
      </c>
      <c r="F45" s="28" t="s">
        <v>600</v>
      </c>
      <c r="G45" s="240">
        <v>2015</v>
      </c>
      <c r="H45" s="28">
        <v>31.536000000000001</v>
      </c>
      <c r="I45" s="227">
        <v>25</v>
      </c>
      <c r="J45" s="227">
        <v>1</v>
      </c>
      <c r="K45" s="241">
        <v>139.5040261625503</v>
      </c>
      <c r="L45" s="237">
        <v>136.05112757050864</v>
      </c>
      <c r="M45" s="237">
        <v>129.39960569360184</v>
      </c>
      <c r="N45" s="237">
        <v>117.05623945383533</v>
      </c>
      <c r="O45" s="241">
        <v>3.8462589851114064</v>
      </c>
      <c r="P45" s="237">
        <v>3.7660479688710016</v>
      </c>
      <c r="Q45" s="237">
        <v>3.6595681615032984</v>
      </c>
      <c r="R45" s="237">
        <v>3.453327961321782</v>
      </c>
      <c r="S45" s="242">
        <v>0</v>
      </c>
      <c r="T45" s="242">
        <v>1.01</v>
      </c>
      <c r="U45" s="239">
        <v>1.01</v>
      </c>
      <c r="V45" s="239">
        <v>1.02</v>
      </c>
      <c r="W45" s="239">
        <v>1.02</v>
      </c>
      <c r="X45" s="242"/>
      <c r="Z45" s="28" t="str">
        <f t="shared" si="0"/>
        <v>CH1NGB005</v>
      </c>
      <c r="AA45" s="227"/>
      <c r="AB45" s="233" t="s">
        <v>1206</v>
      </c>
      <c r="AC45" s="227">
        <v>1</v>
      </c>
      <c r="AD45" s="28"/>
      <c r="AE45" s="28"/>
      <c r="AF45" s="28"/>
    </row>
    <row r="46" spans="1:32" s="6" customFormat="1" x14ac:dyDescent="0.2">
      <c r="A46" s="7"/>
      <c r="B46" s="28" t="s">
        <v>618</v>
      </c>
      <c r="C46" s="28" t="s">
        <v>41</v>
      </c>
      <c r="D46" s="28"/>
      <c r="E46" s="28" t="s">
        <v>2</v>
      </c>
      <c r="F46" s="28" t="s">
        <v>600</v>
      </c>
      <c r="G46" s="240">
        <v>2015</v>
      </c>
      <c r="H46" s="28">
        <v>31.536000000000001</v>
      </c>
      <c r="I46" s="227">
        <v>20</v>
      </c>
      <c r="J46" s="227">
        <v>1</v>
      </c>
      <c r="K46" s="241">
        <v>474.38082977272518</v>
      </c>
      <c r="L46" s="237">
        <v>351.44721054663387</v>
      </c>
      <c r="M46" s="237">
        <v>313.79826826198143</v>
      </c>
      <c r="N46" s="237">
        <v>286.57136663012938</v>
      </c>
      <c r="O46" s="241">
        <v>6.3682723569713451</v>
      </c>
      <c r="P46" s="237">
        <v>5.0096162887696991</v>
      </c>
      <c r="Q46" s="237">
        <v>5.0096162887696991</v>
      </c>
      <c r="R46" s="237">
        <v>5.0096162887696991</v>
      </c>
      <c r="S46" s="242">
        <v>0</v>
      </c>
      <c r="T46" s="242">
        <v>1.575</v>
      </c>
      <c r="U46" s="239">
        <v>1.5960455351762608</v>
      </c>
      <c r="V46" s="239">
        <v>1.582751837332264</v>
      </c>
      <c r="W46" s="239">
        <v>1.6235915126758487</v>
      </c>
      <c r="X46" s="242"/>
      <c r="Z46" s="28" t="str">
        <f t="shared" si="0"/>
        <v>CH1NGC005</v>
      </c>
      <c r="AA46" s="227"/>
      <c r="AB46" s="233" t="s">
        <v>1206</v>
      </c>
      <c r="AC46" s="227">
        <v>1</v>
      </c>
      <c r="AD46" s="28"/>
      <c r="AE46" s="28"/>
      <c r="AF46" s="28"/>
    </row>
    <row r="47" spans="1:32" s="6" customFormat="1" x14ac:dyDescent="0.2">
      <c r="A47" s="7"/>
      <c r="B47" s="28" t="s">
        <v>619</v>
      </c>
      <c r="C47" s="28" t="s">
        <v>132</v>
      </c>
      <c r="D47" s="28"/>
      <c r="E47" s="28" t="s">
        <v>620</v>
      </c>
      <c r="F47" s="28" t="s">
        <v>600</v>
      </c>
      <c r="G47" s="240">
        <v>2015</v>
      </c>
      <c r="H47" s="28">
        <v>31.536000000000001</v>
      </c>
      <c r="I47" s="227">
        <v>25</v>
      </c>
      <c r="J47" s="227">
        <v>1</v>
      </c>
      <c r="K47" s="241">
        <v>105.13993102084564</v>
      </c>
      <c r="L47" s="237">
        <v>102.53758663139969</v>
      </c>
      <c r="M47" s="237">
        <v>97.524537398635957</v>
      </c>
      <c r="N47" s="237">
        <v>88.221718614739956</v>
      </c>
      <c r="O47" s="241">
        <v>0.80004235995519846</v>
      </c>
      <c r="P47" s="237">
        <v>0.78585775553394233</v>
      </c>
      <c r="Q47" s="237">
        <v>0.8217840188483102</v>
      </c>
      <c r="R47" s="237">
        <v>0.7491461955622144</v>
      </c>
      <c r="S47" s="242">
        <v>0</v>
      </c>
      <c r="T47" s="243">
        <v>0.98</v>
      </c>
      <c r="U47" s="232">
        <v>0.98</v>
      </c>
      <c r="V47" s="232">
        <v>0.98</v>
      </c>
      <c r="W47" s="232">
        <v>0.98</v>
      </c>
      <c r="X47" s="243"/>
      <c r="Z47" s="28" t="str">
        <f t="shared" si="0"/>
        <v>CH1HET005</v>
      </c>
      <c r="AA47" s="227"/>
      <c r="AB47" s="233" t="s">
        <v>1206</v>
      </c>
      <c r="AC47" s="227">
        <v>1</v>
      </c>
      <c r="AD47" s="28"/>
      <c r="AE47" s="28"/>
      <c r="AF47" s="28"/>
    </row>
    <row r="48" spans="1:32" s="6" customFormat="1" x14ac:dyDescent="0.2">
      <c r="A48" s="7"/>
      <c r="B48" s="28" t="s">
        <v>677</v>
      </c>
      <c r="C48" s="28" t="s">
        <v>133</v>
      </c>
      <c r="D48" s="28"/>
      <c r="E48" s="28" t="s">
        <v>678</v>
      </c>
      <c r="F48" s="28" t="s">
        <v>600</v>
      </c>
      <c r="G48" s="240">
        <v>2015</v>
      </c>
      <c r="H48" s="28">
        <v>31.536000000000001</v>
      </c>
      <c r="I48" s="227">
        <v>25</v>
      </c>
      <c r="J48" s="227">
        <v>1</v>
      </c>
      <c r="K48" s="241">
        <v>366.57007626277704</v>
      </c>
      <c r="L48" s="237">
        <v>359.65090293222494</v>
      </c>
      <c r="M48" s="237">
        <v>359.65090293222494</v>
      </c>
      <c r="N48" s="237">
        <v>359.65090293222494</v>
      </c>
      <c r="O48" s="241">
        <v>7.6352464150842447</v>
      </c>
      <c r="P48" s="237">
        <v>7.525183660393302</v>
      </c>
      <c r="Q48" s="237">
        <v>7.4561972756579626</v>
      </c>
      <c r="R48" s="237">
        <v>6.997445109844012</v>
      </c>
      <c r="S48" s="242">
        <v>0</v>
      </c>
      <c r="T48" s="243">
        <v>0.8</v>
      </c>
      <c r="U48" s="232">
        <v>0.85</v>
      </c>
      <c r="V48" s="232">
        <v>0.9</v>
      </c>
      <c r="W48" s="232">
        <v>0.9</v>
      </c>
      <c r="X48" s="243"/>
      <c r="Z48" s="28" t="str">
        <f t="shared" si="0"/>
        <v>CH1BIO005</v>
      </c>
      <c r="AA48" s="227"/>
      <c r="AB48" s="233" t="s">
        <v>1206</v>
      </c>
      <c r="AC48" s="227">
        <v>1</v>
      </c>
      <c r="AD48" s="28"/>
      <c r="AE48" s="28"/>
      <c r="AF48" s="28"/>
    </row>
    <row r="49" spans="1:32" s="6" customFormat="1" x14ac:dyDescent="0.2">
      <c r="A49" s="7"/>
      <c r="B49" s="28" t="s">
        <v>134</v>
      </c>
      <c r="C49" s="28" t="s">
        <v>135</v>
      </c>
      <c r="D49" s="28"/>
      <c r="E49" s="28" t="s">
        <v>183</v>
      </c>
      <c r="F49" s="28" t="s">
        <v>600</v>
      </c>
      <c r="G49" s="240">
        <v>2015</v>
      </c>
      <c r="H49" s="28">
        <v>31.536000000000001</v>
      </c>
      <c r="I49" s="227">
        <v>25</v>
      </c>
      <c r="J49" s="227">
        <v>1</v>
      </c>
      <c r="K49" s="241">
        <v>398.64348567281718</v>
      </c>
      <c r="L49" s="237">
        <v>391.1189124654602</v>
      </c>
      <c r="M49" s="237">
        <v>389.60494788503314</v>
      </c>
      <c r="N49" s="237">
        <v>384.27932246732962</v>
      </c>
      <c r="O49" s="241">
        <v>8.1859147226423037</v>
      </c>
      <c r="P49" s="237">
        <v>8.0805041305021188</v>
      </c>
      <c r="Q49" s="237">
        <v>7.9976641025936308</v>
      </c>
      <c r="R49" s="237">
        <v>7.4144996307837809</v>
      </c>
      <c r="S49" s="242">
        <v>0</v>
      </c>
      <c r="T49" s="243">
        <v>0.83130139488676535</v>
      </c>
      <c r="U49" s="232">
        <v>0.8740954719740287</v>
      </c>
      <c r="V49" s="232">
        <v>0.91645848783225881</v>
      </c>
      <c r="W49" s="232">
        <v>0.91645848783225881</v>
      </c>
      <c r="X49" s="243"/>
      <c r="Z49" s="28" t="str">
        <f t="shared" si="0"/>
        <v>CH1WPL005</v>
      </c>
      <c r="AA49" s="227"/>
      <c r="AB49" s="233" t="s">
        <v>1206</v>
      </c>
      <c r="AC49" s="227">
        <v>1</v>
      </c>
      <c r="AD49" s="28"/>
      <c r="AE49" s="28"/>
      <c r="AF49" s="28"/>
    </row>
    <row r="50" spans="1:32" s="6" customFormat="1" x14ac:dyDescent="0.2">
      <c r="A50" s="7"/>
      <c r="B50" s="68" t="s">
        <v>33</v>
      </c>
      <c r="C50" s="231"/>
      <c r="D50" s="231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312"/>
      <c r="Z50" s="68" t="s">
        <v>33</v>
      </c>
      <c r="AA50" s="231"/>
      <c r="AB50" s="231"/>
      <c r="AC50" s="68"/>
      <c r="AD50" s="68"/>
      <c r="AE50" s="68"/>
      <c r="AF50" s="68"/>
    </row>
    <row r="51" spans="1:32" s="6" customFormat="1" x14ac:dyDescent="0.2">
      <c r="A51" s="7"/>
      <c r="B51" s="28" t="str">
        <f>SUBSTITUTE(B11,"005","705")</f>
        <v>RH1ELC705</v>
      </c>
      <c r="C51" s="28" t="str">
        <f>C11</f>
        <v>RES.HEAT.R1: .05.ELC.INS-REG.RESISTANCE.STD.</v>
      </c>
      <c r="D51" s="28"/>
      <c r="E51" s="28" t="s">
        <v>503</v>
      </c>
      <c r="F51" s="28" t="str">
        <f t="shared" ref="F51:W51" si="1">F11</f>
        <v>RH1</v>
      </c>
      <c r="G51" s="240">
        <f t="shared" si="1"/>
        <v>2012</v>
      </c>
      <c r="H51" s="28">
        <f t="shared" si="1"/>
        <v>31.536000000000001</v>
      </c>
      <c r="I51" s="227">
        <f t="shared" si="1"/>
        <v>25</v>
      </c>
      <c r="J51" s="227">
        <f t="shared" si="1"/>
        <v>1</v>
      </c>
      <c r="K51" s="241">
        <f t="shared" si="1"/>
        <v>149.93939393939397</v>
      </c>
      <c r="L51" s="237">
        <f t="shared" si="1"/>
        <v>149.93939393939394</v>
      </c>
      <c r="M51" s="237">
        <f t="shared" si="1"/>
        <v>149.93939393939394</v>
      </c>
      <c r="N51" s="237">
        <f t="shared" si="1"/>
        <v>149.93939393939399</v>
      </c>
      <c r="O51" s="241">
        <f t="shared" si="1"/>
        <v>5.622727272727273</v>
      </c>
      <c r="P51" s="237">
        <f t="shared" si="1"/>
        <v>5.622727272727273</v>
      </c>
      <c r="Q51" s="237">
        <f t="shared" si="1"/>
        <v>5.622727272727273</v>
      </c>
      <c r="R51" s="237">
        <f t="shared" si="1"/>
        <v>5.622727272727273</v>
      </c>
      <c r="S51" s="242">
        <f t="shared" si="1"/>
        <v>0</v>
      </c>
      <c r="T51" s="243">
        <f t="shared" si="1"/>
        <v>1</v>
      </c>
      <c r="U51" s="232">
        <f t="shared" si="1"/>
        <v>1</v>
      </c>
      <c r="V51" s="232">
        <f t="shared" si="1"/>
        <v>1</v>
      </c>
      <c r="W51" s="232">
        <f t="shared" si="1"/>
        <v>1</v>
      </c>
      <c r="X51" s="243"/>
      <c r="Z51" s="28" t="str">
        <f t="shared" ref="Z51:Z63" si="2">$B51</f>
        <v>RH1ELC705</v>
      </c>
      <c r="AA51" s="78"/>
      <c r="AB51" s="227" t="s">
        <v>1207</v>
      </c>
      <c r="AC51" s="227">
        <v>1</v>
      </c>
      <c r="AD51" s="78"/>
      <c r="AE51" s="78"/>
      <c r="AF51" s="78"/>
    </row>
    <row r="52" spans="1:32" s="6" customFormat="1" x14ac:dyDescent="0.2">
      <c r="A52" s="7"/>
      <c r="B52" s="28" t="str">
        <f t="shared" ref="B52:B61" si="3">SUBSTITUTE(B12,"005","705")</f>
        <v>RH1EHA705</v>
      </c>
      <c r="C52" s="28" t="str">
        <f t="shared" ref="C52:E61" si="4">C12</f>
        <v xml:space="preserve">RES.HEAT.R1: .05.ELC.INS-REG.HPUMP.AIR.            </v>
      </c>
      <c r="D52" s="28"/>
      <c r="E52" s="28" t="s">
        <v>503</v>
      </c>
      <c r="F52" s="28" t="str">
        <f t="shared" ref="F52:I61" si="5">F12</f>
        <v>RH1</v>
      </c>
      <c r="G52" s="240">
        <f t="shared" si="5"/>
        <v>2015</v>
      </c>
      <c r="H52" s="28">
        <f t="shared" si="5"/>
        <v>31.536000000000001</v>
      </c>
      <c r="I52" s="227">
        <f t="shared" si="5"/>
        <v>18</v>
      </c>
      <c r="J52" s="227">
        <f t="shared" ref="J52:W52" si="6">J12</f>
        <v>1</v>
      </c>
      <c r="K52" s="241">
        <f t="shared" si="6"/>
        <v>937.12121212121224</v>
      </c>
      <c r="L52" s="237">
        <f t="shared" si="6"/>
        <v>880.89393939393949</v>
      </c>
      <c r="M52" s="237">
        <f t="shared" si="6"/>
        <v>796.55303030303037</v>
      </c>
      <c r="N52" s="237">
        <f t="shared" si="6"/>
        <v>712.21212121212125</v>
      </c>
      <c r="O52" s="241">
        <f t="shared" si="6"/>
        <v>19.304696969696973</v>
      </c>
      <c r="P52" s="237">
        <f t="shared" si="6"/>
        <v>18.27386363636364</v>
      </c>
      <c r="Q52" s="237">
        <f t="shared" si="6"/>
        <v>16.774469696969696</v>
      </c>
      <c r="R52" s="237">
        <f t="shared" si="6"/>
        <v>15.837348484848485</v>
      </c>
      <c r="S52" s="242">
        <f t="shared" si="6"/>
        <v>0</v>
      </c>
      <c r="T52" s="243">
        <f t="shared" si="6"/>
        <v>2.4180000000000001</v>
      </c>
      <c r="U52" s="232">
        <f t="shared" si="6"/>
        <v>3.0025828869042881</v>
      </c>
      <c r="V52" s="232">
        <f t="shared" si="6"/>
        <v>3.4219550478797065</v>
      </c>
      <c r="W52" s="232">
        <f t="shared" si="6"/>
        <v>3.8121517772272338</v>
      </c>
      <c r="X52" s="243"/>
      <c r="Z52" s="28" t="str">
        <f t="shared" si="2"/>
        <v>RH1EHA705</v>
      </c>
      <c r="AA52" s="78"/>
      <c r="AB52" s="227" t="s">
        <v>1207</v>
      </c>
      <c r="AC52" s="227">
        <v>1</v>
      </c>
      <c r="AD52" s="78"/>
      <c r="AE52" s="78"/>
      <c r="AF52" s="78"/>
    </row>
    <row r="53" spans="1:32" s="6" customFormat="1" x14ac:dyDescent="0.2">
      <c r="A53" s="7"/>
      <c r="B53" s="28" t="str">
        <f t="shared" si="3"/>
        <v>RH1EHN705</v>
      </c>
      <c r="C53" s="28" t="str">
        <f t="shared" si="4"/>
        <v xml:space="preserve">RES.HEAT.R1: .05.ELC.INS-REG.HPUMP.NEARSURFACE.    </v>
      </c>
      <c r="D53" s="28"/>
      <c r="E53" s="28" t="s">
        <v>503</v>
      </c>
      <c r="F53" s="28" t="str">
        <f t="shared" si="5"/>
        <v>RH1</v>
      </c>
      <c r="G53" s="240">
        <f t="shared" si="5"/>
        <v>2015</v>
      </c>
      <c r="H53" s="28">
        <f t="shared" si="5"/>
        <v>31.536000000000001</v>
      </c>
      <c r="I53" s="227">
        <f t="shared" si="5"/>
        <v>30</v>
      </c>
      <c r="J53" s="227">
        <f t="shared" ref="J53:W53" si="7">J13</f>
        <v>1</v>
      </c>
      <c r="K53" s="241">
        <f t="shared" si="7"/>
        <v>1499.3939393939395</v>
      </c>
      <c r="L53" s="237">
        <f t="shared" si="7"/>
        <v>1405.6818181818182</v>
      </c>
      <c r="M53" s="237">
        <f t="shared" si="7"/>
        <v>1311.9696969696972</v>
      </c>
      <c r="N53" s="237">
        <f t="shared" si="7"/>
        <v>1124.5454545454547</v>
      </c>
      <c r="O53" s="241">
        <f t="shared" si="7"/>
        <v>27.219622727272728</v>
      </c>
      <c r="P53" s="237">
        <f t="shared" si="7"/>
        <v>25.766147727272731</v>
      </c>
      <c r="Q53" s="237">
        <f t="shared" si="7"/>
        <v>23.652002272727273</v>
      </c>
      <c r="R53" s="237">
        <f t="shared" si="7"/>
        <v>22.330661363636363</v>
      </c>
      <c r="S53" s="242">
        <f t="shared" si="7"/>
        <v>0</v>
      </c>
      <c r="T53" s="243">
        <f t="shared" si="7"/>
        <v>3.0150000000000001</v>
      </c>
      <c r="U53" s="232">
        <f t="shared" si="7"/>
        <v>3.2386543570905144</v>
      </c>
      <c r="V53" s="232">
        <f t="shared" si="7"/>
        <v>3.4410592267822495</v>
      </c>
      <c r="W53" s="232">
        <f t="shared" si="7"/>
        <v>3.6333231044897376</v>
      </c>
      <c r="X53" s="243"/>
      <c r="Z53" s="28" t="str">
        <f t="shared" si="2"/>
        <v>RH1EHN705</v>
      </c>
      <c r="AA53" s="78"/>
      <c r="AB53" s="227" t="s">
        <v>1207</v>
      </c>
      <c r="AC53" s="227">
        <v>1</v>
      </c>
      <c r="AD53" s="78"/>
      <c r="AE53" s="78"/>
      <c r="AF53" s="78"/>
    </row>
    <row r="54" spans="1:32" s="6" customFormat="1" x14ac:dyDescent="0.2">
      <c r="A54" s="7"/>
      <c r="B54" s="28" t="str">
        <f t="shared" si="3"/>
        <v>RH1EHP705</v>
      </c>
      <c r="C54" s="28" t="str">
        <f t="shared" si="4"/>
        <v xml:space="preserve">RES.HEAT.R1: .05.ELC.INS-REG.HPUMP.PROBE.          </v>
      </c>
      <c r="D54" s="28"/>
      <c r="E54" s="28" t="str">
        <f t="shared" si="4"/>
        <v>RHPELC</v>
      </c>
      <c r="F54" s="28" t="str">
        <f t="shared" si="5"/>
        <v>RH1</v>
      </c>
      <c r="G54" s="240">
        <f t="shared" si="5"/>
        <v>2015</v>
      </c>
      <c r="H54" s="28">
        <f t="shared" si="5"/>
        <v>31.536000000000001</v>
      </c>
      <c r="I54" s="227">
        <f t="shared" si="5"/>
        <v>35</v>
      </c>
      <c r="J54" s="227">
        <f t="shared" ref="J54:W54" si="8">J14</f>
        <v>1</v>
      </c>
      <c r="K54" s="241">
        <f t="shared" si="8"/>
        <v>2053.1297079814867</v>
      </c>
      <c r="L54" s="237">
        <f t="shared" si="8"/>
        <v>1903.3021792679326</v>
      </c>
      <c r="M54" s="237">
        <f t="shared" si="8"/>
        <v>1753.1932528179416</v>
      </c>
      <c r="N54" s="237">
        <f t="shared" si="8"/>
        <v>1539.847280986115</v>
      </c>
      <c r="O54" s="241">
        <f t="shared" si="8"/>
        <v>30.523405981796472</v>
      </c>
      <c r="P54" s="237">
        <f t="shared" si="8"/>
        <v>28.893515371118021</v>
      </c>
      <c r="Q54" s="237">
        <f t="shared" si="8"/>
        <v>26.522765391949363</v>
      </c>
      <c r="R54" s="237">
        <f t="shared" si="8"/>
        <v>25.041046654968948</v>
      </c>
      <c r="S54" s="242">
        <f t="shared" si="8"/>
        <v>0</v>
      </c>
      <c r="T54" s="243">
        <f t="shared" si="8"/>
        <v>3.44</v>
      </c>
      <c r="U54" s="232">
        <f t="shared" si="8"/>
        <v>3.848634500280339</v>
      </c>
      <c r="V54" s="232">
        <f t="shared" si="8"/>
        <v>4.0895888781516936</v>
      </c>
      <c r="W54" s="232">
        <f t="shared" si="8"/>
        <v>4.4424301271574507</v>
      </c>
      <c r="X54" s="243"/>
      <c r="Z54" s="28" t="str">
        <f t="shared" si="2"/>
        <v>RH1EHP705</v>
      </c>
      <c r="AA54" s="78"/>
      <c r="AB54" s="227" t="s">
        <v>1207</v>
      </c>
      <c r="AC54" s="227">
        <v>1</v>
      </c>
      <c r="AD54" s="78"/>
      <c r="AE54" s="78"/>
      <c r="AF54" s="78"/>
    </row>
    <row r="55" spans="1:32" s="6" customFormat="1" x14ac:dyDescent="0.2">
      <c r="A55" s="7"/>
      <c r="B55" s="28" t="str">
        <f t="shared" si="3"/>
        <v>RH1ELS705</v>
      </c>
      <c r="C55" s="28" t="str">
        <f t="shared" si="4"/>
        <v xml:space="preserve">RES.HEAT.R1: .05.ELC.INS-REG.SOLAR.                </v>
      </c>
      <c r="D55" s="28"/>
      <c r="E55" s="28" t="str">
        <f t="shared" si="4"/>
        <v>RESSOL</v>
      </c>
      <c r="F55" s="28" t="str">
        <f t="shared" si="5"/>
        <v>RH1</v>
      </c>
      <c r="G55" s="240">
        <f t="shared" si="5"/>
        <v>2015</v>
      </c>
      <c r="H55" s="28">
        <f t="shared" si="5"/>
        <v>31.536000000000001</v>
      </c>
      <c r="I55" s="227">
        <f t="shared" si="5"/>
        <v>30</v>
      </c>
      <c r="J55" s="227">
        <f t="shared" ref="J55:W55" si="9">J15</f>
        <v>1</v>
      </c>
      <c r="K55" s="241">
        <f t="shared" si="9"/>
        <v>464.32909497661171</v>
      </c>
      <c r="L55" s="237">
        <f t="shared" si="9"/>
        <v>426.59267032743548</v>
      </c>
      <c r="M55" s="237">
        <f t="shared" si="9"/>
        <v>401.43505389465128</v>
      </c>
      <c r="N55" s="237">
        <f t="shared" si="9"/>
        <v>338.54101281269067</v>
      </c>
      <c r="O55" s="241">
        <f t="shared" si="9"/>
        <v>15.495968614718615</v>
      </c>
      <c r="P55" s="237">
        <f t="shared" si="9"/>
        <v>15.211468697096967</v>
      </c>
      <c r="Q55" s="237">
        <f t="shared" si="9"/>
        <v>15.347398785298759</v>
      </c>
      <c r="R55" s="237">
        <f t="shared" si="9"/>
        <v>14.104860508965444</v>
      </c>
      <c r="S55" s="242">
        <f t="shared" si="9"/>
        <v>0</v>
      </c>
      <c r="T55" s="243">
        <f t="shared" si="9"/>
        <v>1</v>
      </c>
      <c r="U55" s="232">
        <f t="shared" si="9"/>
        <v>1</v>
      </c>
      <c r="V55" s="232">
        <f t="shared" si="9"/>
        <v>1</v>
      </c>
      <c r="W55" s="232">
        <f t="shared" si="9"/>
        <v>1</v>
      </c>
      <c r="X55" s="243"/>
      <c r="Z55" s="28" t="str">
        <f t="shared" si="2"/>
        <v>RH1ELS705</v>
      </c>
      <c r="AA55" s="227" t="s">
        <v>1170</v>
      </c>
      <c r="AB55" s="227" t="s">
        <v>1207</v>
      </c>
      <c r="AC55" s="227">
        <v>1</v>
      </c>
      <c r="AD55" s="78"/>
      <c r="AE55" s="78"/>
      <c r="AF55" s="78"/>
    </row>
    <row r="56" spans="1:32" s="6" customFormat="1" x14ac:dyDescent="0.2">
      <c r="A56" s="7"/>
      <c r="B56" s="28" t="str">
        <f t="shared" si="3"/>
        <v>RH1DSB705</v>
      </c>
      <c r="C56" s="28" t="str">
        <f t="shared" si="4"/>
        <v xml:space="preserve">RES.HEAT.R1: .05.DST.INS-REG.STD.                  </v>
      </c>
      <c r="D56" s="28"/>
      <c r="E56" s="28" t="str">
        <f t="shared" si="4"/>
        <v>RESBFO</v>
      </c>
      <c r="F56" s="28" t="str">
        <f t="shared" si="5"/>
        <v>RH1</v>
      </c>
      <c r="G56" s="240">
        <f t="shared" si="5"/>
        <v>2015</v>
      </c>
      <c r="H56" s="28">
        <f t="shared" si="5"/>
        <v>31.536000000000001</v>
      </c>
      <c r="I56" s="227">
        <f t="shared" si="5"/>
        <v>24</v>
      </c>
      <c r="J56" s="227">
        <f t="shared" ref="J56:W56" si="10">J16</f>
        <v>1</v>
      </c>
      <c r="K56" s="241">
        <f t="shared" si="10"/>
        <v>624.74747474747483</v>
      </c>
      <c r="L56" s="237">
        <f t="shared" si="10"/>
        <v>609.28419576351496</v>
      </c>
      <c r="M56" s="237">
        <f t="shared" si="10"/>
        <v>579.49637092336968</v>
      </c>
      <c r="N56" s="237">
        <f t="shared" si="10"/>
        <v>524.21849041838743</v>
      </c>
      <c r="O56" s="241">
        <f t="shared" si="10"/>
        <v>15.387530303030307</v>
      </c>
      <c r="P56" s="237">
        <f t="shared" si="10"/>
        <v>15.032342668021329</v>
      </c>
      <c r="Q56" s="237">
        <f t="shared" si="10"/>
        <v>14.475808356706327</v>
      </c>
      <c r="R56" s="237">
        <f t="shared" si="10"/>
        <v>13.129459679132209</v>
      </c>
      <c r="S56" s="242">
        <f t="shared" si="10"/>
        <v>0</v>
      </c>
      <c r="T56" s="243">
        <f t="shared" si="10"/>
        <v>0.88</v>
      </c>
      <c r="U56" s="232">
        <f t="shared" si="10"/>
        <v>0.88</v>
      </c>
      <c r="V56" s="232">
        <f t="shared" si="10"/>
        <v>0.92</v>
      </c>
      <c r="W56" s="232">
        <f t="shared" si="10"/>
        <v>0.94</v>
      </c>
      <c r="X56" s="243"/>
      <c r="Z56" s="28" t="str">
        <f t="shared" si="2"/>
        <v>RH1DSB705</v>
      </c>
      <c r="AA56" s="78"/>
      <c r="AB56" s="227" t="s">
        <v>1207</v>
      </c>
      <c r="AC56" s="227">
        <v>1</v>
      </c>
      <c r="AD56" s="78"/>
      <c r="AE56" s="78"/>
      <c r="AF56" s="78"/>
    </row>
    <row r="57" spans="1:32" s="6" customFormat="1" x14ac:dyDescent="0.2">
      <c r="A57" s="7"/>
      <c r="B57" s="28" t="str">
        <f t="shared" si="3"/>
        <v>RH1DSC705</v>
      </c>
      <c r="C57" s="28" t="str">
        <f t="shared" si="4"/>
        <v xml:space="preserve">RES.HEAT.R1: .05.DST.INS-REG.CONDENSING.STD.       </v>
      </c>
      <c r="D57" s="28"/>
      <c r="E57" s="28" t="str">
        <f t="shared" si="4"/>
        <v>RESDST</v>
      </c>
      <c r="F57" s="28" t="str">
        <f t="shared" si="5"/>
        <v>RH1</v>
      </c>
      <c r="G57" s="240">
        <f t="shared" si="5"/>
        <v>2015</v>
      </c>
      <c r="H57" s="28">
        <f t="shared" si="5"/>
        <v>31.536000000000001</v>
      </c>
      <c r="I57" s="227">
        <f t="shared" si="5"/>
        <v>24</v>
      </c>
      <c r="J57" s="227">
        <f t="shared" ref="J57:W57" si="11">J17</f>
        <v>1</v>
      </c>
      <c r="K57" s="241">
        <f t="shared" si="11"/>
        <v>374.84848484848487</v>
      </c>
      <c r="L57" s="237">
        <f t="shared" si="11"/>
        <v>365.57051745810895</v>
      </c>
      <c r="M57" s="237">
        <f t="shared" si="11"/>
        <v>347.6978225540218</v>
      </c>
      <c r="N57" s="237">
        <f t="shared" si="11"/>
        <v>314.53109425103253</v>
      </c>
      <c r="O57" s="241">
        <f t="shared" si="11"/>
        <v>15.584325757575758</v>
      </c>
      <c r="P57" s="237">
        <f t="shared" si="11"/>
        <v>15.226326758930419</v>
      </c>
      <c r="Q57" s="237">
        <f t="shared" si="11"/>
        <v>14.728206336504307</v>
      </c>
      <c r="R57" s="237">
        <f t="shared" si="11"/>
        <v>13.385293770041299</v>
      </c>
      <c r="S57" s="242">
        <f t="shared" si="11"/>
        <v>0</v>
      </c>
      <c r="T57" s="243">
        <f t="shared" si="11"/>
        <v>0.92</v>
      </c>
      <c r="U57" s="232">
        <f t="shared" si="11"/>
        <v>0.92</v>
      </c>
      <c r="V57" s="232">
        <f t="shared" si="11"/>
        <v>0.93</v>
      </c>
      <c r="W57" s="232">
        <f t="shared" si="11"/>
        <v>0.95</v>
      </c>
      <c r="X57" s="243"/>
      <c r="Z57" s="28" t="str">
        <f t="shared" si="2"/>
        <v>RH1DSC705</v>
      </c>
      <c r="AA57" s="78"/>
      <c r="AB57" s="227" t="s">
        <v>1207</v>
      </c>
      <c r="AC57" s="227">
        <v>1</v>
      </c>
      <c r="AD57" s="78"/>
      <c r="AE57" s="78"/>
      <c r="AF57" s="78"/>
    </row>
    <row r="58" spans="1:32" s="6" customFormat="1" x14ac:dyDescent="0.2">
      <c r="A58" s="7"/>
      <c r="B58" s="28" t="str">
        <f t="shared" si="3"/>
        <v>RH1LPB705</v>
      </c>
      <c r="C58" s="28" t="str">
        <f t="shared" si="4"/>
        <v xml:space="preserve">RES.HEAT.R1: .05.LPG.INS-REG.STD.                  </v>
      </c>
      <c r="D58" s="28"/>
      <c r="E58" s="28" t="str">
        <f t="shared" si="4"/>
        <v>RESLPG</v>
      </c>
      <c r="F58" s="28" t="str">
        <f t="shared" si="5"/>
        <v>RH1</v>
      </c>
      <c r="G58" s="240">
        <f t="shared" si="5"/>
        <v>2015</v>
      </c>
      <c r="H58" s="28">
        <f t="shared" si="5"/>
        <v>31.536000000000001</v>
      </c>
      <c r="I58" s="227">
        <f t="shared" si="5"/>
        <v>24</v>
      </c>
      <c r="J58" s="227">
        <f t="shared" ref="J58:W58" si="12">J18</f>
        <v>1</v>
      </c>
      <c r="K58" s="241">
        <f t="shared" si="12"/>
        <v>487.30303030303037</v>
      </c>
      <c r="L58" s="237">
        <f t="shared" si="12"/>
        <v>475.24167269554169</v>
      </c>
      <c r="M58" s="237">
        <f t="shared" si="12"/>
        <v>452.00716932022834</v>
      </c>
      <c r="N58" s="237">
        <f t="shared" si="12"/>
        <v>408.89042252634226</v>
      </c>
      <c r="O58" s="241">
        <f t="shared" si="12"/>
        <v>19.628003787878789</v>
      </c>
      <c r="P58" s="237">
        <f t="shared" si="12"/>
        <v>19.183784963814539</v>
      </c>
      <c r="Q58" s="237">
        <f t="shared" si="12"/>
        <v>18.615331279216242</v>
      </c>
      <c r="R58" s="237">
        <f t="shared" si="12"/>
        <v>16.932629712551623</v>
      </c>
      <c r="S58" s="242">
        <f t="shared" si="12"/>
        <v>0</v>
      </c>
      <c r="T58" s="243">
        <f t="shared" si="12"/>
        <v>0.97</v>
      </c>
      <c r="U58" s="232">
        <f t="shared" si="12"/>
        <v>0.97</v>
      </c>
      <c r="V58" s="232">
        <f t="shared" si="12"/>
        <v>0.98</v>
      </c>
      <c r="W58" s="232">
        <f t="shared" si="12"/>
        <v>0.99</v>
      </c>
      <c r="X58" s="243"/>
      <c r="Z58" s="28" t="str">
        <f t="shared" si="2"/>
        <v>RH1LPB705</v>
      </c>
      <c r="AA58" s="78"/>
      <c r="AB58" s="227" t="s">
        <v>1207</v>
      </c>
      <c r="AC58" s="227">
        <v>1</v>
      </c>
      <c r="AD58" s="78"/>
      <c r="AE58" s="78"/>
      <c r="AF58" s="78"/>
    </row>
    <row r="59" spans="1:32" s="6" customFormat="1" x14ac:dyDescent="0.2">
      <c r="A59" s="7"/>
      <c r="B59" s="28" t="str">
        <f t="shared" si="3"/>
        <v>RH1NGB705</v>
      </c>
      <c r="C59" s="28" t="str">
        <f t="shared" si="4"/>
        <v xml:space="preserve">RES.HEAT.R1: .05.NGA.INS-REG.STD.                  </v>
      </c>
      <c r="D59" s="28"/>
      <c r="E59" s="28" t="str">
        <f t="shared" si="4"/>
        <v>RESNGA</v>
      </c>
      <c r="F59" s="28" t="str">
        <f t="shared" si="5"/>
        <v>RH1</v>
      </c>
      <c r="G59" s="240">
        <f t="shared" si="5"/>
        <v>2015</v>
      </c>
      <c r="H59" s="28">
        <f t="shared" si="5"/>
        <v>31.536000000000001</v>
      </c>
      <c r="I59" s="227">
        <f t="shared" si="5"/>
        <v>24</v>
      </c>
      <c r="J59" s="227">
        <f t="shared" ref="J59:W59" si="13">J19</f>
        <v>1</v>
      </c>
      <c r="K59" s="241">
        <f t="shared" si="13"/>
        <v>487.30303030303037</v>
      </c>
      <c r="L59" s="237">
        <f t="shared" si="13"/>
        <v>475.24167269554169</v>
      </c>
      <c r="M59" s="237">
        <f t="shared" si="13"/>
        <v>452.00716932022834</v>
      </c>
      <c r="N59" s="237">
        <f t="shared" si="13"/>
        <v>408.89042252634226</v>
      </c>
      <c r="O59" s="241">
        <f t="shared" si="13"/>
        <v>19.628003787878789</v>
      </c>
      <c r="P59" s="237">
        <f t="shared" si="13"/>
        <v>19.183784963814539</v>
      </c>
      <c r="Q59" s="237">
        <f t="shared" si="13"/>
        <v>18.615331279216242</v>
      </c>
      <c r="R59" s="237">
        <f t="shared" si="13"/>
        <v>16.932629712551623</v>
      </c>
      <c r="S59" s="242">
        <f t="shared" si="13"/>
        <v>0</v>
      </c>
      <c r="T59" s="243">
        <f t="shared" si="13"/>
        <v>0.97</v>
      </c>
      <c r="U59" s="232">
        <f t="shared" si="13"/>
        <v>0.97</v>
      </c>
      <c r="V59" s="232">
        <f t="shared" si="13"/>
        <v>0.98</v>
      </c>
      <c r="W59" s="232">
        <f t="shared" si="13"/>
        <v>0.99</v>
      </c>
      <c r="X59" s="243"/>
      <c r="Z59" s="28" t="str">
        <f t="shared" si="2"/>
        <v>RH1NGB705</v>
      </c>
      <c r="AA59" s="78"/>
      <c r="AB59" s="227" t="s">
        <v>1207</v>
      </c>
      <c r="AC59" s="227">
        <v>1</v>
      </c>
      <c r="AD59" s="78"/>
      <c r="AE59" s="78"/>
      <c r="AF59" s="78"/>
    </row>
    <row r="60" spans="1:32" s="6" customFormat="1" x14ac:dyDescent="0.2">
      <c r="A60" s="7"/>
      <c r="B60" s="28" t="str">
        <f t="shared" si="3"/>
        <v>RH1NGC705</v>
      </c>
      <c r="C60" s="28" t="str">
        <f t="shared" si="4"/>
        <v>RES.HEAT.R1: .05.NGA.INS-REG.PUMP.STD.</v>
      </c>
      <c r="D60" s="28"/>
      <c r="E60" s="28" t="str">
        <f t="shared" si="4"/>
        <v>RESNGA</v>
      </c>
      <c r="F60" s="28" t="str">
        <f t="shared" si="5"/>
        <v>RH1</v>
      </c>
      <c r="G60" s="240">
        <f t="shared" si="5"/>
        <v>2015</v>
      </c>
      <c r="H60" s="28">
        <f t="shared" si="5"/>
        <v>31.536000000000001</v>
      </c>
      <c r="I60" s="227">
        <f t="shared" si="5"/>
        <v>20</v>
      </c>
      <c r="J60" s="227">
        <f t="shared" ref="J60:W60" si="14">J20</f>
        <v>1</v>
      </c>
      <c r="K60" s="241">
        <f t="shared" si="14"/>
        <v>1311.9696969696972</v>
      </c>
      <c r="L60" s="237">
        <f t="shared" si="14"/>
        <v>1233.2515151515154</v>
      </c>
      <c r="M60" s="237">
        <f t="shared" si="14"/>
        <v>1109.9263636363639</v>
      </c>
      <c r="N60" s="237">
        <f t="shared" si="14"/>
        <v>998.93372727272742</v>
      </c>
      <c r="O60" s="241">
        <f t="shared" si="14"/>
        <v>22.022348484848486</v>
      </c>
      <c r="P60" s="237">
        <f t="shared" si="14"/>
        <v>22.022348484848486</v>
      </c>
      <c r="Q60" s="237">
        <f t="shared" si="14"/>
        <v>22.022348484848486</v>
      </c>
      <c r="R60" s="237">
        <f t="shared" si="14"/>
        <v>22.022348484848486</v>
      </c>
      <c r="S60" s="242">
        <f t="shared" si="14"/>
        <v>0</v>
      </c>
      <c r="T60" s="243">
        <f t="shared" si="14"/>
        <v>1.4175</v>
      </c>
      <c r="U60" s="232">
        <f t="shared" si="14"/>
        <v>1.3901041757986787</v>
      </c>
      <c r="V60" s="232">
        <f t="shared" si="14"/>
        <v>1.3785257938055204</v>
      </c>
      <c r="W60" s="232">
        <f t="shared" si="14"/>
        <v>1.3699053388202473</v>
      </c>
      <c r="X60" s="243"/>
      <c r="Z60" s="28" t="str">
        <f t="shared" si="2"/>
        <v>RH1NGC705</v>
      </c>
      <c r="AA60" s="78"/>
      <c r="AB60" s="227" t="s">
        <v>1207</v>
      </c>
      <c r="AC60" s="227">
        <v>1</v>
      </c>
      <c r="AD60" s="78"/>
      <c r="AE60" s="78"/>
      <c r="AF60" s="78"/>
    </row>
    <row r="61" spans="1:32" s="6" customFormat="1" x14ac:dyDescent="0.2">
      <c r="A61" s="7"/>
      <c r="B61" s="28" t="str">
        <f t="shared" si="3"/>
        <v>RH1HET705</v>
      </c>
      <c r="C61" s="28" t="str">
        <f t="shared" si="4"/>
        <v xml:space="preserve">RES.HEAT.R1: .05.HET.INS-REG.EXCHANGER.            </v>
      </c>
      <c r="D61" s="28"/>
      <c r="E61" s="28" t="str">
        <f t="shared" si="4"/>
        <v>RESHET</v>
      </c>
      <c r="F61" s="28" t="str">
        <f t="shared" si="5"/>
        <v>RH1</v>
      </c>
      <c r="G61" s="240">
        <f t="shared" si="5"/>
        <v>2015</v>
      </c>
      <c r="H61" s="28">
        <f t="shared" si="5"/>
        <v>31.536000000000001</v>
      </c>
      <c r="I61" s="227">
        <f t="shared" si="5"/>
        <v>25</v>
      </c>
      <c r="J61" s="227">
        <f t="shared" ref="J61:W61" si="15">J21</f>
        <v>1</v>
      </c>
      <c r="K61" s="241">
        <f t="shared" si="15"/>
        <v>406.08585858585866</v>
      </c>
      <c r="L61" s="237">
        <f t="shared" si="15"/>
        <v>396.03472724628477</v>
      </c>
      <c r="M61" s="237">
        <f t="shared" si="15"/>
        <v>376.67264110019033</v>
      </c>
      <c r="N61" s="237">
        <f t="shared" si="15"/>
        <v>340.7420187719519</v>
      </c>
      <c r="O61" s="241">
        <f t="shared" si="15"/>
        <v>4.4950580808080813</v>
      </c>
      <c r="P61" s="237">
        <f t="shared" si="15"/>
        <v>4.4007553901886354</v>
      </c>
      <c r="Q61" s="237">
        <f t="shared" si="15"/>
        <v>4.4105960051397473</v>
      </c>
      <c r="R61" s="237">
        <f t="shared" si="15"/>
        <v>4.0073201105694665</v>
      </c>
      <c r="S61" s="242">
        <f t="shared" si="15"/>
        <v>0</v>
      </c>
      <c r="T61" s="243">
        <f t="shared" si="15"/>
        <v>0.9597140244425254</v>
      </c>
      <c r="U61" s="232">
        <f t="shared" si="15"/>
        <v>0.97309491291462735</v>
      </c>
      <c r="V61" s="232">
        <f t="shared" si="15"/>
        <v>0.97309491291462735</v>
      </c>
      <c r="W61" s="232">
        <f t="shared" si="15"/>
        <v>0.97309491291462735</v>
      </c>
      <c r="X61" s="243"/>
      <c r="Z61" s="28" t="str">
        <f t="shared" si="2"/>
        <v>RH1HET705</v>
      </c>
      <c r="AA61" s="78"/>
      <c r="AB61" s="227" t="s">
        <v>1207</v>
      </c>
      <c r="AC61" s="227">
        <v>1</v>
      </c>
      <c r="AD61" s="78"/>
      <c r="AE61" s="78"/>
      <c r="AF61" s="78"/>
    </row>
    <row r="62" spans="1:32" s="6" customFormat="1" x14ac:dyDescent="0.2">
      <c r="A62" s="7"/>
      <c r="B62" s="28" t="str">
        <f>SUBSTITUTE(B23,"005","705")</f>
        <v>RH1BIO705</v>
      </c>
      <c r="C62" s="28" t="str">
        <f>C23</f>
        <v>RES.HEAT.R1: .05.BIO.INS-REG.WOOD.BOI.</v>
      </c>
      <c r="D62" s="28"/>
      <c r="E62" s="28" t="str">
        <f t="shared" ref="E62:W62" si="16">E23</f>
        <v>RESBIO</v>
      </c>
      <c r="F62" s="28" t="str">
        <f t="shared" si="16"/>
        <v>RH1</v>
      </c>
      <c r="G62" s="240">
        <f t="shared" si="16"/>
        <v>2015</v>
      </c>
      <c r="H62" s="28">
        <f t="shared" si="16"/>
        <v>31.536000000000001</v>
      </c>
      <c r="I62" s="227">
        <f t="shared" si="16"/>
        <v>22</v>
      </c>
      <c r="J62" s="227">
        <f t="shared" si="16"/>
        <v>1</v>
      </c>
      <c r="K62" s="241">
        <f t="shared" si="16"/>
        <v>540.85281385281394</v>
      </c>
      <c r="L62" s="237">
        <f t="shared" si="16"/>
        <v>543.77941477568493</v>
      </c>
      <c r="M62" s="237">
        <f t="shared" si="16"/>
        <v>543.77941477568493</v>
      </c>
      <c r="N62" s="237">
        <f t="shared" si="16"/>
        <v>543.77941477568493</v>
      </c>
      <c r="O62" s="241">
        <f t="shared" si="16"/>
        <v>27.434892857142863</v>
      </c>
      <c r="P62" s="237">
        <f t="shared" si="16"/>
        <v>27.434892857142863</v>
      </c>
      <c r="Q62" s="237">
        <f t="shared" si="16"/>
        <v>27.434892857142863</v>
      </c>
      <c r="R62" s="237">
        <f t="shared" si="16"/>
        <v>27.434892857142863</v>
      </c>
      <c r="S62" s="242">
        <f t="shared" si="16"/>
        <v>0</v>
      </c>
      <c r="T62" s="243">
        <f t="shared" si="16"/>
        <v>0.8</v>
      </c>
      <c r="U62" s="232">
        <f t="shared" si="16"/>
        <v>0.82</v>
      </c>
      <c r="V62" s="232">
        <f t="shared" si="16"/>
        <v>0.86</v>
      </c>
      <c r="W62" s="232">
        <f t="shared" si="16"/>
        <v>0.88</v>
      </c>
      <c r="X62" s="243"/>
      <c r="Z62" s="28" t="str">
        <f t="shared" si="2"/>
        <v>RH1BIO705</v>
      </c>
      <c r="AA62" s="78"/>
      <c r="AB62" s="227" t="s">
        <v>1207</v>
      </c>
      <c r="AC62" s="227">
        <v>1</v>
      </c>
      <c r="AD62" s="78"/>
      <c r="AE62" s="78"/>
      <c r="AF62" s="78"/>
    </row>
    <row r="63" spans="1:32" s="6" customFormat="1" x14ac:dyDescent="0.2">
      <c r="A63" s="7"/>
      <c r="B63" s="28" t="str">
        <f t="shared" ref="B63:B78" si="17">SUBSTITUTE(B24,"005","705")</f>
        <v>RH1WPL705</v>
      </c>
      <c r="C63" s="28" t="str">
        <f>C24</f>
        <v xml:space="preserve">RES.HEAT.R1: .05.BIO.INS-REG.WOODPELLET.STD.       </v>
      </c>
      <c r="D63" s="28"/>
      <c r="E63" s="28" t="str">
        <f t="shared" ref="E63:W63" si="18">E24</f>
        <v>RESBPL</v>
      </c>
      <c r="F63" s="28" t="str">
        <f t="shared" si="18"/>
        <v>RH1</v>
      </c>
      <c r="G63" s="240">
        <f t="shared" si="18"/>
        <v>2015</v>
      </c>
      <c r="H63" s="28">
        <f t="shared" si="18"/>
        <v>31.536000000000001</v>
      </c>
      <c r="I63" s="227">
        <f t="shared" si="18"/>
        <v>22</v>
      </c>
      <c r="J63" s="227">
        <f t="shared" si="18"/>
        <v>1</v>
      </c>
      <c r="K63" s="241">
        <f t="shared" si="18"/>
        <v>671.60353535353545</v>
      </c>
      <c r="L63" s="237">
        <f t="shared" si="18"/>
        <v>675.23763963482327</v>
      </c>
      <c r="M63" s="237">
        <f t="shared" si="18"/>
        <v>662.08799951389346</v>
      </c>
      <c r="N63" s="237">
        <f t="shared" si="18"/>
        <v>617.45540538590114</v>
      </c>
      <c r="O63" s="241">
        <f t="shared" si="18"/>
        <v>31.69437347317977</v>
      </c>
      <c r="P63" s="237">
        <f t="shared" si="18"/>
        <v>31.945968027091912</v>
      </c>
      <c r="Q63" s="237">
        <f t="shared" si="18"/>
        <v>31.769069384439319</v>
      </c>
      <c r="R63" s="237">
        <f t="shared" si="18"/>
        <v>29.86153873418149</v>
      </c>
      <c r="S63" s="242">
        <f t="shared" si="18"/>
        <v>0</v>
      </c>
      <c r="T63" s="243">
        <f t="shared" si="18"/>
        <v>0.83130139488676535</v>
      </c>
      <c r="U63" s="232">
        <f t="shared" si="18"/>
        <v>0.8484726932016825</v>
      </c>
      <c r="V63" s="232">
        <f t="shared" si="18"/>
        <v>0.88260161467091813</v>
      </c>
      <c r="W63" s="232">
        <f t="shared" si="18"/>
        <v>0.89956314170229523</v>
      </c>
      <c r="X63" s="243"/>
      <c r="Z63" s="28" t="str">
        <f t="shared" si="2"/>
        <v>RH1WPL705</v>
      </c>
      <c r="AA63" s="78"/>
      <c r="AB63" s="227" t="s">
        <v>1207</v>
      </c>
      <c r="AC63" s="227">
        <v>1</v>
      </c>
      <c r="AD63" s="78"/>
      <c r="AE63" s="78"/>
      <c r="AF63" s="78"/>
    </row>
    <row r="64" spans="1:32" s="6" customFormat="1" x14ac:dyDescent="0.2">
      <c r="A64" s="7"/>
      <c r="B64" s="68" t="s">
        <v>33</v>
      </c>
      <c r="C64" s="231"/>
      <c r="D64" s="231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312"/>
      <c r="Z64" s="68" t="s">
        <v>33</v>
      </c>
      <c r="AA64" s="231"/>
      <c r="AB64" s="231"/>
      <c r="AC64" s="68"/>
      <c r="AD64" s="68"/>
      <c r="AE64" s="68"/>
      <c r="AF64" s="68"/>
    </row>
    <row r="65" spans="1:32" s="6" customFormat="1" x14ac:dyDescent="0.2">
      <c r="A65" s="7"/>
      <c r="B65" s="28" t="str">
        <f t="shared" si="17"/>
        <v>RH2ELC705</v>
      </c>
      <c r="C65" s="28" t="str">
        <f>C26</f>
        <v>RES.HEAT.R2: .05.ELC.INS-REG.RESISTANCE.STD.</v>
      </c>
      <c r="D65" s="28"/>
      <c r="E65" s="28" t="s">
        <v>503</v>
      </c>
      <c r="F65" s="28" t="str">
        <f t="shared" ref="F65:W65" si="19">F26</f>
        <v>RH2</v>
      </c>
      <c r="G65" s="240">
        <f t="shared" si="19"/>
        <v>2012</v>
      </c>
      <c r="H65" s="28">
        <f t="shared" si="19"/>
        <v>31.536000000000001</v>
      </c>
      <c r="I65" s="227">
        <f t="shared" si="19"/>
        <v>25</v>
      </c>
      <c r="J65" s="227">
        <f t="shared" si="19"/>
        <v>1</v>
      </c>
      <c r="K65" s="241">
        <f t="shared" si="19"/>
        <v>56.580418365015447</v>
      </c>
      <c r="L65" s="237">
        <f t="shared" si="19"/>
        <v>56.580418365015447</v>
      </c>
      <c r="M65" s="237">
        <f t="shared" si="19"/>
        <v>56.580418365015447</v>
      </c>
      <c r="N65" s="237">
        <f t="shared" si="19"/>
        <v>56.580418365015447</v>
      </c>
      <c r="O65" s="241">
        <f t="shared" si="19"/>
        <v>5.6580418365015452</v>
      </c>
      <c r="P65" s="237">
        <f t="shared" si="19"/>
        <v>5.6580418365015452</v>
      </c>
      <c r="Q65" s="237">
        <f t="shared" si="19"/>
        <v>5.6580418365015452</v>
      </c>
      <c r="R65" s="237">
        <f t="shared" si="19"/>
        <v>5.6580418365015452</v>
      </c>
      <c r="S65" s="242">
        <f t="shared" si="19"/>
        <v>0</v>
      </c>
      <c r="T65" s="243">
        <f t="shared" si="19"/>
        <v>1</v>
      </c>
      <c r="U65" s="232">
        <f t="shared" si="19"/>
        <v>1</v>
      </c>
      <c r="V65" s="232">
        <f t="shared" si="19"/>
        <v>1</v>
      </c>
      <c r="W65" s="232">
        <f t="shared" si="19"/>
        <v>1</v>
      </c>
      <c r="X65" s="243"/>
      <c r="Z65" s="28" t="str">
        <f t="shared" ref="Z65:Z75" si="20">$B65</f>
        <v>RH2ELC705</v>
      </c>
      <c r="AA65" s="78"/>
      <c r="AB65" s="227" t="s">
        <v>1208</v>
      </c>
      <c r="AC65" s="227">
        <v>1</v>
      </c>
      <c r="AD65" s="78"/>
      <c r="AE65" s="78"/>
      <c r="AF65" s="78"/>
    </row>
    <row r="66" spans="1:32" s="6" customFormat="1" x14ac:dyDescent="0.2">
      <c r="A66" s="7"/>
      <c r="B66" s="28" t="str">
        <f t="shared" si="17"/>
        <v>RH2EHA705</v>
      </c>
      <c r="C66" s="28" t="str">
        <f t="shared" ref="C66:E78" si="21">C27</f>
        <v xml:space="preserve">RES.HEAT.R2: .05.ELC.INS-REG.HPUMP.AIR.            </v>
      </c>
      <c r="D66" s="28"/>
      <c r="E66" s="28" t="s">
        <v>503</v>
      </c>
      <c r="F66" s="28" t="str">
        <f t="shared" ref="F66:I75" si="22">F27</f>
        <v>RH2</v>
      </c>
      <c r="G66" s="240">
        <f t="shared" si="22"/>
        <v>2015</v>
      </c>
      <c r="H66" s="28">
        <f t="shared" si="22"/>
        <v>31.536000000000001</v>
      </c>
      <c r="I66" s="227">
        <f t="shared" si="22"/>
        <v>20</v>
      </c>
      <c r="J66" s="227">
        <f t="shared" ref="J66:W66" si="23">J27</f>
        <v>1</v>
      </c>
      <c r="K66" s="241">
        <f t="shared" si="23"/>
        <v>439.27556818181824</v>
      </c>
      <c r="L66" s="237">
        <f t="shared" si="23"/>
        <v>415.84753787878793</v>
      </c>
      <c r="M66" s="237">
        <f t="shared" si="23"/>
        <v>368.99147727272731</v>
      </c>
      <c r="N66" s="237">
        <f t="shared" si="23"/>
        <v>333.84943181818187</v>
      </c>
      <c r="O66" s="241">
        <f t="shared" si="23"/>
        <v>10.929176136363637</v>
      </c>
      <c r="P66" s="237">
        <f t="shared" si="23"/>
        <v>10.929176136363637</v>
      </c>
      <c r="Q66" s="237">
        <f t="shared" si="23"/>
        <v>10.929176136363637</v>
      </c>
      <c r="R66" s="237">
        <f t="shared" si="23"/>
        <v>10.929176136363637</v>
      </c>
      <c r="S66" s="242">
        <f t="shared" si="23"/>
        <v>0</v>
      </c>
      <c r="T66" s="243">
        <f t="shared" si="23"/>
        <v>2.5350000000000001</v>
      </c>
      <c r="U66" s="232">
        <f t="shared" si="23"/>
        <v>3.0889295639669707</v>
      </c>
      <c r="V66" s="232">
        <f t="shared" si="23"/>
        <v>3.3672474539146493</v>
      </c>
      <c r="W66" s="232">
        <f t="shared" si="23"/>
        <v>3.6029469178120284</v>
      </c>
      <c r="X66" s="243"/>
      <c r="Z66" s="28" t="str">
        <f t="shared" si="20"/>
        <v>RH2EHA705</v>
      </c>
      <c r="AA66" s="78"/>
      <c r="AB66" s="227" t="s">
        <v>1208</v>
      </c>
      <c r="AC66" s="227">
        <v>1</v>
      </c>
      <c r="AD66" s="78"/>
      <c r="AE66" s="78"/>
      <c r="AF66" s="78"/>
    </row>
    <row r="67" spans="1:32" s="6" customFormat="1" x14ac:dyDescent="0.2">
      <c r="A67" s="7"/>
      <c r="B67" s="28" t="str">
        <f t="shared" si="17"/>
        <v>RH2EHP705</v>
      </c>
      <c r="C67" s="28" t="str">
        <f t="shared" si="21"/>
        <v xml:space="preserve">RES.HEAT.R2: .05.ELC.INS-REG.HPUMP.PROBE.          </v>
      </c>
      <c r="D67" s="28"/>
      <c r="E67" s="28" t="s">
        <v>503</v>
      </c>
      <c r="F67" s="28" t="str">
        <f t="shared" si="22"/>
        <v>RH2</v>
      </c>
      <c r="G67" s="240">
        <f t="shared" si="22"/>
        <v>2015</v>
      </c>
      <c r="H67" s="28">
        <f t="shared" si="22"/>
        <v>31.536000000000001</v>
      </c>
      <c r="I67" s="227">
        <f t="shared" si="22"/>
        <v>25</v>
      </c>
      <c r="J67" s="227">
        <f t="shared" ref="J67:W67" si="24">J28</f>
        <v>1</v>
      </c>
      <c r="K67" s="241">
        <f t="shared" si="24"/>
        <v>623.01196343011372</v>
      </c>
      <c r="L67" s="237">
        <f t="shared" si="24"/>
        <v>584.52935136561007</v>
      </c>
      <c r="M67" s="237">
        <f t="shared" si="24"/>
        <v>525.63061122638078</v>
      </c>
      <c r="N67" s="237">
        <f t="shared" si="24"/>
        <v>473.53663058597164</v>
      </c>
      <c r="O67" s="241">
        <f t="shared" si="24"/>
        <v>6.9122179080136181</v>
      </c>
      <c r="P67" s="237">
        <f t="shared" si="24"/>
        <v>6.9122179080136181</v>
      </c>
      <c r="Q67" s="237">
        <f t="shared" si="24"/>
        <v>6.9122179080136181</v>
      </c>
      <c r="R67" s="237">
        <f t="shared" si="24"/>
        <v>6.9122179080136181</v>
      </c>
      <c r="S67" s="242">
        <f t="shared" si="24"/>
        <v>0</v>
      </c>
      <c r="T67" s="243">
        <f t="shared" si="24"/>
        <v>3.01</v>
      </c>
      <c r="U67" s="232">
        <f t="shared" si="24"/>
        <v>3.5523152519681078</v>
      </c>
      <c r="V67" s="232">
        <f t="shared" si="24"/>
        <v>3.8621217418543248</v>
      </c>
      <c r="W67" s="232">
        <f t="shared" si="24"/>
        <v>4.1332078322369421</v>
      </c>
      <c r="X67" s="243"/>
      <c r="Z67" s="28" t="str">
        <f t="shared" si="20"/>
        <v>RH2EHP705</v>
      </c>
      <c r="AA67" s="78"/>
      <c r="AB67" s="227" t="s">
        <v>1208</v>
      </c>
      <c r="AC67" s="227">
        <v>1</v>
      </c>
      <c r="AD67" s="78"/>
      <c r="AE67" s="78"/>
      <c r="AF67" s="78"/>
    </row>
    <row r="68" spans="1:32" s="6" customFormat="1" x14ac:dyDescent="0.2">
      <c r="A68" s="7"/>
      <c r="B68" s="28" t="str">
        <f t="shared" si="17"/>
        <v>RH2DSB705</v>
      </c>
      <c r="C68" s="28" t="str">
        <f t="shared" si="21"/>
        <v xml:space="preserve">RES.HEAT.R2: .05.DST.INS-REG.STD.                  </v>
      </c>
      <c r="D68" s="28"/>
      <c r="E68" s="28" t="str">
        <f t="shared" si="21"/>
        <v>RESBFO</v>
      </c>
      <c r="F68" s="28" t="str">
        <f t="shared" si="22"/>
        <v>RH2</v>
      </c>
      <c r="G68" s="240">
        <f t="shared" si="22"/>
        <v>2015</v>
      </c>
      <c r="H68" s="28">
        <f t="shared" si="22"/>
        <v>31.536000000000001</v>
      </c>
      <c r="I68" s="227">
        <f t="shared" si="22"/>
        <v>25</v>
      </c>
      <c r="J68" s="227">
        <f t="shared" ref="J68:W68" si="25">J29</f>
        <v>1</v>
      </c>
      <c r="K68" s="241">
        <f t="shared" si="25"/>
        <v>144.34672832568717</v>
      </c>
      <c r="L68" s="237">
        <f t="shared" si="25"/>
        <v>140.77396681684846</v>
      </c>
      <c r="M68" s="237">
        <f t="shared" si="25"/>
        <v>133.891545945357</v>
      </c>
      <c r="N68" s="237">
        <f t="shared" si="25"/>
        <v>121.11969568234042</v>
      </c>
      <c r="O68" s="241">
        <f t="shared" si="25"/>
        <v>2.9024002874057802</v>
      </c>
      <c r="P68" s="237">
        <f t="shared" si="25"/>
        <v>2.8339612584803353</v>
      </c>
      <c r="Q68" s="237">
        <f t="shared" si="25"/>
        <v>2.6616736837265562</v>
      </c>
      <c r="R68" s="237">
        <f t="shared" si="25"/>
        <v>2.4523700037121712</v>
      </c>
      <c r="S68" s="242">
        <f t="shared" si="25"/>
        <v>6.5598484848484855</v>
      </c>
      <c r="T68" s="243">
        <f t="shared" si="25"/>
        <v>0.88</v>
      </c>
      <c r="U68" s="232">
        <f t="shared" si="25"/>
        <v>0.88</v>
      </c>
      <c r="V68" s="232">
        <f t="shared" si="25"/>
        <v>0.92</v>
      </c>
      <c r="W68" s="232">
        <f t="shared" si="25"/>
        <v>0.94</v>
      </c>
      <c r="X68" s="243"/>
      <c r="Z68" s="28" t="str">
        <f t="shared" si="20"/>
        <v>RH2DSB705</v>
      </c>
      <c r="AA68" s="78"/>
      <c r="AB68" s="227" t="s">
        <v>1208</v>
      </c>
      <c r="AC68" s="227">
        <v>1</v>
      </c>
      <c r="AD68" s="78"/>
      <c r="AE68" s="78"/>
      <c r="AF68" s="78"/>
    </row>
    <row r="69" spans="1:32" s="6" customFormat="1" x14ac:dyDescent="0.2">
      <c r="A69" s="7"/>
      <c r="B69" s="28" t="str">
        <f t="shared" si="17"/>
        <v>RH2DSC705</v>
      </c>
      <c r="C69" s="28" t="str">
        <f t="shared" si="21"/>
        <v xml:space="preserve">RES.HEAT.R2: .05.DST.INS-REG.CONDENSING.STD.       </v>
      </c>
      <c r="D69" s="28"/>
      <c r="E69" s="28" t="str">
        <f t="shared" si="21"/>
        <v>RESDST</v>
      </c>
      <c r="F69" s="28" t="str">
        <f t="shared" si="22"/>
        <v>RH2</v>
      </c>
      <c r="G69" s="240">
        <f t="shared" si="22"/>
        <v>2015</v>
      </c>
      <c r="H69" s="28">
        <f t="shared" si="22"/>
        <v>31.536000000000001</v>
      </c>
      <c r="I69" s="227">
        <f t="shared" si="22"/>
        <v>25</v>
      </c>
      <c r="J69" s="227">
        <f t="shared" ref="J69:W69" si="26">J30</f>
        <v>1</v>
      </c>
      <c r="K69" s="241">
        <f t="shared" si="26"/>
        <v>138.55340271700578</v>
      </c>
      <c r="L69" s="237">
        <f t="shared" si="26"/>
        <v>135.12403324055293</v>
      </c>
      <c r="M69" s="237">
        <f t="shared" si="26"/>
        <v>128.51783688448359</v>
      </c>
      <c r="N69" s="237">
        <f t="shared" si="26"/>
        <v>116.25858214792768</v>
      </c>
      <c r="O69" s="241">
        <f t="shared" si="26"/>
        <v>3.3826823606194694</v>
      </c>
      <c r="P69" s="237">
        <f t="shared" si="26"/>
        <v>3.3165292561509419</v>
      </c>
      <c r="Q69" s="237">
        <f t="shared" si="26"/>
        <v>3.310446223112868</v>
      </c>
      <c r="R69" s="237">
        <f t="shared" si="26"/>
        <v>3.0802691478255038</v>
      </c>
      <c r="S69" s="242">
        <f t="shared" si="26"/>
        <v>6.5598484848484855</v>
      </c>
      <c r="T69" s="243">
        <f t="shared" si="26"/>
        <v>0.92</v>
      </c>
      <c r="U69" s="232">
        <f t="shared" si="26"/>
        <v>0.92</v>
      </c>
      <c r="V69" s="232">
        <f t="shared" si="26"/>
        <v>0.93</v>
      </c>
      <c r="W69" s="232">
        <f t="shared" si="26"/>
        <v>0.95</v>
      </c>
      <c r="X69" s="243"/>
      <c r="Z69" s="28" t="str">
        <f t="shared" si="20"/>
        <v>RH2DSC705</v>
      </c>
      <c r="AA69" s="78"/>
      <c r="AB69" s="227" t="s">
        <v>1208</v>
      </c>
      <c r="AC69" s="227">
        <v>1</v>
      </c>
      <c r="AD69" s="78"/>
      <c r="AE69" s="78"/>
      <c r="AF69" s="78"/>
    </row>
    <row r="70" spans="1:32" s="6" customFormat="1" x14ac:dyDescent="0.2">
      <c r="A70" s="7"/>
      <c r="B70" s="28" t="str">
        <f t="shared" si="17"/>
        <v>RH2LPB705</v>
      </c>
      <c r="C70" s="28" t="str">
        <f t="shared" si="21"/>
        <v xml:space="preserve">RES.HEAT.R2: .05.LPG.INS-REG.STD.                  </v>
      </c>
      <c r="D70" s="28"/>
      <c r="E70" s="28" t="str">
        <f t="shared" si="21"/>
        <v>RESLPG</v>
      </c>
      <c r="F70" s="28" t="str">
        <f t="shared" si="22"/>
        <v>RH2</v>
      </c>
      <c r="G70" s="240">
        <f t="shared" si="22"/>
        <v>2015</v>
      </c>
      <c r="H70" s="28">
        <f t="shared" si="22"/>
        <v>31.536000000000001</v>
      </c>
      <c r="I70" s="227">
        <f t="shared" si="22"/>
        <v>25</v>
      </c>
      <c r="J70" s="227">
        <f t="shared" ref="J70:W70" si="27">J31</f>
        <v>1</v>
      </c>
      <c r="K70" s="241">
        <f t="shared" si="27"/>
        <v>102.59915863522801</v>
      </c>
      <c r="L70" s="237">
        <f t="shared" si="27"/>
        <v>100.0597015303596</v>
      </c>
      <c r="M70" s="237">
        <f t="shared" si="27"/>
        <v>95.167795776906516</v>
      </c>
      <c r="N70" s="237">
        <f t="shared" si="27"/>
        <v>86.089785444424137</v>
      </c>
      <c r="O70" s="241">
        <f t="shared" si="27"/>
        <v>2.5772380565264537</v>
      </c>
      <c r="P70" s="237">
        <f t="shared" si="27"/>
        <v>2.5246182674469893</v>
      </c>
      <c r="Q70" s="237">
        <f t="shared" si="27"/>
        <v>2.4540813458852702</v>
      </c>
      <c r="R70" s="237">
        <f t="shared" si="27"/>
        <v>2.3367712784751382</v>
      </c>
      <c r="S70" s="242">
        <f t="shared" si="27"/>
        <v>0</v>
      </c>
      <c r="T70" s="243">
        <f t="shared" si="27"/>
        <v>1.01</v>
      </c>
      <c r="U70" s="232">
        <f t="shared" si="27"/>
        <v>1.01</v>
      </c>
      <c r="V70" s="232">
        <f t="shared" si="27"/>
        <v>1.02</v>
      </c>
      <c r="W70" s="232">
        <f t="shared" si="27"/>
        <v>1.02</v>
      </c>
      <c r="X70" s="243"/>
      <c r="Z70" s="28" t="str">
        <f t="shared" si="20"/>
        <v>RH2LPB705</v>
      </c>
      <c r="AA70" s="78"/>
      <c r="AB70" s="227" t="s">
        <v>1208</v>
      </c>
      <c r="AC70" s="227">
        <v>1</v>
      </c>
      <c r="AD70" s="78"/>
      <c r="AE70" s="78"/>
      <c r="AF70" s="78"/>
    </row>
    <row r="71" spans="1:32" s="6" customFormat="1" x14ac:dyDescent="0.2">
      <c r="A71" s="7"/>
      <c r="B71" s="28" t="str">
        <f t="shared" si="17"/>
        <v>RH2NGB705</v>
      </c>
      <c r="C71" s="28" t="str">
        <f t="shared" si="21"/>
        <v xml:space="preserve">RES.HEAT.R2: .05.NGA.INS-REG.STD.                  </v>
      </c>
      <c r="D71" s="28"/>
      <c r="E71" s="28" t="str">
        <f t="shared" si="21"/>
        <v>RESNGA</v>
      </c>
      <c r="F71" s="28" t="str">
        <f t="shared" si="22"/>
        <v>RH2</v>
      </c>
      <c r="G71" s="240">
        <f t="shared" si="22"/>
        <v>2015</v>
      </c>
      <c r="H71" s="28">
        <f t="shared" si="22"/>
        <v>31.536000000000001</v>
      </c>
      <c r="I71" s="227">
        <f t="shared" si="22"/>
        <v>25</v>
      </c>
      <c r="J71" s="227">
        <f t="shared" ref="J71:W71" si="28">J32</f>
        <v>1</v>
      </c>
      <c r="K71" s="241">
        <f t="shared" si="28"/>
        <v>102.59915863522801</v>
      </c>
      <c r="L71" s="237">
        <f t="shared" si="28"/>
        <v>100.0597015303596</v>
      </c>
      <c r="M71" s="237">
        <f t="shared" si="28"/>
        <v>95.167795776906516</v>
      </c>
      <c r="N71" s="237">
        <f t="shared" si="28"/>
        <v>86.089785444424137</v>
      </c>
      <c r="O71" s="241">
        <f t="shared" si="28"/>
        <v>2.5772380565264537</v>
      </c>
      <c r="P71" s="237">
        <f t="shared" si="28"/>
        <v>2.5246182674469893</v>
      </c>
      <c r="Q71" s="237">
        <f t="shared" si="28"/>
        <v>2.4540813458852702</v>
      </c>
      <c r="R71" s="237">
        <f t="shared" si="28"/>
        <v>2.3367712784751382</v>
      </c>
      <c r="S71" s="242">
        <f t="shared" si="28"/>
        <v>0</v>
      </c>
      <c r="T71" s="243">
        <f t="shared" si="28"/>
        <v>1.01</v>
      </c>
      <c r="U71" s="232">
        <f t="shared" si="28"/>
        <v>1.01</v>
      </c>
      <c r="V71" s="232">
        <f t="shared" si="28"/>
        <v>1.02</v>
      </c>
      <c r="W71" s="232">
        <f t="shared" si="28"/>
        <v>1.02</v>
      </c>
      <c r="X71" s="243"/>
      <c r="Z71" s="28" t="str">
        <f t="shared" si="20"/>
        <v>RH2NGB705</v>
      </c>
      <c r="AA71" s="78"/>
      <c r="AB71" s="227" t="s">
        <v>1208</v>
      </c>
      <c r="AC71" s="227">
        <v>1</v>
      </c>
      <c r="AD71" s="78"/>
      <c r="AE71" s="78"/>
      <c r="AF71" s="78"/>
    </row>
    <row r="72" spans="1:32" s="6" customFormat="1" x14ac:dyDescent="0.2">
      <c r="A72" s="7"/>
      <c r="B72" s="28" t="str">
        <f t="shared" si="17"/>
        <v>RH2NGC705</v>
      </c>
      <c r="C72" s="28" t="str">
        <f t="shared" si="21"/>
        <v xml:space="preserve">RES.HEAT.R2: .05.NGA.INS-REG.PUMP.STD.       </v>
      </c>
      <c r="D72" s="28"/>
      <c r="E72" s="28" t="str">
        <f t="shared" si="21"/>
        <v>RESNGA</v>
      </c>
      <c r="F72" s="28" t="str">
        <f t="shared" si="22"/>
        <v>RH2</v>
      </c>
      <c r="G72" s="240">
        <f t="shared" si="22"/>
        <v>2015</v>
      </c>
      <c r="H72" s="28">
        <f t="shared" si="22"/>
        <v>31.536000000000001</v>
      </c>
      <c r="I72" s="227">
        <f t="shared" si="22"/>
        <v>20</v>
      </c>
      <c r="J72" s="227">
        <f t="shared" ref="J72:W72" si="29">J33</f>
        <v>1</v>
      </c>
      <c r="K72" s="241">
        <f t="shared" si="29"/>
        <v>369.48556918737171</v>
      </c>
      <c r="L72" s="237">
        <f t="shared" si="29"/>
        <v>258.18497244414243</v>
      </c>
      <c r="M72" s="237">
        <f t="shared" si="29"/>
        <v>230.07709448916117</v>
      </c>
      <c r="N72" s="237">
        <f t="shared" si="29"/>
        <v>210.86914023441764</v>
      </c>
      <c r="O72" s="241">
        <f t="shared" si="29"/>
        <v>4.6951804728025888</v>
      </c>
      <c r="P72" s="237">
        <f t="shared" si="29"/>
        <v>3.4820390319039665</v>
      </c>
      <c r="Q72" s="237">
        <f t="shared" si="29"/>
        <v>3.4820390319039665</v>
      </c>
      <c r="R72" s="237">
        <f t="shared" si="29"/>
        <v>3.4820390319039665</v>
      </c>
      <c r="S72" s="242">
        <f t="shared" si="29"/>
        <v>0</v>
      </c>
      <c r="T72" s="243">
        <f t="shared" si="29"/>
        <v>1.575</v>
      </c>
      <c r="U72" s="232">
        <f t="shared" si="29"/>
        <v>1.5960455351762608</v>
      </c>
      <c r="V72" s="232">
        <f t="shared" si="29"/>
        <v>1.582751837332264</v>
      </c>
      <c r="W72" s="232">
        <f t="shared" si="29"/>
        <v>1.6235915126758487</v>
      </c>
      <c r="X72" s="243"/>
      <c r="Z72" s="28" t="str">
        <f t="shared" si="20"/>
        <v>RH2NGC705</v>
      </c>
      <c r="AA72" s="78"/>
      <c r="AB72" s="227" t="s">
        <v>1208</v>
      </c>
      <c r="AC72" s="227">
        <v>1</v>
      </c>
      <c r="AD72" s="78"/>
      <c r="AE72" s="78"/>
      <c r="AF72" s="78"/>
    </row>
    <row r="73" spans="1:32" s="6" customFormat="1" x14ac:dyDescent="0.2">
      <c r="A73" s="7"/>
      <c r="B73" s="28" t="str">
        <f t="shared" si="17"/>
        <v>RH2HET705</v>
      </c>
      <c r="C73" s="28" t="str">
        <f t="shared" si="21"/>
        <v xml:space="preserve">RES.HEAT.R2: .05.HET.INS-REG.EXCHANGER.            </v>
      </c>
      <c r="D73" s="28"/>
      <c r="E73" s="28" t="str">
        <f t="shared" si="21"/>
        <v>RESHET</v>
      </c>
      <c r="F73" s="28" t="str">
        <f t="shared" si="22"/>
        <v>RH2</v>
      </c>
      <c r="G73" s="240">
        <f t="shared" si="22"/>
        <v>2015</v>
      </c>
      <c r="H73" s="28">
        <f t="shared" si="22"/>
        <v>31.536000000000001</v>
      </c>
      <c r="I73" s="227">
        <f t="shared" si="22"/>
        <v>25</v>
      </c>
      <c r="J73" s="227">
        <f t="shared" ref="J73:W73" si="30">J34</f>
        <v>1</v>
      </c>
      <c r="K73" s="241">
        <f t="shared" si="30"/>
        <v>75.440557820020615</v>
      </c>
      <c r="L73" s="237">
        <f t="shared" si="30"/>
        <v>73.57330994879382</v>
      </c>
      <c r="M73" s="237">
        <f t="shared" si="30"/>
        <v>69.976320424195976</v>
      </c>
      <c r="N73" s="237">
        <f t="shared" si="30"/>
        <v>63.301312826782457</v>
      </c>
      <c r="O73" s="241">
        <f t="shared" si="30"/>
        <v>0.52355747127094299</v>
      </c>
      <c r="P73" s="237">
        <f t="shared" si="30"/>
        <v>0.51469367370489794</v>
      </c>
      <c r="Q73" s="237">
        <f t="shared" si="30"/>
        <v>0.54386782663774158</v>
      </c>
      <c r="R73" s="237">
        <f t="shared" si="30"/>
        <v>0.49620253507409956</v>
      </c>
      <c r="S73" s="242">
        <f t="shared" si="30"/>
        <v>0</v>
      </c>
      <c r="T73" s="243">
        <f t="shared" si="30"/>
        <v>0.98</v>
      </c>
      <c r="U73" s="232">
        <f t="shared" si="30"/>
        <v>0.98</v>
      </c>
      <c r="V73" s="232">
        <f t="shared" si="30"/>
        <v>0.98</v>
      </c>
      <c r="W73" s="232">
        <f t="shared" si="30"/>
        <v>0.98</v>
      </c>
      <c r="X73" s="243"/>
      <c r="Z73" s="28" t="str">
        <f t="shared" si="20"/>
        <v>RH2HET705</v>
      </c>
      <c r="AA73" s="78"/>
      <c r="AB73" s="227" t="s">
        <v>1208</v>
      </c>
      <c r="AC73" s="227">
        <v>1</v>
      </c>
      <c r="AD73" s="78"/>
      <c r="AE73" s="78"/>
      <c r="AF73" s="78"/>
    </row>
    <row r="74" spans="1:32" s="6" customFormat="1" x14ac:dyDescent="0.2">
      <c r="A74" s="7"/>
      <c r="B74" s="28" t="str">
        <f t="shared" si="17"/>
        <v>RH2BIO705</v>
      </c>
      <c r="C74" s="28" t="str">
        <f t="shared" si="21"/>
        <v>RES.HEAT.R2: .05.BIO.WOOD BOILER</v>
      </c>
      <c r="D74" s="28"/>
      <c r="E74" s="28" t="str">
        <f t="shared" si="21"/>
        <v>RESBIO</v>
      </c>
      <c r="F74" s="28" t="str">
        <f t="shared" si="22"/>
        <v>RH2</v>
      </c>
      <c r="G74" s="240">
        <f t="shared" si="22"/>
        <v>2015</v>
      </c>
      <c r="H74" s="28">
        <f t="shared" si="22"/>
        <v>31.536000000000001</v>
      </c>
      <c r="I74" s="227">
        <f t="shared" si="22"/>
        <v>25</v>
      </c>
      <c r="J74" s="227">
        <f t="shared" ref="J74:W74" si="31">J35</f>
        <v>1</v>
      </c>
      <c r="K74" s="241">
        <f t="shared" si="31"/>
        <v>333.16580610823911</v>
      </c>
      <c r="L74" s="237">
        <f t="shared" si="31"/>
        <v>324.91953698990454</v>
      </c>
      <c r="M74" s="237">
        <f t="shared" si="31"/>
        <v>324.91953698990454</v>
      </c>
      <c r="N74" s="237">
        <f t="shared" si="31"/>
        <v>324.91953698990454</v>
      </c>
      <c r="O74" s="241">
        <f t="shared" si="31"/>
        <v>5.5765609927164776</v>
      </c>
      <c r="P74" s="237">
        <f t="shared" si="31"/>
        <v>5.4766049207178247</v>
      </c>
      <c r="Q74" s="237">
        <f t="shared" si="31"/>
        <v>5.4141358406190943</v>
      </c>
      <c r="R74" s="237">
        <f t="shared" si="31"/>
        <v>5.0023791605895056</v>
      </c>
      <c r="S74" s="242">
        <f t="shared" si="31"/>
        <v>0</v>
      </c>
      <c r="T74" s="243">
        <f t="shared" si="31"/>
        <v>0.8</v>
      </c>
      <c r="U74" s="232">
        <f t="shared" si="31"/>
        <v>0.85</v>
      </c>
      <c r="V74" s="232">
        <f t="shared" si="31"/>
        <v>0.9</v>
      </c>
      <c r="W74" s="232">
        <f t="shared" si="31"/>
        <v>0.9</v>
      </c>
      <c r="X74" s="243"/>
      <c r="Z74" s="28" t="str">
        <f t="shared" si="20"/>
        <v>RH2BIO705</v>
      </c>
      <c r="AA74" s="78"/>
      <c r="AB74" s="227" t="s">
        <v>1208</v>
      </c>
      <c r="AC74" s="227">
        <v>1</v>
      </c>
      <c r="AD74" s="78"/>
      <c r="AE74" s="78"/>
      <c r="AF74" s="78"/>
    </row>
    <row r="75" spans="1:32" s="6" customFormat="1" x14ac:dyDescent="0.2">
      <c r="A75" s="7"/>
      <c r="B75" s="28" t="str">
        <f t="shared" si="17"/>
        <v>RH2WPL705</v>
      </c>
      <c r="C75" s="28" t="str">
        <f t="shared" si="21"/>
        <v xml:space="preserve">RES.HEAT.R2: .05.BIO.WOODPELLET.STD.       </v>
      </c>
      <c r="D75" s="28"/>
      <c r="E75" s="28" t="str">
        <f t="shared" si="21"/>
        <v>RESBPL</v>
      </c>
      <c r="F75" s="28" t="str">
        <f t="shared" si="22"/>
        <v>RH2</v>
      </c>
      <c r="G75" s="240">
        <f t="shared" si="22"/>
        <v>2015</v>
      </c>
      <c r="H75" s="28">
        <f t="shared" si="22"/>
        <v>31.536000000000001</v>
      </c>
      <c r="I75" s="227">
        <f t="shared" si="22"/>
        <v>25</v>
      </c>
      <c r="J75" s="227">
        <f t="shared" ref="J75:W75" si="32">J36</f>
        <v>1</v>
      </c>
      <c r="K75" s="241">
        <f t="shared" si="32"/>
        <v>350.70084853498855</v>
      </c>
      <c r="L75" s="237">
        <f t="shared" si="32"/>
        <v>342.02056525253107</v>
      </c>
      <c r="M75" s="237">
        <f t="shared" si="32"/>
        <v>342.02056525253107</v>
      </c>
      <c r="N75" s="237">
        <f t="shared" si="32"/>
        <v>342.02056525253107</v>
      </c>
      <c r="O75" s="241">
        <f t="shared" si="32"/>
        <v>5.8700642028594512</v>
      </c>
      <c r="P75" s="237">
        <f t="shared" si="32"/>
        <v>5.7648472849661321</v>
      </c>
      <c r="Q75" s="237">
        <f t="shared" si="32"/>
        <v>5.6990903585464157</v>
      </c>
      <c r="R75" s="237">
        <f t="shared" si="32"/>
        <v>5.2656622743047423</v>
      </c>
      <c r="S75" s="242">
        <f t="shared" si="32"/>
        <v>0</v>
      </c>
      <c r="T75" s="243">
        <f t="shared" si="32"/>
        <v>0.83130139488676535</v>
      </c>
      <c r="U75" s="232">
        <f t="shared" si="32"/>
        <v>0.8740954719740287</v>
      </c>
      <c r="V75" s="232">
        <f t="shared" si="32"/>
        <v>0.91645848783225881</v>
      </c>
      <c r="W75" s="232">
        <f t="shared" si="32"/>
        <v>0.91645848783225881</v>
      </c>
      <c r="X75" s="243"/>
      <c r="Z75" s="28" t="str">
        <f t="shared" si="20"/>
        <v>RH2WPL705</v>
      </c>
      <c r="AA75" s="78"/>
      <c r="AB75" s="227" t="s">
        <v>1208</v>
      </c>
      <c r="AC75" s="227">
        <v>1</v>
      </c>
      <c r="AD75" s="78"/>
      <c r="AE75" s="78"/>
      <c r="AF75" s="78"/>
    </row>
    <row r="76" spans="1:32" s="6" customFormat="1" x14ac:dyDescent="0.2">
      <c r="A76" s="7"/>
      <c r="B76" s="68" t="s">
        <v>33</v>
      </c>
      <c r="C76" s="231"/>
      <c r="D76" s="231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312"/>
      <c r="Z76" s="68" t="s">
        <v>33</v>
      </c>
      <c r="AA76" s="231"/>
      <c r="AB76" s="231"/>
      <c r="AC76" s="68"/>
      <c r="AD76" s="68"/>
      <c r="AE76" s="68"/>
      <c r="AF76" s="68"/>
    </row>
    <row r="77" spans="1:32" s="6" customFormat="1" x14ac:dyDescent="0.2">
      <c r="A77" s="7"/>
      <c r="B77" s="28" t="str">
        <f t="shared" si="17"/>
        <v>CH1ELC705</v>
      </c>
      <c r="C77" s="28" t="str">
        <f t="shared" si="21"/>
        <v>COM.HEAT.R1: .05.ELC.RESISTANCE.STD.</v>
      </c>
      <c r="D77" s="28"/>
      <c r="E77" s="28" t="s">
        <v>520</v>
      </c>
      <c r="F77" s="28" t="str">
        <f t="shared" ref="F77:I78" si="33">F38</f>
        <v>CH1</v>
      </c>
      <c r="G77" s="240">
        <f t="shared" si="33"/>
        <v>2012</v>
      </c>
      <c r="H77" s="28">
        <f t="shared" si="33"/>
        <v>31.536000000000001</v>
      </c>
      <c r="I77" s="227">
        <f t="shared" si="33"/>
        <v>25</v>
      </c>
      <c r="J77" s="227">
        <f t="shared" ref="J77:W77" si="34">J38</f>
        <v>1</v>
      </c>
      <c r="K77" s="241">
        <f t="shared" si="34"/>
        <v>68.570142158315491</v>
      </c>
      <c r="L77" s="237">
        <f t="shared" si="34"/>
        <v>68.570142158315491</v>
      </c>
      <c r="M77" s="237">
        <f t="shared" si="34"/>
        <v>68.570142158315491</v>
      </c>
      <c r="N77" s="237">
        <f t="shared" si="34"/>
        <v>68.570142158315505</v>
      </c>
      <c r="O77" s="241">
        <f t="shared" si="34"/>
        <v>5.6510599509466815</v>
      </c>
      <c r="P77" s="237">
        <f t="shared" si="34"/>
        <v>5.6510599509466815</v>
      </c>
      <c r="Q77" s="237">
        <f t="shared" si="34"/>
        <v>5.6510599509466815</v>
      </c>
      <c r="R77" s="237">
        <f t="shared" si="34"/>
        <v>5.6510599509466815</v>
      </c>
      <c r="S77" s="242">
        <f t="shared" si="34"/>
        <v>0</v>
      </c>
      <c r="T77" s="243">
        <f t="shared" si="34"/>
        <v>1</v>
      </c>
      <c r="U77" s="232">
        <f t="shared" si="34"/>
        <v>1</v>
      </c>
      <c r="V77" s="232">
        <f t="shared" si="34"/>
        <v>1</v>
      </c>
      <c r="W77" s="232">
        <f t="shared" si="34"/>
        <v>1</v>
      </c>
      <c r="X77" s="243"/>
      <c r="Z77" s="28" t="str">
        <f t="shared" ref="Z77:Z96" si="35">$B77</f>
        <v>CH1ELC705</v>
      </c>
      <c r="AA77" s="78"/>
      <c r="AB77" s="233"/>
      <c r="AC77" s="78"/>
      <c r="AD77" s="78"/>
      <c r="AE77" s="78"/>
      <c r="AF77" s="78"/>
    </row>
    <row r="78" spans="1:32" s="6" customFormat="1" x14ac:dyDescent="0.2">
      <c r="A78" s="7"/>
      <c r="B78" s="28" t="str">
        <f t="shared" si="17"/>
        <v>CH1EHA705</v>
      </c>
      <c r="C78" s="28" t="str">
        <f t="shared" si="21"/>
        <v xml:space="preserve">COM.HEAT.R1: .05.ELC.HPUMP.AIR.     </v>
      </c>
      <c r="D78" s="28"/>
      <c r="E78" s="28" t="s">
        <v>522</v>
      </c>
      <c r="F78" s="28" t="str">
        <f t="shared" si="33"/>
        <v>CH1</v>
      </c>
      <c r="G78" s="240">
        <f t="shared" si="33"/>
        <v>2015</v>
      </c>
      <c r="H78" s="28">
        <f t="shared" si="33"/>
        <v>31.536000000000001</v>
      </c>
      <c r="I78" s="227">
        <f t="shared" si="33"/>
        <v>20</v>
      </c>
      <c r="J78" s="227">
        <f t="shared" ref="J78:W78" si="36">J39</f>
        <v>1</v>
      </c>
      <c r="K78" s="241">
        <f t="shared" si="36"/>
        <v>510.07095799632572</v>
      </c>
      <c r="L78" s="237">
        <f t="shared" si="36"/>
        <v>482.19466386264179</v>
      </c>
      <c r="M78" s="237">
        <f t="shared" si="36"/>
        <v>429.46074110736333</v>
      </c>
      <c r="N78" s="237">
        <f t="shared" si="36"/>
        <v>387.65392807720752</v>
      </c>
      <c r="O78" s="241">
        <f t="shared" si="36"/>
        <v>12.226808357133043</v>
      </c>
      <c r="P78" s="237">
        <f t="shared" si="36"/>
        <v>12.09520086759313</v>
      </c>
      <c r="Q78" s="237">
        <f t="shared" si="36"/>
        <v>11.892701529341174</v>
      </c>
      <c r="R78" s="237">
        <f t="shared" si="36"/>
        <v>11.758635270304126</v>
      </c>
      <c r="S78" s="242">
        <f t="shared" si="36"/>
        <v>0</v>
      </c>
      <c r="T78" s="243">
        <f t="shared" si="36"/>
        <v>2.5350000000000001</v>
      </c>
      <c r="U78" s="232">
        <f t="shared" si="36"/>
        <v>3.0889295639669707</v>
      </c>
      <c r="V78" s="232">
        <f t="shared" si="36"/>
        <v>3.3672474539146493</v>
      </c>
      <c r="W78" s="232">
        <f t="shared" si="36"/>
        <v>3.6029469178120284</v>
      </c>
      <c r="X78" s="243"/>
      <c r="Z78" s="28" t="str">
        <f t="shared" si="35"/>
        <v>CH1EHA705</v>
      </c>
      <c r="AA78" s="78"/>
      <c r="AB78" s="233" t="s">
        <v>1206</v>
      </c>
      <c r="AC78" s="227">
        <v>1</v>
      </c>
      <c r="AD78" s="78"/>
      <c r="AE78" s="78"/>
      <c r="AF78" s="78"/>
    </row>
    <row r="79" spans="1:32" s="6" customFormat="1" x14ac:dyDescent="0.2">
      <c r="A79" s="7"/>
      <c r="B79" s="28" t="str">
        <f t="shared" ref="B79:B87" si="37">SUBSTITUTE(B41,"005","705")</f>
        <v>CH1EHP705</v>
      </c>
      <c r="C79" s="28" t="str">
        <f>C41</f>
        <v xml:space="preserve">COM.HEAT.R1: .05.ELC.HPUMP.PROBE.   </v>
      </c>
      <c r="D79" s="28"/>
      <c r="E79" s="28" t="s">
        <v>522</v>
      </c>
      <c r="F79" s="28" t="str">
        <f t="shared" ref="F79:W79" si="38">F41</f>
        <v>CH1</v>
      </c>
      <c r="G79" s="240">
        <f t="shared" si="38"/>
        <v>2015</v>
      </c>
      <c r="H79" s="28">
        <f t="shared" si="38"/>
        <v>31.536000000000001</v>
      </c>
      <c r="I79" s="227">
        <f t="shared" si="38"/>
        <v>25</v>
      </c>
      <c r="J79" s="227">
        <f t="shared" si="38"/>
        <v>1</v>
      </c>
      <c r="K79" s="241">
        <f t="shared" si="38"/>
        <v>788.19776114711556</v>
      </c>
      <c r="L79" s="237">
        <f t="shared" si="38"/>
        <v>737.76148673671958</v>
      </c>
      <c r="M79" s="237">
        <f t="shared" si="38"/>
        <v>666.5775715975609</v>
      </c>
      <c r="N79" s="237">
        <f t="shared" si="38"/>
        <v>597.51577706524461</v>
      </c>
      <c r="O79" s="241">
        <f t="shared" si="38"/>
        <v>9.2644726129374835</v>
      </c>
      <c r="P79" s="237">
        <f t="shared" si="38"/>
        <v>9.1647512509200073</v>
      </c>
      <c r="Q79" s="237">
        <f t="shared" si="38"/>
        <v>9.0113138600183369</v>
      </c>
      <c r="R79" s="237">
        <f t="shared" si="38"/>
        <v>8.909729444127569</v>
      </c>
      <c r="S79" s="242">
        <f t="shared" si="38"/>
        <v>0</v>
      </c>
      <c r="T79" s="243">
        <f t="shared" si="38"/>
        <v>3.01</v>
      </c>
      <c r="U79" s="232">
        <f t="shared" si="38"/>
        <v>3.5523152519681078</v>
      </c>
      <c r="V79" s="232">
        <f t="shared" si="38"/>
        <v>3.8621217418543248</v>
      </c>
      <c r="W79" s="232">
        <f t="shared" si="38"/>
        <v>4.1332078322369421</v>
      </c>
      <c r="X79" s="243"/>
      <c r="Z79" s="28" t="str">
        <f t="shared" si="35"/>
        <v>CH1EHP705</v>
      </c>
      <c r="AA79" s="78"/>
      <c r="AB79" s="233" t="s">
        <v>1206</v>
      </c>
      <c r="AC79" s="227">
        <v>1</v>
      </c>
      <c r="AD79" s="78"/>
      <c r="AE79" s="78"/>
      <c r="AF79" s="78"/>
    </row>
    <row r="80" spans="1:32" s="6" customFormat="1" x14ac:dyDescent="0.2">
      <c r="A80" s="7"/>
      <c r="B80" s="28" t="str">
        <f t="shared" si="37"/>
        <v>CH1DSB705</v>
      </c>
      <c r="C80" s="28" t="str">
        <f t="shared" ref="C80:E87" si="39">C42</f>
        <v xml:space="preserve">COM.HEAT.R1: .05.DST.STD.           </v>
      </c>
      <c r="D80" s="28"/>
      <c r="E80" s="28" t="str">
        <f t="shared" si="39"/>
        <v>COMBFO</v>
      </c>
      <c r="F80" s="28" t="str">
        <f t="shared" ref="F80:I87" si="40">F42</f>
        <v>CH1</v>
      </c>
      <c r="G80" s="240">
        <f t="shared" si="40"/>
        <v>2015</v>
      </c>
      <c r="H80" s="28">
        <f t="shared" si="40"/>
        <v>31.536000000000001</v>
      </c>
      <c r="I80" s="227">
        <f t="shared" si="40"/>
        <v>25</v>
      </c>
      <c r="J80" s="227">
        <f t="shared" ref="J80:W80" si="41">J42</f>
        <v>1</v>
      </c>
      <c r="K80" s="241">
        <f t="shared" si="41"/>
        <v>192.70409818744915</v>
      </c>
      <c r="L80" s="237">
        <f t="shared" si="41"/>
        <v>187.93443147878517</v>
      </c>
      <c r="M80" s="237">
        <f t="shared" si="41"/>
        <v>178.74634164279814</v>
      </c>
      <c r="N80" s="237">
        <f t="shared" si="41"/>
        <v>161.69581396082242</v>
      </c>
      <c r="O80" s="241">
        <f t="shared" si="41"/>
        <v>4.0329074253346358</v>
      </c>
      <c r="P80" s="237">
        <f t="shared" si="41"/>
        <v>3.9382063266307923</v>
      </c>
      <c r="Q80" s="237">
        <f t="shared" si="41"/>
        <v>3.7170647659039724</v>
      </c>
      <c r="R80" s="237">
        <f t="shared" si="41"/>
        <v>3.4141683506770528</v>
      </c>
      <c r="S80" s="242">
        <f t="shared" si="41"/>
        <v>6.5598484848484855</v>
      </c>
      <c r="T80" s="243">
        <f t="shared" si="41"/>
        <v>0.88</v>
      </c>
      <c r="U80" s="232">
        <f t="shared" si="41"/>
        <v>0.88</v>
      </c>
      <c r="V80" s="232">
        <f t="shared" si="41"/>
        <v>0.92</v>
      </c>
      <c r="W80" s="232">
        <f t="shared" si="41"/>
        <v>0.94</v>
      </c>
      <c r="X80" s="243"/>
      <c r="Z80" s="28" t="str">
        <f t="shared" si="35"/>
        <v>CH1DSB705</v>
      </c>
      <c r="AA80" s="78"/>
      <c r="AB80" s="233" t="s">
        <v>1206</v>
      </c>
      <c r="AC80" s="227">
        <v>1</v>
      </c>
      <c r="AD80" s="78"/>
      <c r="AE80" s="78"/>
      <c r="AF80" s="78"/>
    </row>
    <row r="81" spans="1:32" s="6" customFormat="1" x14ac:dyDescent="0.2">
      <c r="A81" s="7"/>
      <c r="B81" s="28" t="str">
        <f t="shared" si="37"/>
        <v>CH1DSC705</v>
      </c>
      <c r="C81" s="28" t="str">
        <f t="shared" si="39"/>
        <v>COM.HEAT.R1: .05.DST.CONDENSING.STD.</v>
      </c>
      <c r="D81" s="28"/>
      <c r="E81" s="28" t="str">
        <f t="shared" si="39"/>
        <v>COMDST</v>
      </c>
      <c r="F81" s="28" t="str">
        <f t="shared" si="40"/>
        <v>CH1</v>
      </c>
      <c r="G81" s="240">
        <f t="shared" si="40"/>
        <v>2015</v>
      </c>
      <c r="H81" s="28">
        <f t="shared" si="40"/>
        <v>31.536000000000001</v>
      </c>
      <c r="I81" s="227">
        <f t="shared" si="40"/>
        <v>25</v>
      </c>
      <c r="J81" s="227">
        <f t="shared" ref="J81:W81" si="42">J43</f>
        <v>1</v>
      </c>
      <c r="K81" s="241">
        <f t="shared" si="42"/>
        <v>168.60047830085423</v>
      </c>
      <c r="L81" s="237">
        <f t="shared" si="42"/>
        <v>164.4274062386599</v>
      </c>
      <c r="M81" s="237">
        <f t="shared" si="42"/>
        <v>156.38857179980027</v>
      </c>
      <c r="N81" s="237">
        <f t="shared" si="42"/>
        <v>141.47074104527886</v>
      </c>
      <c r="O81" s="241">
        <f t="shared" si="42"/>
        <v>4.5718857699438384</v>
      </c>
      <c r="P81" s="237">
        <f t="shared" si="42"/>
        <v>4.4793924781416559</v>
      </c>
      <c r="Q81" s="237">
        <f t="shared" si="42"/>
        <v>4.4435524002814653</v>
      </c>
      <c r="R81" s="237">
        <f t="shared" si="42"/>
        <v>4.1154387955049456</v>
      </c>
      <c r="S81" s="242">
        <f t="shared" si="42"/>
        <v>6.5598484848484855</v>
      </c>
      <c r="T81" s="243">
        <f t="shared" si="42"/>
        <v>0.92</v>
      </c>
      <c r="U81" s="232">
        <f t="shared" si="42"/>
        <v>0.92</v>
      </c>
      <c r="V81" s="232">
        <f t="shared" si="42"/>
        <v>0.93</v>
      </c>
      <c r="W81" s="232">
        <f t="shared" si="42"/>
        <v>0.95</v>
      </c>
      <c r="X81" s="243"/>
      <c r="Z81" s="28" t="str">
        <f t="shared" si="35"/>
        <v>CH1DSC705</v>
      </c>
      <c r="AA81" s="78"/>
      <c r="AB81" s="233" t="s">
        <v>1206</v>
      </c>
      <c r="AC81" s="227">
        <v>1</v>
      </c>
      <c r="AD81" s="78"/>
      <c r="AE81" s="78"/>
      <c r="AF81" s="78"/>
    </row>
    <row r="82" spans="1:32" s="6" customFormat="1" x14ac:dyDescent="0.2">
      <c r="A82" s="7"/>
      <c r="B82" s="28" t="str">
        <f t="shared" si="37"/>
        <v>CH1LPB705</v>
      </c>
      <c r="C82" s="28" t="str">
        <f t="shared" si="39"/>
        <v xml:space="preserve">COM.HEAT.R1: .05.LPG.STD.           </v>
      </c>
      <c r="D82" s="28"/>
      <c r="E82" s="28" t="str">
        <f t="shared" si="39"/>
        <v>COMLPG</v>
      </c>
      <c r="F82" s="28" t="str">
        <f t="shared" si="40"/>
        <v>CH1</v>
      </c>
      <c r="G82" s="240">
        <f t="shared" si="40"/>
        <v>2015</v>
      </c>
      <c r="H82" s="28">
        <f t="shared" si="40"/>
        <v>31.536000000000001</v>
      </c>
      <c r="I82" s="227">
        <f t="shared" si="40"/>
        <v>25</v>
      </c>
      <c r="J82" s="227">
        <f t="shared" ref="J82:W82" si="43">J44</f>
        <v>1</v>
      </c>
      <c r="K82" s="241">
        <f t="shared" si="43"/>
        <v>139.5040261625503</v>
      </c>
      <c r="L82" s="237">
        <f t="shared" si="43"/>
        <v>136.05112757050864</v>
      </c>
      <c r="M82" s="237">
        <f t="shared" si="43"/>
        <v>129.39960569360184</v>
      </c>
      <c r="N82" s="237">
        <f t="shared" si="43"/>
        <v>117.05623945383533</v>
      </c>
      <c r="O82" s="241">
        <f t="shared" si="43"/>
        <v>3.8462589851114064</v>
      </c>
      <c r="P82" s="237">
        <f t="shared" si="43"/>
        <v>3.7660479688710016</v>
      </c>
      <c r="Q82" s="237">
        <f t="shared" si="43"/>
        <v>3.6595681615032984</v>
      </c>
      <c r="R82" s="237">
        <f t="shared" si="43"/>
        <v>3.453327961321782</v>
      </c>
      <c r="S82" s="242">
        <f t="shared" si="43"/>
        <v>0</v>
      </c>
      <c r="T82" s="243">
        <f t="shared" si="43"/>
        <v>1.01</v>
      </c>
      <c r="U82" s="232">
        <f t="shared" si="43"/>
        <v>1.01</v>
      </c>
      <c r="V82" s="232">
        <f t="shared" si="43"/>
        <v>1.02</v>
      </c>
      <c r="W82" s="232">
        <f t="shared" si="43"/>
        <v>1.02</v>
      </c>
      <c r="X82" s="243"/>
      <c r="Z82" s="28" t="str">
        <f t="shared" si="35"/>
        <v>CH1LPB705</v>
      </c>
      <c r="AA82" s="78"/>
      <c r="AB82" s="233" t="s">
        <v>1206</v>
      </c>
      <c r="AC82" s="227">
        <v>1</v>
      </c>
      <c r="AD82" s="78"/>
      <c r="AE82" s="78"/>
      <c r="AF82" s="78"/>
    </row>
    <row r="83" spans="1:32" s="6" customFormat="1" x14ac:dyDescent="0.2">
      <c r="A83" s="7"/>
      <c r="B83" s="28" t="str">
        <f t="shared" si="37"/>
        <v>CH1NGB705</v>
      </c>
      <c r="C83" s="28" t="str">
        <f t="shared" si="39"/>
        <v xml:space="preserve">COM.HEAT.R1: .05.NGA.STD.           </v>
      </c>
      <c r="D83" s="28"/>
      <c r="E83" s="28" t="str">
        <f t="shared" si="39"/>
        <v>COMNGA</v>
      </c>
      <c r="F83" s="28" t="str">
        <f t="shared" si="40"/>
        <v>CH1</v>
      </c>
      <c r="G83" s="240">
        <f t="shared" si="40"/>
        <v>2015</v>
      </c>
      <c r="H83" s="28">
        <f t="shared" si="40"/>
        <v>31.536000000000001</v>
      </c>
      <c r="I83" s="227">
        <f t="shared" si="40"/>
        <v>25</v>
      </c>
      <c r="J83" s="227">
        <f t="shared" ref="J83:W83" si="44">J45</f>
        <v>1</v>
      </c>
      <c r="K83" s="241">
        <f t="shared" si="44"/>
        <v>139.5040261625503</v>
      </c>
      <c r="L83" s="237">
        <f t="shared" si="44"/>
        <v>136.05112757050864</v>
      </c>
      <c r="M83" s="237">
        <f t="shared" si="44"/>
        <v>129.39960569360184</v>
      </c>
      <c r="N83" s="237">
        <f t="shared" si="44"/>
        <v>117.05623945383533</v>
      </c>
      <c r="O83" s="241">
        <f t="shared" si="44"/>
        <v>3.8462589851114064</v>
      </c>
      <c r="P83" s="237">
        <f t="shared" si="44"/>
        <v>3.7660479688710016</v>
      </c>
      <c r="Q83" s="237">
        <f t="shared" si="44"/>
        <v>3.6595681615032984</v>
      </c>
      <c r="R83" s="237">
        <f t="shared" si="44"/>
        <v>3.453327961321782</v>
      </c>
      <c r="S83" s="242">
        <f t="shared" si="44"/>
        <v>0</v>
      </c>
      <c r="T83" s="243">
        <f t="shared" si="44"/>
        <v>1.01</v>
      </c>
      <c r="U83" s="232">
        <f t="shared" si="44"/>
        <v>1.01</v>
      </c>
      <c r="V83" s="232">
        <f t="shared" si="44"/>
        <v>1.02</v>
      </c>
      <c r="W83" s="232">
        <f t="shared" si="44"/>
        <v>1.02</v>
      </c>
      <c r="X83" s="243"/>
      <c r="Z83" s="28" t="str">
        <f t="shared" si="35"/>
        <v>CH1NGB705</v>
      </c>
      <c r="AA83" s="78"/>
      <c r="AB83" s="233" t="s">
        <v>1206</v>
      </c>
      <c r="AC83" s="227">
        <v>1</v>
      </c>
      <c r="AD83" s="78"/>
      <c r="AE83" s="78"/>
      <c r="AF83" s="78"/>
    </row>
    <row r="84" spans="1:32" s="6" customFormat="1" x14ac:dyDescent="0.2">
      <c r="A84" s="7"/>
      <c r="B84" s="28" t="str">
        <f t="shared" si="37"/>
        <v>CH1NGC705</v>
      </c>
      <c r="C84" s="28" t="str">
        <f t="shared" si="39"/>
        <v>COM.HEAT.R1: .05.NGA.INS-REG.PUMP.STD.</v>
      </c>
      <c r="D84" s="28"/>
      <c r="E84" s="28" t="str">
        <f t="shared" si="39"/>
        <v>COMNGA</v>
      </c>
      <c r="F84" s="28" t="str">
        <f t="shared" si="40"/>
        <v>CH1</v>
      </c>
      <c r="G84" s="240">
        <f t="shared" si="40"/>
        <v>2015</v>
      </c>
      <c r="H84" s="28">
        <f t="shared" si="40"/>
        <v>31.536000000000001</v>
      </c>
      <c r="I84" s="227">
        <f t="shared" si="40"/>
        <v>20</v>
      </c>
      <c r="J84" s="227">
        <f t="shared" ref="J84:W84" si="45">J46</f>
        <v>1</v>
      </c>
      <c r="K84" s="241">
        <f t="shared" si="45"/>
        <v>474.38082977272518</v>
      </c>
      <c r="L84" s="237">
        <f t="shared" si="45"/>
        <v>351.44721054663387</v>
      </c>
      <c r="M84" s="237">
        <f t="shared" si="45"/>
        <v>313.79826826198143</v>
      </c>
      <c r="N84" s="237">
        <f t="shared" si="45"/>
        <v>286.57136663012938</v>
      </c>
      <c r="O84" s="241">
        <f t="shared" si="45"/>
        <v>6.3682723569713451</v>
      </c>
      <c r="P84" s="237">
        <f t="shared" si="45"/>
        <v>5.0096162887696991</v>
      </c>
      <c r="Q84" s="237">
        <f t="shared" si="45"/>
        <v>5.0096162887696991</v>
      </c>
      <c r="R84" s="237">
        <f t="shared" si="45"/>
        <v>5.0096162887696991</v>
      </c>
      <c r="S84" s="242">
        <f t="shared" si="45"/>
        <v>0</v>
      </c>
      <c r="T84" s="243">
        <f t="shared" si="45"/>
        <v>1.575</v>
      </c>
      <c r="U84" s="232">
        <f t="shared" si="45"/>
        <v>1.5960455351762608</v>
      </c>
      <c r="V84" s="232">
        <f t="shared" si="45"/>
        <v>1.582751837332264</v>
      </c>
      <c r="W84" s="232">
        <f t="shared" si="45"/>
        <v>1.6235915126758487</v>
      </c>
      <c r="X84" s="243"/>
      <c r="Z84" s="28" t="str">
        <f t="shared" si="35"/>
        <v>CH1NGC705</v>
      </c>
      <c r="AA84" s="78"/>
      <c r="AB84" s="233" t="s">
        <v>1206</v>
      </c>
      <c r="AC84" s="227">
        <v>1</v>
      </c>
      <c r="AD84" s="78"/>
      <c r="AE84" s="78"/>
      <c r="AF84" s="78"/>
    </row>
    <row r="85" spans="1:32" s="6" customFormat="1" x14ac:dyDescent="0.2">
      <c r="A85" s="7"/>
      <c r="B85" s="28" t="str">
        <f t="shared" si="37"/>
        <v>CH1HET705</v>
      </c>
      <c r="C85" s="28" t="str">
        <f t="shared" si="39"/>
        <v xml:space="preserve">COM.HEAT.R1: .05.HET.EXCHANGER.     </v>
      </c>
      <c r="D85" s="28"/>
      <c r="E85" s="28" t="str">
        <f t="shared" si="39"/>
        <v>COMHET</v>
      </c>
      <c r="F85" s="28" t="str">
        <f t="shared" si="40"/>
        <v>CH1</v>
      </c>
      <c r="G85" s="240">
        <f t="shared" si="40"/>
        <v>2015</v>
      </c>
      <c r="H85" s="28">
        <f t="shared" si="40"/>
        <v>31.536000000000001</v>
      </c>
      <c r="I85" s="227">
        <f t="shared" si="40"/>
        <v>25</v>
      </c>
      <c r="J85" s="227">
        <f t="shared" ref="J85:W85" si="46">J47</f>
        <v>1</v>
      </c>
      <c r="K85" s="241">
        <f t="shared" si="46"/>
        <v>105.13993102084564</v>
      </c>
      <c r="L85" s="237">
        <f t="shared" si="46"/>
        <v>102.53758663139969</v>
      </c>
      <c r="M85" s="237">
        <f t="shared" si="46"/>
        <v>97.524537398635957</v>
      </c>
      <c r="N85" s="237">
        <f t="shared" si="46"/>
        <v>88.221718614739956</v>
      </c>
      <c r="O85" s="241">
        <f t="shared" si="46"/>
        <v>0.80004235995519846</v>
      </c>
      <c r="P85" s="237">
        <f t="shared" si="46"/>
        <v>0.78585775553394233</v>
      </c>
      <c r="Q85" s="237">
        <f t="shared" si="46"/>
        <v>0.8217840188483102</v>
      </c>
      <c r="R85" s="237">
        <f t="shared" si="46"/>
        <v>0.7491461955622144</v>
      </c>
      <c r="S85" s="242">
        <f t="shared" si="46"/>
        <v>0</v>
      </c>
      <c r="T85" s="243">
        <f t="shared" si="46"/>
        <v>0.98</v>
      </c>
      <c r="U85" s="232">
        <f t="shared" si="46"/>
        <v>0.98</v>
      </c>
      <c r="V85" s="232">
        <f t="shared" si="46"/>
        <v>0.98</v>
      </c>
      <c r="W85" s="232">
        <f t="shared" si="46"/>
        <v>0.98</v>
      </c>
      <c r="X85" s="243"/>
      <c r="Z85" s="28" t="str">
        <f t="shared" si="35"/>
        <v>CH1HET705</v>
      </c>
      <c r="AA85" s="78"/>
      <c r="AB85" s="233" t="s">
        <v>1206</v>
      </c>
      <c r="AC85" s="227">
        <v>1</v>
      </c>
      <c r="AD85" s="78"/>
      <c r="AE85" s="78"/>
      <c r="AF85" s="78"/>
    </row>
    <row r="86" spans="1:32" s="6" customFormat="1" x14ac:dyDescent="0.2">
      <c r="A86" s="7"/>
      <c r="B86" s="28" t="str">
        <f t="shared" si="37"/>
        <v>CH1BIO705</v>
      </c>
      <c r="C86" s="28" t="str">
        <f t="shared" si="39"/>
        <v>COM.HEAT.R1: .05.BIO.WOOD BOILER</v>
      </c>
      <c r="D86" s="28"/>
      <c r="E86" s="28" t="str">
        <f t="shared" si="39"/>
        <v>COMBIO</v>
      </c>
      <c r="F86" s="28" t="str">
        <f t="shared" si="40"/>
        <v>CH1</v>
      </c>
      <c r="G86" s="240">
        <f t="shared" si="40"/>
        <v>2015</v>
      </c>
      <c r="H86" s="28">
        <f t="shared" si="40"/>
        <v>31.536000000000001</v>
      </c>
      <c r="I86" s="227">
        <f t="shared" si="40"/>
        <v>25</v>
      </c>
      <c r="J86" s="227">
        <f t="shared" ref="J86:W86" si="47">J48</f>
        <v>1</v>
      </c>
      <c r="K86" s="241">
        <f t="shared" si="47"/>
        <v>366.57007626277704</v>
      </c>
      <c r="L86" s="237">
        <f t="shared" si="47"/>
        <v>359.65090293222494</v>
      </c>
      <c r="M86" s="237">
        <f t="shared" si="47"/>
        <v>359.65090293222494</v>
      </c>
      <c r="N86" s="237">
        <f t="shared" si="47"/>
        <v>359.65090293222494</v>
      </c>
      <c r="O86" s="241">
        <f t="shared" si="47"/>
        <v>7.6352464150842447</v>
      </c>
      <c r="P86" s="237">
        <f t="shared" si="47"/>
        <v>7.525183660393302</v>
      </c>
      <c r="Q86" s="237">
        <f t="shared" si="47"/>
        <v>7.4561972756579626</v>
      </c>
      <c r="R86" s="237">
        <f t="shared" si="47"/>
        <v>6.997445109844012</v>
      </c>
      <c r="S86" s="242">
        <f t="shared" si="47"/>
        <v>0</v>
      </c>
      <c r="T86" s="243">
        <f t="shared" si="47"/>
        <v>0.8</v>
      </c>
      <c r="U86" s="232">
        <f t="shared" si="47"/>
        <v>0.85</v>
      </c>
      <c r="V86" s="232">
        <f t="shared" si="47"/>
        <v>0.9</v>
      </c>
      <c r="W86" s="232">
        <f t="shared" si="47"/>
        <v>0.9</v>
      </c>
      <c r="X86" s="243"/>
      <c r="Z86" s="28" t="str">
        <f t="shared" si="35"/>
        <v>CH1BIO705</v>
      </c>
      <c r="AA86" s="78"/>
      <c r="AB86" s="233" t="s">
        <v>1206</v>
      </c>
      <c r="AC86" s="227">
        <v>1</v>
      </c>
      <c r="AD86" s="78"/>
      <c r="AE86" s="78"/>
      <c r="AF86" s="78"/>
    </row>
    <row r="87" spans="1:32" s="6" customFormat="1" x14ac:dyDescent="0.2">
      <c r="A87" s="7"/>
      <c r="B87" s="28" t="str">
        <f t="shared" si="37"/>
        <v>CH1WPL705</v>
      </c>
      <c r="C87" s="28" t="str">
        <f t="shared" si="39"/>
        <v>COM.HEAT.R1: .05.BIO.WOODPELLET.STD.</v>
      </c>
      <c r="D87" s="28"/>
      <c r="E87" s="28" t="str">
        <f t="shared" si="39"/>
        <v>COMBPL</v>
      </c>
      <c r="F87" s="28" t="str">
        <f t="shared" si="40"/>
        <v>CH1</v>
      </c>
      <c r="G87" s="240">
        <f t="shared" si="40"/>
        <v>2015</v>
      </c>
      <c r="H87" s="28">
        <f t="shared" si="40"/>
        <v>31.536000000000001</v>
      </c>
      <c r="I87" s="227">
        <f t="shared" si="40"/>
        <v>25</v>
      </c>
      <c r="J87" s="227">
        <f t="shared" ref="J87:W87" si="48">J49</f>
        <v>1</v>
      </c>
      <c r="K87" s="241">
        <f t="shared" si="48"/>
        <v>398.64348567281718</v>
      </c>
      <c r="L87" s="237">
        <f t="shared" si="48"/>
        <v>391.1189124654602</v>
      </c>
      <c r="M87" s="237">
        <f t="shared" si="48"/>
        <v>389.60494788503314</v>
      </c>
      <c r="N87" s="237">
        <f t="shared" si="48"/>
        <v>384.27932246732962</v>
      </c>
      <c r="O87" s="241">
        <f t="shared" si="48"/>
        <v>8.1859147226423037</v>
      </c>
      <c r="P87" s="237">
        <f t="shared" si="48"/>
        <v>8.0805041305021188</v>
      </c>
      <c r="Q87" s="237">
        <f t="shared" si="48"/>
        <v>7.9976641025936308</v>
      </c>
      <c r="R87" s="237">
        <f t="shared" si="48"/>
        <v>7.4144996307837809</v>
      </c>
      <c r="S87" s="242">
        <f t="shared" si="48"/>
        <v>0</v>
      </c>
      <c r="T87" s="243">
        <f t="shared" si="48"/>
        <v>0.83130139488676535</v>
      </c>
      <c r="U87" s="232">
        <f t="shared" si="48"/>
        <v>0.8740954719740287</v>
      </c>
      <c r="V87" s="232">
        <f t="shared" si="48"/>
        <v>0.91645848783225881</v>
      </c>
      <c r="W87" s="232">
        <f t="shared" si="48"/>
        <v>0.91645848783225881</v>
      </c>
      <c r="X87" s="243"/>
      <c r="Z87" s="28" t="str">
        <f t="shared" si="35"/>
        <v>CH1WPL705</v>
      </c>
      <c r="AA87" s="78"/>
      <c r="AB87" s="233" t="s">
        <v>1206</v>
      </c>
      <c r="AC87" s="227">
        <v>1</v>
      </c>
      <c r="AD87" s="78"/>
      <c r="AE87" s="78"/>
      <c r="AF87" s="78"/>
    </row>
    <row r="88" spans="1:32" s="6" customFormat="1" x14ac:dyDescent="0.2">
      <c r="A88" s="7"/>
      <c r="B88" s="68" t="s">
        <v>33</v>
      </c>
      <c r="C88" s="231"/>
      <c r="D88" s="231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312"/>
      <c r="Z88" s="68" t="s">
        <v>33</v>
      </c>
      <c r="AA88" s="231"/>
      <c r="AB88" s="231"/>
      <c r="AC88" s="68"/>
      <c r="AD88" s="68"/>
      <c r="AE88" s="68"/>
      <c r="AF88" s="68"/>
    </row>
    <row r="89" spans="1:32" s="6" customFormat="1" x14ac:dyDescent="0.2">
      <c r="A89" s="7"/>
      <c r="B89" s="28" t="s">
        <v>205</v>
      </c>
      <c r="C89" s="28" t="s">
        <v>192</v>
      </c>
      <c r="D89" s="28"/>
      <c r="E89" s="234" t="s">
        <v>1400</v>
      </c>
      <c r="F89" s="234" t="s">
        <v>201</v>
      </c>
      <c r="G89" s="240">
        <v>2012</v>
      </c>
      <c r="H89" s="28">
        <v>31.536000000000001</v>
      </c>
      <c r="I89" s="227">
        <v>25</v>
      </c>
      <c r="J89" s="227">
        <v>1</v>
      </c>
      <c r="K89" s="241">
        <v>89.0010814102165</v>
      </c>
      <c r="L89" s="237">
        <v>89.001081410216486</v>
      </c>
      <c r="M89" s="237">
        <v>89.001081410216486</v>
      </c>
      <c r="N89" s="237">
        <v>89.001081410216472</v>
      </c>
      <c r="O89" s="241">
        <v>5.6415998972804369</v>
      </c>
      <c r="P89" s="237">
        <v>5.6415998972804369</v>
      </c>
      <c r="Q89" s="237">
        <v>5.6415998972804369</v>
      </c>
      <c r="R89" s="237">
        <v>5.6415998972804369</v>
      </c>
      <c r="S89" s="242">
        <v>8.6770482603815946</v>
      </c>
      <c r="T89" s="243">
        <v>1</v>
      </c>
      <c r="U89" s="232">
        <v>1</v>
      </c>
      <c r="V89" s="232">
        <v>1</v>
      </c>
      <c r="W89" s="232">
        <v>1</v>
      </c>
      <c r="X89" s="243"/>
      <c r="Z89" s="28" t="str">
        <f t="shared" si="35"/>
        <v>AGHELC005</v>
      </c>
      <c r="AA89" s="78"/>
      <c r="AB89" s="78"/>
      <c r="AC89" s="78"/>
      <c r="AD89" s="78"/>
      <c r="AE89" s="78"/>
      <c r="AF89" s="78"/>
    </row>
    <row r="90" spans="1:32" s="6" customFormat="1" x14ac:dyDescent="0.2">
      <c r="A90" s="7"/>
      <c r="B90" s="28" t="s">
        <v>47</v>
      </c>
      <c r="C90" s="28" t="s">
        <v>208</v>
      </c>
      <c r="D90" s="28"/>
      <c r="E90" s="234" t="s">
        <v>1400</v>
      </c>
      <c r="F90" s="234" t="s">
        <v>201</v>
      </c>
      <c r="G90" s="240">
        <v>2015</v>
      </c>
      <c r="H90" s="28">
        <v>31.536000000000001</v>
      </c>
      <c r="I90" s="227">
        <v>25</v>
      </c>
      <c r="J90" s="227">
        <v>1</v>
      </c>
      <c r="K90" s="241">
        <v>999.55256190286718</v>
      </c>
      <c r="L90" s="237">
        <v>940.63156014531569</v>
      </c>
      <c r="M90" s="237">
        <v>869.0864672749193</v>
      </c>
      <c r="N90" s="237">
        <v>749.66442142715039</v>
      </c>
      <c r="O90" s="241">
        <v>22.922163663387597</v>
      </c>
      <c r="P90" s="237">
        <v>22.344881683859111</v>
      </c>
      <c r="Q90" s="237">
        <v>21.473153180999525</v>
      </c>
      <c r="R90" s="237">
        <v>20.906980465500464</v>
      </c>
      <c r="S90" s="242">
        <v>0</v>
      </c>
      <c r="T90" s="243">
        <v>3.0150000000000001</v>
      </c>
      <c r="U90" s="232">
        <v>3.2386543570905144</v>
      </c>
      <c r="V90" s="232">
        <v>3.4410592267822495</v>
      </c>
      <c r="W90" s="232">
        <v>3.6333231044897376</v>
      </c>
      <c r="X90" s="243"/>
      <c r="Z90" s="28" t="str">
        <f t="shared" si="35"/>
        <v>AGHEHP105</v>
      </c>
      <c r="AA90" s="78"/>
      <c r="AB90" s="78"/>
      <c r="AC90" s="78"/>
      <c r="AD90" s="78"/>
      <c r="AE90" s="78"/>
      <c r="AF90" s="78"/>
    </row>
    <row r="91" spans="1:32" s="6" customFormat="1" x14ac:dyDescent="0.2">
      <c r="A91" s="7"/>
      <c r="B91" s="28" t="s">
        <v>202</v>
      </c>
      <c r="C91" s="28" t="s">
        <v>187</v>
      </c>
      <c r="D91" s="28"/>
      <c r="E91" s="234" t="s">
        <v>195</v>
      </c>
      <c r="F91" s="234" t="s">
        <v>201</v>
      </c>
      <c r="G91" s="240">
        <v>2015</v>
      </c>
      <c r="H91" s="28">
        <v>31.536000000000001</v>
      </c>
      <c r="I91" s="227">
        <v>25</v>
      </c>
      <c r="J91" s="227">
        <v>1</v>
      </c>
      <c r="K91" s="241">
        <v>211.66913345596305</v>
      </c>
      <c r="L91" s="237">
        <v>206.43005847731575</v>
      </c>
      <c r="M91" s="237">
        <v>196.3377198504167</v>
      </c>
      <c r="N91" s="237">
        <v>177.60915904990884</v>
      </c>
      <c r="O91" s="241">
        <v>6.6219270729331949</v>
      </c>
      <c r="P91" s="237">
        <v>6.4799053775729716</v>
      </c>
      <c r="Q91" s="237">
        <v>6.2937595972508138</v>
      </c>
      <c r="R91" s="237">
        <v>5.8667829405313947</v>
      </c>
      <c r="S91" s="242">
        <v>0</v>
      </c>
      <c r="T91" s="243">
        <v>0.97</v>
      </c>
      <c r="U91" s="232">
        <v>0.97</v>
      </c>
      <c r="V91" s="232">
        <v>0.98</v>
      </c>
      <c r="W91" s="232">
        <v>0.99</v>
      </c>
      <c r="X91" s="243"/>
      <c r="Z91" s="28" t="str">
        <f t="shared" si="35"/>
        <v>AGHNGA005</v>
      </c>
      <c r="AA91" s="78"/>
      <c r="AB91" s="78"/>
      <c r="AC91" s="78"/>
      <c r="AD91" s="78"/>
      <c r="AE91" s="78"/>
      <c r="AF91" s="78"/>
    </row>
    <row r="92" spans="1:32" s="6" customFormat="1" x14ac:dyDescent="0.2">
      <c r="A92" s="7"/>
      <c r="B92" s="28" t="s">
        <v>203</v>
      </c>
      <c r="C92" s="28" t="s">
        <v>188</v>
      </c>
      <c r="D92" s="28"/>
      <c r="E92" s="234" t="s">
        <v>196</v>
      </c>
      <c r="F92" s="234" t="s">
        <v>201</v>
      </c>
      <c r="G92" s="240">
        <v>2015</v>
      </c>
      <c r="H92" s="28">
        <v>31.536000000000001</v>
      </c>
      <c r="I92" s="227">
        <v>25</v>
      </c>
      <c r="J92" s="227">
        <v>1</v>
      </c>
      <c r="K92" s="241">
        <v>220.0515615588584</v>
      </c>
      <c r="L92" s="237">
        <v>214.60501103279819</v>
      </c>
      <c r="M92" s="237">
        <v>204.11300004201314</v>
      </c>
      <c r="N92" s="237">
        <v>184.6427589982986</v>
      </c>
      <c r="O92" s="241">
        <v>6.880599081483977</v>
      </c>
      <c r="P92" s="237">
        <v>6.7351063756824683</v>
      </c>
      <c r="Q92" s="237">
        <v>6.6252686081633199</v>
      </c>
      <c r="R92" s="237">
        <v>6.0975223460505825</v>
      </c>
      <c r="S92" s="242">
        <v>0</v>
      </c>
      <c r="T92" s="243">
        <v>0.92</v>
      </c>
      <c r="U92" s="232">
        <v>0.92</v>
      </c>
      <c r="V92" s="232">
        <v>0.93</v>
      </c>
      <c r="W92" s="232">
        <v>0.95</v>
      </c>
      <c r="X92" s="243"/>
      <c r="Z92" s="28" t="str">
        <f t="shared" si="35"/>
        <v>AGHDST005</v>
      </c>
      <c r="AA92" s="78"/>
      <c r="AB92" s="78"/>
      <c r="AC92" s="78"/>
      <c r="AD92" s="78"/>
      <c r="AE92" s="78"/>
      <c r="AF92" s="78"/>
    </row>
    <row r="93" spans="1:32" s="6" customFormat="1" x14ac:dyDescent="0.2">
      <c r="A93" s="7"/>
      <c r="B93" s="28" t="s">
        <v>204</v>
      </c>
      <c r="C93" s="28" t="s">
        <v>189</v>
      </c>
      <c r="D93" s="28"/>
      <c r="E93" s="234" t="s">
        <v>197</v>
      </c>
      <c r="F93" s="234" t="s">
        <v>201</v>
      </c>
      <c r="G93" s="240">
        <v>2015</v>
      </c>
      <c r="H93" s="28">
        <v>31.536000000000001</v>
      </c>
      <c r="I93" s="227">
        <v>25</v>
      </c>
      <c r="J93" s="227">
        <v>1</v>
      </c>
      <c r="K93" s="241">
        <v>417.31536109585164</v>
      </c>
      <c r="L93" s="237">
        <v>412.78922996409267</v>
      </c>
      <c r="M93" s="237">
        <v>412.78922996409267</v>
      </c>
      <c r="N93" s="237">
        <v>412.78922996409267</v>
      </c>
      <c r="O93" s="241">
        <v>14.894572259919139</v>
      </c>
      <c r="P93" s="237">
        <v>14.707434454520573</v>
      </c>
      <c r="Q93" s="237">
        <v>14.641649227329458</v>
      </c>
      <c r="R93" s="237">
        <v>14.185325129074876</v>
      </c>
      <c r="S93" s="242">
        <v>0</v>
      </c>
      <c r="T93" s="243">
        <v>0.8</v>
      </c>
      <c r="U93" s="232">
        <v>0.82</v>
      </c>
      <c r="V93" s="232">
        <v>0.86</v>
      </c>
      <c r="W93" s="232">
        <v>0.88</v>
      </c>
      <c r="X93" s="243"/>
      <c r="Z93" s="28" t="str">
        <f t="shared" si="35"/>
        <v>AGHBIO005</v>
      </c>
      <c r="AA93" s="78"/>
      <c r="AB93" s="78"/>
      <c r="AC93" s="78"/>
      <c r="AD93" s="78"/>
      <c r="AE93" s="78"/>
      <c r="AF93" s="78"/>
    </row>
    <row r="94" spans="1:32" s="6" customFormat="1" x14ac:dyDescent="0.2">
      <c r="A94" s="7"/>
      <c r="B94" s="28" t="s">
        <v>1273</v>
      </c>
      <c r="C94" s="28" t="s">
        <v>1271</v>
      </c>
      <c r="D94" s="28"/>
      <c r="E94" s="234" t="s">
        <v>1272</v>
      </c>
      <c r="F94" s="234" t="s">
        <v>201</v>
      </c>
      <c r="G94" s="240">
        <v>2015</v>
      </c>
      <c r="H94" s="28">
        <v>31.536000000000001</v>
      </c>
      <c r="I94" s="227">
        <v>25</v>
      </c>
      <c r="J94" s="227">
        <v>1</v>
      </c>
      <c r="K94" s="241">
        <v>441.59758887664759</v>
      </c>
      <c r="L94" s="237">
        <v>441.59758887664759</v>
      </c>
      <c r="M94" s="237">
        <v>441.59758887664759</v>
      </c>
      <c r="N94" s="237">
        <v>441.59758887664759</v>
      </c>
      <c r="O94" s="241">
        <v>26.983246673611408</v>
      </c>
      <c r="P94" s="237">
        <v>26.570213512705902</v>
      </c>
      <c r="Q94" s="237">
        <v>26.425292170270414</v>
      </c>
      <c r="R94" s="237">
        <v>25.424003465969427</v>
      </c>
      <c r="S94" s="242">
        <v>0</v>
      </c>
      <c r="T94" s="243">
        <v>0.76167514537286263</v>
      </c>
      <c r="U94" s="232">
        <v>0.78496971211028543</v>
      </c>
      <c r="V94" s="232">
        <v>0.83193253808889023</v>
      </c>
      <c r="W94" s="232">
        <v>0.85559622555615655</v>
      </c>
      <c r="X94" s="243"/>
      <c r="Z94" s="28" t="str">
        <f t="shared" si="35"/>
        <v>AGHBIOS05</v>
      </c>
      <c r="AA94" s="78"/>
      <c r="AB94" s="78"/>
      <c r="AC94" s="78"/>
      <c r="AD94" s="78"/>
      <c r="AE94" s="78"/>
      <c r="AF94" s="78"/>
    </row>
    <row r="95" spans="1:32" s="6" customFormat="1" x14ac:dyDescent="0.2">
      <c r="A95" s="7"/>
      <c r="B95" s="28" t="s">
        <v>206</v>
      </c>
      <c r="C95" s="28" t="s">
        <v>193</v>
      </c>
      <c r="D95" s="28"/>
      <c r="E95" s="234" t="s">
        <v>199</v>
      </c>
      <c r="F95" s="234" t="s">
        <v>201</v>
      </c>
      <c r="G95" s="240">
        <v>2015</v>
      </c>
      <c r="H95" s="28">
        <v>31.536000000000001</v>
      </c>
      <c r="I95" s="227">
        <v>25</v>
      </c>
      <c r="J95" s="227">
        <v>1</v>
      </c>
      <c r="K95" s="241">
        <v>164.96219010216674</v>
      </c>
      <c r="L95" s="237">
        <v>160.8791702093917</v>
      </c>
      <c r="M95" s="237">
        <v>153.01380856707968</v>
      </c>
      <c r="N95" s="237">
        <v>138.41789485651449</v>
      </c>
      <c r="O95" s="241">
        <v>1.4222865094143482</v>
      </c>
      <c r="P95" s="237">
        <v>1.3955274138096312</v>
      </c>
      <c r="Q95" s="237">
        <v>1.4388125616800866</v>
      </c>
      <c r="R95" s="237">
        <v>1.3101742638477716</v>
      </c>
      <c r="S95" s="242">
        <v>0</v>
      </c>
      <c r="T95" s="243">
        <v>0.9597140244425254</v>
      </c>
      <c r="U95" s="232">
        <v>0.97309491291462735</v>
      </c>
      <c r="V95" s="232">
        <v>0.97309491291462735</v>
      </c>
      <c r="W95" s="232">
        <v>0.97309491291462735</v>
      </c>
      <c r="X95" s="243"/>
      <c r="Z95" s="28" t="str">
        <f t="shared" si="35"/>
        <v>AGHHET005</v>
      </c>
      <c r="AA95" s="78"/>
      <c r="AB95" s="78"/>
      <c r="AC95" s="78"/>
      <c r="AD95" s="78"/>
      <c r="AE95" s="78"/>
      <c r="AF95" s="78"/>
    </row>
    <row r="96" spans="1:32" s="6" customFormat="1" x14ac:dyDescent="0.2">
      <c r="A96" s="7"/>
      <c r="B96" s="28" t="s">
        <v>207</v>
      </c>
      <c r="C96" s="28" t="s">
        <v>194</v>
      </c>
      <c r="D96" s="28"/>
      <c r="E96" s="234" t="s">
        <v>200</v>
      </c>
      <c r="F96" s="234" t="s">
        <v>201</v>
      </c>
      <c r="G96" s="240">
        <v>2015</v>
      </c>
      <c r="H96" s="28">
        <v>31.536000000000001</v>
      </c>
      <c r="I96" s="227">
        <v>25</v>
      </c>
      <c r="J96" s="227">
        <v>1</v>
      </c>
      <c r="K96" s="241">
        <v>332.07680767170018</v>
      </c>
      <c r="L96" s="237">
        <v>306.07916485898119</v>
      </c>
      <c r="M96" s="237">
        <v>285.54079494870001</v>
      </c>
      <c r="N96" s="237">
        <v>242.11624905056863</v>
      </c>
      <c r="O96" s="241">
        <v>12.07468466179173</v>
      </c>
      <c r="P96" s="237">
        <v>12.148490922350927</v>
      </c>
      <c r="Q96" s="237">
        <v>12.733800504272239</v>
      </c>
      <c r="R96" s="237">
        <v>12.004551870816483</v>
      </c>
      <c r="S96" s="242">
        <v>0</v>
      </c>
      <c r="T96" s="243">
        <v>1</v>
      </c>
      <c r="U96" s="232">
        <v>1</v>
      </c>
      <c r="V96" s="232">
        <v>1</v>
      </c>
      <c r="W96" s="232">
        <v>1</v>
      </c>
      <c r="X96" s="243"/>
      <c r="Z96" s="28" t="str">
        <f t="shared" si="35"/>
        <v>AGHSOL005</v>
      </c>
      <c r="AA96" s="234" t="s">
        <v>198</v>
      </c>
      <c r="AB96" s="78"/>
      <c r="AC96" s="78"/>
      <c r="AD96" s="78"/>
      <c r="AE96" s="78"/>
      <c r="AF96" s="78"/>
    </row>
    <row r="97" spans="1:25" s="6" customFormat="1" x14ac:dyDescent="0.2">
      <c r="A97" s="7"/>
      <c r="B97" s="1"/>
      <c r="C97" s="1"/>
      <c r="D97" s="1"/>
      <c r="E97" s="1"/>
      <c r="F97" s="1"/>
      <c r="G97" s="1"/>
      <c r="H97" s="1"/>
      <c r="I97" s="1"/>
      <c r="J97" s="1"/>
      <c r="K97" s="82"/>
      <c r="L97" s="82"/>
      <c r="M97" s="1"/>
      <c r="N97"/>
      <c r="O97" s="82"/>
      <c r="P97" s="1"/>
    </row>
    <row r="98" spans="1:25" s="6" customFormat="1" x14ac:dyDescent="0.2">
      <c r="A98" s="7"/>
      <c r="B98" s="1"/>
      <c r="C98" s="1"/>
      <c r="D98" s="1"/>
      <c r="G98" s="1"/>
      <c r="H98" s="1"/>
      <c r="I98" s="1"/>
      <c r="J98" s="1"/>
      <c r="K98" s="82"/>
      <c r="L98" s="82"/>
      <c r="M98" s="1"/>
      <c r="N98"/>
      <c r="O98" s="82"/>
      <c r="P98" s="1"/>
    </row>
    <row r="99" spans="1:25" s="6" customFormat="1" x14ac:dyDescent="0.2">
      <c r="A99" s="7"/>
      <c r="B99" s="1"/>
      <c r="C99" s="1"/>
      <c r="D99" s="1"/>
      <c r="E99" s="1"/>
      <c r="F99" s="1"/>
      <c r="G99" s="1"/>
      <c r="H99" s="1"/>
      <c r="I99" s="1"/>
      <c r="J99" s="1"/>
      <c r="K99" s="82"/>
      <c r="L99" s="82"/>
      <c r="M99" s="1"/>
      <c r="N99"/>
      <c r="O99" s="82"/>
      <c r="P99" s="1"/>
    </row>
    <row r="100" spans="1:25" s="6" customFormat="1" x14ac:dyDescent="0.2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82"/>
      <c r="L100" s="82"/>
      <c r="M100" s="1"/>
      <c r="N100"/>
      <c r="O100" s="82"/>
      <c r="P100" s="1"/>
    </row>
    <row r="101" spans="1:25" s="6" customFormat="1" x14ac:dyDescent="0.2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82"/>
      <c r="L101" s="82"/>
      <c r="M101" s="1"/>
      <c r="N101"/>
      <c r="O101" s="82"/>
      <c r="P101" s="1"/>
    </row>
    <row r="102" spans="1:25" s="6" customFormat="1" ht="18" x14ac:dyDescent="0.25">
      <c r="A102" s="7"/>
      <c r="B102" s="397" t="s">
        <v>1329</v>
      </c>
      <c r="C102" s="395"/>
      <c r="D102" s="396"/>
      <c r="E102" s="1"/>
      <c r="F102" s="23" t="s">
        <v>82</v>
      </c>
      <c r="G102" s="1"/>
      <c r="H102" s="1"/>
      <c r="I102" s="1"/>
      <c r="J102" s="1"/>
      <c r="K102" s="82"/>
      <c r="L102" s="82"/>
      <c r="M102" s="1"/>
      <c r="N102"/>
      <c r="O102" s="82"/>
      <c r="P102" s="1"/>
    </row>
    <row r="103" spans="1:25" s="6" customFormat="1" ht="36.75" thickBot="1" x14ac:dyDescent="0.25">
      <c r="A103" s="7"/>
      <c r="B103" s="20" t="s">
        <v>1126</v>
      </c>
      <c r="C103" s="217" t="s">
        <v>1127</v>
      </c>
      <c r="D103" s="217" t="s">
        <v>540</v>
      </c>
      <c r="E103" s="218" t="s">
        <v>1128</v>
      </c>
      <c r="F103" s="218" t="s">
        <v>289</v>
      </c>
      <c r="G103" s="219" t="s">
        <v>318</v>
      </c>
      <c r="H103" s="218" t="s">
        <v>317</v>
      </c>
      <c r="I103" s="218" t="s">
        <v>541</v>
      </c>
      <c r="J103" s="220" t="s">
        <v>322</v>
      </c>
      <c r="K103" s="221" t="s">
        <v>319</v>
      </c>
      <c r="L103" s="218" t="s">
        <v>27</v>
      </c>
      <c r="M103" s="218" t="s">
        <v>28</v>
      </c>
      <c r="N103" s="220" t="s">
        <v>1011</v>
      </c>
      <c r="O103" s="218" t="s">
        <v>320</v>
      </c>
      <c r="P103" s="218" t="s">
        <v>29</v>
      </c>
      <c r="Q103" s="218" t="s">
        <v>30</v>
      </c>
      <c r="R103" s="220" t="s">
        <v>1013</v>
      </c>
      <c r="S103" s="398" t="s">
        <v>321</v>
      </c>
      <c r="T103" s="42" t="s">
        <v>323</v>
      </c>
      <c r="U103" s="42" t="s">
        <v>31</v>
      </c>
      <c r="V103" s="42" t="s">
        <v>32</v>
      </c>
      <c r="W103" s="42" t="s">
        <v>1017</v>
      </c>
      <c r="X103" s="48" t="s">
        <v>890</v>
      </c>
      <c r="Y103" s="20" t="s">
        <v>736</v>
      </c>
    </row>
    <row r="104" spans="1:25" s="6" customFormat="1" x14ac:dyDescent="0.2">
      <c r="A104" s="7"/>
      <c r="B104" s="222" t="s">
        <v>699</v>
      </c>
      <c r="C104" s="222" t="s">
        <v>1177</v>
      </c>
      <c r="D104" s="222"/>
      <c r="E104" s="222"/>
      <c r="F104" s="222" t="s">
        <v>720</v>
      </c>
      <c r="G104" s="408">
        <v>2010</v>
      </c>
      <c r="H104" s="222">
        <v>31.536000000000001</v>
      </c>
      <c r="I104" s="223">
        <v>20</v>
      </c>
      <c r="J104" s="223">
        <v>1</v>
      </c>
      <c r="K104" s="405">
        <v>144.04786712527252</v>
      </c>
      <c r="L104" s="224" t="s">
        <v>382</v>
      </c>
      <c r="M104" s="222"/>
      <c r="N104" s="224" t="s">
        <v>382</v>
      </c>
      <c r="O104" s="405">
        <v>31.703010504201682</v>
      </c>
      <c r="P104" s="222"/>
      <c r="Q104" s="222"/>
      <c r="R104" s="222"/>
      <c r="S104" s="401" t="s">
        <v>382</v>
      </c>
      <c r="T104" s="225">
        <v>0.91</v>
      </c>
      <c r="U104" s="225">
        <v>0.94161817310229012</v>
      </c>
      <c r="V104" s="225" t="s">
        <v>382</v>
      </c>
      <c r="W104" s="225">
        <v>0.96235706683693312</v>
      </c>
      <c r="X104" s="399"/>
      <c r="Y104" s="78"/>
    </row>
    <row r="105" spans="1:25" s="6" customFormat="1" x14ac:dyDescent="0.2">
      <c r="A105" s="7"/>
      <c r="B105" s="222" t="s">
        <v>700</v>
      </c>
      <c r="C105" s="222" t="s">
        <v>20</v>
      </c>
      <c r="D105" s="222"/>
      <c r="E105" s="222"/>
      <c r="F105" s="222" t="s">
        <v>720</v>
      </c>
      <c r="G105" s="409">
        <v>2011</v>
      </c>
      <c r="H105" s="222">
        <v>31.536000000000001</v>
      </c>
      <c r="I105" s="223">
        <v>20</v>
      </c>
      <c r="J105" s="223">
        <v>1</v>
      </c>
      <c r="K105" s="406">
        <v>169.70101744406341</v>
      </c>
      <c r="L105" s="224" t="s">
        <v>382</v>
      </c>
      <c r="M105" s="222"/>
      <c r="N105" s="224" t="s">
        <v>382</v>
      </c>
      <c r="O105" s="406">
        <v>31.806488004201679</v>
      </c>
      <c r="P105" s="222"/>
      <c r="Q105" s="222"/>
      <c r="R105" s="222"/>
      <c r="S105" s="402" t="s">
        <v>382</v>
      </c>
      <c r="T105" s="225">
        <v>0.95550000000000013</v>
      </c>
      <c r="U105" s="225">
        <v>0.98</v>
      </c>
      <c r="V105" s="225" t="s">
        <v>382</v>
      </c>
      <c r="W105" s="225" t="s">
        <v>382</v>
      </c>
      <c r="X105" s="399"/>
      <c r="Y105" s="78"/>
    </row>
    <row r="106" spans="1:25" s="6" customFormat="1" x14ac:dyDescent="0.2">
      <c r="A106" s="7"/>
      <c r="B106" s="222" t="s">
        <v>701</v>
      </c>
      <c r="C106" s="222" t="s">
        <v>21</v>
      </c>
      <c r="D106" s="222"/>
      <c r="E106" s="222"/>
      <c r="F106" s="222" t="s">
        <v>720</v>
      </c>
      <c r="G106" s="409">
        <v>2011</v>
      </c>
      <c r="H106" s="222">
        <v>31.536000000000001</v>
      </c>
      <c r="I106" s="223">
        <v>20</v>
      </c>
      <c r="J106" s="223">
        <v>1</v>
      </c>
      <c r="K106" s="406">
        <v>593.15288360734314</v>
      </c>
      <c r="L106" s="224" t="s">
        <v>382</v>
      </c>
      <c r="M106" s="222"/>
      <c r="N106" s="224" t="s">
        <v>382</v>
      </c>
      <c r="O106" s="406">
        <v>35.967989495798321</v>
      </c>
      <c r="P106" s="222"/>
      <c r="Q106" s="222"/>
      <c r="R106" s="222"/>
      <c r="S106" s="402" t="s">
        <v>382</v>
      </c>
      <c r="T106" s="225">
        <v>2.6</v>
      </c>
      <c r="U106" s="225">
        <v>3</v>
      </c>
      <c r="V106" s="225" t="s">
        <v>382</v>
      </c>
      <c r="W106" s="225">
        <v>3.1379777769803088</v>
      </c>
      <c r="X106" s="399"/>
      <c r="Y106" s="78"/>
    </row>
    <row r="107" spans="1:25" s="6" customFormat="1" x14ac:dyDescent="0.2">
      <c r="A107" s="7"/>
      <c r="B107" s="222" t="s">
        <v>702</v>
      </c>
      <c r="C107" s="222" t="s">
        <v>22</v>
      </c>
      <c r="D107" s="222"/>
      <c r="E107" s="222"/>
      <c r="F107" s="222" t="s">
        <v>720</v>
      </c>
      <c r="G107" s="409">
        <v>2011</v>
      </c>
      <c r="H107" s="222">
        <v>31.536000000000001</v>
      </c>
      <c r="I107" s="223">
        <v>25</v>
      </c>
      <c r="J107" s="223">
        <v>1</v>
      </c>
      <c r="K107" s="406">
        <v>749.20151606094885</v>
      </c>
      <c r="L107" s="224" t="s">
        <v>382</v>
      </c>
      <c r="M107" s="222"/>
      <c r="N107" s="224" t="s">
        <v>382</v>
      </c>
      <c r="O107" s="406">
        <v>37.431705441176469</v>
      </c>
      <c r="P107" s="222"/>
      <c r="Q107" s="222"/>
      <c r="R107" s="222"/>
      <c r="S107" s="402" t="s">
        <v>382</v>
      </c>
      <c r="T107" s="225">
        <v>0.88</v>
      </c>
      <c r="U107" s="225">
        <v>0.9216980135161138</v>
      </c>
      <c r="V107" s="225" t="s">
        <v>382</v>
      </c>
      <c r="W107" s="225">
        <v>0.94932105482411278</v>
      </c>
      <c r="X107" s="399"/>
      <c r="Y107" s="78"/>
    </row>
    <row r="108" spans="1:25" s="6" customFormat="1" x14ac:dyDescent="0.2">
      <c r="A108" s="7"/>
      <c r="B108" s="222" t="s">
        <v>703</v>
      </c>
      <c r="C108" s="222" t="s">
        <v>23</v>
      </c>
      <c r="D108" s="222"/>
      <c r="E108" s="222"/>
      <c r="F108" s="222" t="s">
        <v>720</v>
      </c>
      <c r="G108" s="409">
        <v>2011</v>
      </c>
      <c r="H108" s="222">
        <v>31.536000000000001</v>
      </c>
      <c r="I108" s="223">
        <v>25</v>
      </c>
      <c r="J108" s="223">
        <v>1</v>
      </c>
      <c r="K108" s="406">
        <v>557.58815672817673</v>
      </c>
      <c r="L108" s="224" t="s">
        <v>382</v>
      </c>
      <c r="M108" s="222"/>
      <c r="N108" s="224" t="s">
        <v>382</v>
      </c>
      <c r="O108" s="406">
        <v>42.024259663865543</v>
      </c>
      <c r="P108" s="222"/>
      <c r="Q108" s="222"/>
      <c r="R108" s="222"/>
      <c r="S108" s="402">
        <v>0.99754201680672283</v>
      </c>
      <c r="T108" s="225">
        <v>0.75</v>
      </c>
      <c r="U108" s="225">
        <v>0.78449444424507719</v>
      </c>
      <c r="V108" s="225" t="s">
        <v>382</v>
      </c>
      <c r="W108" s="225">
        <v>0.82057537740185671</v>
      </c>
      <c r="X108" s="399"/>
      <c r="Y108" s="78"/>
    </row>
    <row r="109" spans="1:25" s="6" customFormat="1" x14ac:dyDescent="0.2">
      <c r="A109" s="7"/>
      <c r="B109" s="222" t="s">
        <v>704</v>
      </c>
      <c r="C109" s="222" t="s">
        <v>24</v>
      </c>
      <c r="D109" s="28"/>
      <c r="E109" s="28"/>
      <c r="F109" s="222" t="s">
        <v>720</v>
      </c>
      <c r="G109" s="409">
        <v>2011</v>
      </c>
      <c r="H109" s="222">
        <v>31.536000000000001</v>
      </c>
      <c r="I109" s="223">
        <v>25</v>
      </c>
      <c r="J109" s="223">
        <v>1</v>
      </c>
      <c r="K109" s="406">
        <v>619.67465672817673</v>
      </c>
      <c r="L109" s="224" t="s">
        <v>382</v>
      </c>
      <c r="M109" s="28"/>
      <c r="N109" s="224" t="s">
        <v>382</v>
      </c>
      <c r="O109" s="406">
        <v>42.024259663865543</v>
      </c>
      <c r="P109" s="28"/>
      <c r="Q109" s="28"/>
      <c r="R109" s="28"/>
      <c r="S109" s="402">
        <v>0.99754201680672283</v>
      </c>
      <c r="T109" s="225">
        <v>0.79</v>
      </c>
      <c r="U109" s="225">
        <v>0.82633414793814808</v>
      </c>
      <c r="V109" s="225" t="s">
        <v>382</v>
      </c>
      <c r="W109" s="225">
        <v>0.86433939752995592</v>
      </c>
      <c r="X109" s="399"/>
      <c r="Y109" s="78"/>
    </row>
    <row r="110" spans="1:25" s="6" customFormat="1" x14ac:dyDescent="0.2">
      <c r="A110" s="7"/>
      <c r="B110" s="222" t="s">
        <v>705</v>
      </c>
      <c r="C110" s="222" t="s">
        <v>25</v>
      </c>
      <c r="D110" s="28"/>
      <c r="E110" s="28"/>
      <c r="F110" s="222" t="s">
        <v>720</v>
      </c>
      <c r="G110" s="409">
        <v>2011</v>
      </c>
      <c r="H110" s="222">
        <v>31.536000000000001</v>
      </c>
      <c r="I110" s="223">
        <v>25</v>
      </c>
      <c r="J110" s="223">
        <v>1</v>
      </c>
      <c r="K110" s="406">
        <v>1281.9306567281767</v>
      </c>
      <c r="L110" s="224" t="s">
        <v>382</v>
      </c>
      <c r="M110" s="28"/>
      <c r="N110" s="224" t="s">
        <v>382</v>
      </c>
      <c r="O110" s="406">
        <v>42.024259663865543</v>
      </c>
      <c r="P110" s="28"/>
      <c r="Q110" s="28"/>
      <c r="R110" s="28"/>
      <c r="S110" s="402">
        <v>0.99754201680672283</v>
      </c>
      <c r="T110" s="225">
        <v>0.75</v>
      </c>
      <c r="U110" s="225">
        <v>0.78449444424507719</v>
      </c>
      <c r="V110" s="225" t="s">
        <v>382</v>
      </c>
      <c r="W110" s="225">
        <v>0.82057537740185671</v>
      </c>
      <c r="X110" s="399"/>
      <c r="Y110" s="78"/>
    </row>
    <row r="111" spans="1:25" s="6" customFormat="1" x14ac:dyDescent="0.2">
      <c r="A111" s="7"/>
      <c r="B111" s="222" t="s">
        <v>706</v>
      </c>
      <c r="C111" s="222" t="s">
        <v>26</v>
      </c>
      <c r="D111" s="28"/>
      <c r="E111" s="28"/>
      <c r="F111" s="222" t="s">
        <v>720</v>
      </c>
      <c r="G111" s="409">
        <v>2011</v>
      </c>
      <c r="H111" s="222">
        <v>31.536000000000001</v>
      </c>
      <c r="I111" s="223">
        <v>20</v>
      </c>
      <c r="J111" s="223">
        <v>1</v>
      </c>
      <c r="K111" s="406">
        <v>233.13305560325989</v>
      </c>
      <c r="L111" s="224" t="s">
        <v>382</v>
      </c>
      <c r="M111" s="28"/>
      <c r="N111" s="224" t="s">
        <v>382</v>
      </c>
      <c r="O111" s="406">
        <v>36.565086554621843</v>
      </c>
      <c r="P111" s="28"/>
      <c r="Q111" s="28"/>
      <c r="R111" s="28"/>
      <c r="S111" s="402">
        <v>0.99754201680672283</v>
      </c>
      <c r="T111" s="225">
        <v>0.77</v>
      </c>
      <c r="U111" s="225">
        <v>0.80541429609161264</v>
      </c>
      <c r="V111" s="225" t="s">
        <v>382</v>
      </c>
      <c r="W111" s="225">
        <v>0.84245738746590637</v>
      </c>
      <c r="X111" s="399"/>
      <c r="Y111" s="78"/>
    </row>
    <row r="112" spans="1:25" s="6" customFormat="1" x14ac:dyDescent="0.2">
      <c r="A112" s="7"/>
      <c r="B112" s="222" t="s">
        <v>707</v>
      </c>
      <c r="C112" s="222" t="s">
        <v>48</v>
      </c>
      <c r="D112" s="28"/>
      <c r="E112" s="28"/>
      <c r="F112" s="222" t="s">
        <v>720</v>
      </c>
      <c r="G112" s="409">
        <v>2011</v>
      </c>
      <c r="H112" s="222">
        <v>31.536000000000001</v>
      </c>
      <c r="I112" s="223">
        <v>25</v>
      </c>
      <c r="J112" s="223">
        <v>1</v>
      </c>
      <c r="K112" s="406">
        <v>618.43292672817665</v>
      </c>
      <c r="L112" s="224" t="s">
        <v>382</v>
      </c>
      <c r="M112" s="28"/>
      <c r="N112" s="224" t="s">
        <v>382</v>
      </c>
      <c r="O112" s="406">
        <v>42.024259663865543</v>
      </c>
      <c r="P112" s="28"/>
      <c r="Q112" s="28"/>
      <c r="R112" s="28"/>
      <c r="S112" s="402">
        <v>0.99754201680672283</v>
      </c>
      <c r="T112" s="225">
        <v>0.82</v>
      </c>
      <c r="U112" s="225">
        <v>0.85771392570795113</v>
      </c>
      <c r="V112" s="225" t="s">
        <v>382</v>
      </c>
      <c r="W112" s="225">
        <v>0.89716241262603014</v>
      </c>
      <c r="X112" s="399"/>
      <c r="Y112" s="78"/>
    </row>
    <row r="113" spans="1:25" s="6" customFormat="1" x14ac:dyDescent="0.2">
      <c r="A113" s="7"/>
      <c r="B113" s="222" t="s">
        <v>708</v>
      </c>
      <c r="C113" s="222" t="s">
        <v>49</v>
      </c>
      <c r="D113" s="28"/>
      <c r="E113" s="28"/>
      <c r="F113" s="222" t="s">
        <v>720</v>
      </c>
      <c r="G113" s="409">
        <v>2011</v>
      </c>
      <c r="H113" s="222">
        <v>31.536000000000001</v>
      </c>
      <c r="I113" s="223">
        <v>25</v>
      </c>
      <c r="J113" s="223">
        <v>1</v>
      </c>
      <c r="K113" s="406">
        <v>1260.8212467281767</v>
      </c>
      <c r="L113" s="224" t="s">
        <v>382</v>
      </c>
      <c r="M113" s="28"/>
      <c r="N113" s="224" t="s">
        <v>382</v>
      </c>
      <c r="O113" s="406">
        <v>42.024259663865543</v>
      </c>
      <c r="P113" s="28"/>
      <c r="Q113" s="28"/>
      <c r="R113" s="28"/>
      <c r="S113" s="402">
        <v>0.99754201680672283</v>
      </c>
      <c r="T113" s="225">
        <v>0.75</v>
      </c>
      <c r="U113" s="225">
        <v>0.78449444424507719</v>
      </c>
      <c r="V113" s="225" t="s">
        <v>382</v>
      </c>
      <c r="W113" s="225">
        <v>0.82057537740185671</v>
      </c>
      <c r="X113" s="399"/>
      <c r="Y113" s="78"/>
    </row>
    <row r="114" spans="1:25" s="6" customFormat="1" x14ac:dyDescent="0.2">
      <c r="A114" s="7"/>
      <c r="B114" s="222" t="s">
        <v>709</v>
      </c>
      <c r="C114" s="222" t="s">
        <v>51</v>
      </c>
      <c r="D114" s="28"/>
      <c r="E114" s="28"/>
      <c r="F114" s="222" t="s">
        <v>720</v>
      </c>
      <c r="G114" s="409">
        <v>2011</v>
      </c>
      <c r="H114" s="222">
        <v>31.536000000000001</v>
      </c>
      <c r="I114" s="223">
        <v>25</v>
      </c>
      <c r="J114" s="223">
        <v>1</v>
      </c>
      <c r="K114" s="406">
        <v>2094.4090160609489</v>
      </c>
      <c r="L114" s="224">
        <v>2002.3172548497864</v>
      </c>
      <c r="M114" s="226">
        <v>1785.2703427757292</v>
      </c>
      <c r="N114" s="224">
        <v>1591.7508522063213</v>
      </c>
      <c r="O114" s="406">
        <v>37.431705441176469</v>
      </c>
      <c r="P114" s="28"/>
      <c r="Q114" s="28"/>
      <c r="R114" s="28"/>
      <c r="S114" s="402" t="s">
        <v>382</v>
      </c>
      <c r="T114" s="225">
        <v>1</v>
      </c>
      <c r="U114" s="225">
        <v>1</v>
      </c>
      <c r="V114" s="225" t="s">
        <v>382</v>
      </c>
      <c r="W114" s="225">
        <v>1</v>
      </c>
      <c r="X114" s="399"/>
      <c r="Y114" s="78"/>
    </row>
    <row r="115" spans="1:25" s="6" customFormat="1" x14ac:dyDescent="0.2">
      <c r="A115" s="7"/>
      <c r="B115" s="222" t="s">
        <v>653</v>
      </c>
      <c r="C115" s="222" t="s">
        <v>1177</v>
      </c>
      <c r="D115" s="28"/>
      <c r="E115" s="28"/>
      <c r="F115" s="222" t="s">
        <v>721</v>
      </c>
      <c r="G115" s="409">
        <v>2011</v>
      </c>
      <c r="H115" s="222">
        <v>31.536000000000001</v>
      </c>
      <c r="I115" s="223">
        <v>20</v>
      </c>
      <c r="J115" s="223">
        <v>1</v>
      </c>
      <c r="K115" s="406">
        <v>115.23829370021802</v>
      </c>
      <c r="L115" s="224" t="s">
        <v>382</v>
      </c>
      <c r="M115" s="28"/>
      <c r="N115" s="224" t="s">
        <v>382</v>
      </c>
      <c r="O115" s="406">
        <v>25.362408403361343</v>
      </c>
      <c r="P115" s="28"/>
      <c r="Q115" s="28"/>
      <c r="R115" s="28"/>
      <c r="S115" s="402" t="s">
        <v>382</v>
      </c>
      <c r="T115" s="225">
        <v>0.94</v>
      </c>
      <c r="U115" s="225">
        <v>0.96130186502817405</v>
      </c>
      <c r="V115" s="225" t="s">
        <v>382</v>
      </c>
      <c r="W115" s="225">
        <v>0.9751405823604421</v>
      </c>
      <c r="X115" s="399"/>
      <c r="Y115" s="78"/>
    </row>
    <row r="116" spans="1:25" s="6" customFormat="1" x14ac:dyDescent="0.2">
      <c r="A116" s="7"/>
      <c r="B116" s="222" t="s">
        <v>654</v>
      </c>
      <c r="C116" s="222" t="s">
        <v>21</v>
      </c>
      <c r="D116" s="28"/>
      <c r="E116" s="28"/>
      <c r="F116" s="222" t="s">
        <v>721</v>
      </c>
      <c r="G116" s="409">
        <v>2011</v>
      </c>
      <c r="H116" s="222">
        <v>31.536000000000001</v>
      </c>
      <c r="I116" s="223">
        <v>20</v>
      </c>
      <c r="J116" s="223">
        <v>1</v>
      </c>
      <c r="K116" s="406">
        <v>533.83759524660877</v>
      </c>
      <c r="L116" s="224" t="s">
        <v>382</v>
      </c>
      <c r="M116" s="28"/>
      <c r="N116" s="224" t="s">
        <v>382</v>
      </c>
      <c r="O116" s="406">
        <v>32.371190546218486</v>
      </c>
      <c r="P116" s="28"/>
      <c r="Q116" s="28"/>
      <c r="R116" s="28"/>
      <c r="S116" s="402" t="s">
        <v>382</v>
      </c>
      <c r="T116" s="225">
        <v>2.6</v>
      </c>
      <c r="U116" s="225">
        <v>3</v>
      </c>
      <c r="V116" s="225" t="s">
        <v>382</v>
      </c>
      <c r="W116" s="225">
        <v>3.1379777769803088</v>
      </c>
      <c r="X116" s="399"/>
      <c r="Y116" s="78"/>
    </row>
    <row r="117" spans="1:25" s="6" customFormat="1" x14ac:dyDescent="0.2">
      <c r="A117" s="7"/>
      <c r="B117" s="222" t="s">
        <v>655</v>
      </c>
      <c r="C117" s="222" t="s">
        <v>22</v>
      </c>
      <c r="D117" s="28"/>
      <c r="E117" s="28"/>
      <c r="F117" s="222" t="s">
        <v>721</v>
      </c>
      <c r="G117" s="409">
        <v>2011</v>
      </c>
      <c r="H117" s="222">
        <v>31.536000000000001</v>
      </c>
      <c r="I117" s="223">
        <v>25</v>
      </c>
      <c r="J117" s="223">
        <v>1</v>
      </c>
      <c r="K117" s="406">
        <v>749.20151606094885</v>
      </c>
      <c r="L117" s="224" t="s">
        <v>382</v>
      </c>
      <c r="M117" s="28"/>
      <c r="N117" s="224" t="s">
        <v>382</v>
      </c>
      <c r="O117" s="406">
        <v>37.431705441176469</v>
      </c>
      <c r="P117" s="28"/>
      <c r="Q117" s="28"/>
      <c r="R117" s="28"/>
      <c r="S117" s="402" t="s">
        <v>382</v>
      </c>
      <c r="T117" s="225">
        <v>0.9</v>
      </c>
      <c r="U117" s="225">
        <v>0.93500492198322738</v>
      </c>
      <c r="V117" s="225" t="s">
        <v>382</v>
      </c>
      <c r="W117" s="225">
        <v>0.95804044434530744</v>
      </c>
      <c r="X117" s="399"/>
      <c r="Y117" s="78"/>
    </row>
    <row r="118" spans="1:25" s="6" customFormat="1" x14ac:dyDescent="0.2">
      <c r="A118" s="7"/>
      <c r="B118" s="222" t="s">
        <v>656</v>
      </c>
      <c r="C118" s="222" t="s">
        <v>24</v>
      </c>
      <c r="D118" s="28"/>
      <c r="E118" s="28"/>
      <c r="F118" s="222" t="s">
        <v>721</v>
      </c>
      <c r="G118" s="409">
        <v>2011</v>
      </c>
      <c r="H118" s="222">
        <v>31.536000000000001</v>
      </c>
      <c r="I118" s="223">
        <v>20</v>
      </c>
      <c r="J118" s="223">
        <v>1</v>
      </c>
      <c r="K118" s="406">
        <v>186.50644448260789</v>
      </c>
      <c r="L118" s="224" t="s">
        <v>382</v>
      </c>
      <c r="M118" s="28"/>
      <c r="N118" s="224" t="s">
        <v>382</v>
      </c>
      <c r="O118" s="406">
        <v>29.252069243697477</v>
      </c>
      <c r="P118" s="28"/>
      <c r="Q118" s="28"/>
      <c r="R118" s="28"/>
      <c r="S118" s="402">
        <v>0.79803361344537826</v>
      </c>
      <c r="T118" s="225">
        <v>0.78</v>
      </c>
      <c r="U118" s="225">
        <v>0.81587422201488036</v>
      </c>
      <c r="V118" s="225" t="s">
        <v>382</v>
      </c>
      <c r="W118" s="225">
        <v>0.85339839249793115</v>
      </c>
      <c r="X118" s="399"/>
      <c r="Y118" s="78"/>
    </row>
    <row r="119" spans="1:25" s="6" customFormat="1" x14ac:dyDescent="0.2">
      <c r="A119" s="7"/>
      <c r="B119" s="222" t="s">
        <v>657</v>
      </c>
      <c r="C119" s="222" t="s">
        <v>48</v>
      </c>
      <c r="D119" s="28"/>
      <c r="E119" s="28"/>
      <c r="F119" s="222" t="s">
        <v>721</v>
      </c>
      <c r="G119" s="409">
        <v>2011</v>
      </c>
      <c r="H119" s="222">
        <v>31.536000000000001</v>
      </c>
      <c r="I119" s="223">
        <v>20</v>
      </c>
      <c r="J119" s="223">
        <v>1</v>
      </c>
      <c r="K119" s="406">
        <v>186.50644448260789</v>
      </c>
      <c r="L119" s="224" t="s">
        <v>382</v>
      </c>
      <c r="M119" s="28"/>
      <c r="N119" s="224" t="s">
        <v>382</v>
      </c>
      <c r="O119" s="406">
        <v>29.252069243697477</v>
      </c>
      <c r="P119" s="28"/>
      <c r="Q119" s="28"/>
      <c r="R119" s="28"/>
      <c r="S119" s="402">
        <v>0.79803361344537826</v>
      </c>
      <c r="T119" s="225">
        <v>0.82</v>
      </c>
      <c r="U119" s="225">
        <v>0.85771392570795113</v>
      </c>
      <c r="V119" s="225" t="s">
        <v>382</v>
      </c>
      <c r="W119" s="225">
        <v>0.89716241262603014</v>
      </c>
      <c r="X119" s="399"/>
      <c r="Y119" s="78"/>
    </row>
    <row r="120" spans="1:25" s="6" customFormat="1" x14ac:dyDescent="0.2">
      <c r="A120" s="7"/>
      <c r="B120" s="28" t="s">
        <v>33</v>
      </c>
      <c r="C120" s="28"/>
      <c r="D120" s="28"/>
      <c r="E120" s="28"/>
      <c r="F120" s="28"/>
      <c r="G120" s="240"/>
      <c r="H120" s="222"/>
      <c r="I120" s="227"/>
      <c r="J120" s="227"/>
      <c r="K120" s="240"/>
      <c r="L120" s="28"/>
      <c r="M120" s="28"/>
      <c r="N120" s="28"/>
      <c r="O120" s="240"/>
      <c r="P120" s="28"/>
      <c r="Q120" s="28"/>
      <c r="R120" s="28"/>
      <c r="S120" s="403"/>
      <c r="T120" s="28"/>
      <c r="U120" s="28"/>
      <c r="V120" s="28"/>
      <c r="W120" s="28"/>
      <c r="X120" s="399"/>
      <c r="Y120" s="78"/>
    </row>
    <row r="121" spans="1:25" s="6" customFormat="1" x14ac:dyDescent="0.2">
      <c r="A121" s="7"/>
      <c r="B121" s="222" t="s">
        <v>590</v>
      </c>
      <c r="C121" s="222" t="s">
        <v>108</v>
      </c>
      <c r="D121" s="28"/>
      <c r="E121" s="28"/>
      <c r="F121" s="222" t="s">
        <v>589</v>
      </c>
      <c r="G121" s="409">
        <v>2010</v>
      </c>
      <c r="H121" s="222">
        <v>31.536000000000001</v>
      </c>
      <c r="I121" s="223">
        <v>20</v>
      </c>
      <c r="J121" s="223">
        <v>1</v>
      </c>
      <c r="K121" s="406">
        <v>115.23829370021802</v>
      </c>
      <c r="L121" s="224" t="s">
        <v>382</v>
      </c>
      <c r="M121" s="28"/>
      <c r="N121" s="224" t="s">
        <v>382</v>
      </c>
      <c r="O121" s="406">
        <v>21.964489978466844</v>
      </c>
      <c r="P121" s="28"/>
      <c r="Q121" s="28"/>
      <c r="R121" s="28"/>
      <c r="S121" s="402" t="s">
        <v>382</v>
      </c>
      <c r="T121" s="225">
        <v>0.9</v>
      </c>
      <c r="U121" s="225">
        <v>0.94139333309409268</v>
      </c>
      <c r="V121" s="225" t="s">
        <v>382</v>
      </c>
      <c r="W121" s="225">
        <v>0.98469045288222812</v>
      </c>
      <c r="X121" s="399"/>
      <c r="Y121" s="78"/>
    </row>
    <row r="122" spans="1:25" s="6" customFormat="1" x14ac:dyDescent="0.2">
      <c r="A122" s="7"/>
      <c r="B122" s="222" t="s">
        <v>109</v>
      </c>
      <c r="C122" s="222" t="s">
        <v>986</v>
      </c>
      <c r="D122" s="28"/>
      <c r="E122" s="28"/>
      <c r="F122" s="222" t="s">
        <v>589</v>
      </c>
      <c r="G122" s="409">
        <v>2011</v>
      </c>
      <c r="H122" s="222">
        <v>31.536000000000001</v>
      </c>
      <c r="I122" s="223">
        <v>20</v>
      </c>
      <c r="J122" s="223">
        <v>1</v>
      </c>
      <c r="K122" s="406">
        <v>117.51479870021801</v>
      </c>
      <c r="L122" s="224" t="s">
        <v>382</v>
      </c>
      <c r="M122" s="28"/>
      <c r="N122" s="224" t="s">
        <v>382</v>
      </c>
      <c r="O122" s="406">
        <v>21.982412807210864</v>
      </c>
      <c r="P122" s="28"/>
      <c r="Q122" s="28"/>
      <c r="R122" s="28"/>
      <c r="S122" s="402" t="s">
        <v>382</v>
      </c>
      <c r="T122" s="225">
        <v>0.94499999999999995</v>
      </c>
      <c r="U122" s="225">
        <v>0.99</v>
      </c>
      <c r="V122" s="225" t="s">
        <v>382</v>
      </c>
      <c r="W122" s="225" t="s">
        <v>382</v>
      </c>
      <c r="X122" s="399"/>
      <c r="Y122" s="78"/>
    </row>
    <row r="123" spans="1:25" s="6" customFormat="1" x14ac:dyDescent="0.2">
      <c r="A123" s="7"/>
      <c r="B123" s="222" t="s">
        <v>110</v>
      </c>
      <c r="C123" s="222" t="s">
        <v>111</v>
      </c>
      <c r="D123" s="28"/>
      <c r="E123" s="28"/>
      <c r="F123" s="222" t="s">
        <v>589</v>
      </c>
      <c r="G123" s="409">
        <v>2011</v>
      </c>
      <c r="H123" s="222">
        <v>31.536000000000001</v>
      </c>
      <c r="I123" s="223">
        <v>20</v>
      </c>
      <c r="J123" s="223">
        <v>1</v>
      </c>
      <c r="K123" s="406">
        <v>480.45383572194788</v>
      </c>
      <c r="L123" s="224" t="s">
        <v>382</v>
      </c>
      <c r="M123" s="28"/>
      <c r="N123" s="224" t="s">
        <v>382</v>
      </c>
      <c r="O123" s="406">
        <v>28.034273363771867</v>
      </c>
      <c r="P123" s="28"/>
      <c r="Q123" s="28"/>
      <c r="R123" s="28"/>
      <c r="S123" s="402" t="s">
        <v>382</v>
      </c>
      <c r="T123" s="225">
        <v>2.6</v>
      </c>
      <c r="U123" s="225">
        <v>3</v>
      </c>
      <c r="V123" s="225" t="s">
        <v>382</v>
      </c>
      <c r="W123" s="225">
        <v>3.1379777769803088</v>
      </c>
      <c r="X123" s="399"/>
      <c r="Y123" s="78"/>
    </row>
    <row r="124" spans="1:25" s="6" customFormat="1" x14ac:dyDescent="0.2">
      <c r="A124" s="7"/>
      <c r="B124" s="222" t="s">
        <v>112</v>
      </c>
      <c r="C124" s="222" t="s">
        <v>113</v>
      </c>
      <c r="D124" s="28"/>
      <c r="E124" s="28"/>
      <c r="F124" s="222" t="s">
        <v>589</v>
      </c>
      <c r="G124" s="409">
        <v>2011</v>
      </c>
      <c r="H124" s="222">
        <v>31.536000000000001</v>
      </c>
      <c r="I124" s="223">
        <v>20</v>
      </c>
      <c r="J124" s="223">
        <v>1</v>
      </c>
      <c r="K124" s="406">
        <v>186.50644448260789</v>
      </c>
      <c r="L124" s="224" t="s">
        <v>382</v>
      </c>
      <c r="M124" s="28"/>
      <c r="N124" s="224" t="s">
        <v>382</v>
      </c>
      <c r="O124" s="406">
        <v>25.333035078303464</v>
      </c>
      <c r="P124" s="28"/>
      <c r="Q124" s="28"/>
      <c r="R124" s="28"/>
      <c r="S124" s="402">
        <v>0.79803361344537826</v>
      </c>
      <c r="T124" s="225">
        <v>0.65</v>
      </c>
      <c r="U124" s="225">
        <v>0.67989518501240032</v>
      </c>
      <c r="V124" s="225" t="s">
        <v>382</v>
      </c>
      <c r="W124" s="225">
        <v>0.71116532708160929</v>
      </c>
      <c r="X124" s="399"/>
      <c r="Y124" s="78"/>
    </row>
    <row r="125" spans="1:25" s="6" customFormat="1" x14ac:dyDescent="0.2">
      <c r="A125" s="7"/>
      <c r="B125" s="222" t="s">
        <v>114</v>
      </c>
      <c r="C125" s="222" t="s">
        <v>115</v>
      </c>
      <c r="D125" s="28"/>
      <c r="E125" s="28"/>
      <c r="F125" s="222" t="s">
        <v>589</v>
      </c>
      <c r="G125" s="409">
        <v>2011</v>
      </c>
      <c r="H125" s="222">
        <v>31.536000000000001</v>
      </c>
      <c r="I125" s="223">
        <v>20</v>
      </c>
      <c r="J125" s="223">
        <v>1</v>
      </c>
      <c r="K125" s="406">
        <v>227.89744448260791</v>
      </c>
      <c r="L125" s="224" t="s">
        <v>382</v>
      </c>
      <c r="M125" s="28"/>
      <c r="N125" s="224" t="s">
        <v>382</v>
      </c>
      <c r="O125" s="406">
        <v>25.333035078303464</v>
      </c>
      <c r="P125" s="28"/>
      <c r="Q125" s="28"/>
      <c r="R125" s="28"/>
      <c r="S125" s="402">
        <v>0.79803361344537826</v>
      </c>
      <c r="T125" s="225">
        <v>0.68</v>
      </c>
      <c r="U125" s="225">
        <v>0.71127496278220348</v>
      </c>
      <c r="V125" s="225" t="s">
        <v>382</v>
      </c>
      <c r="W125" s="225">
        <v>0.74398834217768361</v>
      </c>
      <c r="X125" s="399"/>
      <c r="Y125" s="78"/>
    </row>
    <row r="126" spans="1:25" s="6" customFormat="1" x14ac:dyDescent="0.2">
      <c r="A126" s="7"/>
      <c r="B126" s="222" t="s">
        <v>597</v>
      </c>
      <c r="C126" s="222" t="s">
        <v>116</v>
      </c>
      <c r="D126" s="28"/>
      <c r="E126" s="28"/>
      <c r="F126" s="222" t="s">
        <v>589</v>
      </c>
      <c r="G126" s="409">
        <v>2011</v>
      </c>
      <c r="H126" s="222">
        <v>31.536000000000001</v>
      </c>
      <c r="I126" s="223">
        <v>20</v>
      </c>
      <c r="J126" s="223">
        <v>1</v>
      </c>
      <c r="K126" s="406">
        <v>186.50644448260789</v>
      </c>
      <c r="L126" s="224" t="s">
        <v>382</v>
      </c>
      <c r="M126" s="28"/>
      <c r="N126" s="224" t="s">
        <v>382</v>
      </c>
      <c r="O126" s="406">
        <v>25.333035078303464</v>
      </c>
      <c r="P126" s="28"/>
      <c r="Q126" s="28"/>
      <c r="R126" s="28"/>
      <c r="S126" s="402">
        <v>0.79803361344537826</v>
      </c>
      <c r="T126" s="225">
        <v>0.65</v>
      </c>
      <c r="U126" s="225">
        <v>0.67989518501240032</v>
      </c>
      <c r="V126" s="225" t="s">
        <v>382</v>
      </c>
      <c r="W126" s="225">
        <v>0.71116532708160929</v>
      </c>
      <c r="X126" s="399"/>
      <c r="Y126" s="78"/>
    </row>
    <row r="127" spans="1:25" s="6" customFormat="1" x14ac:dyDescent="0.2">
      <c r="A127" s="7"/>
      <c r="B127" s="222" t="s">
        <v>117</v>
      </c>
      <c r="C127" s="222" t="s">
        <v>118</v>
      </c>
      <c r="D127" s="28"/>
      <c r="E127" s="28"/>
      <c r="F127" s="222" t="s">
        <v>589</v>
      </c>
      <c r="G127" s="409">
        <v>2011</v>
      </c>
      <c r="H127" s="222">
        <v>31.536000000000001</v>
      </c>
      <c r="I127" s="223">
        <v>20</v>
      </c>
      <c r="J127" s="223">
        <v>1</v>
      </c>
      <c r="K127" s="406">
        <v>238.86605948260791</v>
      </c>
      <c r="L127" s="224" t="s">
        <v>382</v>
      </c>
      <c r="M127" s="28"/>
      <c r="N127" s="224" t="s">
        <v>382</v>
      </c>
      <c r="O127" s="406">
        <v>25.333035078303464</v>
      </c>
      <c r="P127" s="28"/>
      <c r="Q127" s="28"/>
      <c r="R127" s="28"/>
      <c r="S127" s="402">
        <v>0.79803361344537826</v>
      </c>
      <c r="T127" s="225">
        <v>0.68</v>
      </c>
      <c r="U127" s="225">
        <v>0.71127496278220348</v>
      </c>
      <c r="V127" s="225" t="s">
        <v>382</v>
      </c>
      <c r="W127" s="225">
        <v>0.74398834217768361</v>
      </c>
      <c r="X127" s="399"/>
      <c r="Y127" s="78"/>
    </row>
    <row r="128" spans="1:25" s="6" customFormat="1" x14ac:dyDescent="0.2">
      <c r="A128" s="7"/>
      <c r="B128" s="222" t="s">
        <v>598</v>
      </c>
      <c r="C128" s="222" t="s">
        <v>119</v>
      </c>
      <c r="D128" s="28"/>
      <c r="E128" s="28"/>
      <c r="F128" s="222" t="s">
        <v>589</v>
      </c>
      <c r="G128" s="410">
        <v>2011</v>
      </c>
      <c r="H128" s="222">
        <v>31.536000000000001</v>
      </c>
      <c r="I128" s="223">
        <v>20</v>
      </c>
      <c r="J128" s="223">
        <v>1</v>
      </c>
      <c r="K128" s="407">
        <v>788.51237112923877</v>
      </c>
      <c r="L128" s="224">
        <v>709.66113401631492</v>
      </c>
      <c r="M128" s="226">
        <v>660.65856167580682</v>
      </c>
      <c r="N128" s="224">
        <v>615.03964948080625</v>
      </c>
      <c r="O128" s="407">
        <v>29.874010973477244</v>
      </c>
      <c r="P128" s="28"/>
      <c r="Q128" s="28"/>
      <c r="R128" s="28"/>
      <c r="S128" s="404" t="s">
        <v>382</v>
      </c>
      <c r="T128" s="225">
        <v>0.9</v>
      </c>
      <c r="U128" s="225">
        <v>0.94139333309409268</v>
      </c>
      <c r="V128" s="225" t="s">
        <v>382</v>
      </c>
      <c r="W128" s="225">
        <v>0.98469045288222812</v>
      </c>
      <c r="X128" s="400"/>
      <c r="Y128" s="78"/>
    </row>
    <row r="129" spans="1:37" s="6" customFormat="1" x14ac:dyDescent="0.2">
      <c r="A129" s="7"/>
      <c r="B129" s="161" t="s">
        <v>33</v>
      </c>
      <c r="C129" s="228" t="s">
        <v>1209</v>
      </c>
      <c r="D129" s="161"/>
      <c r="E129" s="161"/>
      <c r="F129" s="161"/>
      <c r="G129" s="161"/>
      <c r="H129" s="161"/>
      <c r="I129" s="161"/>
      <c r="J129" s="161"/>
      <c r="K129" s="229"/>
      <c r="L129" s="229"/>
      <c r="M129" s="161"/>
      <c r="N129" s="68"/>
      <c r="O129" s="229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</row>
    <row r="130" spans="1:37" s="6" customFormat="1" x14ac:dyDescent="0.2">
      <c r="A130" s="7"/>
      <c r="B130" s="96" t="s">
        <v>1210</v>
      </c>
      <c r="C130" s="96" t="s">
        <v>1221</v>
      </c>
      <c r="D130" s="96"/>
      <c r="E130" s="96" t="s">
        <v>1207</v>
      </c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8">
        <v>0.3</v>
      </c>
      <c r="Y130" s="108"/>
    </row>
    <row r="131" spans="1:37" s="6" customFormat="1" x14ac:dyDescent="0.2">
      <c r="A131" s="7"/>
      <c r="B131" s="96"/>
      <c r="C131" s="96"/>
      <c r="D131" s="96"/>
      <c r="E131" s="96" t="s">
        <v>342</v>
      </c>
      <c r="F131" s="96"/>
      <c r="G131" s="96"/>
      <c r="H131" s="96"/>
      <c r="I131" s="96"/>
      <c r="J131" s="96"/>
      <c r="K131" s="97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8"/>
      <c r="Y131" s="108">
        <v>1</v>
      </c>
    </row>
    <row r="132" spans="1:37" s="6" customFormat="1" x14ac:dyDescent="0.2">
      <c r="A132" s="7"/>
      <c r="B132" s="96"/>
      <c r="C132" s="96"/>
      <c r="D132" s="96"/>
      <c r="E132" s="96" t="s">
        <v>720</v>
      </c>
      <c r="F132" s="96" t="s">
        <v>324</v>
      </c>
      <c r="G132" s="96"/>
      <c r="H132" s="96"/>
      <c r="I132" s="96"/>
      <c r="J132" s="96"/>
      <c r="K132" s="97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8"/>
      <c r="Y132" s="108"/>
    </row>
    <row r="133" spans="1:37" s="6" customFormat="1" x14ac:dyDescent="0.2">
      <c r="A133" s="7"/>
      <c r="B133" s="96" t="s">
        <v>1222</v>
      </c>
      <c r="C133" s="96" t="s">
        <v>1223</v>
      </c>
      <c r="D133" s="96"/>
      <c r="E133" s="96" t="s">
        <v>1208</v>
      </c>
      <c r="F133" s="96"/>
      <c r="G133" s="96"/>
      <c r="H133" s="96"/>
      <c r="I133" s="96"/>
      <c r="J133" s="96"/>
      <c r="K133" s="97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8">
        <v>0.3</v>
      </c>
      <c r="Y133" s="108"/>
    </row>
    <row r="134" spans="1:37" s="6" customFormat="1" x14ac:dyDescent="0.2">
      <c r="A134" s="7"/>
      <c r="B134" s="96"/>
      <c r="C134" s="96"/>
      <c r="D134" s="96"/>
      <c r="E134" s="96" t="s">
        <v>343</v>
      </c>
      <c r="F134" s="96"/>
      <c r="G134" s="96"/>
      <c r="H134" s="96"/>
      <c r="I134" s="96"/>
      <c r="J134" s="96"/>
      <c r="K134" s="97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8"/>
      <c r="Y134" s="108">
        <v>1</v>
      </c>
    </row>
    <row r="135" spans="1:37" s="6" customFormat="1" x14ac:dyDescent="0.2">
      <c r="A135" s="7"/>
      <c r="B135" s="96"/>
      <c r="C135" s="96"/>
      <c r="D135" s="96"/>
      <c r="E135" s="96" t="s">
        <v>721</v>
      </c>
      <c r="F135" s="96" t="s">
        <v>325</v>
      </c>
      <c r="G135" s="96"/>
      <c r="H135" s="96"/>
      <c r="I135" s="96"/>
      <c r="J135" s="96"/>
      <c r="K135" s="97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8"/>
      <c r="Y135" s="108"/>
    </row>
    <row r="136" spans="1:37" s="6" customFormat="1" x14ac:dyDescent="0.2">
      <c r="A136" s="7"/>
      <c r="B136" s="96" t="s">
        <v>1224</v>
      </c>
      <c r="C136" s="96" t="s">
        <v>1225</v>
      </c>
      <c r="D136" s="96"/>
      <c r="E136" s="96" t="s">
        <v>1206</v>
      </c>
      <c r="F136" s="96"/>
      <c r="G136" s="96"/>
      <c r="H136" s="96"/>
      <c r="I136" s="96"/>
      <c r="J136" s="96"/>
      <c r="K136" s="97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8">
        <v>0.3</v>
      </c>
      <c r="Y136" s="108"/>
    </row>
    <row r="137" spans="1:37" s="6" customFormat="1" x14ac:dyDescent="0.2">
      <c r="A137" s="7"/>
      <c r="B137" s="96"/>
      <c r="C137" s="96"/>
      <c r="D137" s="96"/>
      <c r="E137" s="96" t="s">
        <v>600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8"/>
      <c r="Y137" s="108">
        <v>1</v>
      </c>
    </row>
    <row r="138" spans="1:37" s="6" customFormat="1" x14ac:dyDescent="0.2">
      <c r="A138" s="7"/>
      <c r="B138" s="96"/>
      <c r="C138" s="96"/>
      <c r="D138" s="96"/>
      <c r="E138" s="96" t="s">
        <v>589</v>
      </c>
      <c r="F138" s="96" t="s">
        <v>326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8"/>
      <c r="Y138" s="108"/>
    </row>
    <row r="139" spans="1:37" s="6" customFormat="1" x14ac:dyDescent="0.2">
      <c r="A139" s="7"/>
    </row>
    <row r="140" spans="1:37" s="6" customFormat="1" x14ac:dyDescent="0.2">
      <c r="A140" s="7"/>
    </row>
    <row r="141" spans="1:37" s="6" customFormat="1" x14ac:dyDescent="0.2">
      <c r="A141" s="7"/>
    </row>
    <row r="142" spans="1:37" s="6" customFormat="1" x14ac:dyDescent="0.2">
      <c r="A142" s="7"/>
      <c r="B142" s="1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37" s="6" customFormat="1" x14ac:dyDescent="0.2">
      <c r="A143" s="7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37" s="6" customFormat="1" ht="18" x14ac:dyDescent="0.25">
      <c r="A144" s="7"/>
      <c r="B144" s="397" t="s">
        <v>1330</v>
      </c>
      <c r="C144" s="395"/>
      <c r="D144" s="396"/>
      <c r="E144"/>
      <c r="F144" s="23" t="s">
        <v>82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s="6" customFormat="1" ht="24.75" thickBot="1" x14ac:dyDescent="0.25">
      <c r="A145" s="7"/>
      <c r="B145" s="20" t="s">
        <v>1126</v>
      </c>
      <c r="C145" s="20" t="s">
        <v>1127</v>
      </c>
      <c r="D145" s="20" t="s">
        <v>540</v>
      </c>
      <c r="E145" s="42" t="s">
        <v>1128</v>
      </c>
      <c r="F145" s="42" t="s">
        <v>289</v>
      </c>
      <c r="G145" s="93" t="s">
        <v>318</v>
      </c>
      <c r="H145" s="42" t="s">
        <v>317</v>
      </c>
      <c r="I145" s="42" t="s">
        <v>541</v>
      </c>
      <c r="J145" s="86" t="s">
        <v>322</v>
      </c>
      <c r="K145" s="85" t="s">
        <v>319</v>
      </c>
      <c r="L145" s="42" t="s">
        <v>1010</v>
      </c>
      <c r="M145" s="86" t="s">
        <v>1011</v>
      </c>
      <c r="N145" s="42" t="s">
        <v>320</v>
      </c>
      <c r="O145" s="42" t="s">
        <v>1012</v>
      </c>
      <c r="P145" s="86" t="s">
        <v>1013</v>
      </c>
      <c r="Q145" s="85" t="s">
        <v>321</v>
      </c>
      <c r="R145" s="42" t="s">
        <v>1014</v>
      </c>
      <c r="S145" s="86" t="s">
        <v>1015</v>
      </c>
      <c r="T145" s="85" t="s">
        <v>323</v>
      </c>
      <c r="U145" s="42" t="s">
        <v>1016</v>
      </c>
      <c r="V145" s="86" t="s">
        <v>1017</v>
      </c>
      <c r="W145" s="85" t="s">
        <v>736</v>
      </c>
      <c r="X145" s="42" t="str">
        <f>"ACTFLO~"&amp;BaseYear+10</f>
        <v>ACTFLO~2020</v>
      </c>
      <c r="Y145" s="86" t="s">
        <v>1018</v>
      </c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s="6" customFormat="1" x14ac:dyDescent="0.2">
      <c r="A146" s="7"/>
      <c r="B146" s="177" t="s">
        <v>330</v>
      </c>
      <c r="C146" s="178" t="s">
        <v>54</v>
      </c>
      <c r="D146" s="177"/>
      <c r="E146" s="177"/>
      <c r="F146" s="177"/>
      <c r="G146" s="179"/>
      <c r="H146" s="180"/>
      <c r="I146" s="180"/>
      <c r="J146" s="181"/>
      <c r="K146" s="179" t="s">
        <v>1019</v>
      </c>
      <c r="L146" s="180"/>
      <c r="M146" s="181"/>
      <c r="N146" s="180"/>
      <c r="O146" s="180"/>
      <c r="P146" s="181"/>
      <c r="Q146" s="179"/>
      <c r="R146" s="180"/>
      <c r="S146" s="181"/>
      <c r="T146" s="179"/>
      <c r="U146" s="180"/>
      <c r="V146" s="181"/>
      <c r="W146" s="179"/>
      <c r="X146" s="180"/>
      <c r="Y146" s="181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s="6" customFormat="1" x14ac:dyDescent="0.2">
      <c r="A147" s="7"/>
      <c r="B147" s="177" t="s">
        <v>55</v>
      </c>
      <c r="C147" s="177" t="s">
        <v>56</v>
      </c>
      <c r="D147" s="177" t="s">
        <v>57</v>
      </c>
      <c r="E147" s="177" t="s">
        <v>374</v>
      </c>
      <c r="F147" s="177" t="s">
        <v>286</v>
      </c>
      <c r="G147" s="179">
        <f>BaseYear</f>
        <v>2010</v>
      </c>
      <c r="H147" s="180">
        <f t="shared" ref="H147:H152" si="49">8.76*3.6</f>
        <v>31.536000000000001</v>
      </c>
      <c r="I147" s="180">
        <v>10</v>
      </c>
      <c r="J147" s="181">
        <v>0.11</v>
      </c>
      <c r="K147" s="179">
        <v>9.1</v>
      </c>
      <c r="L147" s="180"/>
      <c r="M147" s="181"/>
      <c r="N147" s="180">
        <v>7.44</v>
      </c>
      <c r="O147" s="180"/>
      <c r="P147" s="181"/>
      <c r="Q147" s="179"/>
      <c r="R147" s="180"/>
      <c r="S147" s="181"/>
      <c r="T147" s="179"/>
      <c r="U147" s="180"/>
      <c r="V147" s="181"/>
      <c r="W147" s="179">
        <v>1</v>
      </c>
      <c r="X147" s="182">
        <v>1.05</v>
      </c>
      <c r="Y147" s="183">
        <f t="shared" ref="Y147:Y152" si="50">X147*1.2</f>
        <v>1.26</v>
      </c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s="6" customFormat="1" x14ac:dyDescent="0.2">
      <c r="A148" s="7"/>
      <c r="B148" s="177" t="s">
        <v>58</v>
      </c>
      <c r="C148" s="177" t="s">
        <v>59</v>
      </c>
      <c r="D148" s="177" t="s">
        <v>57</v>
      </c>
      <c r="E148" s="177" t="s">
        <v>374</v>
      </c>
      <c r="F148" s="177" t="s">
        <v>286</v>
      </c>
      <c r="G148" s="179">
        <f>BaseYear+1</f>
        <v>2011</v>
      </c>
      <c r="H148" s="180">
        <f t="shared" si="49"/>
        <v>31.536000000000001</v>
      </c>
      <c r="I148" s="180">
        <v>10</v>
      </c>
      <c r="J148" s="181">
        <v>0.11</v>
      </c>
      <c r="K148" s="179">
        <v>52</v>
      </c>
      <c r="L148" s="180"/>
      <c r="M148" s="181"/>
      <c r="N148" s="180">
        <v>19.84</v>
      </c>
      <c r="O148" s="180"/>
      <c r="P148" s="181"/>
      <c r="Q148" s="179"/>
      <c r="R148" s="180"/>
      <c r="S148" s="181"/>
      <c r="T148" s="179"/>
      <c r="U148" s="180"/>
      <c r="V148" s="181"/>
      <c r="W148" s="179">
        <v>1</v>
      </c>
      <c r="X148" s="182">
        <v>1.46</v>
      </c>
      <c r="Y148" s="183">
        <f t="shared" si="50"/>
        <v>1.752</v>
      </c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s="6" customFormat="1" x14ac:dyDescent="0.2">
      <c r="A149" s="7"/>
      <c r="B149" s="177" t="s">
        <v>60</v>
      </c>
      <c r="C149" s="177" t="s">
        <v>61</v>
      </c>
      <c r="D149" s="177" t="s">
        <v>57</v>
      </c>
      <c r="E149" s="177" t="s">
        <v>374</v>
      </c>
      <c r="F149" s="177" t="s">
        <v>286</v>
      </c>
      <c r="G149" s="179">
        <f>BaseYear+1</f>
        <v>2011</v>
      </c>
      <c r="H149" s="180">
        <f t="shared" si="49"/>
        <v>31.536000000000001</v>
      </c>
      <c r="I149" s="180">
        <v>10</v>
      </c>
      <c r="J149" s="181">
        <v>0.11</v>
      </c>
      <c r="K149" s="179">
        <v>221</v>
      </c>
      <c r="L149" s="180"/>
      <c r="M149" s="181"/>
      <c r="N149" s="184">
        <v>31.880400000000002</v>
      </c>
      <c r="O149" s="180"/>
      <c r="P149" s="181"/>
      <c r="Q149" s="179"/>
      <c r="R149" s="180"/>
      <c r="S149" s="181"/>
      <c r="T149" s="179"/>
      <c r="U149" s="180"/>
      <c r="V149" s="181"/>
      <c r="W149" s="179">
        <v>1</v>
      </c>
      <c r="X149" s="182">
        <v>2.06</v>
      </c>
      <c r="Y149" s="183">
        <f t="shared" si="50"/>
        <v>2.472</v>
      </c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s="6" customFormat="1" x14ac:dyDescent="0.2">
      <c r="A150" s="7"/>
      <c r="B150" s="177" t="s">
        <v>62</v>
      </c>
      <c r="C150" s="177" t="s">
        <v>63</v>
      </c>
      <c r="D150" s="177" t="s">
        <v>57</v>
      </c>
      <c r="E150" s="177" t="s">
        <v>374</v>
      </c>
      <c r="F150" s="177" t="s">
        <v>286</v>
      </c>
      <c r="G150" s="179">
        <f>BaseYear+1</f>
        <v>2011</v>
      </c>
      <c r="H150" s="180">
        <f t="shared" si="49"/>
        <v>31.536000000000001</v>
      </c>
      <c r="I150" s="180">
        <v>10</v>
      </c>
      <c r="J150" s="181">
        <v>0.11</v>
      </c>
      <c r="K150" s="185">
        <v>669.11</v>
      </c>
      <c r="L150" s="180"/>
      <c r="M150" s="181"/>
      <c r="N150" s="180"/>
      <c r="O150" s="180"/>
      <c r="P150" s="181"/>
      <c r="Q150" s="179"/>
      <c r="R150" s="180"/>
      <c r="S150" s="181"/>
      <c r="T150" s="179"/>
      <c r="U150" s="180"/>
      <c r="V150" s="181"/>
      <c r="W150" s="179">
        <v>1</v>
      </c>
      <c r="X150" s="182">
        <v>4.5</v>
      </c>
      <c r="Y150" s="181">
        <f t="shared" si="50"/>
        <v>5.3999999999999995</v>
      </c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s="6" customFormat="1" x14ac:dyDescent="0.2">
      <c r="A151" s="7"/>
      <c r="B151" s="177" t="s">
        <v>64</v>
      </c>
      <c r="C151" s="177" t="s">
        <v>65</v>
      </c>
      <c r="D151" s="177" t="s">
        <v>57</v>
      </c>
      <c r="E151" s="177" t="s">
        <v>374</v>
      </c>
      <c r="F151" s="177" t="s">
        <v>286</v>
      </c>
      <c r="G151" s="179">
        <f>BaseYear+1</f>
        <v>2011</v>
      </c>
      <c r="H151" s="180">
        <f t="shared" si="49"/>
        <v>31.536000000000001</v>
      </c>
      <c r="I151" s="180">
        <v>10</v>
      </c>
      <c r="J151" s="181">
        <v>0.11</v>
      </c>
      <c r="K151" s="179">
        <v>1040</v>
      </c>
      <c r="L151" s="180"/>
      <c r="M151" s="181"/>
      <c r="N151" s="180"/>
      <c r="O151" s="180"/>
      <c r="P151" s="181"/>
      <c r="Q151" s="179"/>
      <c r="R151" s="180"/>
      <c r="S151" s="181"/>
      <c r="T151" s="179"/>
      <c r="U151" s="180"/>
      <c r="V151" s="181"/>
      <c r="W151" s="179">
        <v>1</v>
      </c>
      <c r="X151" s="182">
        <v>4.8</v>
      </c>
      <c r="Y151" s="183">
        <f t="shared" si="50"/>
        <v>5.76</v>
      </c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s="6" customFormat="1" x14ac:dyDescent="0.2">
      <c r="A152" s="7"/>
      <c r="B152" s="177" t="s">
        <v>1231</v>
      </c>
      <c r="C152" s="177" t="s">
        <v>1232</v>
      </c>
      <c r="D152" s="177" t="s">
        <v>1408</v>
      </c>
      <c r="E152" s="177" t="s">
        <v>374</v>
      </c>
      <c r="F152" s="177" t="s">
        <v>286</v>
      </c>
      <c r="G152" s="179">
        <f>BaseYear+1</f>
        <v>2011</v>
      </c>
      <c r="H152" s="180">
        <f t="shared" si="49"/>
        <v>31.536000000000001</v>
      </c>
      <c r="I152" s="180">
        <v>10</v>
      </c>
      <c r="J152" s="181">
        <v>0.11</v>
      </c>
      <c r="K152" s="179">
        <v>2500</v>
      </c>
      <c r="L152" s="180">
        <v>1300</v>
      </c>
      <c r="M152" s="181">
        <v>1100</v>
      </c>
      <c r="N152" s="180"/>
      <c r="O152" s="180"/>
      <c r="P152" s="181"/>
      <c r="Q152" s="179"/>
      <c r="R152" s="180"/>
      <c r="S152" s="181"/>
      <c r="T152" s="179"/>
      <c r="U152" s="180"/>
      <c r="V152" s="181"/>
      <c r="W152" s="179">
        <v>1</v>
      </c>
      <c r="X152" s="182">
        <v>12</v>
      </c>
      <c r="Y152" s="183">
        <f t="shared" si="50"/>
        <v>14.399999999999999</v>
      </c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s="6" customFormat="1" x14ac:dyDescent="0.2">
      <c r="A153" s="7"/>
      <c r="B153" s="177" t="s">
        <v>330</v>
      </c>
      <c r="C153" s="178" t="s">
        <v>603</v>
      </c>
      <c r="D153" s="177"/>
      <c r="E153" s="177"/>
      <c r="F153" s="177"/>
      <c r="G153" s="179"/>
      <c r="H153" s="180"/>
      <c r="I153" s="180"/>
      <c r="J153" s="181"/>
      <c r="K153" s="179"/>
      <c r="L153" s="180"/>
      <c r="M153" s="181"/>
      <c r="N153" s="180"/>
      <c r="O153" s="180"/>
      <c r="P153" s="181"/>
      <c r="Q153" s="179"/>
      <c r="R153" s="180"/>
      <c r="S153" s="181"/>
      <c r="T153" s="179"/>
      <c r="U153" s="180"/>
      <c r="V153" s="181"/>
      <c r="W153" s="179"/>
      <c r="X153" s="182"/>
      <c r="Y153" s="181"/>
      <c r="Z153"/>
      <c r="AB153" s="75" t="s">
        <v>1020</v>
      </c>
      <c r="AC153" s="75" t="s">
        <v>1020</v>
      </c>
      <c r="AD153" s="75" t="s">
        <v>1020</v>
      </c>
      <c r="AE153"/>
      <c r="AF153"/>
      <c r="AG153"/>
      <c r="AH153"/>
      <c r="AI153"/>
      <c r="AJ153"/>
      <c r="AK153"/>
    </row>
    <row r="154" spans="1:37" s="6" customFormat="1" x14ac:dyDescent="0.2">
      <c r="A154" s="7"/>
      <c r="B154" s="177" t="s">
        <v>542</v>
      </c>
      <c r="C154" s="177" t="s">
        <v>1168</v>
      </c>
      <c r="D154" s="177" t="s">
        <v>1169</v>
      </c>
      <c r="E154" s="177" t="s">
        <v>375</v>
      </c>
      <c r="F154" s="177" t="s">
        <v>1171</v>
      </c>
      <c r="G154" s="179">
        <f>BaseYear</f>
        <v>2010</v>
      </c>
      <c r="H154" s="180">
        <v>1</v>
      </c>
      <c r="I154" s="180">
        <v>15</v>
      </c>
      <c r="J154" s="181">
        <v>1</v>
      </c>
      <c r="K154" s="186">
        <v>487.04255671468786</v>
      </c>
      <c r="L154" s="182">
        <v>389.63404537175029</v>
      </c>
      <c r="M154" s="181"/>
      <c r="N154" s="187">
        <v>4.6425965927196815</v>
      </c>
      <c r="O154" s="182">
        <v>3.7140772741757448</v>
      </c>
      <c r="P154" s="181"/>
      <c r="Q154" s="179"/>
      <c r="R154" s="187"/>
      <c r="S154" s="188"/>
      <c r="T154" s="189">
        <v>1.1000000000000001</v>
      </c>
      <c r="U154" s="190">
        <f>AD154</f>
        <v>1.3636363636363635</v>
      </c>
      <c r="V154" s="191">
        <f>U154*(U154/T154)^0.35</f>
        <v>1.4701296442639427</v>
      </c>
      <c r="W154" s="179"/>
      <c r="X154" s="182"/>
      <c r="Y154" s="181"/>
      <c r="Z154"/>
      <c r="AB154" s="58">
        <v>374.64812054975988</v>
      </c>
      <c r="AC154" s="13">
        <v>3.7440295102578074</v>
      </c>
      <c r="AD154" s="5">
        <v>1.3636363636363635</v>
      </c>
      <c r="AE154"/>
      <c r="AF154"/>
      <c r="AG154"/>
      <c r="AH154"/>
      <c r="AI154"/>
      <c r="AJ154"/>
      <c r="AK154"/>
    </row>
    <row r="155" spans="1:37" s="6" customFormat="1" x14ac:dyDescent="0.2">
      <c r="A155" s="7"/>
      <c r="B155" s="177" t="s">
        <v>1172</v>
      </c>
      <c r="C155" s="177" t="s">
        <v>1173</v>
      </c>
      <c r="D155" s="177" t="s">
        <v>1169</v>
      </c>
      <c r="E155" s="177" t="s">
        <v>375</v>
      </c>
      <c r="F155" s="177" t="s">
        <v>1171</v>
      </c>
      <c r="G155" s="180">
        <f>BaseYear+1</f>
        <v>2011</v>
      </c>
      <c r="H155" s="180">
        <v>1</v>
      </c>
      <c r="I155" s="180">
        <v>15</v>
      </c>
      <c r="J155" s="181">
        <v>1</v>
      </c>
      <c r="K155" s="186">
        <v>529.01970524921342</v>
      </c>
      <c r="L155" s="182">
        <v>423.21576419937082</v>
      </c>
      <c r="M155" s="183"/>
      <c r="N155" s="187">
        <v>5.0480905597505545</v>
      </c>
      <c r="O155" s="187">
        <v>4.0384724478004443</v>
      </c>
      <c r="P155" s="188"/>
      <c r="Q155" s="192"/>
      <c r="R155" s="187"/>
      <c r="S155" s="188"/>
      <c r="T155" s="193">
        <f>AD155-0.1</f>
        <v>1.4</v>
      </c>
      <c r="U155" s="190">
        <f>T155*1.125</f>
        <v>1.575</v>
      </c>
      <c r="V155" s="191">
        <f>U155*(U155/T155)^0.4</f>
        <v>1.6509790680978558</v>
      </c>
      <c r="W155" s="179"/>
      <c r="X155" s="182"/>
      <c r="Y155" s="181"/>
      <c r="Z155"/>
      <c r="AB155" s="58">
        <v>325.55058784566984</v>
      </c>
      <c r="AC155" s="13">
        <v>3.2568326191939065</v>
      </c>
      <c r="AD155" s="5">
        <v>1.5</v>
      </c>
      <c r="AE155"/>
      <c r="AF155"/>
      <c r="AG155"/>
      <c r="AH155"/>
      <c r="AI155"/>
      <c r="AJ155"/>
      <c r="AK155"/>
    </row>
    <row r="156" spans="1:37" s="6" customFormat="1" x14ac:dyDescent="0.2">
      <c r="A156" s="7"/>
      <c r="B156" s="177" t="s">
        <v>1174</v>
      </c>
      <c r="C156" s="177" t="s">
        <v>1175</v>
      </c>
      <c r="D156" s="177" t="s">
        <v>1176</v>
      </c>
      <c r="E156" s="177" t="s">
        <v>375</v>
      </c>
      <c r="F156" s="177" t="s">
        <v>1171</v>
      </c>
      <c r="G156" s="180">
        <f>BaseYear+1</f>
        <v>2011</v>
      </c>
      <c r="H156" s="180">
        <v>1</v>
      </c>
      <c r="I156" s="180">
        <v>15</v>
      </c>
      <c r="J156" s="181">
        <v>1</v>
      </c>
      <c r="K156" s="186">
        <v>807.25285643318432</v>
      </c>
      <c r="L156" s="182">
        <v>645.80228514654743</v>
      </c>
      <c r="M156" s="183"/>
      <c r="N156" s="194">
        <v>7.6950817407246719</v>
      </c>
      <c r="O156" s="187">
        <v>6.1560653925797366</v>
      </c>
      <c r="P156" s="194"/>
      <c r="Q156" s="192"/>
      <c r="R156" s="187"/>
      <c r="S156" s="188"/>
      <c r="T156" s="193">
        <f>AD156-0.07</f>
        <v>1.6027272727272726</v>
      </c>
      <c r="U156" s="190">
        <f>T156*1.125</f>
        <v>1.8030681818181815</v>
      </c>
      <c r="V156" s="191">
        <f>U156*(U156/T156)^0.5</f>
        <v>1.9124426074580023</v>
      </c>
      <c r="W156" s="179"/>
      <c r="X156" s="182"/>
      <c r="Y156" s="181"/>
      <c r="Z156"/>
      <c r="AB156" s="58">
        <v>496.77098857426728</v>
      </c>
      <c r="AC156" s="13">
        <v>4.9645688649836588</v>
      </c>
      <c r="AD156" s="5">
        <v>1.6727272727272726</v>
      </c>
      <c r="AE156"/>
      <c r="AF156"/>
      <c r="AG156"/>
      <c r="AH156"/>
      <c r="AI156"/>
      <c r="AJ156"/>
      <c r="AK156"/>
    </row>
    <row r="157" spans="1:37" s="6" customFormat="1" x14ac:dyDescent="0.2">
      <c r="A157" s="7"/>
      <c r="B157" s="177" t="s">
        <v>330</v>
      </c>
      <c r="C157" s="178" t="s">
        <v>346</v>
      </c>
      <c r="D157" s="177"/>
      <c r="E157" s="177"/>
      <c r="F157" s="177"/>
      <c r="G157" s="179"/>
      <c r="H157" s="180"/>
      <c r="I157" s="180"/>
      <c r="J157" s="181"/>
      <c r="K157" s="179"/>
      <c r="L157" s="180"/>
      <c r="M157" s="181"/>
      <c r="N157" s="180"/>
      <c r="O157" s="180"/>
      <c r="P157" s="181"/>
      <c r="Q157" s="179"/>
      <c r="R157" s="180"/>
      <c r="S157" s="181"/>
      <c r="T157" s="189"/>
      <c r="U157" s="195"/>
      <c r="V157" s="196"/>
      <c r="W157" s="179"/>
      <c r="X157" s="180"/>
      <c r="Y157" s="181"/>
      <c r="Z157"/>
      <c r="AA157"/>
      <c r="AB157"/>
      <c r="AC157"/>
      <c r="AD157"/>
      <c r="AE157" s="54"/>
      <c r="AF157" s="54"/>
      <c r="AG157" s="54"/>
      <c r="AH157"/>
      <c r="AI157"/>
      <c r="AJ157"/>
      <c r="AK157"/>
    </row>
    <row r="158" spans="1:37" s="6" customFormat="1" x14ac:dyDescent="0.2">
      <c r="A158" s="7"/>
      <c r="B158" s="177" t="s">
        <v>1023</v>
      </c>
      <c r="C158" s="134" t="s">
        <v>1024</v>
      </c>
      <c r="D158" s="177"/>
      <c r="E158" s="180" t="s">
        <v>1155</v>
      </c>
      <c r="F158" s="181" t="s">
        <v>7</v>
      </c>
      <c r="G158" s="179">
        <f>BaseYear</f>
        <v>2010</v>
      </c>
      <c r="H158" s="180">
        <v>1</v>
      </c>
      <c r="I158" s="180">
        <v>15</v>
      </c>
      <c r="J158" s="181">
        <v>1</v>
      </c>
      <c r="K158" s="197">
        <v>260</v>
      </c>
      <c r="L158" s="180"/>
      <c r="M158" s="181"/>
      <c r="N158" s="180"/>
      <c r="O158" s="180"/>
      <c r="P158" s="181"/>
      <c r="Q158" s="180"/>
      <c r="R158" s="180"/>
      <c r="S158" s="181"/>
      <c r="T158" s="195">
        <v>1.1000000000000001</v>
      </c>
      <c r="U158" s="198">
        <f>SQRT(V158*T158)</f>
        <v>1.3674794331177345</v>
      </c>
      <c r="V158" s="196">
        <v>1.7</v>
      </c>
      <c r="W158" s="179"/>
      <c r="X158" s="180"/>
      <c r="Y158" s="181"/>
      <c r="Z158"/>
      <c r="AA158"/>
      <c r="AB158"/>
      <c r="AC158"/>
      <c r="AD158"/>
      <c r="AE158" s="53"/>
      <c r="AF158" s="33"/>
      <c r="AG158" s="33"/>
      <c r="AH158"/>
      <c r="AI158"/>
      <c r="AJ158"/>
      <c r="AK158"/>
    </row>
    <row r="159" spans="1:37" s="6" customFormat="1" x14ac:dyDescent="0.2">
      <c r="A159" s="7"/>
      <c r="B159" s="177" t="s">
        <v>250</v>
      </c>
      <c r="C159" s="134" t="s">
        <v>251</v>
      </c>
      <c r="D159" s="180" t="s">
        <v>1169</v>
      </c>
      <c r="E159" s="180" t="s">
        <v>1155</v>
      </c>
      <c r="F159" s="181" t="s">
        <v>7</v>
      </c>
      <c r="G159" s="180">
        <f>BaseYear+1</f>
        <v>2011</v>
      </c>
      <c r="H159" s="180">
        <v>1</v>
      </c>
      <c r="I159" s="180">
        <v>15</v>
      </c>
      <c r="J159" s="181">
        <v>1</v>
      </c>
      <c r="K159" s="197">
        <v>260</v>
      </c>
      <c r="L159" s="180"/>
      <c r="M159" s="181"/>
      <c r="N159" s="199"/>
      <c r="O159" s="180"/>
      <c r="P159" s="181"/>
      <c r="Q159" s="200">
        <v>7.882558922558923</v>
      </c>
      <c r="R159" s="201">
        <v>8.4497492480306615</v>
      </c>
      <c r="S159" s="202">
        <v>8.288278867102397</v>
      </c>
      <c r="T159" s="203">
        <v>1.5</v>
      </c>
      <c r="U159" s="198">
        <f>SQRT(V159*T159)</f>
        <v>2.1213203435596424</v>
      </c>
      <c r="V159" s="204">
        <f t="array" ref="V159:V160">AC159:AC160</f>
        <v>3</v>
      </c>
      <c r="W159" s="179"/>
      <c r="X159" s="180"/>
      <c r="Y159" s="181"/>
      <c r="Z159"/>
      <c r="AA159"/>
      <c r="AB159"/>
      <c r="AC159">
        <v>3</v>
      </c>
      <c r="AD159"/>
      <c r="AE159" s="53"/>
      <c r="AF159" s="33"/>
      <c r="AG159" s="33"/>
      <c r="AH159"/>
      <c r="AI159"/>
      <c r="AJ159"/>
      <c r="AK159"/>
    </row>
    <row r="160" spans="1:37" s="6" customFormat="1" x14ac:dyDescent="0.2">
      <c r="A160" s="7"/>
      <c r="B160" s="177" t="s">
        <v>252</v>
      </c>
      <c r="C160" s="134" t="s">
        <v>253</v>
      </c>
      <c r="D160" s="180" t="s">
        <v>1176</v>
      </c>
      <c r="E160" s="180" t="s">
        <v>1155</v>
      </c>
      <c r="F160" s="181" t="s">
        <v>7</v>
      </c>
      <c r="G160" s="180">
        <f>BaseYear+1</f>
        <v>2011</v>
      </c>
      <c r="H160" s="180">
        <v>1</v>
      </c>
      <c r="I160" s="180">
        <v>15</v>
      </c>
      <c r="J160" s="181">
        <v>1</v>
      </c>
      <c r="K160" s="197">
        <v>260</v>
      </c>
      <c r="L160" s="180"/>
      <c r="M160" s="181"/>
      <c r="N160" s="199"/>
      <c r="O160" s="180"/>
      <c r="P160" s="181"/>
      <c r="Q160" s="200">
        <v>21.603555555555552</v>
      </c>
      <c r="R160" s="201">
        <v>17.612650647275885</v>
      </c>
      <c r="S160" s="202">
        <v>14.353202614379084</v>
      </c>
      <c r="T160" s="203">
        <v>2.5</v>
      </c>
      <c r="U160" s="198">
        <f>SQRT(V160*T160)</f>
        <v>3.1622776601683795</v>
      </c>
      <c r="V160" s="204">
        <v>4</v>
      </c>
      <c r="W160" s="179"/>
      <c r="X160" s="180"/>
      <c r="Y160" s="181"/>
      <c r="Z160"/>
      <c r="AA160"/>
      <c r="AB160"/>
      <c r="AC160">
        <v>4</v>
      </c>
      <c r="AD160"/>
      <c r="AE160" s="53"/>
      <c r="AF160" s="33"/>
      <c r="AG160" s="33"/>
      <c r="AH160"/>
      <c r="AI160"/>
      <c r="AJ160"/>
      <c r="AK160"/>
    </row>
    <row r="161" spans="1:38" s="6" customFormat="1" x14ac:dyDescent="0.2">
      <c r="A161" s="7"/>
      <c r="B161" s="177" t="s">
        <v>330</v>
      </c>
      <c r="C161" s="178" t="s">
        <v>347</v>
      </c>
      <c r="D161" s="180"/>
      <c r="E161" s="180"/>
      <c r="F161" s="181"/>
      <c r="G161" s="179"/>
      <c r="H161" s="180"/>
      <c r="I161" s="180"/>
      <c r="J161" s="181"/>
      <c r="K161" s="205"/>
      <c r="L161" s="180"/>
      <c r="M161" s="181"/>
      <c r="N161" s="205"/>
      <c r="O161" s="180"/>
      <c r="P161" s="181"/>
      <c r="Q161" s="205"/>
      <c r="R161" s="180"/>
      <c r="S161" s="181"/>
      <c r="T161" s="206"/>
      <c r="U161" s="195"/>
      <c r="V161" s="196"/>
      <c r="W161" s="179"/>
      <c r="X161" s="180"/>
      <c r="Y161" s="181"/>
      <c r="Z161"/>
      <c r="AA161"/>
      <c r="AB161"/>
      <c r="AC161"/>
      <c r="AD161"/>
      <c r="AE161" s="53"/>
      <c r="AF161" s="33"/>
      <c r="AG161"/>
      <c r="AH161"/>
      <c r="AI161"/>
      <c r="AJ161"/>
      <c r="AK161"/>
    </row>
    <row r="162" spans="1:38" s="6" customFormat="1" x14ac:dyDescent="0.2">
      <c r="A162" s="7"/>
      <c r="B162" s="177" t="s">
        <v>8</v>
      </c>
      <c r="C162" s="134" t="s">
        <v>9</v>
      </c>
      <c r="D162" s="180" t="s">
        <v>1169</v>
      </c>
      <c r="E162" s="180" t="s">
        <v>1155</v>
      </c>
      <c r="F162" s="181" t="s">
        <v>10</v>
      </c>
      <c r="G162" s="179">
        <f>BaseYear</f>
        <v>2010</v>
      </c>
      <c r="H162" s="180">
        <v>1</v>
      </c>
      <c r="I162" s="180">
        <v>15</v>
      </c>
      <c r="J162" s="181">
        <v>1</v>
      </c>
      <c r="K162" s="199">
        <v>201.57325467059979</v>
      </c>
      <c r="L162" s="180"/>
      <c r="M162" s="181"/>
      <c r="N162" s="199">
        <v>5.1271966316214099</v>
      </c>
      <c r="O162" s="180"/>
      <c r="P162" s="181"/>
      <c r="Q162" s="199"/>
      <c r="R162" s="180"/>
      <c r="S162" s="181"/>
      <c r="T162" s="207">
        <v>1</v>
      </c>
      <c r="U162" s="207">
        <v>1</v>
      </c>
      <c r="V162" s="191">
        <f>U162*(U162/T162)^0.35</f>
        <v>1</v>
      </c>
      <c r="W162" s="179"/>
      <c r="X162" s="180"/>
      <c r="Y162" s="181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8" s="6" customFormat="1" x14ac:dyDescent="0.2">
      <c r="A163" s="7"/>
      <c r="B163" s="177" t="s">
        <v>52</v>
      </c>
      <c r="C163" s="134" t="s">
        <v>285</v>
      </c>
      <c r="D163" s="180" t="s">
        <v>1169</v>
      </c>
      <c r="E163" s="180" t="s">
        <v>1155</v>
      </c>
      <c r="F163" s="181" t="s">
        <v>10</v>
      </c>
      <c r="G163" s="180">
        <f>BaseYear+1</f>
        <v>2011</v>
      </c>
      <c r="H163" s="180">
        <v>1</v>
      </c>
      <c r="I163" s="180">
        <v>15</v>
      </c>
      <c r="J163" s="181">
        <v>1</v>
      </c>
      <c r="K163" s="199">
        <v>296.21435594886924</v>
      </c>
      <c r="L163" s="180"/>
      <c r="M163" s="181"/>
      <c r="N163" s="199">
        <v>5.3817699835398951</v>
      </c>
      <c r="O163" s="180"/>
      <c r="P163" s="181"/>
      <c r="Q163" s="199"/>
      <c r="R163" s="180"/>
      <c r="S163" s="181"/>
      <c r="T163" s="207">
        <f>1.1</f>
        <v>1.1000000000000001</v>
      </c>
      <c r="U163" s="207">
        <f>AC163</f>
        <v>1.25</v>
      </c>
      <c r="V163" s="191">
        <f>U163*(U163/T163)^0.35</f>
        <v>1.3071971061487688</v>
      </c>
      <c r="W163" s="179"/>
      <c r="X163" s="180"/>
      <c r="Y163" s="181"/>
      <c r="Z163"/>
      <c r="AA163"/>
      <c r="AB163"/>
      <c r="AC163">
        <v>1.25</v>
      </c>
      <c r="AD163"/>
      <c r="AE163"/>
      <c r="AF163"/>
      <c r="AG163"/>
      <c r="AH163"/>
      <c r="AI163"/>
      <c r="AJ163"/>
      <c r="AK163"/>
    </row>
    <row r="164" spans="1:38" s="6" customFormat="1" x14ac:dyDescent="0.2">
      <c r="A164" s="7"/>
      <c r="B164" s="177" t="s">
        <v>330</v>
      </c>
      <c r="C164" s="178" t="s">
        <v>348</v>
      </c>
      <c r="D164" s="180"/>
      <c r="E164" s="180"/>
      <c r="F164" s="181"/>
      <c r="G164" s="179"/>
      <c r="H164" s="180"/>
      <c r="I164" s="180"/>
      <c r="J164" s="181"/>
      <c r="K164" s="205"/>
      <c r="L164" s="180"/>
      <c r="M164" s="181"/>
      <c r="N164" s="205"/>
      <c r="O164" s="180"/>
      <c r="P164" s="181"/>
      <c r="Q164" s="205"/>
      <c r="R164" s="180"/>
      <c r="S164" s="181"/>
      <c r="T164" s="206"/>
      <c r="U164" s="206"/>
      <c r="V164" s="196"/>
      <c r="W164" s="179"/>
      <c r="X164" s="180"/>
      <c r="Y164" s="181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8" s="6" customFormat="1" x14ac:dyDescent="0.2">
      <c r="A165" s="7"/>
      <c r="B165" s="177" t="s">
        <v>12</v>
      </c>
      <c r="C165" s="134" t="s">
        <v>13</v>
      </c>
      <c r="D165" s="180" t="s">
        <v>1176</v>
      </c>
      <c r="E165" s="180" t="s">
        <v>1155</v>
      </c>
      <c r="F165" s="181" t="s">
        <v>11</v>
      </c>
      <c r="G165" s="179">
        <f>BaseYear</f>
        <v>2010</v>
      </c>
      <c r="H165" s="180">
        <v>1</v>
      </c>
      <c r="I165" s="180">
        <v>10</v>
      </c>
      <c r="J165" s="181">
        <v>1</v>
      </c>
      <c r="K165" s="199">
        <v>225.89565791646029</v>
      </c>
      <c r="L165" s="180"/>
      <c r="M165" s="181"/>
      <c r="N165" s="199">
        <v>9.7940774760982787</v>
      </c>
      <c r="O165" s="180"/>
      <c r="P165" s="181"/>
      <c r="Q165" s="199"/>
      <c r="R165" s="180"/>
      <c r="S165" s="181"/>
      <c r="T165" s="207">
        <v>1</v>
      </c>
      <c r="U165" s="207">
        <f t="array" ref="U165:U167">AC165:AC167</f>
        <v>1</v>
      </c>
      <c r="V165" s="191">
        <f>U165*(U165/T165)^0.35</f>
        <v>1</v>
      </c>
      <c r="W165" s="179"/>
      <c r="X165" s="180"/>
      <c r="Y165" s="181"/>
      <c r="Z165"/>
      <c r="AA165"/>
      <c r="AB165"/>
      <c r="AC165" s="53">
        <v>1</v>
      </c>
      <c r="AD165"/>
      <c r="AE165"/>
      <c r="AF165"/>
      <c r="AG165"/>
      <c r="AH165"/>
      <c r="AI165"/>
      <c r="AJ165"/>
      <c r="AK165"/>
    </row>
    <row r="166" spans="1:38" s="6" customFormat="1" x14ac:dyDescent="0.2">
      <c r="A166" s="7"/>
      <c r="B166" s="177" t="s">
        <v>594</v>
      </c>
      <c r="C166" s="134" t="s">
        <v>595</v>
      </c>
      <c r="D166" s="180" t="s">
        <v>1176</v>
      </c>
      <c r="E166" s="180" t="s">
        <v>1155</v>
      </c>
      <c r="F166" s="181" t="s">
        <v>11</v>
      </c>
      <c r="G166" s="180">
        <f>BaseYear+1</f>
        <v>2011</v>
      </c>
      <c r="H166" s="180">
        <v>1</v>
      </c>
      <c r="I166" s="180">
        <v>10</v>
      </c>
      <c r="J166" s="181">
        <v>1</v>
      </c>
      <c r="K166" s="199">
        <v>335.35578669308234</v>
      </c>
      <c r="L166" s="180"/>
      <c r="M166" s="181"/>
      <c r="N166" s="199">
        <v>7.2699506206192677</v>
      </c>
      <c r="O166" s="180"/>
      <c r="P166" s="181"/>
      <c r="Q166" s="199"/>
      <c r="R166" s="180"/>
      <c r="S166" s="181"/>
      <c r="T166" s="207">
        <v>1.1000000000000001</v>
      </c>
      <c r="U166" s="207">
        <v>1.3</v>
      </c>
      <c r="V166" s="191">
        <f>U166*(U166/T166)^0.35</f>
        <v>1.3782756572059724</v>
      </c>
      <c r="W166" s="179"/>
      <c r="X166" s="180"/>
      <c r="Y166" s="181"/>
      <c r="Z166"/>
      <c r="AA166"/>
      <c r="AB166"/>
      <c r="AC166" s="53">
        <v>1.3</v>
      </c>
      <c r="AD166"/>
      <c r="AE166"/>
      <c r="AF166"/>
      <c r="AG166"/>
      <c r="AH166"/>
      <c r="AI166"/>
      <c r="AJ166"/>
      <c r="AK166"/>
    </row>
    <row r="167" spans="1:38" s="6" customFormat="1" x14ac:dyDescent="0.2">
      <c r="A167" s="7"/>
      <c r="B167" s="177" t="s">
        <v>596</v>
      </c>
      <c r="C167" s="134" t="s">
        <v>570</v>
      </c>
      <c r="D167" s="180" t="s">
        <v>1176</v>
      </c>
      <c r="E167" s="180" t="s">
        <v>1155</v>
      </c>
      <c r="F167" s="181" t="s">
        <v>11</v>
      </c>
      <c r="G167" s="180">
        <f>BaseYear+1</f>
        <v>2011</v>
      </c>
      <c r="H167" s="180">
        <v>1</v>
      </c>
      <c r="I167" s="180">
        <v>10</v>
      </c>
      <c r="J167" s="181">
        <v>1</v>
      </c>
      <c r="K167" s="199">
        <v>470.83952451708768</v>
      </c>
      <c r="L167" s="180"/>
      <c r="M167" s="181"/>
      <c r="N167" s="199">
        <v>3.9257733351344046</v>
      </c>
      <c r="O167" s="180"/>
      <c r="P167" s="181"/>
      <c r="Q167" s="199"/>
      <c r="R167" s="180"/>
      <c r="S167" s="181"/>
      <c r="T167" s="207">
        <v>1.5</v>
      </c>
      <c r="U167" s="207">
        <v>2</v>
      </c>
      <c r="V167" s="191">
        <f>U167*(U167/T167)^0.35</f>
        <v>2.211864678974012</v>
      </c>
      <c r="W167" s="179"/>
      <c r="X167" s="180"/>
      <c r="Y167" s="181"/>
      <c r="Z167"/>
      <c r="AA167"/>
      <c r="AB167"/>
      <c r="AC167" s="53">
        <v>2</v>
      </c>
      <c r="AD167"/>
      <c r="AE167"/>
      <c r="AF167"/>
      <c r="AG167"/>
      <c r="AH167"/>
      <c r="AI167"/>
      <c r="AJ167"/>
      <c r="AK167"/>
    </row>
    <row r="168" spans="1:38" s="6" customFormat="1" x14ac:dyDescent="0.2">
      <c r="A168" s="7"/>
      <c r="B168" s="177" t="s">
        <v>330</v>
      </c>
      <c r="C168" s="178" t="s">
        <v>53</v>
      </c>
      <c r="D168" s="180"/>
      <c r="E168" s="180"/>
      <c r="F168" s="181"/>
      <c r="G168" s="179"/>
      <c r="H168" s="180"/>
      <c r="I168" s="180"/>
      <c r="J168" s="181"/>
      <c r="K168" s="179"/>
      <c r="L168" s="180"/>
      <c r="M168" s="181"/>
      <c r="N168" s="179"/>
      <c r="O168" s="180"/>
      <c r="P168" s="181"/>
      <c r="Q168" s="179"/>
      <c r="R168" s="180"/>
      <c r="S168" s="181"/>
      <c r="T168" s="206"/>
      <c r="U168" s="206"/>
      <c r="V168" s="196"/>
      <c r="W168" s="179"/>
      <c r="X168" s="180"/>
      <c r="Y168" s="181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8" s="6" customFormat="1" x14ac:dyDescent="0.2">
      <c r="A169" s="7"/>
      <c r="B169" s="177" t="s">
        <v>571</v>
      </c>
      <c r="C169" s="134" t="s">
        <v>572</v>
      </c>
      <c r="D169" s="180" t="s">
        <v>1178</v>
      </c>
      <c r="E169" s="180" t="s">
        <v>5</v>
      </c>
      <c r="F169" s="181" t="s">
        <v>573</v>
      </c>
      <c r="G169" s="179">
        <f>BaseYear+1</f>
        <v>2011</v>
      </c>
      <c r="H169" s="180">
        <v>1</v>
      </c>
      <c r="I169" s="208">
        <v>17</v>
      </c>
      <c r="J169" s="181">
        <v>1</v>
      </c>
      <c r="K169" s="199">
        <v>160.23956058500434</v>
      </c>
      <c r="L169" s="180"/>
      <c r="M169" s="181"/>
      <c r="N169" s="199">
        <v>4.5339884852094556</v>
      </c>
      <c r="O169" s="180"/>
      <c r="P169" s="181"/>
      <c r="Q169" s="199"/>
      <c r="R169" s="180"/>
      <c r="S169" s="181"/>
      <c r="T169" s="207">
        <v>1</v>
      </c>
      <c r="U169" s="207">
        <v>1</v>
      </c>
      <c r="V169" s="191"/>
      <c r="W169" s="179"/>
      <c r="X169" s="180"/>
      <c r="Y169" s="181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8" s="6" customFormat="1" x14ac:dyDescent="0.2">
      <c r="A170" s="7"/>
      <c r="B170" s="177" t="s">
        <v>1234</v>
      </c>
      <c r="C170" s="134" t="s">
        <v>1235</v>
      </c>
      <c r="D170" s="180" t="s">
        <v>1178</v>
      </c>
      <c r="E170" s="180" t="s">
        <v>4</v>
      </c>
      <c r="F170" s="181" t="s">
        <v>573</v>
      </c>
      <c r="G170" s="179">
        <f>BaseYear+1</f>
        <v>2011</v>
      </c>
      <c r="H170" s="180">
        <v>1</v>
      </c>
      <c r="I170" s="208">
        <v>17</v>
      </c>
      <c r="J170" s="181">
        <v>1</v>
      </c>
      <c r="K170" s="199">
        <v>199.70154192310241</v>
      </c>
      <c r="L170" s="180"/>
      <c r="M170" s="181"/>
      <c r="N170" s="199">
        <v>3.7783237376745462</v>
      </c>
      <c r="O170" s="180"/>
      <c r="P170" s="181"/>
      <c r="Q170" s="199"/>
      <c r="R170" s="180"/>
      <c r="S170" s="181"/>
      <c r="T170" s="207">
        <v>1</v>
      </c>
      <c r="U170" s="207">
        <v>1</v>
      </c>
      <c r="V170" s="191"/>
      <c r="W170" s="179"/>
      <c r="X170" s="180"/>
      <c r="Y170" s="181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8" s="6" customFormat="1" x14ac:dyDescent="0.2">
      <c r="A171" s="7"/>
      <c r="B171" s="177" t="s">
        <v>1236</v>
      </c>
      <c r="C171" s="134" t="s">
        <v>1237</v>
      </c>
      <c r="D171" s="180" t="s">
        <v>1178</v>
      </c>
      <c r="E171" s="180" t="s">
        <v>1155</v>
      </c>
      <c r="F171" s="181" t="s">
        <v>573</v>
      </c>
      <c r="G171" s="179">
        <f>BaseYear</f>
        <v>2010</v>
      </c>
      <c r="H171" s="180">
        <v>1</v>
      </c>
      <c r="I171" s="208">
        <v>17</v>
      </c>
      <c r="J171" s="181">
        <v>1</v>
      </c>
      <c r="K171" s="199">
        <v>239.16352326120048</v>
      </c>
      <c r="L171" s="180"/>
      <c r="M171" s="181"/>
      <c r="N171" s="199">
        <v>3.0226589901396372</v>
      </c>
      <c r="O171" s="180"/>
      <c r="P171" s="181"/>
      <c r="Q171" s="199"/>
      <c r="R171" s="180"/>
      <c r="S171" s="181"/>
      <c r="T171" s="207">
        <v>1</v>
      </c>
      <c r="U171" s="207">
        <v>1</v>
      </c>
      <c r="V171" s="191"/>
      <c r="W171" s="179"/>
      <c r="X171" s="180"/>
      <c r="Y171" s="18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8" s="6" customFormat="1" x14ac:dyDescent="0.2">
      <c r="A172" s="7"/>
      <c r="B172" s="177" t="s">
        <v>0</v>
      </c>
      <c r="C172" s="134" t="s">
        <v>582</v>
      </c>
      <c r="D172" s="180" t="s">
        <v>1233</v>
      </c>
      <c r="E172" s="180" t="s">
        <v>6</v>
      </c>
      <c r="F172" s="181" t="s">
        <v>573</v>
      </c>
      <c r="G172" s="179">
        <f>BaseYear+1</f>
        <v>2011</v>
      </c>
      <c r="H172" s="180">
        <v>1</v>
      </c>
      <c r="I172" s="208">
        <v>17</v>
      </c>
      <c r="J172" s="181">
        <v>1</v>
      </c>
      <c r="K172" s="199">
        <v>86.030044338561325</v>
      </c>
      <c r="L172" s="180"/>
      <c r="M172" s="181"/>
      <c r="N172" s="199">
        <v>9.2544570180663062</v>
      </c>
      <c r="O172" s="180"/>
      <c r="P172" s="181"/>
      <c r="Q172" s="199"/>
      <c r="R172" s="180"/>
      <c r="S172" s="181"/>
      <c r="T172" s="207">
        <v>0.7</v>
      </c>
      <c r="U172" s="207">
        <v>0.7</v>
      </c>
      <c r="V172" s="191"/>
      <c r="W172" s="179"/>
      <c r="X172" s="180"/>
      <c r="Y172" s="181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8" s="6" customFormat="1" x14ac:dyDescent="0.2">
      <c r="A173" s="7"/>
      <c r="B173" s="177" t="s">
        <v>583</v>
      </c>
      <c r="C173" s="134" t="s">
        <v>584</v>
      </c>
      <c r="D173" s="180" t="s">
        <v>585</v>
      </c>
      <c r="E173" s="180" t="s">
        <v>1122</v>
      </c>
      <c r="F173" s="181" t="s">
        <v>573</v>
      </c>
      <c r="G173" s="179">
        <f>BaseYear+1</f>
        <v>2011</v>
      </c>
      <c r="H173" s="180">
        <v>1</v>
      </c>
      <c r="I173" s="208">
        <v>17</v>
      </c>
      <c r="J173" s="181">
        <v>1</v>
      </c>
      <c r="K173" s="199">
        <v>213.35450995963208</v>
      </c>
      <c r="L173" s="180"/>
      <c r="M173" s="181"/>
      <c r="N173" s="199">
        <v>6.491789645512096</v>
      </c>
      <c r="O173" s="180"/>
      <c r="P173" s="181"/>
      <c r="Q173" s="199"/>
      <c r="R173" s="180"/>
      <c r="S173" s="181"/>
      <c r="T173" s="207">
        <v>1</v>
      </c>
      <c r="U173" s="207">
        <v>1</v>
      </c>
      <c r="V173" s="191"/>
      <c r="W173" s="179"/>
      <c r="X173" s="180"/>
      <c r="Y173" s="181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s="6" customFormat="1" x14ac:dyDescent="0.2">
      <c r="A174" s="7"/>
      <c r="B174" s="177" t="s">
        <v>330</v>
      </c>
      <c r="C174" s="178" t="s">
        <v>98</v>
      </c>
      <c r="D174" s="180"/>
      <c r="E174" s="180"/>
      <c r="F174" s="181"/>
      <c r="G174" s="179"/>
      <c r="H174" s="180"/>
      <c r="I174" s="180"/>
      <c r="J174" s="181"/>
      <c r="K174" s="179"/>
      <c r="L174" s="180"/>
      <c r="M174" s="181"/>
      <c r="N174" s="179"/>
      <c r="O174" s="180"/>
      <c r="P174" s="181"/>
      <c r="Q174" s="179"/>
      <c r="R174" s="180"/>
      <c r="S174" s="181"/>
      <c r="T174" s="189"/>
      <c r="U174" s="195"/>
      <c r="V174" s="196"/>
      <c r="W174" s="179"/>
      <c r="X174" s="180"/>
      <c r="Y174" s="181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s="6" customFormat="1" x14ac:dyDescent="0.2">
      <c r="A175" s="7"/>
      <c r="B175" s="177" t="s">
        <v>604</v>
      </c>
      <c r="C175" s="134" t="s">
        <v>605</v>
      </c>
      <c r="D175" s="180" t="s">
        <v>1176</v>
      </c>
      <c r="E175" s="180" t="s">
        <v>5</v>
      </c>
      <c r="F175" s="181" t="s">
        <v>538</v>
      </c>
      <c r="G175" s="179">
        <f t="shared" ref="G175:G182" si="51">BaseYear+1</f>
        <v>2011</v>
      </c>
      <c r="H175" s="180">
        <v>1</v>
      </c>
      <c r="I175" s="180">
        <v>15</v>
      </c>
      <c r="J175" s="181">
        <v>1</v>
      </c>
      <c r="K175" s="199">
        <v>40.392741735023598</v>
      </c>
      <c r="L175" s="180"/>
      <c r="M175" s="181"/>
      <c r="N175" s="199">
        <v>0.77056922694506569</v>
      </c>
      <c r="O175" s="187">
        <v>0.77056922694506569</v>
      </c>
      <c r="P175" s="188">
        <v>0.77056922694506569</v>
      </c>
      <c r="Q175" s="199"/>
      <c r="R175" s="180"/>
      <c r="S175" s="181"/>
      <c r="T175" s="207">
        <v>1.05</v>
      </c>
      <c r="U175" s="190">
        <f t="shared" ref="U175:U182" si="52">SQRT(V175*T175)</f>
        <v>1.1012492905786593</v>
      </c>
      <c r="V175" s="191">
        <f>T175*1.1</f>
        <v>1.1550000000000002</v>
      </c>
      <c r="W175" s="179"/>
      <c r="X175" s="180"/>
      <c r="Y175" s="181"/>
      <c r="Z175"/>
      <c r="AA175" s="5"/>
      <c r="AB175" s="5"/>
      <c r="AC175"/>
      <c r="AD175"/>
      <c r="AE175"/>
      <c r="AF175"/>
      <c r="AG175"/>
      <c r="AH175"/>
      <c r="AI175"/>
      <c r="AJ175"/>
      <c r="AK175"/>
      <c r="AL175"/>
    </row>
    <row r="176" spans="1:38" s="6" customFormat="1" x14ac:dyDescent="0.2">
      <c r="A176" s="7"/>
      <c r="B176" s="177" t="s">
        <v>608</v>
      </c>
      <c r="C176" s="134" t="s">
        <v>609</v>
      </c>
      <c r="D176" s="180" t="s">
        <v>1176</v>
      </c>
      <c r="E176" s="180" t="s">
        <v>5</v>
      </c>
      <c r="F176" s="181" t="s">
        <v>538</v>
      </c>
      <c r="G176" s="179">
        <f t="shared" si="51"/>
        <v>2011</v>
      </c>
      <c r="H176" s="180">
        <v>1</v>
      </c>
      <c r="I176" s="180">
        <v>15</v>
      </c>
      <c r="J176" s="181">
        <v>1</v>
      </c>
      <c r="K176" s="199">
        <v>54.530201342281877</v>
      </c>
      <c r="L176" s="180"/>
      <c r="M176" s="181"/>
      <c r="N176" s="199">
        <v>1.2388709670774263</v>
      </c>
      <c r="O176" s="187">
        <v>1.2388709670774263</v>
      </c>
      <c r="P176" s="188">
        <v>1.2388709670774263</v>
      </c>
      <c r="Q176" s="199"/>
      <c r="R176" s="180"/>
      <c r="S176" s="181"/>
      <c r="T176" s="207">
        <v>4.41</v>
      </c>
      <c r="U176" s="190">
        <f t="shared" si="52"/>
        <v>4.6252470204303684</v>
      </c>
      <c r="V176" s="191">
        <f>T176*1.1</f>
        <v>4.8510000000000009</v>
      </c>
      <c r="W176" s="179"/>
      <c r="X176" s="180"/>
      <c r="Y176" s="181"/>
      <c r="Z176"/>
      <c r="AA176" s="5"/>
      <c r="AB176" s="5"/>
      <c r="AC176"/>
      <c r="AD176"/>
      <c r="AE176"/>
      <c r="AF176"/>
      <c r="AG176"/>
      <c r="AH176"/>
      <c r="AI176"/>
      <c r="AJ176"/>
      <c r="AK176"/>
      <c r="AL176"/>
    </row>
    <row r="177" spans="1:38" s="6" customFormat="1" x14ac:dyDescent="0.2">
      <c r="A177" s="7"/>
      <c r="B177" s="177" t="s">
        <v>1161</v>
      </c>
      <c r="C177" s="134" t="s">
        <v>1162</v>
      </c>
      <c r="D177" s="180" t="s">
        <v>1178</v>
      </c>
      <c r="E177" s="180" t="s">
        <v>504</v>
      </c>
      <c r="F177" s="181" t="s">
        <v>538</v>
      </c>
      <c r="G177" s="179">
        <f>BaseYear</f>
        <v>2010</v>
      </c>
      <c r="H177" s="180">
        <v>1</v>
      </c>
      <c r="I177" s="180">
        <v>15</v>
      </c>
      <c r="J177" s="181">
        <v>1</v>
      </c>
      <c r="K177" s="199">
        <v>41.010750683569476</v>
      </c>
      <c r="L177" s="180"/>
      <c r="M177" s="181"/>
      <c r="N177" s="199">
        <v>0</v>
      </c>
      <c r="O177" s="180"/>
      <c r="P177" s="181"/>
      <c r="Q177" s="200"/>
      <c r="R177" s="201"/>
      <c r="S177" s="202"/>
      <c r="T177" s="207">
        <v>2.75</v>
      </c>
      <c r="U177" s="190">
        <f t="shared" si="52"/>
        <v>3.1952112606211189</v>
      </c>
      <c r="V177" s="191">
        <f>T177*1.35</f>
        <v>3.7125000000000004</v>
      </c>
      <c r="W177" s="179"/>
      <c r="X177" s="180"/>
      <c r="Y177" s="181"/>
      <c r="Z177"/>
      <c r="AA177" s="5"/>
      <c r="AB177" s="5"/>
      <c r="AC177"/>
      <c r="AD177"/>
      <c r="AE177"/>
      <c r="AF177"/>
      <c r="AG177"/>
      <c r="AH177"/>
      <c r="AI177"/>
      <c r="AJ177"/>
      <c r="AK177"/>
      <c r="AL177"/>
    </row>
    <row r="178" spans="1:38" s="6" customFormat="1" x14ac:dyDescent="0.2">
      <c r="A178" s="7"/>
      <c r="B178" s="177" t="s">
        <v>1131</v>
      </c>
      <c r="C178" s="134" t="s">
        <v>1132</v>
      </c>
      <c r="D178" s="180" t="s">
        <v>1176</v>
      </c>
      <c r="E178" s="180" t="s">
        <v>504</v>
      </c>
      <c r="F178" s="181" t="s">
        <v>538</v>
      </c>
      <c r="G178" s="179">
        <f t="shared" si="51"/>
        <v>2011</v>
      </c>
      <c r="H178" s="180">
        <v>1</v>
      </c>
      <c r="I178" s="180">
        <v>15</v>
      </c>
      <c r="J178" s="181">
        <v>1</v>
      </c>
      <c r="K178" s="199">
        <v>41.010750683569476</v>
      </c>
      <c r="L178" s="180"/>
      <c r="M178" s="181"/>
      <c r="N178" s="199">
        <v>0</v>
      </c>
      <c r="O178" s="180"/>
      <c r="P178" s="181"/>
      <c r="Q178" s="200">
        <v>3.2671132376395544</v>
      </c>
      <c r="R178" s="201">
        <v>2.3651541759484784</v>
      </c>
      <c r="S178" s="202">
        <v>1.6277945143442212</v>
      </c>
      <c r="T178" s="207">
        <v>3.8</v>
      </c>
      <c r="U178" s="190">
        <f t="shared" si="52"/>
        <v>4.1626914370392623</v>
      </c>
      <c r="V178" s="191">
        <f>T178*1.2</f>
        <v>4.5599999999999996</v>
      </c>
      <c r="W178" s="179"/>
      <c r="X178" s="180"/>
      <c r="Y178" s="181"/>
      <c r="Z178"/>
      <c r="AA178" s="5"/>
      <c r="AB178" s="5"/>
      <c r="AC178"/>
      <c r="AD178"/>
      <c r="AE178"/>
      <c r="AF178"/>
      <c r="AG178"/>
      <c r="AH178"/>
      <c r="AI178"/>
      <c r="AJ178"/>
      <c r="AK178"/>
      <c r="AL178"/>
    </row>
    <row r="179" spans="1:38" s="6" customFormat="1" x14ac:dyDescent="0.2">
      <c r="A179" s="7"/>
      <c r="B179" s="177" t="s">
        <v>1135</v>
      </c>
      <c r="C179" s="134" t="s">
        <v>1136</v>
      </c>
      <c r="D179" s="180" t="s">
        <v>1176</v>
      </c>
      <c r="E179" s="180" t="s">
        <v>504</v>
      </c>
      <c r="F179" s="181" t="s">
        <v>538</v>
      </c>
      <c r="G179" s="179">
        <f t="shared" si="51"/>
        <v>2011</v>
      </c>
      <c r="H179" s="180">
        <v>1</v>
      </c>
      <c r="I179" s="180">
        <v>15</v>
      </c>
      <c r="J179" s="181">
        <v>1</v>
      </c>
      <c r="K179" s="199">
        <v>41.010750683569476</v>
      </c>
      <c r="L179" s="180"/>
      <c r="M179" s="181"/>
      <c r="N179" s="199">
        <v>0</v>
      </c>
      <c r="O179" s="180"/>
      <c r="P179" s="181"/>
      <c r="Q179" s="200">
        <v>4.8508472192926941</v>
      </c>
      <c r="R179" s="201">
        <v>3.7285052288211493</v>
      </c>
      <c r="S179" s="202">
        <v>2.8014448862605597</v>
      </c>
      <c r="T179" s="207">
        <v>4.3099999999999996</v>
      </c>
      <c r="U179" s="190">
        <f t="shared" si="52"/>
        <v>4.7213684456945311</v>
      </c>
      <c r="V179" s="191">
        <f>T179*1.2</f>
        <v>5.1719999999999997</v>
      </c>
      <c r="W179" s="179"/>
      <c r="X179" s="180"/>
      <c r="Y179" s="181"/>
      <c r="Z179"/>
      <c r="AA179" s="5"/>
      <c r="AB179" s="5"/>
      <c r="AC179"/>
      <c r="AD179"/>
      <c r="AE179"/>
      <c r="AF179"/>
      <c r="AG179"/>
      <c r="AH179"/>
      <c r="AI179"/>
      <c r="AJ179"/>
      <c r="AK179"/>
      <c r="AL179"/>
    </row>
    <row r="180" spans="1:38" s="6" customFormat="1" x14ac:dyDescent="0.2">
      <c r="A180" s="7"/>
      <c r="B180" s="177" t="s">
        <v>536</v>
      </c>
      <c r="C180" s="134" t="s">
        <v>537</v>
      </c>
      <c r="D180" s="180" t="s">
        <v>1178</v>
      </c>
      <c r="E180" s="180" t="s">
        <v>504</v>
      </c>
      <c r="F180" s="181" t="s">
        <v>538</v>
      </c>
      <c r="G180" s="179">
        <f t="shared" si="51"/>
        <v>2011</v>
      </c>
      <c r="H180" s="180">
        <v>1</v>
      </c>
      <c r="I180" s="180">
        <v>15</v>
      </c>
      <c r="J180" s="181">
        <v>1</v>
      </c>
      <c r="K180" s="199">
        <v>41.010750683569476</v>
      </c>
      <c r="L180" s="180"/>
      <c r="M180" s="181"/>
      <c r="N180" s="199">
        <v>0</v>
      </c>
      <c r="O180" s="180"/>
      <c r="P180" s="181"/>
      <c r="Q180" s="200">
        <v>0.68482780018616318</v>
      </c>
      <c r="R180" s="201">
        <v>0.58940592558685989</v>
      </c>
      <c r="S180" s="202">
        <v>0.50727985198975079</v>
      </c>
      <c r="T180" s="207">
        <v>2.93</v>
      </c>
      <c r="U180" s="190">
        <f t="shared" si="52"/>
        <v>3.4043523613163198</v>
      </c>
      <c r="V180" s="191">
        <f>T180*1.35</f>
        <v>3.9555000000000007</v>
      </c>
      <c r="W180" s="179"/>
      <c r="X180" s="180"/>
      <c r="Y180" s="181"/>
      <c r="Z180"/>
      <c r="AA180" s="5"/>
      <c r="AB180" s="5"/>
      <c r="AC180"/>
      <c r="AD180"/>
      <c r="AE180"/>
      <c r="AF180"/>
      <c r="AG180"/>
      <c r="AH180"/>
      <c r="AI180"/>
      <c r="AJ180"/>
      <c r="AK180"/>
      <c r="AL180"/>
    </row>
    <row r="181" spans="1:38" s="6" customFormat="1" x14ac:dyDescent="0.2">
      <c r="A181" s="7"/>
      <c r="B181" s="177" t="s">
        <v>616</v>
      </c>
      <c r="C181" s="134" t="s">
        <v>1204</v>
      </c>
      <c r="D181" s="180" t="s">
        <v>1169</v>
      </c>
      <c r="E181" s="180" t="s">
        <v>504</v>
      </c>
      <c r="F181" s="181" t="s">
        <v>538</v>
      </c>
      <c r="G181" s="179">
        <f t="shared" si="51"/>
        <v>2011</v>
      </c>
      <c r="H181" s="180">
        <v>1</v>
      </c>
      <c r="I181" s="180">
        <v>15</v>
      </c>
      <c r="J181" s="181">
        <v>1</v>
      </c>
      <c r="K181" s="199">
        <v>41.010750683569476</v>
      </c>
      <c r="L181" s="180"/>
      <c r="M181" s="181"/>
      <c r="N181" s="199">
        <v>0</v>
      </c>
      <c r="O181" s="180"/>
      <c r="P181" s="181"/>
      <c r="Q181" s="200">
        <v>1.1822222222222227</v>
      </c>
      <c r="R181" s="201">
        <v>0.70386274796095361</v>
      </c>
      <c r="S181" s="202">
        <v>0.32526748971193425</v>
      </c>
      <c r="T181" s="207">
        <v>3.1</v>
      </c>
      <c r="U181" s="190">
        <f t="shared" si="52"/>
        <v>3.4659053651246743</v>
      </c>
      <c r="V181" s="191">
        <f>T181*1.25</f>
        <v>3.875</v>
      </c>
      <c r="W181" s="179"/>
      <c r="X181" s="180"/>
      <c r="Y181" s="181"/>
      <c r="Z181"/>
      <c r="AA181" s="5"/>
      <c r="AB181" s="5"/>
      <c r="AC181"/>
      <c r="AD181"/>
      <c r="AE181"/>
      <c r="AF181"/>
      <c r="AG181"/>
      <c r="AH181"/>
      <c r="AI181"/>
      <c r="AJ181"/>
      <c r="AK181"/>
      <c r="AL181"/>
    </row>
    <row r="182" spans="1:38" s="6" customFormat="1" x14ac:dyDescent="0.2">
      <c r="A182" s="7"/>
      <c r="B182" s="177" t="s">
        <v>679</v>
      </c>
      <c r="C182" s="134" t="s">
        <v>661</v>
      </c>
      <c r="D182" s="180"/>
      <c r="E182" s="180" t="s">
        <v>1198</v>
      </c>
      <c r="F182" s="181" t="s">
        <v>538</v>
      </c>
      <c r="G182" s="179">
        <f t="shared" si="51"/>
        <v>2011</v>
      </c>
      <c r="H182" s="180">
        <v>1</v>
      </c>
      <c r="I182" s="180">
        <v>15</v>
      </c>
      <c r="J182" s="181">
        <v>1</v>
      </c>
      <c r="K182" s="199">
        <v>59.15</v>
      </c>
      <c r="L182" s="180"/>
      <c r="M182" s="181"/>
      <c r="N182" s="199">
        <v>0.44777777777777777</v>
      </c>
      <c r="O182" s="187">
        <v>0.44777777777777777</v>
      </c>
      <c r="P182" s="188">
        <v>0.44777777777777777</v>
      </c>
      <c r="Q182" s="199"/>
      <c r="R182" s="180"/>
      <c r="S182" s="181"/>
      <c r="T182" s="207">
        <v>4.2</v>
      </c>
      <c r="U182" s="190">
        <f t="shared" si="52"/>
        <v>4.4049971623146371</v>
      </c>
      <c r="V182" s="191">
        <f>T182*1.1</f>
        <v>4.620000000000001</v>
      </c>
      <c r="W182" s="179"/>
      <c r="X182" s="180"/>
      <c r="Y182" s="181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s="6" customFormat="1" x14ac:dyDescent="0.2">
      <c r="A183" s="7"/>
      <c r="B183" s="177" t="s">
        <v>330</v>
      </c>
      <c r="C183" s="178" t="s">
        <v>99</v>
      </c>
      <c r="D183" s="180"/>
      <c r="E183" s="180"/>
      <c r="F183" s="181"/>
      <c r="G183" s="179"/>
      <c r="H183" s="180"/>
      <c r="I183" s="180"/>
      <c r="J183" s="181"/>
      <c r="K183" s="205"/>
      <c r="L183" s="180"/>
      <c r="M183" s="181"/>
      <c r="N183" s="205"/>
      <c r="O183" s="180"/>
      <c r="P183" s="181"/>
      <c r="Q183" s="205"/>
      <c r="R183" s="180"/>
      <c r="S183" s="181"/>
      <c r="T183" s="206"/>
      <c r="U183" s="195"/>
      <c r="V183" s="196"/>
      <c r="W183" s="179"/>
      <c r="X183" s="180"/>
      <c r="Y183" s="181"/>
      <c r="Z183"/>
      <c r="AC183"/>
      <c r="AD183"/>
      <c r="AE183"/>
      <c r="AF183"/>
      <c r="AG183"/>
      <c r="AH183"/>
      <c r="AI183"/>
      <c r="AJ183"/>
      <c r="AK183"/>
      <c r="AL183"/>
    </row>
    <row r="184" spans="1:38" s="6" customFormat="1" x14ac:dyDescent="0.2">
      <c r="A184" s="7"/>
      <c r="B184" s="177" t="s">
        <v>606</v>
      </c>
      <c r="C184" s="134" t="s">
        <v>607</v>
      </c>
      <c r="D184" s="180" t="s">
        <v>1176</v>
      </c>
      <c r="E184" s="180" t="s">
        <v>5</v>
      </c>
      <c r="F184" s="181" t="s">
        <v>1160</v>
      </c>
      <c r="G184" s="179">
        <f t="shared" ref="G184:G191" si="53">BaseYear+1</f>
        <v>2011</v>
      </c>
      <c r="H184" s="180">
        <v>1</v>
      </c>
      <c r="I184" s="180">
        <v>15</v>
      </c>
      <c r="J184" s="181">
        <v>1</v>
      </c>
      <c r="K184" s="199">
        <v>40.392741735023598</v>
      </c>
      <c r="L184" s="180"/>
      <c r="M184" s="181"/>
      <c r="N184" s="199">
        <v>0.77056922694506569</v>
      </c>
      <c r="O184" s="187">
        <v>0.77056922694506569</v>
      </c>
      <c r="P184" s="188">
        <v>0.77056922694506569</v>
      </c>
      <c r="Q184" s="199"/>
      <c r="R184" s="180"/>
      <c r="S184" s="181"/>
      <c r="T184" s="207">
        <f t="shared" ref="T184:V191" si="54">T175</f>
        <v>1.05</v>
      </c>
      <c r="U184" s="190">
        <f t="shared" si="54"/>
        <v>1.1012492905786593</v>
      </c>
      <c r="V184" s="191">
        <f t="shared" si="54"/>
        <v>1.1550000000000002</v>
      </c>
      <c r="W184" s="179"/>
      <c r="X184" s="180"/>
      <c r="Y184" s="181"/>
      <c r="Z184"/>
      <c r="AA184" s="5"/>
      <c r="AB184" s="5"/>
      <c r="AC184"/>
      <c r="AD184"/>
      <c r="AE184"/>
      <c r="AF184"/>
      <c r="AG184"/>
      <c r="AH184"/>
      <c r="AI184"/>
      <c r="AJ184"/>
      <c r="AK184"/>
      <c r="AL184"/>
    </row>
    <row r="185" spans="1:38" s="6" customFormat="1" x14ac:dyDescent="0.2">
      <c r="A185" s="7"/>
      <c r="B185" s="177" t="s">
        <v>610</v>
      </c>
      <c r="C185" s="134" t="s">
        <v>611</v>
      </c>
      <c r="D185" s="180" t="s">
        <v>1176</v>
      </c>
      <c r="E185" s="180" t="s">
        <v>5</v>
      </c>
      <c r="F185" s="181" t="s">
        <v>1160</v>
      </c>
      <c r="G185" s="179">
        <f t="shared" si="53"/>
        <v>2011</v>
      </c>
      <c r="H185" s="180">
        <v>1</v>
      </c>
      <c r="I185" s="180">
        <v>15</v>
      </c>
      <c r="J185" s="181">
        <v>1</v>
      </c>
      <c r="K185" s="199">
        <v>54.530201342281877</v>
      </c>
      <c r="L185" s="180"/>
      <c r="M185" s="181"/>
      <c r="N185" s="199">
        <v>1.2388709670774263</v>
      </c>
      <c r="O185" s="187">
        <v>1.2388709670774263</v>
      </c>
      <c r="P185" s="188">
        <v>1.2388709670774263</v>
      </c>
      <c r="Q185" s="199"/>
      <c r="R185" s="180"/>
      <c r="S185" s="181"/>
      <c r="T185" s="207">
        <f t="shared" si="54"/>
        <v>4.41</v>
      </c>
      <c r="U185" s="190">
        <f t="shared" si="54"/>
        <v>4.6252470204303684</v>
      </c>
      <c r="V185" s="191">
        <f t="shared" si="54"/>
        <v>4.8510000000000009</v>
      </c>
      <c r="W185" s="179"/>
      <c r="X185" s="180"/>
      <c r="Y185" s="181"/>
      <c r="Z185"/>
      <c r="AA185" s="5"/>
      <c r="AB185" s="5"/>
      <c r="AC185"/>
      <c r="AD185"/>
      <c r="AE185"/>
      <c r="AF185"/>
      <c r="AG185"/>
      <c r="AH185"/>
      <c r="AI185"/>
      <c r="AJ185"/>
      <c r="AK185"/>
      <c r="AL185"/>
    </row>
    <row r="186" spans="1:38" s="6" customFormat="1" x14ac:dyDescent="0.2">
      <c r="A186" s="7"/>
      <c r="B186" s="177" t="s">
        <v>1163</v>
      </c>
      <c r="C186" s="134" t="s">
        <v>1164</v>
      </c>
      <c r="D186" s="180" t="s">
        <v>1178</v>
      </c>
      <c r="E186" s="180" t="s">
        <v>504</v>
      </c>
      <c r="F186" s="181" t="s">
        <v>1160</v>
      </c>
      <c r="G186" s="179">
        <f>BaseYear</f>
        <v>2010</v>
      </c>
      <c r="H186" s="180">
        <v>1</v>
      </c>
      <c r="I186" s="180">
        <v>15</v>
      </c>
      <c r="J186" s="181">
        <v>1</v>
      </c>
      <c r="K186" s="199">
        <v>41.010750683569476</v>
      </c>
      <c r="L186" s="180"/>
      <c r="M186" s="181"/>
      <c r="N186" s="199">
        <v>0</v>
      </c>
      <c r="O186" s="180"/>
      <c r="P186" s="181"/>
      <c r="Q186" s="199"/>
      <c r="R186" s="180"/>
      <c r="S186" s="181"/>
      <c r="T186" s="207">
        <f t="shared" si="54"/>
        <v>2.75</v>
      </c>
      <c r="U186" s="190">
        <f t="shared" si="54"/>
        <v>3.1952112606211189</v>
      </c>
      <c r="V186" s="191">
        <f t="shared" si="54"/>
        <v>3.7125000000000004</v>
      </c>
      <c r="W186" s="179"/>
      <c r="X186" s="180"/>
      <c r="Y186" s="181"/>
      <c r="Z186"/>
      <c r="AA186" s="5"/>
      <c r="AB186" s="5"/>
      <c r="AC186"/>
      <c r="AD186"/>
      <c r="AE186"/>
      <c r="AF186"/>
      <c r="AG186"/>
      <c r="AH186"/>
      <c r="AI186"/>
      <c r="AJ186"/>
      <c r="AK186"/>
      <c r="AL186"/>
    </row>
    <row r="187" spans="1:38" s="6" customFormat="1" x14ac:dyDescent="0.2">
      <c r="A187" s="7"/>
      <c r="B187" s="177" t="s">
        <v>1133</v>
      </c>
      <c r="C187" s="134" t="s">
        <v>1134</v>
      </c>
      <c r="D187" s="180" t="s">
        <v>1176</v>
      </c>
      <c r="E187" s="180" t="s">
        <v>504</v>
      </c>
      <c r="F187" s="181" t="s">
        <v>1160</v>
      </c>
      <c r="G187" s="179">
        <f t="shared" si="53"/>
        <v>2011</v>
      </c>
      <c r="H187" s="180">
        <v>1</v>
      </c>
      <c r="I187" s="180">
        <v>15</v>
      </c>
      <c r="J187" s="181">
        <v>1</v>
      </c>
      <c r="K187" s="199">
        <v>41.010750683569476</v>
      </c>
      <c r="L187" s="180"/>
      <c r="M187" s="181"/>
      <c r="N187" s="199">
        <v>0</v>
      </c>
      <c r="O187" s="180"/>
      <c r="P187" s="181"/>
      <c r="Q187" s="199">
        <v>3.2671132376395544</v>
      </c>
      <c r="R187" s="187">
        <v>2.3651541759484784</v>
      </c>
      <c r="S187" s="188">
        <v>1.6277945143442212</v>
      </c>
      <c r="T187" s="207">
        <f t="shared" si="54"/>
        <v>3.8</v>
      </c>
      <c r="U187" s="190">
        <f t="shared" si="54"/>
        <v>4.1626914370392623</v>
      </c>
      <c r="V187" s="191">
        <f t="shared" si="54"/>
        <v>4.5599999999999996</v>
      </c>
      <c r="W187" s="179"/>
      <c r="X187" s="180"/>
      <c r="Y187" s="181"/>
      <c r="Z187"/>
      <c r="AA187" s="5"/>
      <c r="AB187" s="5"/>
      <c r="AC187"/>
      <c r="AD187"/>
      <c r="AE187"/>
      <c r="AF187"/>
      <c r="AG187"/>
      <c r="AH187"/>
      <c r="AI187"/>
      <c r="AJ187"/>
      <c r="AK187"/>
      <c r="AL187"/>
    </row>
    <row r="188" spans="1:38" s="6" customFormat="1" x14ac:dyDescent="0.2">
      <c r="A188" s="7"/>
      <c r="B188" s="177" t="s">
        <v>1137</v>
      </c>
      <c r="C188" s="134" t="s">
        <v>1138</v>
      </c>
      <c r="D188" s="180" t="s">
        <v>1176</v>
      </c>
      <c r="E188" s="180" t="s">
        <v>504</v>
      </c>
      <c r="F188" s="181" t="s">
        <v>1160</v>
      </c>
      <c r="G188" s="179">
        <f t="shared" si="53"/>
        <v>2011</v>
      </c>
      <c r="H188" s="180">
        <v>1</v>
      </c>
      <c r="I188" s="180">
        <v>15</v>
      </c>
      <c r="J188" s="181">
        <v>1</v>
      </c>
      <c r="K188" s="199">
        <v>41.010750683569476</v>
      </c>
      <c r="L188" s="180"/>
      <c r="M188" s="181"/>
      <c r="N188" s="199">
        <v>0</v>
      </c>
      <c r="O188" s="180"/>
      <c r="P188" s="181"/>
      <c r="Q188" s="199">
        <v>4.8508472192926941</v>
      </c>
      <c r="R188" s="187">
        <v>3.7285052288211493</v>
      </c>
      <c r="S188" s="188">
        <v>2.8014448862605597</v>
      </c>
      <c r="T188" s="207">
        <f t="shared" si="54"/>
        <v>4.3099999999999996</v>
      </c>
      <c r="U188" s="190">
        <f t="shared" si="54"/>
        <v>4.7213684456945311</v>
      </c>
      <c r="V188" s="191">
        <f t="shared" si="54"/>
        <v>5.1719999999999997</v>
      </c>
      <c r="W188" s="179"/>
      <c r="X188" s="180"/>
      <c r="Y188" s="181"/>
      <c r="Z188"/>
      <c r="AA188" s="5"/>
      <c r="AB188" s="5"/>
      <c r="AC188"/>
      <c r="AD188"/>
      <c r="AE188"/>
      <c r="AF188"/>
      <c r="AG188"/>
      <c r="AH188"/>
      <c r="AI188"/>
      <c r="AJ188"/>
      <c r="AK188"/>
      <c r="AL188"/>
    </row>
    <row r="189" spans="1:38" s="6" customFormat="1" x14ac:dyDescent="0.2">
      <c r="A189" s="7"/>
      <c r="B189" s="177" t="s">
        <v>539</v>
      </c>
      <c r="C189" s="134" t="s">
        <v>1159</v>
      </c>
      <c r="D189" s="180" t="s">
        <v>1176</v>
      </c>
      <c r="E189" s="180" t="s">
        <v>504</v>
      </c>
      <c r="F189" s="181" t="s">
        <v>1160</v>
      </c>
      <c r="G189" s="179">
        <f t="shared" si="53"/>
        <v>2011</v>
      </c>
      <c r="H189" s="180">
        <v>1</v>
      </c>
      <c r="I189" s="180">
        <v>15</v>
      </c>
      <c r="J189" s="181">
        <v>1</v>
      </c>
      <c r="K189" s="199">
        <v>41.010750683569476</v>
      </c>
      <c r="L189" s="180"/>
      <c r="M189" s="181"/>
      <c r="N189" s="199">
        <v>0</v>
      </c>
      <c r="O189" s="180"/>
      <c r="P189" s="181"/>
      <c r="Q189" s="199">
        <v>0.68482780018616318</v>
      </c>
      <c r="R189" s="187">
        <v>0.58940592558685989</v>
      </c>
      <c r="S189" s="188">
        <v>0.50727985198975079</v>
      </c>
      <c r="T189" s="207">
        <f t="shared" si="54"/>
        <v>2.93</v>
      </c>
      <c r="U189" s="190">
        <f t="shared" si="54"/>
        <v>3.4043523613163198</v>
      </c>
      <c r="V189" s="191">
        <f t="shared" si="54"/>
        <v>3.9555000000000007</v>
      </c>
      <c r="W189" s="179"/>
      <c r="X189" s="180"/>
      <c r="Y189" s="181"/>
      <c r="Z189"/>
      <c r="AA189" s="5"/>
      <c r="AB189" s="5"/>
      <c r="AC189"/>
      <c r="AD189"/>
      <c r="AE189"/>
      <c r="AF189"/>
      <c r="AG189"/>
      <c r="AH189"/>
      <c r="AI189"/>
      <c r="AJ189"/>
      <c r="AK189"/>
      <c r="AL189"/>
    </row>
    <row r="190" spans="1:38" s="6" customFormat="1" x14ac:dyDescent="0.2">
      <c r="A190" s="7"/>
      <c r="B190" s="177" t="s">
        <v>1205</v>
      </c>
      <c r="C190" s="134" t="s">
        <v>1226</v>
      </c>
      <c r="D190" s="180" t="s">
        <v>1169</v>
      </c>
      <c r="E190" s="180" t="s">
        <v>504</v>
      </c>
      <c r="F190" s="181" t="s">
        <v>1160</v>
      </c>
      <c r="G190" s="179">
        <f t="shared" si="53"/>
        <v>2011</v>
      </c>
      <c r="H190" s="180">
        <v>1</v>
      </c>
      <c r="I190" s="180">
        <v>15</v>
      </c>
      <c r="J190" s="181">
        <v>1</v>
      </c>
      <c r="K190" s="199">
        <v>41.010750683569476</v>
      </c>
      <c r="L190" s="180"/>
      <c r="M190" s="181"/>
      <c r="N190" s="199">
        <v>0</v>
      </c>
      <c r="O190" s="180"/>
      <c r="P190" s="181"/>
      <c r="Q190" s="199">
        <v>1.1822222222222227</v>
      </c>
      <c r="R190" s="187">
        <v>0.70386274796095361</v>
      </c>
      <c r="S190" s="188">
        <v>0.32526748971193425</v>
      </c>
      <c r="T190" s="207">
        <f t="shared" si="54"/>
        <v>3.1</v>
      </c>
      <c r="U190" s="190">
        <f t="shared" si="54"/>
        <v>3.4659053651246743</v>
      </c>
      <c r="V190" s="191">
        <f t="shared" si="54"/>
        <v>3.875</v>
      </c>
      <c r="W190" s="179"/>
      <c r="X190" s="180"/>
      <c r="Y190" s="181"/>
      <c r="Z190"/>
      <c r="AA190" s="5"/>
      <c r="AB190" s="5"/>
      <c r="AC190"/>
      <c r="AD190"/>
      <c r="AE190"/>
      <c r="AF190"/>
      <c r="AG190"/>
      <c r="AH190"/>
      <c r="AI190"/>
      <c r="AJ190"/>
      <c r="AK190"/>
      <c r="AL190"/>
    </row>
    <row r="191" spans="1:38" s="6" customFormat="1" x14ac:dyDescent="0.2">
      <c r="A191" s="7"/>
      <c r="B191" s="177" t="s">
        <v>680</v>
      </c>
      <c r="C191" s="134" t="s">
        <v>662</v>
      </c>
      <c r="D191" s="180"/>
      <c r="E191" s="180" t="s">
        <v>1198</v>
      </c>
      <c r="F191" s="181" t="s">
        <v>1160</v>
      </c>
      <c r="G191" s="179">
        <f t="shared" si="53"/>
        <v>2011</v>
      </c>
      <c r="H191" s="180">
        <v>1</v>
      </c>
      <c r="I191" s="180">
        <v>15</v>
      </c>
      <c r="J191" s="181">
        <v>1</v>
      </c>
      <c r="K191" s="199">
        <v>59.15</v>
      </c>
      <c r="L191" s="180"/>
      <c r="M191" s="181"/>
      <c r="N191" s="199">
        <v>0.44777777777777777</v>
      </c>
      <c r="O191" s="187">
        <v>0.44777777777777777</v>
      </c>
      <c r="P191" s="188">
        <v>0.44777777777777777</v>
      </c>
      <c r="Q191" s="199"/>
      <c r="R191" s="180"/>
      <c r="S191" s="181"/>
      <c r="T191" s="207">
        <f t="shared" si="54"/>
        <v>4.2</v>
      </c>
      <c r="U191" s="190">
        <f t="shared" si="54"/>
        <v>4.4049971623146371</v>
      </c>
      <c r="V191" s="191">
        <f t="shared" si="54"/>
        <v>4.620000000000001</v>
      </c>
      <c r="W191" s="179"/>
      <c r="X191" s="180"/>
      <c r="Y191" s="18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s="6" customFormat="1" x14ac:dyDescent="0.2">
      <c r="A192" s="7"/>
      <c r="B192" s="177" t="s">
        <v>330</v>
      </c>
      <c r="C192" s="178" t="s">
        <v>350</v>
      </c>
      <c r="D192" s="180"/>
      <c r="E192" s="180"/>
      <c r="F192" s="181"/>
      <c r="G192" s="179"/>
      <c r="H192" s="180"/>
      <c r="I192" s="180"/>
      <c r="J192" s="181"/>
      <c r="K192" s="209"/>
      <c r="L192" s="177"/>
      <c r="M192" s="181"/>
      <c r="N192" s="209"/>
      <c r="O192" s="180"/>
      <c r="P192" s="181"/>
      <c r="Q192" s="209"/>
      <c r="R192" s="180"/>
      <c r="S192" s="181"/>
      <c r="T192" s="210"/>
      <c r="U192" s="195"/>
      <c r="V192" s="196"/>
      <c r="W192" s="179"/>
      <c r="X192" s="180"/>
      <c r="Y192" s="181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s="6" customFormat="1" x14ac:dyDescent="0.2">
      <c r="A193" s="7"/>
      <c r="B193" s="177" t="s">
        <v>1025</v>
      </c>
      <c r="C193" s="134" t="s">
        <v>1026</v>
      </c>
      <c r="D193" s="180" t="s">
        <v>331</v>
      </c>
      <c r="E193" s="180" t="s">
        <v>1155</v>
      </c>
      <c r="F193" s="181" t="s">
        <v>1185</v>
      </c>
      <c r="G193" s="179">
        <f>BaseYear</f>
        <v>2010</v>
      </c>
      <c r="H193" s="180">
        <v>1</v>
      </c>
      <c r="I193" s="180">
        <v>10</v>
      </c>
      <c r="J193" s="181">
        <v>1</v>
      </c>
      <c r="K193" s="199">
        <v>9.1</v>
      </c>
      <c r="L193" s="177"/>
      <c r="M193" s="181"/>
      <c r="N193" s="199"/>
      <c r="O193" s="180"/>
      <c r="P193" s="181"/>
      <c r="Q193" s="199"/>
      <c r="R193" s="180"/>
      <c r="S193" s="181"/>
      <c r="T193" s="207">
        <v>1</v>
      </c>
      <c r="U193" s="190">
        <f t="shared" ref="U193:U198" si="55">SQRT(V193*T193)</f>
        <v>1</v>
      </c>
      <c r="V193" s="196">
        <v>1</v>
      </c>
      <c r="W193" s="179"/>
      <c r="X193" s="180"/>
      <c r="Y193" s="181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6" customFormat="1" x14ac:dyDescent="0.2">
      <c r="A194" s="7"/>
      <c r="B194" s="177" t="s">
        <v>1027</v>
      </c>
      <c r="C194" s="134" t="s">
        <v>1028</v>
      </c>
      <c r="D194" s="180"/>
      <c r="E194" s="180" t="s">
        <v>1155</v>
      </c>
      <c r="F194" s="181" t="s">
        <v>1185</v>
      </c>
      <c r="G194" s="180">
        <f>BaseYear+1</f>
        <v>2011</v>
      </c>
      <c r="H194" s="180">
        <v>1</v>
      </c>
      <c r="I194" s="180">
        <v>10</v>
      </c>
      <c r="J194" s="181">
        <v>1</v>
      </c>
      <c r="K194" s="199">
        <v>9.1</v>
      </c>
      <c r="L194" s="177"/>
      <c r="M194" s="181"/>
      <c r="N194" s="199"/>
      <c r="O194" s="180"/>
      <c r="P194" s="181"/>
      <c r="Q194" s="200">
        <v>1.1313675213675238</v>
      </c>
      <c r="R194" s="201">
        <v>1.695080752780824</v>
      </c>
      <c r="S194" s="202">
        <v>2.2248559670781924</v>
      </c>
      <c r="T194" s="199">
        <v>1.04</v>
      </c>
      <c r="U194" s="190">
        <f t="shared" si="55"/>
        <v>1.0598113039593418</v>
      </c>
      <c r="V194" s="196">
        <f>1+(T194-1)*2</f>
        <v>1.08</v>
      </c>
      <c r="W194" s="179"/>
      <c r="X194" s="180"/>
      <c r="Y194" s="181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s="6" customFormat="1" x14ac:dyDescent="0.2">
      <c r="A195" s="7"/>
      <c r="B195" s="177" t="s">
        <v>1184</v>
      </c>
      <c r="C195" s="134" t="s">
        <v>1029</v>
      </c>
      <c r="D195" s="180"/>
      <c r="E195" s="180" t="s">
        <v>1155</v>
      </c>
      <c r="F195" s="181" t="s">
        <v>1185</v>
      </c>
      <c r="G195" s="180">
        <f>BaseYear+1</f>
        <v>2011</v>
      </c>
      <c r="H195" s="180">
        <v>1</v>
      </c>
      <c r="I195" s="180">
        <v>10</v>
      </c>
      <c r="J195" s="181">
        <v>1</v>
      </c>
      <c r="K195" s="199">
        <v>9.1</v>
      </c>
      <c r="L195" s="177"/>
      <c r="M195" s="181"/>
      <c r="N195" s="199"/>
      <c r="O195" s="180"/>
      <c r="P195" s="181"/>
      <c r="Q195" s="200">
        <v>2.45015873015873</v>
      </c>
      <c r="R195" s="201">
        <v>3.6564159730501551</v>
      </c>
      <c r="S195" s="202">
        <v>4.7244824311490952</v>
      </c>
      <c r="T195" s="199">
        <v>1.085</v>
      </c>
      <c r="U195" s="190">
        <f t="shared" si="55"/>
        <v>1.1266987174928353</v>
      </c>
      <c r="V195" s="196">
        <f>1+(T195-1)*2</f>
        <v>1.17</v>
      </c>
      <c r="W195" s="179"/>
      <c r="X195" s="180"/>
      <c r="Y195" s="181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s="6" customFormat="1" x14ac:dyDescent="0.2">
      <c r="A196" s="7"/>
      <c r="B196" s="177" t="s">
        <v>1030</v>
      </c>
      <c r="C196" s="134" t="s">
        <v>1031</v>
      </c>
      <c r="D196" s="180"/>
      <c r="E196" s="180" t="s">
        <v>1155</v>
      </c>
      <c r="F196" s="181" t="s">
        <v>1185</v>
      </c>
      <c r="G196" s="180">
        <f>BaseYear+1</f>
        <v>2011</v>
      </c>
      <c r="H196" s="180">
        <v>1</v>
      </c>
      <c r="I196" s="180">
        <v>10</v>
      </c>
      <c r="J196" s="181">
        <v>1</v>
      </c>
      <c r="K196" s="199">
        <v>9.1</v>
      </c>
      <c r="L196" s="177"/>
      <c r="M196" s="181"/>
      <c r="N196" s="199"/>
      <c r="O196" s="180"/>
      <c r="P196" s="181"/>
      <c r="Q196" s="200">
        <v>4.3220289855072433</v>
      </c>
      <c r="R196" s="201">
        <v>6.3740617887002395</v>
      </c>
      <c r="S196" s="202">
        <v>8.0758974358974296</v>
      </c>
      <c r="T196" s="199">
        <v>1.1499999999999999</v>
      </c>
      <c r="U196" s="190">
        <f t="shared" si="55"/>
        <v>1.2227019260637482</v>
      </c>
      <c r="V196" s="196">
        <f>1+(T196-1)*2</f>
        <v>1.2999999999999998</v>
      </c>
      <c r="W196" s="179"/>
      <c r="X196" s="180"/>
      <c r="Y196" s="181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s="6" customFormat="1" x14ac:dyDescent="0.2">
      <c r="A197" s="7"/>
      <c r="B197" s="177" t="s">
        <v>1032</v>
      </c>
      <c r="C197" s="134" t="s">
        <v>1033</v>
      </c>
      <c r="D197" s="180"/>
      <c r="E197" s="180" t="s">
        <v>1155</v>
      </c>
      <c r="F197" s="181" t="s">
        <v>1185</v>
      </c>
      <c r="G197" s="180">
        <f>BaseYear+1</f>
        <v>2011</v>
      </c>
      <c r="H197" s="180">
        <v>1</v>
      </c>
      <c r="I197" s="180">
        <v>10</v>
      </c>
      <c r="J197" s="181">
        <v>1</v>
      </c>
      <c r="K197" s="199">
        <v>9.1</v>
      </c>
      <c r="L197" s="177"/>
      <c r="M197" s="181"/>
      <c r="N197" s="199"/>
      <c r="O197" s="180"/>
      <c r="P197" s="181"/>
      <c r="Q197" s="200">
        <v>6.9991111111111097</v>
      </c>
      <c r="R197" s="201">
        <v>10.107279378467789</v>
      </c>
      <c r="S197" s="202">
        <v>12.491851851851852</v>
      </c>
      <c r="T197" s="199">
        <v>1.25</v>
      </c>
      <c r="U197" s="190">
        <f t="shared" si="55"/>
        <v>1.3693063937629153</v>
      </c>
      <c r="V197" s="196">
        <f>1+(T197-1)*2</f>
        <v>1.5</v>
      </c>
      <c r="W197" s="179"/>
      <c r="X197" s="180"/>
      <c r="Y197" s="181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s="6" customFormat="1" x14ac:dyDescent="0.2">
      <c r="A198" s="7"/>
      <c r="B198" s="177" t="s">
        <v>1034</v>
      </c>
      <c r="C198" s="134" t="s">
        <v>1035</v>
      </c>
      <c r="D198" s="180"/>
      <c r="E198" s="180" t="s">
        <v>1155</v>
      </c>
      <c r="F198" s="181" t="s">
        <v>1185</v>
      </c>
      <c r="G198" s="180">
        <f>BaseYear+1</f>
        <v>2011</v>
      </c>
      <c r="H198" s="180">
        <v>1</v>
      </c>
      <c r="I198" s="180">
        <v>10</v>
      </c>
      <c r="J198" s="181">
        <v>1</v>
      </c>
      <c r="K198" s="199">
        <v>9.1</v>
      </c>
      <c r="L198" s="177"/>
      <c r="M198" s="181"/>
      <c r="N198" s="199"/>
      <c r="O198" s="180"/>
      <c r="P198" s="181"/>
      <c r="Q198" s="200">
        <v>9.5551440329218114</v>
      </c>
      <c r="R198" s="201">
        <v>13.580958781154663</v>
      </c>
      <c r="S198" s="202">
        <v>16.452287581699348</v>
      </c>
      <c r="T198" s="199">
        <v>1.35</v>
      </c>
      <c r="U198" s="190">
        <f t="shared" si="55"/>
        <v>1.5149257407543117</v>
      </c>
      <c r="V198" s="196">
        <f>1+(T198-1)*2</f>
        <v>1.7000000000000002</v>
      </c>
      <c r="W198" s="179"/>
      <c r="X198" s="180"/>
      <c r="Y198" s="181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s="6" customFormat="1" x14ac:dyDescent="0.2">
      <c r="A199" s="7"/>
      <c r="B199" s="177" t="s">
        <v>330</v>
      </c>
      <c r="C199" s="211" t="s">
        <v>351</v>
      </c>
      <c r="D199" s="180"/>
      <c r="E199" s="180"/>
      <c r="F199" s="181"/>
      <c r="G199" s="179"/>
      <c r="H199" s="180"/>
      <c r="I199" s="180"/>
      <c r="J199" s="181"/>
      <c r="K199" s="209"/>
      <c r="L199" s="180"/>
      <c r="M199" s="181"/>
      <c r="N199" s="209"/>
      <c r="O199" s="180"/>
      <c r="P199" s="181"/>
      <c r="Q199" s="209"/>
      <c r="R199" s="180"/>
      <c r="S199" s="181"/>
      <c r="T199" s="209"/>
      <c r="U199" s="180"/>
      <c r="V199" s="181"/>
      <c r="W199" s="179"/>
      <c r="X199" s="180"/>
      <c r="Y199" s="181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s="6" customFormat="1" x14ac:dyDescent="0.2">
      <c r="A200" s="7"/>
      <c r="B200" s="177" t="s">
        <v>1186</v>
      </c>
      <c r="C200" s="134" t="s">
        <v>1191</v>
      </c>
      <c r="D200" s="180" t="s">
        <v>331</v>
      </c>
      <c r="E200" s="180" t="s">
        <v>3</v>
      </c>
      <c r="F200" s="181" t="s">
        <v>1192</v>
      </c>
      <c r="G200" s="179">
        <f>BaseYear</f>
        <v>2010</v>
      </c>
      <c r="H200" s="180">
        <v>1</v>
      </c>
      <c r="I200" s="180">
        <v>10</v>
      </c>
      <c r="J200" s="181">
        <v>1</v>
      </c>
      <c r="K200" s="199">
        <v>5.2</v>
      </c>
      <c r="L200" s="180"/>
      <c r="M200" s="181"/>
      <c r="N200" s="199">
        <v>2.48</v>
      </c>
      <c r="O200" s="180"/>
      <c r="P200" s="181"/>
      <c r="Q200" s="199"/>
      <c r="R200" s="180"/>
      <c r="S200" s="181"/>
      <c r="T200" s="199">
        <v>1</v>
      </c>
      <c r="U200" s="180"/>
      <c r="V200" s="181"/>
      <c r="W200" s="179"/>
      <c r="X200" s="180"/>
      <c r="Y200" s="181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s="6" customFormat="1" x14ac:dyDescent="0.2">
      <c r="A201" s="7"/>
      <c r="B201" s="177" t="s">
        <v>1193</v>
      </c>
      <c r="C201" s="134" t="s">
        <v>1194</v>
      </c>
      <c r="D201" s="180" t="s">
        <v>331</v>
      </c>
      <c r="E201" s="180" t="s">
        <v>1195</v>
      </c>
      <c r="F201" s="181" t="s">
        <v>1192</v>
      </c>
      <c r="G201" s="179">
        <f>BaseYear+1</f>
        <v>2011</v>
      </c>
      <c r="H201" s="180">
        <v>1</v>
      </c>
      <c r="I201" s="180">
        <v>10</v>
      </c>
      <c r="J201" s="181">
        <v>1</v>
      </c>
      <c r="K201" s="199">
        <v>7.8</v>
      </c>
      <c r="L201" s="180"/>
      <c r="M201" s="181"/>
      <c r="N201" s="199">
        <v>2.48</v>
      </c>
      <c r="O201" s="180"/>
      <c r="P201" s="181"/>
      <c r="Q201" s="199"/>
      <c r="R201" s="180"/>
      <c r="S201" s="181"/>
      <c r="T201" s="199">
        <v>1</v>
      </c>
      <c r="U201" s="180"/>
      <c r="V201" s="181"/>
      <c r="W201" s="179"/>
      <c r="X201" s="180"/>
      <c r="Y201" s="18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8" s="6" customFormat="1" x14ac:dyDescent="0.2">
      <c r="A202" s="7"/>
      <c r="B202" s="177" t="s">
        <v>1196</v>
      </c>
      <c r="C202" s="134" t="s">
        <v>1197</v>
      </c>
      <c r="D202" s="180" t="s">
        <v>331</v>
      </c>
      <c r="E202" s="180" t="s">
        <v>579</v>
      </c>
      <c r="F202" s="181" t="s">
        <v>1192</v>
      </c>
      <c r="G202" s="179">
        <f>BaseYear+1</f>
        <v>2011</v>
      </c>
      <c r="H202" s="180">
        <v>1</v>
      </c>
      <c r="I202" s="180">
        <v>10</v>
      </c>
      <c r="J202" s="181">
        <v>1</v>
      </c>
      <c r="K202" s="199">
        <v>5.2</v>
      </c>
      <c r="L202" s="180"/>
      <c r="M202" s="181"/>
      <c r="N202" s="199">
        <v>2.48</v>
      </c>
      <c r="O202" s="180"/>
      <c r="P202" s="181"/>
      <c r="Q202" s="199"/>
      <c r="R202" s="180"/>
      <c r="S202" s="181"/>
      <c r="T202" s="199">
        <v>1</v>
      </c>
      <c r="U202" s="180"/>
      <c r="V202" s="181"/>
      <c r="W202" s="179"/>
      <c r="X202" s="180"/>
      <c r="Y202" s="181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8" s="6" customFormat="1" x14ac:dyDescent="0.2">
      <c r="A203" s="7"/>
      <c r="B203" s="177" t="s">
        <v>1199</v>
      </c>
      <c r="C203" s="134" t="s">
        <v>1200</v>
      </c>
      <c r="D203" s="180" t="s">
        <v>331</v>
      </c>
      <c r="E203" s="180" t="s">
        <v>1122</v>
      </c>
      <c r="F203" s="181" t="s">
        <v>1192</v>
      </c>
      <c r="G203" s="179">
        <f>BaseYear+1</f>
        <v>2011</v>
      </c>
      <c r="H203" s="180">
        <v>1</v>
      </c>
      <c r="I203" s="180">
        <v>10</v>
      </c>
      <c r="J203" s="181">
        <v>1</v>
      </c>
      <c r="K203" s="199">
        <v>23.4</v>
      </c>
      <c r="L203" s="180"/>
      <c r="M203" s="181"/>
      <c r="N203" s="199">
        <v>2.48</v>
      </c>
      <c r="O203" s="180"/>
      <c r="P203" s="181"/>
      <c r="Q203" s="199"/>
      <c r="R203" s="180"/>
      <c r="S203" s="181"/>
      <c r="T203" s="199">
        <v>1</v>
      </c>
      <c r="U203" s="180"/>
      <c r="V203" s="181"/>
      <c r="W203" s="179"/>
      <c r="X203" s="180"/>
      <c r="Y203" s="181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8" s="6" customFormat="1" x14ac:dyDescent="0.2">
      <c r="A204" s="7"/>
      <c r="B204" s="177" t="s">
        <v>561</v>
      </c>
      <c r="C204" s="134" t="s">
        <v>562</v>
      </c>
      <c r="D204" s="180" t="s">
        <v>331</v>
      </c>
      <c r="E204" s="180" t="s">
        <v>4</v>
      </c>
      <c r="F204" s="181" t="s">
        <v>1192</v>
      </c>
      <c r="G204" s="179">
        <f>BaseYear+1</f>
        <v>2011</v>
      </c>
      <c r="H204" s="180">
        <v>1</v>
      </c>
      <c r="I204" s="180">
        <v>10</v>
      </c>
      <c r="J204" s="181">
        <v>1</v>
      </c>
      <c r="K204" s="199">
        <v>2.6</v>
      </c>
      <c r="L204" s="180"/>
      <c r="M204" s="181"/>
      <c r="N204" s="199">
        <v>2.48</v>
      </c>
      <c r="O204" s="180"/>
      <c r="P204" s="181"/>
      <c r="Q204" s="199"/>
      <c r="R204" s="180"/>
      <c r="S204" s="181"/>
      <c r="T204" s="199">
        <v>1</v>
      </c>
      <c r="U204" s="180"/>
      <c r="V204" s="181"/>
      <c r="W204" s="179"/>
      <c r="X204" s="180"/>
      <c r="Y204" s="181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8" s="6" customFormat="1" x14ac:dyDescent="0.2">
      <c r="A205" s="7"/>
      <c r="B205" s="177" t="s">
        <v>563</v>
      </c>
      <c r="C205" s="134" t="s">
        <v>564</v>
      </c>
      <c r="D205" s="180" t="s">
        <v>331</v>
      </c>
      <c r="E205" s="180" t="s">
        <v>5</v>
      </c>
      <c r="F205" s="181" t="s">
        <v>1192</v>
      </c>
      <c r="G205" s="179">
        <f>BaseYear+1</f>
        <v>2011</v>
      </c>
      <c r="H205" s="180">
        <v>1</v>
      </c>
      <c r="I205" s="180">
        <v>10</v>
      </c>
      <c r="J205" s="181">
        <v>1</v>
      </c>
      <c r="K205" s="199">
        <v>3.9</v>
      </c>
      <c r="L205" s="180"/>
      <c r="M205" s="181"/>
      <c r="N205" s="199">
        <v>2.48</v>
      </c>
      <c r="O205" s="180"/>
      <c r="P205" s="181"/>
      <c r="Q205" s="199"/>
      <c r="R205" s="180"/>
      <c r="S205" s="181"/>
      <c r="T205" s="199">
        <v>1</v>
      </c>
      <c r="U205" s="180"/>
      <c r="V205" s="181"/>
      <c r="W205" s="179"/>
      <c r="X205" s="180"/>
      <c r="Y205" s="181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8" s="6" customFormat="1" x14ac:dyDescent="0.2">
      <c r="A206" s="7"/>
      <c r="B206" s="177" t="s">
        <v>330</v>
      </c>
      <c r="C206" s="178" t="s">
        <v>349</v>
      </c>
      <c r="D206" s="180"/>
      <c r="E206" s="180"/>
      <c r="F206" s="181"/>
      <c r="G206" s="179"/>
      <c r="H206" s="180"/>
      <c r="I206" s="180"/>
      <c r="J206" s="181"/>
      <c r="K206" s="179"/>
      <c r="L206" s="180"/>
      <c r="M206" s="181"/>
      <c r="N206" s="179"/>
      <c r="O206" s="180"/>
      <c r="P206" s="181"/>
      <c r="Q206" s="179"/>
      <c r="R206" s="180"/>
      <c r="S206" s="181"/>
      <c r="T206" s="179"/>
      <c r="U206" s="180"/>
      <c r="V206" s="181"/>
      <c r="W206" s="179"/>
      <c r="X206" s="180"/>
      <c r="Y206" s="181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8" s="6" customFormat="1" x14ac:dyDescent="0.2">
      <c r="A207" s="7"/>
      <c r="B207" s="177" t="s">
        <v>100</v>
      </c>
      <c r="C207" s="177" t="s">
        <v>101</v>
      </c>
      <c r="D207" s="177" t="s">
        <v>57</v>
      </c>
      <c r="E207" s="177" t="s">
        <v>514</v>
      </c>
      <c r="F207" s="177" t="s">
        <v>588</v>
      </c>
      <c r="G207" s="179">
        <f>BaseYear</f>
        <v>2010</v>
      </c>
      <c r="H207" s="180">
        <f t="shared" ref="H207:H212" si="56">8.76*3.6</f>
        <v>31.536000000000001</v>
      </c>
      <c r="I207" s="180">
        <v>5</v>
      </c>
      <c r="J207" s="181">
        <f t="shared" ref="J207:J212" si="57">3/8.76</f>
        <v>0.34246575342465752</v>
      </c>
      <c r="K207" s="197">
        <v>13</v>
      </c>
      <c r="L207" s="177"/>
      <c r="M207" s="181"/>
      <c r="N207" s="197">
        <v>34.72</v>
      </c>
      <c r="O207" s="180"/>
      <c r="P207" s="181"/>
      <c r="Q207" s="179"/>
      <c r="R207" s="180"/>
      <c r="S207" s="181"/>
      <c r="T207" s="179"/>
      <c r="U207" s="180"/>
      <c r="V207" s="181"/>
      <c r="W207" s="179">
        <v>1</v>
      </c>
      <c r="X207" s="182">
        <f t="shared" ref="X207:X212" si="58">AC207</f>
        <v>1.1000000000000001</v>
      </c>
      <c r="Y207" s="183">
        <f t="shared" ref="Y207:Y212" si="59">X207*1.14</f>
        <v>1.254</v>
      </c>
      <c r="Z207"/>
      <c r="AA207" s="9"/>
      <c r="AB207"/>
      <c r="AC207" s="76">
        <v>1.1000000000000001</v>
      </c>
      <c r="AD207"/>
      <c r="AE207"/>
      <c r="AF207"/>
      <c r="AG207"/>
      <c r="AH207"/>
      <c r="AI207"/>
      <c r="AJ207"/>
      <c r="AK207"/>
    </row>
    <row r="208" spans="1:38" s="6" customFormat="1" x14ac:dyDescent="0.2">
      <c r="A208" s="7"/>
      <c r="B208" s="177" t="s">
        <v>1228</v>
      </c>
      <c r="C208" s="177" t="s">
        <v>1227</v>
      </c>
      <c r="D208" s="177" t="s">
        <v>1408</v>
      </c>
      <c r="E208" s="177" t="s">
        <v>514</v>
      </c>
      <c r="F208" s="177" t="s">
        <v>588</v>
      </c>
      <c r="G208" s="179">
        <f>BaseYear+1</f>
        <v>2011</v>
      </c>
      <c r="H208" s="180">
        <f t="shared" si="56"/>
        <v>31.536000000000001</v>
      </c>
      <c r="I208" s="180">
        <v>5</v>
      </c>
      <c r="J208" s="181">
        <f t="shared" si="57"/>
        <v>0.34246575342465752</v>
      </c>
      <c r="K208" s="197">
        <v>286</v>
      </c>
      <c r="L208" s="177"/>
      <c r="M208" s="181"/>
      <c r="N208" s="205">
        <v>0</v>
      </c>
      <c r="O208" s="180"/>
      <c r="P208" s="181"/>
      <c r="Q208" s="179"/>
      <c r="R208" s="180"/>
      <c r="S208" s="181"/>
      <c r="T208" s="179"/>
      <c r="U208" s="180"/>
      <c r="V208" s="181"/>
      <c r="W208" s="179">
        <v>1</v>
      </c>
      <c r="X208" s="182">
        <f t="shared" si="58"/>
        <v>4.5</v>
      </c>
      <c r="Y208" s="183">
        <f t="shared" si="59"/>
        <v>5.13</v>
      </c>
      <c r="Z208"/>
      <c r="AA208" s="9"/>
      <c r="AB208"/>
      <c r="AC208" s="76">
        <v>4.5</v>
      </c>
      <c r="AD208"/>
      <c r="AE208"/>
      <c r="AF208"/>
      <c r="AG208"/>
      <c r="AH208"/>
      <c r="AI208"/>
      <c r="AJ208"/>
      <c r="AK208"/>
    </row>
    <row r="209" spans="1:37" s="6" customFormat="1" x14ac:dyDescent="0.2">
      <c r="A209" s="7"/>
      <c r="B209" s="177" t="s">
        <v>102</v>
      </c>
      <c r="C209" s="177" t="s">
        <v>103</v>
      </c>
      <c r="D209" s="177" t="s">
        <v>57</v>
      </c>
      <c r="E209" s="177" t="s">
        <v>514</v>
      </c>
      <c r="F209" s="177" t="s">
        <v>588</v>
      </c>
      <c r="G209" s="179">
        <f>BaseYear+1</f>
        <v>2011</v>
      </c>
      <c r="H209" s="180">
        <f t="shared" si="56"/>
        <v>31.536000000000001</v>
      </c>
      <c r="I209" s="180">
        <v>5</v>
      </c>
      <c r="J209" s="181">
        <f t="shared" si="57"/>
        <v>0.34246575342465752</v>
      </c>
      <c r="K209" s="197">
        <v>535.28800000000001</v>
      </c>
      <c r="L209" s="177"/>
      <c r="M209" s="181"/>
      <c r="N209" s="205">
        <v>0</v>
      </c>
      <c r="O209" s="180"/>
      <c r="P209" s="181"/>
      <c r="Q209" s="179"/>
      <c r="R209" s="180"/>
      <c r="S209" s="181"/>
      <c r="T209" s="179"/>
      <c r="U209" s="180"/>
      <c r="V209" s="181"/>
      <c r="W209" s="179">
        <v>1</v>
      </c>
      <c r="X209" s="182">
        <f t="shared" si="58"/>
        <v>5.65</v>
      </c>
      <c r="Y209" s="183">
        <f t="shared" si="59"/>
        <v>6.4409999999999998</v>
      </c>
      <c r="Z209"/>
      <c r="AA209" s="9"/>
      <c r="AB209"/>
      <c r="AC209" s="76">
        <v>5.65</v>
      </c>
      <c r="AD209"/>
      <c r="AE209"/>
      <c r="AF209"/>
      <c r="AG209"/>
      <c r="AH209"/>
      <c r="AI209"/>
      <c r="AJ209"/>
      <c r="AK209"/>
    </row>
    <row r="210" spans="1:37" s="6" customFormat="1" x14ac:dyDescent="0.2">
      <c r="A210" s="7"/>
      <c r="B210" s="177" t="s">
        <v>104</v>
      </c>
      <c r="C210" s="177" t="s">
        <v>105</v>
      </c>
      <c r="D210" s="177" t="s">
        <v>57</v>
      </c>
      <c r="E210" s="177" t="s">
        <v>514</v>
      </c>
      <c r="F210" s="177" t="s">
        <v>588</v>
      </c>
      <c r="G210" s="179">
        <f>BaseYear+1</f>
        <v>2011</v>
      </c>
      <c r="H210" s="180">
        <f t="shared" si="56"/>
        <v>31.536000000000001</v>
      </c>
      <c r="I210" s="180">
        <v>5</v>
      </c>
      <c r="J210" s="181">
        <f t="shared" si="57"/>
        <v>0.34246575342465752</v>
      </c>
      <c r="K210" s="197">
        <v>975</v>
      </c>
      <c r="L210" s="177"/>
      <c r="M210" s="181"/>
      <c r="N210" s="205">
        <v>0</v>
      </c>
      <c r="O210" s="180"/>
      <c r="P210" s="181"/>
      <c r="Q210" s="179"/>
      <c r="R210" s="180"/>
      <c r="S210" s="181"/>
      <c r="T210" s="179"/>
      <c r="U210" s="180"/>
      <c r="V210" s="181"/>
      <c r="W210" s="179">
        <v>1</v>
      </c>
      <c r="X210" s="182">
        <f t="shared" si="58"/>
        <v>7.6</v>
      </c>
      <c r="Y210" s="183">
        <f t="shared" si="59"/>
        <v>8.6639999999999997</v>
      </c>
      <c r="Z210"/>
      <c r="AA210" s="9"/>
      <c r="AB210"/>
      <c r="AC210" s="76">
        <v>7.6</v>
      </c>
      <c r="AD210"/>
      <c r="AE210"/>
      <c r="AF210"/>
      <c r="AG210"/>
      <c r="AH210"/>
      <c r="AI210"/>
      <c r="AJ210"/>
      <c r="AK210"/>
    </row>
    <row r="211" spans="1:37" s="6" customFormat="1" x14ac:dyDescent="0.2">
      <c r="A211" s="7"/>
      <c r="B211" s="177" t="s">
        <v>106</v>
      </c>
      <c r="C211" s="177" t="s">
        <v>107</v>
      </c>
      <c r="D211" s="177" t="s">
        <v>57</v>
      </c>
      <c r="E211" s="177" t="s">
        <v>514</v>
      </c>
      <c r="F211" s="177" t="s">
        <v>588</v>
      </c>
      <c r="G211" s="179">
        <f>BaseYear+1</f>
        <v>2011</v>
      </c>
      <c r="H211" s="180">
        <f t="shared" si="56"/>
        <v>31.536000000000001</v>
      </c>
      <c r="I211" s="180">
        <v>5</v>
      </c>
      <c r="J211" s="181">
        <f t="shared" si="57"/>
        <v>0.34246575342465752</v>
      </c>
      <c r="K211" s="197">
        <v>2816.71</v>
      </c>
      <c r="L211" s="177"/>
      <c r="M211" s="181"/>
      <c r="N211" s="205">
        <v>0</v>
      </c>
      <c r="O211" s="180"/>
      <c r="P211" s="181"/>
      <c r="Q211" s="179"/>
      <c r="R211" s="180"/>
      <c r="S211" s="181"/>
      <c r="T211" s="179"/>
      <c r="U211" s="180"/>
      <c r="V211" s="181"/>
      <c r="W211" s="179">
        <v>1</v>
      </c>
      <c r="X211" s="182">
        <f t="shared" si="58"/>
        <v>8</v>
      </c>
      <c r="Y211" s="183">
        <f t="shared" si="59"/>
        <v>9.1199999999999992</v>
      </c>
      <c r="Z211"/>
      <c r="AA211" s="9"/>
      <c r="AB211"/>
      <c r="AC211" s="76">
        <v>8</v>
      </c>
      <c r="AD211"/>
      <c r="AE211"/>
      <c r="AF211"/>
      <c r="AG211"/>
      <c r="AH211"/>
      <c r="AI211"/>
      <c r="AJ211"/>
      <c r="AK211"/>
    </row>
    <row r="212" spans="1:37" s="6" customFormat="1" x14ac:dyDescent="0.2">
      <c r="A212" s="7"/>
      <c r="B212" s="177" t="s">
        <v>1229</v>
      </c>
      <c r="C212" s="177" t="s">
        <v>1230</v>
      </c>
      <c r="D212" s="177" t="s">
        <v>1408</v>
      </c>
      <c r="E212" s="177" t="s">
        <v>514</v>
      </c>
      <c r="F212" s="181" t="s">
        <v>588</v>
      </c>
      <c r="G212" s="180">
        <f>BaseYear+1</f>
        <v>2011</v>
      </c>
      <c r="H212" s="180">
        <f t="shared" si="56"/>
        <v>31.536000000000001</v>
      </c>
      <c r="I212" s="180">
        <v>5</v>
      </c>
      <c r="J212" s="181">
        <f t="shared" si="57"/>
        <v>0.34246575342465752</v>
      </c>
      <c r="K212" s="216">
        <v>3600</v>
      </c>
      <c r="L212" s="460">
        <v>2600</v>
      </c>
      <c r="M212" s="461">
        <v>1500</v>
      </c>
      <c r="N212" s="205">
        <v>0</v>
      </c>
      <c r="O212" s="180"/>
      <c r="P212" s="181"/>
      <c r="Q212" s="179"/>
      <c r="R212" s="180"/>
      <c r="S212" s="181"/>
      <c r="T212" s="179"/>
      <c r="U212" s="180"/>
      <c r="V212" s="181"/>
      <c r="W212" s="179">
        <v>1</v>
      </c>
      <c r="X212" s="182">
        <f t="shared" si="58"/>
        <v>14</v>
      </c>
      <c r="Y212" s="183">
        <f t="shared" si="59"/>
        <v>15.959999999999999</v>
      </c>
      <c r="Z212"/>
      <c r="AA212"/>
      <c r="AB212"/>
      <c r="AC212" s="76">
        <v>14</v>
      </c>
      <c r="AD212"/>
      <c r="AE212"/>
      <c r="AF212"/>
      <c r="AG212"/>
      <c r="AH212"/>
      <c r="AI212"/>
      <c r="AJ212"/>
      <c r="AK212"/>
    </row>
    <row r="213" spans="1:37" s="6" customFormat="1" x14ac:dyDescent="0.2">
      <c r="A213" s="7"/>
      <c r="B213" s="177" t="s">
        <v>330</v>
      </c>
      <c r="C213" s="178" t="s">
        <v>181</v>
      </c>
      <c r="D213" s="177"/>
      <c r="E213" s="177"/>
      <c r="F213" s="181"/>
      <c r="G213" s="177"/>
      <c r="H213" s="180"/>
      <c r="I213" s="180"/>
      <c r="J213" s="181"/>
      <c r="K213" s="179"/>
      <c r="L213" s="180"/>
      <c r="M213" s="181"/>
      <c r="N213" s="179"/>
      <c r="O213" s="180"/>
      <c r="P213" s="181"/>
      <c r="Q213" s="179"/>
      <c r="R213" s="180"/>
      <c r="S213" s="181"/>
      <c r="T213" s="179"/>
      <c r="U213" s="180"/>
      <c r="V213" s="181"/>
      <c r="W213" s="179"/>
      <c r="X213" s="180"/>
      <c r="Y213" s="181"/>
      <c r="Z213"/>
      <c r="AA213"/>
      <c r="AB213"/>
      <c r="AC213"/>
      <c r="AD213"/>
      <c r="AE213" s="54"/>
      <c r="AF213"/>
      <c r="AG213"/>
      <c r="AH213"/>
      <c r="AI213"/>
      <c r="AJ213"/>
      <c r="AK213"/>
    </row>
    <row r="214" spans="1:37" s="6" customFormat="1" x14ac:dyDescent="0.2">
      <c r="A214" s="7"/>
      <c r="B214" s="177" t="s">
        <v>255</v>
      </c>
      <c r="C214" s="177" t="s">
        <v>635</v>
      </c>
      <c r="D214" s="177" t="s">
        <v>242</v>
      </c>
      <c r="E214" s="177" t="s">
        <v>2</v>
      </c>
      <c r="F214" s="181" t="s">
        <v>621</v>
      </c>
      <c r="G214" s="180">
        <f t="shared" ref="G214:G225" si="60">BaseYear+1</f>
        <v>2011</v>
      </c>
      <c r="H214" s="180">
        <v>1</v>
      </c>
      <c r="I214" s="212">
        <v>20</v>
      </c>
      <c r="J214" s="181">
        <v>1</v>
      </c>
      <c r="K214" s="197">
        <v>21.45</v>
      </c>
      <c r="L214" s="213"/>
      <c r="M214" s="183"/>
      <c r="N214" s="199">
        <v>0.15128447115384619</v>
      </c>
      <c r="O214" s="187">
        <v>0.15128447115384619</v>
      </c>
      <c r="P214" s="188">
        <v>0.15128447115384619</v>
      </c>
      <c r="Q214" s="199"/>
      <c r="R214" s="187"/>
      <c r="S214" s="214"/>
      <c r="T214" s="199">
        <v>1</v>
      </c>
      <c r="U214" s="190">
        <v>1.0488088481701516</v>
      </c>
      <c r="V214" s="191">
        <v>1.1000000000000001</v>
      </c>
      <c r="W214" s="179"/>
      <c r="X214" s="180"/>
      <c r="Y214" s="181"/>
      <c r="Z214"/>
      <c r="AA214" s="5"/>
      <c r="AB214" s="5"/>
      <c r="AC214"/>
      <c r="AD214"/>
      <c r="AE214"/>
      <c r="AF214"/>
      <c r="AG214"/>
      <c r="AH214"/>
      <c r="AI214"/>
      <c r="AJ214"/>
      <c r="AK214"/>
    </row>
    <row r="215" spans="1:37" s="6" customFormat="1" x14ac:dyDescent="0.2">
      <c r="A215" s="7"/>
      <c r="B215" s="177" t="s">
        <v>257</v>
      </c>
      <c r="C215" s="177" t="s">
        <v>1036</v>
      </c>
      <c r="D215" s="177" t="s">
        <v>1176</v>
      </c>
      <c r="E215" s="177" t="s">
        <v>2</v>
      </c>
      <c r="F215" s="181" t="s">
        <v>621</v>
      </c>
      <c r="G215" s="180">
        <f t="shared" si="60"/>
        <v>2011</v>
      </c>
      <c r="H215" s="180">
        <v>1</v>
      </c>
      <c r="I215" s="212">
        <v>20</v>
      </c>
      <c r="J215" s="181">
        <v>1</v>
      </c>
      <c r="K215" s="197">
        <v>35.541666666666671</v>
      </c>
      <c r="L215" s="213"/>
      <c r="M215" s="183"/>
      <c r="N215" s="199">
        <v>0.29381111111111113</v>
      </c>
      <c r="O215" s="187">
        <v>0.29381111111111113</v>
      </c>
      <c r="P215" s="188">
        <v>0.29381111111111113</v>
      </c>
      <c r="Q215" s="199"/>
      <c r="R215" s="187"/>
      <c r="S215" s="214"/>
      <c r="T215" s="199">
        <v>2</v>
      </c>
      <c r="U215" s="190">
        <v>2.1447610589527217</v>
      </c>
      <c r="V215" s="191">
        <v>2.2999999999999998</v>
      </c>
      <c r="W215" s="179"/>
      <c r="X215" s="180"/>
      <c r="Y215" s="181"/>
      <c r="Z215"/>
      <c r="AA215" s="5"/>
      <c r="AB215" s="5"/>
      <c r="AC215"/>
      <c r="AD215"/>
      <c r="AE215"/>
      <c r="AF215"/>
      <c r="AG215"/>
      <c r="AH215"/>
      <c r="AI215"/>
      <c r="AJ215"/>
      <c r="AK215"/>
    </row>
    <row r="216" spans="1:37" s="6" customFormat="1" x14ac:dyDescent="0.2">
      <c r="A216" s="7"/>
      <c r="B216" s="177" t="s">
        <v>247</v>
      </c>
      <c r="C216" s="177" t="s">
        <v>1201</v>
      </c>
      <c r="D216" s="177" t="s">
        <v>1176</v>
      </c>
      <c r="E216" s="177" t="s">
        <v>591</v>
      </c>
      <c r="F216" s="181" t="s">
        <v>621</v>
      </c>
      <c r="G216" s="180">
        <f t="shared" si="60"/>
        <v>2011</v>
      </c>
      <c r="H216" s="180">
        <v>1</v>
      </c>
      <c r="I216" s="212">
        <v>20</v>
      </c>
      <c r="J216" s="181">
        <v>1</v>
      </c>
      <c r="K216" s="197">
        <v>23.496990740740749</v>
      </c>
      <c r="L216" s="213"/>
      <c r="M216" s="183"/>
      <c r="N216" s="199">
        <v>0.31523617261876929</v>
      </c>
      <c r="O216" s="187">
        <v>0.31523617261876929</v>
      </c>
      <c r="P216" s="188">
        <v>0.31523617261876929</v>
      </c>
      <c r="Q216" s="199"/>
      <c r="R216" s="187"/>
      <c r="S216" s="214"/>
      <c r="T216" s="199">
        <v>0.75</v>
      </c>
      <c r="U216" s="190">
        <v>0.80428539710727065</v>
      </c>
      <c r="V216" s="191">
        <v>0.86250000000000004</v>
      </c>
      <c r="W216" s="179"/>
      <c r="X216" s="180"/>
      <c r="Y216" s="181"/>
      <c r="Z216"/>
      <c r="AA216" s="5"/>
      <c r="AB216" s="5"/>
      <c r="AC216"/>
      <c r="AD216"/>
      <c r="AE216"/>
      <c r="AF216"/>
      <c r="AG216"/>
      <c r="AH216"/>
      <c r="AI216"/>
      <c r="AJ216"/>
      <c r="AK216"/>
    </row>
    <row r="217" spans="1:37" s="6" customFormat="1" x14ac:dyDescent="0.2">
      <c r="A217" s="7"/>
      <c r="B217" s="177" t="s">
        <v>675</v>
      </c>
      <c r="C217" s="177" t="s">
        <v>225</v>
      </c>
      <c r="D217" s="177" t="s">
        <v>331</v>
      </c>
      <c r="E217" s="177" t="s">
        <v>512</v>
      </c>
      <c r="F217" s="181" t="s">
        <v>621</v>
      </c>
      <c r="G217" s="179">
        <f>BaseYear</f>
        <v>2010</v>
      </c>
      <c r="H217" s="180">
        <v>1</v>
      </c>
      <c r="I217" s="212">
        <v>20</v>
      </c>
      <c r="J217" s="181">
        <v>1</v>
      </c>
      <c r="K217" s="197">
        <v>17.55</v>
      </c>
      <c r="L217" s="213"/>
      <c r="M217" s="183"/>
      <c r="N217" s="199"/>
      <c r="O217" s="180"/>
      <c r="P217" s="181"/>
      <c r="Q217" s="199"/>
      <c r="R217" s="187"/>
      <c r="S217" s="214"/>
      <c r="T217" s="199">
        <v>2.93</v>
      </c>
      <c r="U217" s="190">
        <v>3.0166196313091915</v>
      </c>
      <c r="V217" s="191">
        <v>3.1058000000000003</v>
      </c>
      <c r="W217" s="179"/>
      <c r="X217" s="180"/>
      <c r="Y217" s="181"/>
      <c r="Z217"/>
      <c r="AA217" s="5"/>
      <c r="AB217" s="5"/>
      <c r="AC217"/>
      <c r="AD217"/>
      <c r="AE217" s="53"/>
      <c r="AF217"/>
      <c r="AG217"/>
      <c r="AH217"/>
      <c r="AI217"/>
      <c r="AJ217"/>
      <c r="AK217"/>
    </row>
    <row r="218" spans="1:37" s="6" customFormat="1" x14ac:dyDescent="0.2">
      <c r="A218" s="7"/>
      <c r="B218" s="177" t="s">
        <v>234</v>
      </c>
      <c r="C218" s="177" t="s">
        <v>1007</v>
      </c>
      <c r="D218" s="177" t="s">
        <v>1176</v>
      </c>
      <c r="E218" s="177" t="s">
        <v>512</v>
      </c>
      <c r="F218" s="181" t="s">
        <v>621</v>
      </c>
      <c r="G218" s="180">
        <f t="shared" si="60"/>
        <v>2011</v>
      </c>
      <c r="H218" s="180">
        <v>1</v>
      </c>
      <c r="I218" s="212">
        <v>20</v>
      </c>
      <c r="J218" s="181">
        <v>1</v>
      </c>
      <c r="K218" s="197">
        <v>17.55</v>
      </c>
      <c r="L218" s="213"/>
      <c r="M218" s="183"/>
      <c r="N218" s="199"/>
      <c r="O218" s="187"/>
      <c r="P218" s="188"/>
      <c r="Q218" s="200">
        <v>0.20682341044115757</v>
      </c>
      <c r="R218" s="201">
        <v>0.53661367639178659</v>
      </c>
      <c r="S218" s="202">
        <v>0.83427420454525347</v>
      </c>
      <c r="T218" s="199">
        <v>3</v>
      </c>
      <c r="U218" s="190">
        <v>3.2171415884290826</v>
      </c>
      <c r="V218" s="191">
        <v>3.45</v>
      </c>
      <c r="W218" s="179"/>
      <c r="X218" s="180"/>
      <c r="Y218" s="181"/>
      <c r="Z218"/>
      <c r="AA218" s="5"/>
      <c r="AB218" s="5"/>
      <c r="AC218"/>
      <c r="AD218"/>
      <c r="AE218" s="53"/>
      <c r="AF218"/>
      <c r="AG218"/>
      <c r="AH218"/>
      <c r="AI218"/>
      <c r="AJ218"/>
      <c r="AK218"/>
    </row>
    <row r="219" spans="1:37" s="6" customFormat="1" x14ac:dyDescent="0.2">
      <c r="A219" s="7"/>
      <c r="B219" s="177" t="s">
        <v>236</v>
      </c>
      <c r="C219" s="177" t="s">
        <v>1009</v>
      </c>
      <c r="D219" s="177" t="s">
        <v>1176</v>
      </c>
      <c r="E219" s="177" t="s">
        <v>512</v>
      </c>
      <c r="F219" s="181" t="s">
        <v>621</v>
      </c>
      <c r="G219" s="180">
        <f t="shared" si="60"/>
        <v>2011</v>
      </c>
      <c r="H219" s="180">
        <v>1</v>
      </c>
      <c r="I219" s="212">
        <v>20</v>
      </c>
      <c r="J219" s="181">
        <v>1</v>
      </c>
      <c r="K219" s="197">
        <v>17.55</v>
      </c>
      <c r="L219" s="213"/>
      <c r="M219" s="183"/>
      <c r="N219" s="199"/>
      <c r="O219" s="187"/>
      <c r="P219" s="188"/>
      <c r="Q219" s="200">
        <v>1.0650027004975799</v>
      </c>
      <c r="R219" s="201">
        <v>1.5270743378613696</v>
      </c>
      <c r="S219" s="202">
        <v>1.9329536519739785</v>
      </c>
      <c r="T219" s="199">
        <v>3.3</v>
      </c>
      <c r="U219" s="190">
        <v>3.614968879534096</v>
      </c>
      <c r="V219" s="191">
        <v>3.96</v>
      </c>
      <c r="W219" s="179"/>
      <c r="X219" s="180"/>
      <c r="Y219" s="181"/>
      <c r="Z219"/>
      <c r="AA219" s="5"/>
      <c r="AB219" s="5"/>
      <c r="AC219"/>
      <c r="AD219"/>
      <c r="AE219" s="53"/>
      <c r="AF219"/>
      <c r="AG219"/>
      <c r="AH219"/>
      <c r="AI219"/>
      <c r="AJ219"/>
      <c r="AK219"/>
    </row>
    <row r="220" spans="1:37" s="6" customFormat="1" x14ac:dyDescent="0.2">
      <c r="A220" s="7"/>
      <c r="B220" s="177" t="s">
        <v>238</v>
      </c>
      <c r="C220" s="177" t="s">
        <v>1063</v>
      </c>
      <c r="D220" s="177" t="s">
        <v>1176</v>
      </c>
      <c r="E220" s="177" t="s">
        <v>512</v>
      </c>
      <c r="F220" s="181" t="s">
        <v>621</v>
      </c>
      <c r="G220" s="180">
        <f t="shared" si="60"/>
        <v>2011</v>
      </c>
      <c r="H220" s="180">
        <v>1</v>
      </c>
      <c r="I220" s="212">
        <v>30</v>
      </c>
      <c r="J220" s="181">
        <v>1</v>
      </c>
      <c r="K220" s="197">
        <v>17.55</v>
      </c>
      <c r="L220" s="213"/>
      <c r="M220" s="183"/>
      <c r="N220" s="199"/>
      <c r="O220" s="187"/>
      <c r="P220" s="188"/>
      <c r="Q220" s="200">
        <v>2.8805195297686752</v>
      </c>
      <c r="R220" s="201">
        <v>4.0187513498064087</v>
      </c>
      <c r="S220" s="202">
        <v>4.9002525263366268</v>
      </c>
      <c r="T220" s="199">
        <v>4</v>
      </c>
      <c r="U220" s="190">
        <v>4.8989794855663558</v>
      </c>
      <c r="V220" s="191">
        <v>6</v>
      </c>
      <c r="W220" s="179"/>
      <c r="X220" s="180"/>
      <c r="Y220" s="181"/>
      <c r="Z220"/>
      <c r="AA220" s="5"/>
      <c r="AB220" s="5"/>
      <c r="AC220"/>
      <c r="AD220"/>
      <c r="AE220" s="53"/>
      <c r="AF220"/>
      <c r="AG220"/>
      <c r="AH220"/>
      <c r="AI220"/>
      <c r="AJ220"/>
      <c r="AK220"/>
    </row>
    <row r="221" spans="1:37" s="6" customFormat="1" x14ac:dyDescent="0.2">
      <c r="A221" s="7"/>
      <c r="B221" s="177" t="s">
        <v>240</v>
      </c>
      <c r="C221" s="177" t="s">
        <v>283</v>
      </c>
      <c r="D221" s="177" t="s">
        <v>1176</v>
      </c>
      <c r="E221" s="177" t="s">
        <v>512</v>
      </c>
      <c r="F221" s="181" t="s">
        <v>621</v>
      </c>
      <c r="G221" s="180">
        <f t="shared" si="60"/>
        <v>2011</v>
      </c>
      <c r="H221" s="180">
        <v>1</v>
      </c>
      <c r="I221" s="212">
        <v>20</v>
      </c>
      <c r="J221" s="181">
        <v>1</v>
      </c>
      <c r="K221" s="197">
        <v>17.55</v>
      </c>
      <c r="L221" s="213"/>
      <c r="M221" s="183"/>
      <c r="N221" s="199"/>
      <c r="O221" s="187"/>
      <c r="P221" s="188"/>
      <c r="Q221" s="200">
        <v>0.78359641638225164</v>
      </c>
      <c r="R221" s="201">
        <v>0.88952384847380006</v>
      </c>
      <c r="S221" s="202">
        <v>0.98678233351425426</v>
      </c>
      <c r="T221" s="199">
        <v>3.2</v>
      </c>
      <c r="U221" s="190">
        <v>3.3466401061363023</v>
      </c>
      <c r="V221" s="191">
        <v>3.5</v>
      </c>
      <c r="W221" s="179"/>
      <c r="X221" s="180"/>
      <c r="Y221" s="181"/>
      <c r="Z221"/>
      <c r="AA221" s="5"/>
      <c r="AB221" s="5"/>
      <c r="AC221"/>
      <c r="AD221"/>
      <c r="AE221" s="53"/>
      <c r="AF221"/>
      <c r="AG221"/>
      <c r="AH221"/>
      <c r="AI221"/>
      <c r="AJ221"/>
      <c r="AK221"/>
    </row>
    <row r="222" spans="1:37" s="6" customFormat="1" x14ac:dyDescent="0.2">
      <c r="A222" s="7"/>
      <c r="B222" s="177" t="s">
        <v>243</v>
      </c>
      <c r="C222" s="177" t="s">
        <v>14</v>
      </c>
      <c r="D222" s="177" t="s">
        <v>242</v>
      </c>
      <c r="E222" s="177" t="s">
        <v>512</v>
      </c>
      <c r="F222" s="181" t="s">
        <v>621</v>
      </c>
      <c r="G222" s="180">
        <f t="shared" si="60"/>
        <v>2011</v>
      </c>
      <c r="H222" s="180">
        <v>1</v>
      </c>
      <c r="I222" s="212">
        <v>20</v>
      </c>
      <c r="J222" s="181">
        <v>1</v>
      </c>
      <c r="K222" s="197">
        <v>17.55</v>
      </c>
      <c r="L222" s="213"/>
      <c r="M222" s="183"/>
      <c r="N222" s="199"/>
      <c r="O222" s="187"/>
      <c r="P222" s="188"/>
      <c r="Q222" s="200">
        <v>3.535460329499009</v>
      </c>
      <c r="R222" s="201">
        <v>4.3098988395055624</v>
      </c>
      <c r="S222" s="202">
        <v>4.9206554179992983</v>
      </c>
      <c r="T222" s="199">
        <v>4.5</v>
      </c>
      <c r="U222" s="190">
        <v>5.3665631459994954</v>
      </c>
      <c r="V222" s="191">
        <v>6.4</v>
      </c>
      <c r="W222" s="179"/>
      <c r="X222" s="180"/>
      <c r="Y222" s="181"/>
      <c r="Z222"/>
      <c r="AA222" s="5"/>
      <c r="AB222" s="5"/>
      <c r="AC222"/>
      <c r="AD222"/>
      <c r="AE222" s="53"/>
      <c r="AF222"/>
      <c r="AG222"/>
      <c r="AH222"/>
      <c r="AI222"/>
      <c r="AJ222"/>
      <c r="AK222"/>
    </row>
    <row r="223" spans="1:37" s="6" customFormat="1" x14ac:dyDescent="0.2">
      <c r="A223" s="7"/>
      <c r="B223" s="177" t="s">
        <v>245</v>
      </c>
      <c r="C223" s="177" t="s">
        <v>580</v>
      </c>
      <c r="D223" s="177" t="s">
        <v>1176</v>
      </c>
      <c r="E223" s="177" t="s">
        <v>512</v>
      </c>
      <c r="F223" s="181" t="s">
        <v>621</v>
      </c>
      <c r="G223" s="180">
        <f t="shared" si="60"/>
        <v>2011</v>
      </c>
      <c r="H223" s="180">
        <v>1</v>
      </c>
      <c r="I223" s="212">
        <v>20</v>
      </c>
      <c r="J223" s="181">
        <v>1</v>
      </c>
      <c r="K223" s="197">
        <v>17.55</v>
      </c>
      <c r="L223" s="213"/>
      <c r="M223" s="183"/>
      <c r="N223" s="199"/>
      <c r="O223" s="187"/>
      <c r="P223" s="188"/>
      <c r="Q223" s="200">
        <v>5.0702692453545692</v>
      </c>
      <c r="R223" s="201">
        <v>5.7577241333455182</v>
      </c>
      <c r="S223" s="202">
        <v>6.2954810232301659</v>
      </c>
      <c r="T223" s="199">
        <v>5.2</v>
      </c>
      <c r="U223" s="190">
        <v>6.1611687202997452</v>
      </c>
      <c r="V223" s="191">
        <v>7.3</v>
      </c>
      <c r="W223" s="179"/>
      <c r="X223" s="180"/>
      <c r="Y223" s="181"/>
      <c r="Z223"/>
      <c r="AA223" s="5"/>
      <c r="AB223" s="5"/>
      <c r="AC223"/>
      <c r="AD223"/>
      <c r="AE223" s="53"/>
      <c r="AF223"/>
      <c r="AG223"/>
      <c r="AH223"/>
      <c r="AI223"/>
      <c r="AJ223"/>
      <c r="AK223"/>
    </row>
    <row r="224" spans="1:37" s="6" customFormat="1" x14ac:dyDescent="0.2">
      <c r="A224" s="7"/>
      <c r="B224" s="177" t="s">
        <v>1037</v>
      </c>
      <c r="C224" s="177" t="s">
        <v>1038</v>
      </c>
      <c r="D224" s="177"/>
      <c r="E224" s="177" t="s">
        <v>526</v>
      </c>
      <c r="F224" s="181" t="s">
        <v>621</v>
      </c>
      <c r="G224" s="180">
        <f>BaseYear</f>
        <v>2010</v>
      </c>
      <c r="H224" s="180">
        <v>1</v>
      </c>
      <c r="I224" s="212">
        <v>25</v>
      </c>
      <c r="J224" s="181">
        <v>1</v>
      </c>
      <c r="K224" s="197">
        <v>14.95</v>
      </c>
      <c r="L224" s="213"/>
      <c r="M224" s="183"/>
      <c r="N224" s="199">
        <v>0.21389999999999998</v>
      </c>
      <c r="O224" s="187">
        <v>0.21389999999999998</v>
      </c>
      <c r="P224" s="188">
        <v>0.21389999999999998</v>
      </c>
      <c r="Q224" s="199"/>
      <c r="R224" s="187"/>
      <c r="S224" s="214"/>
      <c r="T224" s="199">
        <v>1.1499999999999999</v>
      </c>
      <c r="U224" s="190">
        <v>1.2332376088978148</v>
      </c>
      <c r="V224" s="191">
        <v>1.3225</v>
      </c>
      <c r="W224" s="179"/>
      <c r="X224" s="180"/>
      <c r="Y224" s="181"/>
      <c r="Z224"/>
      <c r="AA224" s="5"/>
      <c r="AB224" s="5"/>
      <c r="AC224"/>
      <c r="AD224"/>
      <c r="AE224" s="53"/>
      <c r="AF224"/>
      <c r="AG224"/>
      <c r="AH224"/>
      <c r="AI224"/>
      <c r="AJ224"/>
      <c r="AK224"/>
    </row>
    <row r="225" spans="1:37" s="6" customFormat="1" x14ac:dyDescent="0.2">
      <c r="A225" s="7"/>
      <c r="B225" s="177" t="s">
        <v>672</v>
      </c>
      <c r="C225" s="177" t="s">
        <v>223</v>
      </c>
      <c r="D225" s="177" t="s">
        <v>331</v>
      </c>
      <c r="E225" s="177" t="s">
        <v>673</v>
      </c>
      <c r="F225" s="181" t="s">
        <v>621</v>
      </c>
      <c r="G225" s="180">
        <f t="shared" si="60"/>
        <v>2011</v>
      </c>
      <c r="H225" s="180">
        <v>1</v>
      </c>
      <c r="I225" s="212">
        <v>25</v>
      </c>
      <c r="J225" s="181">
        <v>1</v>
      </c>
      <c r="K225" s="197">
        <v>45.5</v>
      </c>
      <c r="L225" s="213"/>
      <c r="M225" s="183"/>
      <c r="N225" s="199">
        <v>0.34444444444444444</v>
      </c>
      <c r="O225" s="180"/>
      <c r="P225" s="181"/>
      <c r="Q225" s="199"/>
      <c r="R225" s="187"/>
      <c r="S225" s="214"/>
      <c r="T225" s="199">
        <v>4.2</v>
      </c>
      <c r="U225" s="190">
        <v>4.4049971623146371</v>
      </c>
      <c r="V225" s="191">
        <v>4.62</v>
      </c>
      <c r="W225" s="179"/>
      <c r="X225" s="180"/>
      <c r="Y225" s="181"/>
      <c r="Z225"/>
      <c r="AA225" s="5"/>
      <c r="AB225" s="5"/>
      <c r="AC225"/>
      <c r="AD225"/>
      <c r="AE225"/>
      <c r="AF225"/>
      <c r="AG225"/>
      <c r="AH225"/>
      <c r="AI225"/>
      <c r="AJ225"/>
      <c r="AK225"/>
    </row>
    <row r="226" spans="1:37" s="6" customFormat="1" x14ac:dyDescent="0.2">
      <c r="A226" s="7"/>
      <c r="B226" s="177" t="s">
        <v>330</v>
      </c>
      <c r="C226" s="178" t="s">
        <v>182</v>
      </c>
      <c r="D226" s="177"/>
      <c r="E226" s="177"/>
      <c r="F226" s="181"/>
      <c r="G226" s="177"/>
      <c r="H226" s="180"/>
      <c r="I226" s="215"/>
      <c r="J226" s="181"/>
      <c r="K226" s="215"/>
      <c r="L226" s="177"/>
      <c r="M226" s="181"/>
      <c r="N226" s="215"/>
      <c r="O226" s="180"/>
      <c r="P226" s="181"/>
      <c r="Q226" s="215"/>
      <c r="R226" s="180"/>
      <c r="S226" s="214"/>
      <c r="T226" s="215"/>
      <c r="U226" s="195"/>
      <c r="V226" s="191"/>
      <c r="W226" s="179"/>
      <c r="X226" s="180"/>
      <c r="Y226" s="181"/>
      <c r="Z226"/>
      <c r="AA226" s="4"/>
      <c r="AB226" s="4"/>
      <c r="AC226"/>
      <c r="AD226"/>
      <c r="AE226"/>
      <c r="AF226"/>
      <c r="AG226"/>
      <c r="AH226"/>
      <c r="AI226"/>
      <c r="AJ226"/>
      <c r="AK226"/>
    </row>
    <row r="227" spans="1:37" s="6" customFormat="1" x14ac:dyDescent="0.2">
      <c r="A227" s="7"/>
      <c r="B227" s="177" t="s">
        <v>256</v>
      </c>
      <c r="C227" s="177" t="s">
        <v>636</v>
      </c>
      <c r="D227" s="177" t="s">
        <v>242</v>
      </c>
      <c r="E227" s="177" t="s">
        <v>2</v>
      </c>
      <c r="F227" s="181" t="s">
        <v>233</v>
      </c>
      <c r="G227" s="180">
        <f t="shared" ref="G227:G238" si="61">BaseYear+1</f>
        <v>2011</v>
      </c>
      <c r="H227" s="180">
        <v>1</v>
      </c>
      <c r="I227" s="212">
        <v>20</v>
      </c>
      <c r="J227" s="181">
        <v>1</v>
      </c>
      <c r="K227" s="197">
        <v>21.45</v>
      </c>
      <c r="L227" s="177"/>
      <c r="M227" s="181"/>
      <c r="N227" s="199">
        <v>0.15128447115384619</v>
      </c>
      <c r="O227" s="187">
        <v>0.15128447115384619</v>
      </c>
      <c r="P227" s="188">
        <v>0.15128447115384619</v>
      </c>
      <c r="Q227" s="199"/>
      <c r="R227" s="180"/>
      <c r="S227" s="214"/>
      <c r="T227" s="199">
        <v>1</v>
      </c>
      <c r="U227" s="190">
        <v>1.0488088481701516</v>
      </c>
      <c r="V227" s="191">
        <v>1.1000000000000001</v>
      </c>
      <c r="W227" s="179"/>
      <c r="X227" s="180"/>
      <c r="Y227" s="181"/>
      <c r="Z227"/>
      <c r="AA227" s="5"/>
      <c r="AB227" s="5"/>
      <c r="AC227"/>
      <c r="AD227"/>
      <c r="AE227"/>
      <c r="AF227"/>
      <c r="AG227"/>
      <c r="AH227"/>
      <c r="AI227"/>
      <c r="AJ227"/>
      <c r="AK227"/>
    </row>
    <row r="228" spans="1:37" s="6" customFormat="1" x14ac:dyDescent="0.2">
      <c r="A228" s="7"/>
      <c r="B228" s="177" t="s">
        <v>1179</v>
      </c>
      <c r="C228" s="177" t="s">
        <v>1039</v>
      </c>
      <c r="D228" s="177" t="s">
        <v>1176</v>
      </c>
      <c r="E228" s="177" t="s">
        <v>2</v>
      </c>
      <c r="F228" s="181" t="s">
        <v>233</v>
      </c>
      <c r="G228" s="180">
        <f t="shared" si="61"/>
        <v>2011</v>
      </c>
      <c r="H228" s="180">
        <v>1</v>
      </c>
      <c r="I228" s="212">
        <v>20</v>
      </c>
      <c r="J228" s="181">
        <v>1</v>
      </c>
      <c r="K228" s="197">
        <v>35.541666666666671</v>
      </c>
      <c r="L228" s="177"/>
      <c r="M228" s="181"/>
      <c r="N228" s="199">
        <v>0.29381111111111113</v>
      </c>
      <c r="O228" s="187">
        <v>0.29381111111111113</v>
      </c>
      <c r="P228" s="188">
        <v>0.29381111111111113</v>
      </c>
      <c r="Q228" s="199"/>
      <c r="R228" s="180"/>
      <c r="S228" s="214"/>
      <c r="T228" s="199">
        <v>2</v>
      </c>
      <c r="U228" s="190">
        <v>2.1447610589527217</v>
      </c>
      <c r="V228" s="191">
        <v>2.2999999999999998</v>
      </c>
      <c r="W228" s="179"/>
      <c r="X228" s="180"/>
      <c r="Y228" s="181"/>
      <c r="Z228"/>
      <c r="AA228" s="5"/>
      <c r="AB228" s="5"/>
      <c r="AC228"/>
      <c r="AD228"/>
      <c r="AE228"/>
      <c r="AF228"/>
      <c r="AG228"/>
      <c r="AH228"/>
      <c r="AI228"/>
      <c r="AJ228"/>
      <c r="AK228"/>
    </row>
    <row r="229" spans="1:37" s="6" customFormat="1" x14ac:dyDescent="0.2">
      <c r="A229" s="7"/>
      <c r="B229" s="177" t="s">
        <v>248</v>
      </c>
      <c r="C229" s="177" t="s">
        <v>634</v>
      </c>
      <c r="D229" s="177" t="s">
        <v>1176</v>
      </c>
      <c r="E229" s="177" t="s">
        <v>591</v>
      </c>
      <c r="F229" s="181" t="s">
        <v>233</v>
      </c>
      <c r="G229" s="180">
        <f t="shared" si="61"/>
        <v>2011</v>
      </c>
      <c r="H229" s="180">
        <v>1</v>
      </c>
      <c r="I229" s="212">
        <v>20</v>
      </c>
      <c r="J229" s="181">
        <v>1</v>
      </c>
      <c r="K229" s="197">
        <v>23.496990740740749</v>
      </c>
      <c r="L229" s="177"/>
      <c r="M229" s="181"/>
      <c r="N229" s="199">
        <v>0.31523617261876929</v>
      </c>
      <c r="O229" s="187">
        <v>0.31523617261876929</v>
      </c>
      <c r="P229" s="188">
        <v>0.31523617261876929</v>
      </c>
      <c r="Q229" s="199"/>
      <c r="R229" s="180"/>
      <c r="S229" s="214"/>
      <c r="T229" s="199">
        <v>0.75</v>
      </c>
      <c r="U229" s="190">
        <v>0.80428539710727065</v>
      </c>
      <c r="V229" s="191">
        <v>0.86250000000000004</v>
      </c>
      <c r="W229" s="179"/>
      <c r="X229" s="180"/>
      <c r="Y229" s="181"/>
      <c r="Z229"/>
      <c r="AA229" s="5"/>
      <c r="AB229" s="5"/>
      <c r="AC229"/>
      <c r="AD229"/>
      <c r="AE229"/>
      <c r="AF229"/>
      <c r="AG229"/>
      <c r="AH229"/>
      <c r="AI229"/>
      <c r="AJ229"/>
      <c r="AK229"/>
    </row>
    <row r="230" spans="1:37" s="6" customFormat="1" x14ac:dyDescent="0.2">
      <c r="A230" s="7"/>
      <c r="B230" s="177" t="s">
        <v>676</v>
      </c>
      <c r="C230" s="177" t="s">
        <v>226</v>
      </c>
      <c r="D230" s="177" t="s">
        <v>331</v>
      </c>
      <c r="E230" s="177" t="s">
        <v>512</v>
      </c>
      <c r="F230" s="181" t="s">
        <v>233</v>
      </c>
      <c r="G230" s="179">
        <f>BaseYear</f>
        <v>2010</v>
      </c>
      <c r="H230" s="180">
        <v>1</v>
      </c>
      <c r="I230" s="205">
        <v>15</v>
      </c>
      <c r="J230" s="181">
        <v>1</v>
      </c>
      <c r="K230" s="197">
        <v>17.55</v>
      </c>
      <c r="L230" s="177"/>
      <c r="M230" s="181"/>
      <c r="N230" s="199"/>
      <c r="O230" s="180"/>
      <c r="P230" s="181"/>
      <c r="Q230" s="199"/>
      <c r="R230" s="180"/>
      <c r="S230" s="214"/>
      <c r="T230" s="199">
        <v>2.93</v>
      </c>
      <c r="U230" s="190">
        <v>3.0166196313091915</v>
      </c>
      <c r="V230" s="191">
        <v>3.1058000000000003</v>
      </c>
      <c r="W230" s="179"/>
      <c r="X230" s="180"/>
      <c r="Y230" s="181"/>
      <c r="Z230"/>
      <c r="AA230" s="5"/>
      <c r="AB230" s="5"/>
      <c r="AC230"/>
      <c r="AD230"/>
      <c r="AE230"/>
      <c r="AF230"/>
      <c r="AG230"/>
      <c r="AH230"/>
      <c r="AI230"/>
      <c r="AJ230"/>
      <c r="AK230"/>
    </row>
    <row r="231" spans="1:37" s="6" customFormat="1" x14ac:dyDescent="0.2">
      <c r="A231" s="7"/>
      <c r="B231" s="177" t="s">
        <v>235</v>
      </c>
      <c r="C231" s="177" t="s">
        <v>1008</v>
      </c>
      <c r="D231" s="177" t="s">
        <v>1176</v>
      </c>
      <c r="E231" s="177" t="s">
        <v>512</v>
      </c>
      <c r="F231" s="181" t="s">
        <v>233</v>
      </c>
      <c r="G231" s="180">
        <f t="shared" si="61"/>
        <v>2011</v>
      </c>
      <c r="H231" s="180">
        <v>1</v>
      </c>
      <c r="I231" s="212">
        <v>15</v>
      </c>
      <c r="J231" s="181">
        <v>1</v>
      </c>
      <c r="K231" s="197">
        <v>17.55</v>
      </c>
      <c r="L231" s="177"/>
      <c r="M231" s="181"/>
      <c r="N231" s="199"/>
      <c r="O231" s="180"/>
      <c r="P231" s="181"/>
      <c r="Q231" s="200">
        <v>0.20682341044115757</v>
      </c>
      <c r="R231" s="201">
        <v>0.53661367639178659</v>
      </c>
      <c r="S231" s="202">
        <v>0.83427420454525347</v>
      </c>
      <c r="T231" s="199">
        <v>3</v>
      </c>
      <c r="U231" s="190">
        <v>3.2171415884290826</v>
      </c>
      <c r="V231" s="191">
        <v>3.45</v>
      </c>
      <c r="W231" s="179"/>
      <c r="X231" s="180"/>
      <c r="Y231" s="181"/>
      <c r="Z231"/>
      <c r="AA231" s="5"/>
      <c r="AB231" s="5"/>
      <c r="AC231"/>
      <c r="AD231"/>
      <c r="AE231"/>
      <c r="AF231"/>
      <c r="AG231"/>
      <c r="AH231"/>
      <c r="AI231"/>
      <c r="AJ231"/>
      <c r="AK231"/>
    </row>
    <row r="232" spans="1:37" s="6" customFormat="1" x14ac:dyDescent="0.2">
      <c r="A232" s="7"/>
      <c r="B232" s="177" t="s">
        <v>237</v>
      </c>
      <c r="C232" s="177" t="s">
        <v>1061</v>
      </c>
      <c r="D232" s="177" t="s">
        <v>1176</v>
      </c>
      <c r="E232" s="177" t="s">
        <v>512</v>
      </c>
      <c r="F232" s="181" t="s">
        <v>233</v>
      </c>
      <c r="G232" s="180">
        <f t="shared" si="61"/>
        <v>2011</v>
      </c>
      <c r="H232" s="180">
        <v>1</v>
      </c>
      <c r="I232" s="212">
        <v>15</v>
      </c>
      <c r="J232" s="181">
        <v>1</v>
      </c>
      <c r="K232" s="197">
        <v>17.55</v>
      </c>
      <c r="L232" s="177"/>
      <c r="M232" s="181"/>
      <c r="N232" s="199"/>
      <c r="O232" s="180"/>
      <c r="P232" s="181"/>
      <c r="Q232" s="200">
        <v>1.0650027004975799</v>
      </c>
      <c r="R232" s="201">
        <v>1.5270743378613696</v>
      </c>
      <c r="S232" s="202">
        <v>1.9329536519739785</v>
      </c>
      <c r="T232" s="199">
        <v>3.3</v>
      </c>
      <c r="U232" s="190">
        <v>3.614968879534096</v>
      </c>
      <c r="V232" s="191">
        <v>3.96</v>
      </c>
      <c r="W232" s="179"/>
      <c r="X232" s="180"/>
      <c r="Y232" s="181"/>
      <c r="Z232"/>
      <c r="AA232" s="5"/>
      <c r="AB232" s="5"/>
      <c r="AC232"/>
      <c r="AD232"/>
      <c r="AE232"/>
      <c r="AF232"/>
      <c r="AG232"/>
      <c r="AH232"/>
      <c r="AI232"/>
      <c r="AJ232"/>
      <c r="AK232"/>
    </row>
    <row r="233" spans="1:37" s="6" customFormat="1" x14ac:dyDescent="0.2">
      <c r="A233" s="7"/>
      <c r="B233" s="177" t="s">
        <v>239</v>
      </c>
      <c r="C233" s="177" t="s">
        <v>1064</v>
      </c>
      <c r="D233" s="177" t="s">
        <v>1176</v>
      </c>
      <c r="E233" s="177" t="s">
        <v>512</v>
      </c>
      <c r="F233" s="181" t="s">
        <v>233</v>
      </c>
      <c r="G233" s="180">
        <f t="shared" si="61"/>
        <v>2011</v>
      </c>
      <c r="H233" s="180">
        <v>1</v>
      </c>
      <c r="I233" s="212">
        <v>15</v>
      </c>
      <c r="J233" s="181">
        <v>1</v>
      </c>
      <c r="K233" s="197">
        <v>17.55</v>
      </c>
      <c r="L233" s="177"/>
      <c r="M233" s="181"/>
      <c r="N233" s="199"/>
      <c r="O233" s="180"/>
      <c r="P233" s="181"/>
      <c r="Q233" s="200">
        <v>2.8805195297686752</v>
      </c>
      <c r="R233" s="201">
        <v>4.0187513498064087</v>
      </c>
      <c r="S233" s="202">
        <v>4.9002525263366268</v>
      </c>
      <c r="T233" s="199">
        <v>4</v>
      </c>
      <c r="U233" s="190">
        <v>4.8989794855663558</v>
      </c>
      <c r="V233" s="191">
        <v>6</v>
      </c>
      <c r="W233" s="179"/>
      <c r="X233" s="180"/>
      <c r="Y233" s="181"/>
      <c r="Z233"/>
      <c r="AA233" s="5"/>
      <c r="AB233" s="5"/>
      <c r="AC233"/>
      <c r="AD233"/>
      <c r="AE233"/>
      <c r="AF233"/>
      <c r="AG233"/>
      <c r="AH233"/>
      <c r="AI233"/>
      <c r="AJ233"/>
      <c r="AK233"/>
    </row>
    <row r="234" spans="1:37" s="6" customFormat="1" x14ac:dyDescent="0.2">
      <c r="A234" s="7"/>
      <c r="B234" s="177" t="s">
        <v>241</v>
      </c>
      <c r="C234" s="177" t="s">
        <v>284</v>
      </c>
      <c r="D234" s="177" t="s">
        <v>1176</v>
      </c>
      <c r="E234" s="177" t="s">
        <v>512</v>
      </c>
      <c r="F234" s="181" t="s">
        <v>233</v>
      </c>
      <c r="G234" s="180">
        <f t="shared" si="61"/>
        <v>2011</v>
      </c>
      <c r="H234" s="180">
        <v>1</v>
      </c>
      <c r="I234" s="212">
        <v>20</v>
      </c>
      <c r="J234" s="181">
        <v>1</v>
      </c>
      <c r="K234" s="197">
        <v>17.55</v>
      </c>
      <c r="L234" s="177"/>
      <c r="M234" s="181"/>
      <c r="N234" s="199"/>
      <c r="O234" s="180"/>
      <c r="P234" s="181"/>
      <c r="Q234" s="200">
        <v>0.78359641638225164</v>
      </c>
      <c r="R234" s="201">
        <v>0.88952384847380006</v>
      </c>
      <c r="S234" s="202">
        <v>0.98678233351425426</v>
      </c>
      <c r="T234" s="199">
        <v>3.2</v>
      </c>
      <c r="U234" s="190">
        <v>3.3466401061363023</v>
      </c>
      <c r="V234" s="191">
        <v>3.5</v>
      </c>
      <c r="W234" s="179"/>
      <c r="X234" s="180"/>
      <c r="Y234" s="181"/>
      <c r="Z234"/>
      <c r="AA234" s="5"/>
      <c r="AB234" s="5"/>
      <c r="AC234"/>
      <c r="AD234"/>
      <c r="AE234"/>
      <c r="AF234"/>
      <c r="AG234"/>
      <c r="AH234"/>
      <c r="AI234"/>
      <c r="AJ234"/>
      <c r="AK234"/>
    </row>
    <row r="235" spans="1:37" s="6" customFormat="1" x14ac:dyDescent="0.2">
      <c r="A235" s="7"/>
      <c r="B235" s="177" t="s">
        <v>244</v>
      </c>
      <c r="C235" s="177" t="s">
        <v>15</v>
      </c>
      <c r="D235" s="177" t="s">
        <v>242</v>
      </c>
      <c r="E235" s="177" t="s">
        <v>512</v>
      </c>
      <c r="F235" s="181" t="s">
        <v>233</v>
      </c>
      <c r="G235" s="180">
        <f t="shared" si="61"/>
        <v>2011</v>
      </c>
      <c r="H235" s="180">
        <v>1</v>
      </c>
      <c r="I235" s="212">
        <v>20</v>
      </c>
      <c r="J235" s="181">
        <v>1</v>
      </c>
      <c r="K235" s="197">
        <v>17.55</v>
      </c>
      <c r="L235" s="177"/>
      <c r="M235" s="181"/>
      <c r="N235" s="199"/>
      <c r="O235" s="180"/>
      <c r="P235" s="181"/>
      <c r="Q235" s="200">
        <v>3.535460329499009</v>
      </c>
      <c r="R235" s="201">
        <v>4.3098988395055624</v>
      </c>
      <c r="S235" s="202">
        <v>4.9206554179992983</v>
      </c>
      <c r="T235" s="199">
        <v>4.5</v>
      </c>
      <c r="U235" s="190">
        <v>5.3665631459994954</v>
      </c>
      <c r="V235" s="191">
        <v>6.4</v>
      </c>
      <c r="W235" s="179"/>
      <c r="X235" s="180"/>
      <c r="Y235" s="181"/>
      <c r="Z235"/>
      <c r="AA235" s="5"/>
      <c r="AB235" s="5"/>
      <c r="AC235"/>
      <c r="AD235"/>
      <c r="AE235"/>
      <c r="AF235"/>
      <c r="AG235"/>
      <c r="AH235"/>
      <c r="AI235"/>
      <c r="AJ235"/>
      <c r="AK235"/>
    </row>
    <row r="236" spans="1:37" s="6" customFormat="1" x14ac:dyDescent="0.2">
      <c r="A236" s="7"/>
      <c r="B236" s="177" t="s">
        <v>246</v>
      </c>
      <c r="C236" s="177" t="s">
        <v>581</v>
      </c>
      <c r="D236" s="177" t="s">
        <v>1176</v>
      </c>
      <c r="E236" s="177" t="s">
        <v>512</v>
      </c>
      <c r="F236" s="181" t="s">
        <v>233</v>
      </c>
      <c r="G236" s="180">
        <f t="shared" si="61"/>
        <v>2011</v>
      </c>
      <c r="H236" s="180">
        <v>1</v>
      </c>
      <c r="I236" s="212">
        <v>20</v>
      </c>
      <c r="J236" s="181">
        <v>1</v>
      </c>
      <c r="K236" s="197">
        <v>17.55</v>
      </c>
      <c r="L236" s="177"/>
      <c r="M236" s="181"/>
      <c r="N236" s="199"/>
      <c r="O236" s="180"/>
      <c r="P236" s="181"/>
      <c r="Q236" s="200">
        <v>5.0702692453545692</v>
      </c>
      <c r="R236" s="201">
        <v>5.7577241333455182</v>
      </c>
      <c r="S236" s="202">
        <v>6.2954810232301659</v>
      </c>
      <c r="T236" s="199">
        <v>5.2</v>
      </c>
      <c r="U236" s="190">
        <v>6.1611687202997452</v>
      </c>
      <c r="V236" s="191">
        <v>7.3</v>
      </c>
      <c r="W236" s="179"/>
      <c r="X236" s="180"/>
      <c r="Y236" s="181"/>
      <c r="Z236"/>
      <c r="AA236" s="5"/>
      <c r="AB236" s="5"/>
      <c r="AC236"/>
      <c r="AD236"/>
      <c r="AE236"/>
      <c r="AF236"/>
      <c r="AG236"/>
      <c r="AH236"/>
      <c r="AI236"/>
      <c r="AJ236"/>
      <c r="AK236"/>
    </row>
    <row r="237" spans="1:37" s="6" customFormat="1" x14ac:dyDescent="0.2">
      <c r="A237" s="7"/>
      <c r="B237" s="177" t="s">
        <v>1040</v>
      </c>
      <c r="C237" s="177" t="s">
        <v>1041</v>
      </c>
      <c r="D237" s="177"/>
      <c r="E237" s="177" t="s">
        <v>526</v>
      </c>
      <c r="F237" s="181" t="s">
        <v>233</v>
      </c>
      <c r="G237" s="180">
        <f t="shared" si="61"/>
        <v>2011</v>
      </c>
      <c r="H237" s="180">
        <v>1</v>
      </c>
      <c r="I237" s="212">
        <v>25</v>
      </c>
      <c r="J237" s="181">
        <v>1</v>
      </c>
      <c r="K237" s="197">
        <v>14.95</v>
      </c>
      <c r="L237" s="177"/>
      <c r="M237" s="181"/>
      <c r="N237" s="199">
        <v>0.21389999999999998</v>
      </c>
      <c r="O237" s="187">
        <v>0.21389999999999998</v>
      </c>
      <c r="P237" s="188">
        <v>0.21389999999999998</v>
      </c>
      <c r="Q237" s="199"/>
      <c r="R237" s="180"/>
      <c r="S237" s="214"/>
      <c r="T237" s="199">
        <v>1.1499999999999999</v>
      </c>
      <c r="U237" s="190">
        <v>1.2332376088978148</v>
      </c>
      <c r="V237" s="191">
        <v>1.3225</v>
      </c>
      <c r="W237" s="179"/>
      <c r="X237" s="180"/>
      <c r="Y237" s="181"/>
      <c r="Z237"/>
      <c r="AA237" s="5"/>
      <c r="AB237" s="5"/>
      <c r="AC237"/>
      <c r="AD237"/>
      <c r="AE237"/>
      <c r="AF237"/>
      <c r="AG237"/>
      <c r="AH237"/>
      <c r="AI237"/>
      <c r="AJ237"/>
      <c r="AK237"/>
    </row>
    <row r="238" spans="1:37" s="6" customFormat="1" x14ac:dyDescent="0.2">
      <c r="A238" s="7"/>
      <c r="B238" s="177" t="s">
        <v>674</v>
      </c>
      <c r="C238" s="177" t="s">
        <v>224</v>
      </c>
      <c r="D238" s="177" t="s">
        <v>331</v>
      </c>
      <c r="E238" s="177" t="s">
        <v>673</v>
      </c>
      <c r="F238" s="181" t="s">
        <v>233</v>
      </c>
      <c r="G238" s="180">
        <f t="shared" si="61"/>
        <v>2011</v>
      </c>
      <c r="H238" s="180">
        <v>1</v>
      </c>
      <c r="I238" s="212">
        <v>15</v>
      </c>
      <c r="J238" s="181">
        <v>1</v>
      </c>
      <c r="K238" s="197">
        <v>45.5</v>
      </c>
      <c r="L238" s="177"/>
      <c r="M238" s="181"/>
      <c r="N238" s="199">
        <v>0.34444444444444444</v>
      </c>
      <c r="O238" s="180"/>
      <c r="P238" s="181"/>
      <c r="Q238" s="199"/>
      <c r="R238" s="180"/>
      <c r="S238" s="214"/>
      <c r="T238" s="199">
        <v>4.2</v>
      </c>
      <c r="U238" s="190">
        <v>4.4049971623146371</v>
      </c>
      <c r="V238" s="191">
        <v>4.62</v>
      </c>
      <c r="W238" s="179"/>
      <c r="X238" s="180"/>
      <c r="Y238" s="181"/>
      <c r="Z238"/>
      <c r="AA238" s="5"/>
      <c r="AB238" s="5"/>
      <c r="AC238"/>
      <c r="AD238"/>
      <c r="AE238"/>
      <c r="AF238"/>
      <c r="AG238"/>
      <c r="AH238"/>
      <c r="AI238"/>
      <c r="AJ238"/>
      <c r="AK238"/>
    </row>
    <row r="239" spans="1:37" s="6" customFormat="1" x14ac:dyDescent="0.2">
      <c r="A239" s="7"/>
      <c r="B239" s="177" t="s">
        <v>330</v>
      </c>
      <c r="C239" s="178" t="s">
        <v>352</v>
      </c>
      <c r="D239" s="177"/>
      <c r="E239" s="177"/>
      <c r="F239" s="181"/>
      <c r="G239" s="177"/>
      <c r="H239" s="180"/>
      <c r="I239" s="209"/>
      <c r="J239" s="181"/>
      <c r="K239" s="209"/>
      <c r="L239" s="177"/>
      <c r="M239" s="181"/>
      <c r="N239" s="209"/>
      <c r="O239" s="180"/>
      <c r="P239" s="181"/>
      <c r="Q239" s="209"/>
      <c r="R239" s="180"/>
      <c r="S239" s="181"/>
      <c r="T239" s="209"/>
      <c r="U239" s="195"/>
      <c r="V239" s="196"/>
      <c r="W239" s="179"/>
      <c r="X239" s="180"/>
      <c r="Y239" s="181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s="6" customFormat="1" x14ac:dyDescent="0.2">
      <c r="A240" s="7"/>
      <c r="B240" s="177" t="s">
        <v>565</v>
      </c>
      <c r="C240" s="177" t="s">
        <v>16</v>
      </c>
      <c r="D240" s="177" t="s">
        <v>331</v>
      </c>
      <c r="E240" s="177" t="s">
        <v>2</v>
      </c>
      <c r="F240" s="181" t="s">
        <v>566</v>
      </c>
      <c r="G240" s="180">
        <f>BaseYear+1</f>
        <v>2011</v>
      </c>
      <c r="H240" s="180">
        <v>1</v>
      </c>
      <c r="I240" s="205">
        <v>15</v>
      </c>
      <c r="J240" s="181">
        <v>1</v>
      </c>
      <c r="K240" s="199">
        <v>247</v>
      </c>
      <c r="L240" s="177"/>
      <c r="M240" s="181"/>
      <c r="N240" s="199">
        <v>3.4444444444444442</v>
      </c>
      <c r="O240" s="180"/>
      <c r="P240" s="181"/>
      <c r="Q240" s="199"/>
      <c r="R240" s="180"/>
      <c r="S240" s="181"/>
      <c r="T240" s="199">
        <v>1</v>
      </c>
      <c r="U240" s="195"/>
      <c r="V240" s="196"/>
      <c r="W240" s="179"/>
      <c r="X240" s="180"/>
      <c r="Y240" s="181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8" s="6" customFormat="1" x14ac:dyDescent="0.2">
      <c r="A241" s="7"/>
      <c r="B241" s="177" t="s">
        <v>567</v>
      </c>
      <c r="C241" s="177" t="s">
        <v>17</v>
      </c>
      <c r="D241" s="177" t="s">
        <v>331</v>
      </c>
      <c r="E241" s="177" t="s">
        <v>592</v>
      </c>
      <c r="F241" s="181" t="s">
        <v>566</v>
      </c>
      <c r="G241" s="180">
        <f>BaseYear+110</f>
        <v>2120</v>
      </c>
      <c r="H241" s="180">
        <v>1</v>
      </c>
      <c r="I241" s="205">
        <v>15</v>
      </c>
      <c r="J241" s="181">
        <v>1</v>
      </c>
      <c r="K241" s="199">
        <v>260</v>
      </c>
      <c r="L241" s="177"/>
      <c r="M241" s="181"/>
      <c r="N241" s="199">
        <v>4.1333333333333337</v>
      </c>
      <c r="O241" s="180"/>
      <c r="P241" s="181"/>
      <c r="Q241" s="199"/>
      <c r="R241" s="180"/>
      <c r="S241" s="181"/>
      <c r="T241" s="199">
        <v>0.9</v>
      </c>
      <c r="U241" s="195"/>
      <c r="V241" s="196"/>
      <c r="W241" s="179"/>
      <c r="X241" s="180"/>
      <c r="Y241" s="18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8" s="6" customFormat="1" x14ac:dyDescent="0.2">
      <c r="A242" s="7"/>
      <c r="B242" s="177" t="s">
        <v>568</v>
      </c>
      <c r="C242" s="177" t="s">
        <v>18</v>
      </c>
      <c r="D242" s="177" t="s">
        <v>331</v>
      </c>
      <c r="E242" s="177" t="s">
        <v>1</v>
      </c>
      <c r="F242" s="181" t="s">
        <v>566</v>
      </c>
      <c r="G242" s="180">
        <f>BaseYear+1</f>
        <v>2011</v>
      </c>
      <c r="H242" s="180">
        <v>1</v>
      </c>
      <c r="I242" s="205">
        <v>15</v>
      </c>
      <c r="J242" s="181">
        <v>1</v>
      </c>
      <c r="K242" s="199">
        <v>260</v>
      </c>
      <c r="L242" s="177"/>
      <c r="M242" s="181"/>
      <c r="N242" s="199">
        <v>4.34</v>
      </c>
      <c r="O242" s="180"/>
      <c r="P242" s="181"/>
      <c r="Q242" s="199"/>
      <c r="R242" s="180"/>
      <c r="S242" s="181"/>
      <c r="T242" s="199">
        <v>1</v>
      </c>
      <c r="U242" s="195"/>
      <c r="V242" s="196"/>
      <c r="W242" s="179"/>
      <c r="X242" s="180"/>
      <c r="Y242" s="181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8" s="6" customFormat="1" x14ac:dyDescent="0.2">
      <c r="A243" s="7"/>
      <c r="B243" s="177" t="s">
        <v>231</v>
      </c>
      <c r="C243" s="177" t="s">
        <v>230</v>
      </c>
      <c r="D243" s="177" t="s">
        <v>232</v>
      </c>
      <c r="E243" s="177" t="s">
        <v>591</v>
      </c>
      <c r="F243" s="181" t="s">
        <v>566</v>
      </c>
      <c r="G243" s="180">
        <f>BaseYear+110</f>
        <v>2120</v>
      </c>
      <c r="H243" s="180">
        <v>1</v>
      </c>
      <c r="I243" s="205">
        <v>15</v>
      </c>
      <c r="J243" s="181">
        <v>1</v>
      </c>
      <c r="K243" s="199">
        <v>260</v>
      </c>
      <c r="L243" s="177"/>
      <c r="M243" s="181"/>
      <c r="N243" s="199">
        <v>4.34</v>
      </c>
      <c r="O243" s="180"/>
      <c r="P243" s="181"/>
      <c r="Q243" s="199"/>
      <c r="R243" s="180"/>
      <c r="S243" s="181"/>
      <c r="T243" s="199">
        <v>0.9</v>
      </c>
      <c r="U243" s="195"/>
      <c r="V243" s="196"/>
      <c r="W243" s="179"/>
      <c r="X243" s="180"/>
      <c r="Y243" s="181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8" s="6" customFormat="1" x14ac:dyDescent="0.2">
      <c r="A244" s="7"/>
      <c r="B244" s="177" t="s">
        <v>569</v>
      </c>
      <c r="C244" s="177" t="s">
        <v>212</v>
      </c>
      <c r="D244" s="177" t="s">
        <v>331</v>
      </c>
      <c r="E244" s="177" t="s">
        <v>518</v>
      </c>
      <c r="F244" s="181" t="s">
        <v>566</v>
      </c>
      <c r="G244" s="180">
        <f>BaseYear</f>
        <v>2010</v>
      </c>
      <c r="H244" s="180">
        <v>1</v>
      </c>
      <c r="I244" s="205">
        <v>15</v>
      </c>
      <c r="J244" s="181">
        <v>1</v>
      </c>
      <c r="K244" s="199">
        <v>234</v>
      </c>
      <c r="L244" s="177"/>
      <c r="M244" s="181"/>
      <c r="N244" s="199">
        <v>2.7555555555555555</v>
      </c>
      <c r="O244" s="180"/>
      <c r="P244" s="181"/>
      <c r="Q244" s="199"/>
      <c r="R244" s="180"/>
      <c r="S244" s="181"/>
      <c r="T244" s="199">
        <v>1</v>
      </c>
      <c r="U244" s="195"/>
      <c r="V244" s="196"/>
      <c r="W244" s="179"/>
      <c r="X244" s="180"/>
      <c r="Y244" s="181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8" s="6" customFormat="1" x14ac:dyDescent="0.2">
      <c r="A245" s="7"/>
      <c r="B245" s="177" t="s">
        <v>228</v>
      </c>
      <c r="C245" s="177" t="s">
        <v>227</v>
      </c>
      <c r="D245" s="177" t="s">
        <v>229</v>
      </c>
      <c r="E245" s="177" t="s">
        <v>599</v>
      </c>
      <c r="F245" s="181" t="s">
        <v>566</v>
      </c>
      <c r="G245" s="180">
        <f>BaseYear+110</f>
        <v>2120</v>
      </c>
      <c r="H245" s="180">
        <v>1</v>
      </c>
      <c r="I245" s="205">
        <v>15</v>
      </c>
      <c r="J245" s="181">
        <v>1</v>
      </c>
      <c r="K245" s="199">
        <v>234</v>
      </c>
      <c r="L245" s="177"/>
      <c r="M245" s="181"/>
      <c r="N245" s="199">
        <v>2.7555555555555555</v>
      </c>
      <c r="O245" s="180"/>
      <c r="P245" s="181"/>
      <c r="Q245" s="199"/>
      <c r="R245" s="180"/>
      <c r="S245" s="181"/>
      <c r="T245" s="199">
        <v>1</v>
      </c>
      <c r="U245" s="195"/>
      <c r="V245" s="196"/>
      <c r="W245" s="179"/>
      <c r="X245" s="180"/>
      <c r="Y245" s="181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s="6" customFormat="1" x14ac:dyDescent="0.2">
      <c r="A246" s="7"/>
      <c r="B246" s="177" t="s">
        <v>681</v>
      </c>
      <c r="C246" s="177" t="s">
        <v>663</v>
      </c>
      <c r="D246" s="177"/>
      <c r="E246" s="177" t="s">
        <v>678</v>
      </c>
      <c r="F246" s="181" t="s">
        <v>566</v>
      </c>
      <c r="G246" s="180">
        <f>BaseYear+1</f>
        <v>2011</v>
      </c>
      <c r="H246" s="180">
        <v>1</v>
      </c>
      <c r="I246" s="205">
        <v>17</v>
      </c>
      <c r="J246" s="181">
        <v>1</v>
      </c>
      <c r="K246" s="199">
        <v>260</v>
      </c>
      <c r="L246" s="177"/>
      <c r="M246" s="181"/>
      <c r="N246" s="199">
        <v>5.166666666666667</v>
      </c>
      <c r="O246" s="180"/>
      <c r="P246" s="181"/>
      <c r="Q246" s="199"/>
      <c r="R246" s="180"/>
      <c r="S246" s="181"/>
      <c r="T246" s="199">
        <v>0.75</v>
      </c>
      <c r="U246" s="195"/>
      <c r="V246" s="196"/>
      <c r="W246" s="179"/>
      <c r="X246" s="180"/>
      <c r="Y246" s="181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s="6" customFormat="1" x14ac:dyDescent="0.2">
      <c r="A247" s="7"/>
      <c r="B247" s="177" t="s">
        <v>330</v>
      </c>
      <c r="C247" s="178" t="s">
        <v>353</v>
      </c>
      <c r="D247" s="177"/>
      <c r="E247" s="177"/>
      <c r="F247" s="181"/>
      <c r="G247" s="177"/>
      <c r="H247" s="180"/>
      <c r="I247" s="209"/>
      <c r="J247" s="181"/>
      <c r="K247" s="209"/>
      <c r="L247" s="177"/>
      <c r="M247" s="181"/>
      <c r="N247" s="209"/>
      <c r="O247" s="180"/>
      <c r="P247" s="181"/>
      <c r="Q247" s="209"/>
      <c r="R247" s="180"/>
      <c r="S247" s="181"/>
      <c r="T247" s="209"/>
      <c r="U247" s="195"/>
      <c r="V247" s="196"/>
      <c r="W247" s="179"/>
      <c r="X247" s="180"/>
      <c r="Y247" s="181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s="6" customFormat="1" x14ac:dyDescent="0.2">
      <c r="A248" s="7"/>
      <c r="B248" s="177" t="s">
        <v>664</v>
      </c>
      <c r="C248" s="177" t="s">
        <v>1042</v>
      </c>
      <c r="D248" s="177" t="s">
        <v>331</v>
      </c>
      <c r="E248" s="177" t="s">
        <v>516</v>
      </c>
      <c r="F248" s="181" t="s">
        <v>665</v>
      </c>
      <c r="G248" s="180">
        <f>BaseYear</f>
        <v>2010</v>
      </c>
      <c r="H248" s="180">
        <v>1</v>
      </c>
      <c r="I248" s="205">
        <v>10</v>
      </c>
      <c r="J248" s="181">
        <v>1</v>
      </c>
      <c r="K248" s="199">
        <v>13</v>
      </c>
      <c r="L248" s="177"/>
      <c r="M248" s="181"/>
      <c r="N248" s="199"/>
      <c r="O248" s="180"/>
      <c r="P248" s="181"/>
      <c r="Q248" s="209"/>
      <c r="R248" s="180"/>
      <c r="S248" s="181"/>
      <c r="T248" s="199">
        <v>1</v>
      </c>
      <c r="U248" s="195">
        <v>1</v>
      </c>
      <c r="V248" s="196">
        <v>1</v>
      </c>
      <c r="W248" s="179"/>
      <c r="X248" s="180"/>
      <c r="Y248" s="181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s="6" customFormat="1" x14ac:dyDescent="0.2">
      <c r="A249" s="7"/>
      <c r="B249" s="177" t="s">
        <v>1043</v>
      </c>
      <c r="C249" s="177" t="s">
        <v>1044</v>
      </c>
      <c r="D249" s="177"/>
      <c r="E249" s="177" t="s">
        <v>516</v>
      </c>
      <c r="F249" s="181" t="s">
        <v>665</v>
      </c>
      <c r="G249" s="180">
        <f>BaseYear+1</f>
        <v>2011</v>
      </c>
      <c r="H249" s="180">
        <v>1</v>
      </c>
      <c r="I249" s="205">
        <v>10</v>
      </c>
      <c r="J249" s="181">
        <v>1</v>
      </c>
      <c r="K249" s="199">
        <v>13</v>
      </c>
      <c r="L249" s="177"/>
      <c r="M249" s="181"/>
      <c r="N249" s="199"/>
      <c r="O249" s="180"/>
      <c r="P249" s="181"/>
      <c r="Q249" s="200">
        <v>2.4737373737373742</v>
      </c>
      <c r="R249" s="201">
        <v>3.5268789202497799</v>
      </c>
      <c r="S249" s="202">
        <v>4.5351851851851865</v>
      </c>
      <c r="T249" s="199">
        <v>1.1000000000000001</v>
      </c>
      <c r="U249" s="190">
        <f>SQRT(V249*T249)</f>
        <v>1.1489125293076059</v>
      </c>
      <c r="V249" s="196">
        <f>1+(T249-1)*2</f>
        <v>1.2000000000000002</v>
      </c>
      <c r="W249" s="179"/>
      <c r="X249" s="180"/>
      <c r="Y249" s="181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s="6" customFormat="1" x14ac:dyDescent="0.2">
      <c r="A250" s="7"/>
      <c r="B250" s="177" t="s">
        <v>1045</v>
      </c>
      <c r="C250" s="177" t="s">
        <v>1046</v>
      </c>
      <c r="D250" s="177"/>
      <c r="E250" s="177" t="s">
        <v>516</v>
      </c>
      <c r="F250" s="181" t="s">
        <v>665</v>
      </c>
      <c r="G250" s="180">
        <f>BaseYear+1</f>
        <v>2011</v>
      </c>
      <c r="H250" s="180">
        <v>1</v>
      </c>
      <c r="I250" s="205">
        <v>10</v>
      </c>
      <c r="J250" s="181">
        <v>1</v>
      </c>
      <c r="K250" s="199">
        <v>13</v>
      </c>
      <c r="L250" s="177"/>
      <c r="M250" s="181"/>
      <c r="N250" s="199"/>
      <c r="O250" s="180"/>
      <c r="P250" s="181"/>
      <c r="Q250" s="200">
        <v>6.3102222222222206</v>
      </c>
      <c r="R250" s="201">
        <v>8.5094374179011911</v>
      </c>
      <c r="S250" s="202">
        <v>10.517037037037039</v>
      </c>
      <c r="T250" s="199">
        <v>1.25</v>
      </c>
      <c r="U250" s="190">
        <f>SQRT(V250*T250)</f>
        <v>1.3693063937629153</v>
      </c>
      <c r="V250" s="196">
        <f>1+(T250-1)*2</f>
        <v>1.5</v>
      </c>
      <c r="W250" s="179"/>
      <c r="X250" s="180"/>
      <c r="Y250" s="181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s="6" customFormat="1" x14ac:dyDescent="0.2">
      <c r="A251" s="7"/>
      <c r="B251" s="177" t="s">
        <v>330</v>
      </c>
      <c r="C251" s="178" t="s">
        <v>354</v>
      </c>
      <c r="D251" s="177"/>
      <c r="E251" s="177"/>
      <c r="F251" s="181"/>
      <c r="G251" s="177"/>
      <c r="H251" s="180"/>
      <c r="I251" s="209"/>
      <c r="J251" s="181"/>
      <c r="K251" s="209"/>
      <c r="L251" s="177"/>
      <c r="M251" s="181"/>
      <c r="N251" s="209"/>
      <c r="O251" s="180"/>
      <c r="P251" s="181"/>
      <c r="Q251" s="209"/>
      <c r="R251" s="180"/>
      <c r="S251" s="181"/>
      <c r="T251" s="209"/>
      <c r="U251" s="195"/>
      <c r="V251" s="196"/>
      <c r="W251" s="179"/>
      <c r="X251" s="180"/>
      <c r="Y251" s="18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s="6" customFormat="1" x14ac:dyDescent="0.2">
      <c r="A252" s="7"/>
      <c r="B252" s="177" t="s">
        <v>1047</v>
      </c>
      <c r="C252" s="177" t="s">
        <v>1048</v>
      </c>
      <c r="D252" s="177" t="s">
        <v>331</v>
      </c>
      <c r="E252" s="177" t="s">
        <v>518</v>
      </c>
      <c r="F252" s="181" t="s">
        <v>667</v>
      </c>
      <c r="G252" s="180">
        <f>BaseYear</f>
        <v>2010</v>
      </c>
      <c r="H252" s="180">
        <v>1</v>
      </c>
      <c r="I252" s="205">
        <v>10</v>
      </c>
      <c r="J252" s="181">
        <v>1</v>
      </c>
      <c r="K252" s="199">
        <v>13</v>
      </c>
      <c r="L252" s="177"/>
      <c r="M252" s="181"/>
      <c r="N252" s="199"/>
      <c r="O252" s="180"/>
      <c r="P252" s="181"/>
      <c r="Q252" s="199"/>
      <c r="R252" s="180"/>
      <c r="S252" s="181"/>
      <c r="T252" s="199">
        <v>1</v>
      </c>
      <c r="U252" s="190">
        <f t="shared" ref="U252:U259" si="62">SQRT(V252*T252)</f>
        <v>1</v>
      </c>
      <c r="V252" s="196">
        <v>1</v>
      </c>
      <c r="W252" s="179"/>
      <c r="X252" s="180"/>
      <c r="Y252" s="181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s="6" customFormat="1" x14ac:dyDescent="0.2">
      <c r="A253" s="7"/>
      <c r="B253" s="177" t="s">
        <v>1049</v>
      </c>
      <c r="C253" s="177" t="s">
        <v>1050</v>
      </c>
      <c r="D253" s="177"/>
      <c r="E253" s="177" t="s">
        <v>518</v>
      </c>
      <c r="F253" s="181" t="s">
        <v>667</v>
      </c>
      <c r="G253" s="180">
        <f t="shared" ref="G253:G259" si="63">BaseYear+1</f>
        <v>2011</v>
      </c>
      <c r="H253" s="180">
        <v>1</v>
      </c>
      <c r="I253" s="205">
        <v>10</v>
      </c>
      <c r="J253" s="181">
        <v>1</v>
      </c>
      <c r="K253" s="199">
        <v>13</v>
      </c>
      <c r="L253" s="177"/>
      <c r="M253" s="181"/>
      <c r="N253" s="199"/>
      <c r="O253" s="180"/>
      <c r="P253" s="181"/>
      <c r="Q253" s="200">
        <v>0.99888888888889094</v>
      </c>
      <c r="R253" s="201">
        <v>1.5006907581958671</v>
      </c>
      <c r="S253" s="202">
        <v>1.9697119341563811</v>
      </c>
      <c r="T253" s="199">
        <v>1.04</v>
      </c>
      <c r="U253" s="190">
        <f t="shared" si="62"/>
        <v>1.0598113039593418</v>
      </c>
      <c r="V253" s="196">
        <f>1+(T253-1)*2</f>
        <v>1.08</v>
      </c>
      <c r="W253" s="179"/>
      <c r="X253" s="180"/>
      <c r="Y253" s="181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s="6" customFormat="1" x14ac:dyDescent="0.2">
      <c r="A254" s="7"/>
      <c r="B254" s="177" t="s">
        <v>666</v>
      </c>
      <c r="C254" s="177" t="s">
        <v>1051</v>
      </c>
      <c r="D254" s="177"/>
      <c r="E254" s="177" t="s">
        <v>518</v>
      </c>
      <c r="F254" s="181" t="s">
        <v>667</v>
      </c>
      <c r="G254" s="180">
        <f t="shared" si="63"/>
        <v>2011</v>
      </c>
      <c r="H254" s="180">
        <v>1</v>
      </c>
      <c r="I254" s="205">
        <v>10</v>
      </c>
      <c r="J254" s="181">
        <v>1</v>
      </c>
      <c r="K254" s="199">
        <v>13</v>
      </c>
      <c r="L254" s="177"/>
      <c r="M254" s="181"/>
      <c r="N254" s="199"/>
      <c r="O254" s="180"/>
      <c r="P254" s="181"/>
      <c r="Q254" s="200">
        <v>2.1803174603174602</v>
      </c>
      <c r="R254" s="201">
        <v>3.2690837725151809</v>
      </c>
      <c r="S254" s="202">
        <v>4.2240075973409281</v>
      </c>
      <c r="T254" s="199">
        <v>1.085</v>
      </c>
      <c r="U254" s="190">
        <f t="shared" si="62"/>
        <v>1.1266987174928353</v>
      </c>
      <c r="V254" s="196">
        <f>1+(T254-1)*2</f>
        <v>1.17</v>
      </c>
      <c r="W254" s="179"/>
      <c r="X254" s="180"/>
      <c r="Y254" s="181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s="6" customFormat="1" x14ac:dyDescent="0.2">
      <c r="A255" s="7"/>
      <c r="B255" s="177" t="s">
        <v>1052</v>
      </c>
      <c r="C255" s="177" t="s">
        <v>1053</v>
      </c>
      <c r="D255" s="177"/>
      <c r="E255" s="177" t="s">
        <v>518</v>
      </c>
      <c r="F255" s="181" t="s">
        <v>667</v>
      </c>
      <c r="G255" s="180">
        <f t="shared" si="63"/>
        <v>2011</v>
      </c>
      <c r="H255" s="180">
        <v>1</v>
      </c>
      <c r="I255" s="205">
        <v>10</v>
      </c>
      <c r="J255" s="181">
        <v>1</v>
      </c>
      <c r="K255" s="199">
        <v>13</v>
      </c>
      <c r="L255" s="177"/>
      <c r="M255" s="181"/>
      <c r="N255" s="199"/>
      <c r="O255" s="180"/>
      <c r="P255" s="181"/>
      <c r="Q255" s="200">
        <v>3.872753623188403</v>
      </c>
      <c r="R255" s="201">
        <v>5.746693502410845</v>
      </c>
      <c r="S255" s="202">
        <v>7.2810256410256358</v>
      </c>
      <c r="T255" s="199">
        <v>1.1499999999999999</v>
      </c>
      <c r="U255" s="190">
        <f t="shared" si="62"/>
        <v>1.2227019260637482</v>
      </c>
      <c r="V255" s="196">
        <f>1+(T255-1)*2</f>
        <v>1.2999999999999998</v>
      </c>
      <c r="W255" s="179"/>
      <c r="X255" s="180"/>
      <c r="Y255" s="181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s="6" customFormat="1" x14ac:dyDescent="0.2">
      <c r="A256" s="7"/>
      <c r="B256" s="177" t="s">
        <v>1054</v>
      </c>
      <c r="C256" s="177" t="s">
        <v>1055</v>
      </c>
      <c r="D256" s="177"/>
      <c r="E256" s="177" t="s">
        <v>518</v>
      </c>
      <c r="F256" s="181" t="s">
        <v>667</v>
      </c>
      <c r="G256" s="180">
        <f t="shared" si="63"/>
        <v>2011</v>
      </c>
      <c r="H256" s="180">
        <v>1</v>
      </c>
      <c r="I256" s="205">
        <v>10</v>
      </c>
      <c r="J256" s="181">
        <v>1</v>
      </c>
      <c r="K256" s="199">
        <v>13</v>
      </c>
      <c r="L256" s="177"/>
      <c r="M256" s="181"/>
      <c r="N256" s="199"/>
      <c r="O256" s="180"/>
      <c r="P256" s="181"/>
      <c r="Q256" s="200">
        <v>6.3102222222222206</v>
      </c>
      <c r="R256" s="201">
        <v>9.1783014944174415</v>
      </c>
      <c r="S256" s="202">
        <v>11.343703703703705</v>
      </c>
      <c r="T256" s="199">
        <v>1.25</v>
      </c>
      <c r="U256" s="190">
        <f t="shared" si="62"/>
        <v>1.3693063937629153</v>
      </c>
      <c r="V256" s="196">
        <f>1+(T256-1)*2</f>
        <v>1.5</v>
      </c>
      <c r="W256" s="179"/>
      <c r="X256" s="180"/>
      <c r="Y256" s="181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s="6" customFormat="1" x14ac:dyDescent="0.2">
      <c r="A257" s="7"/>
      <c r="B257" s="177" t="s">
        <v>1056</v>
      </c>
      <c r="C257" s="177" t="s">
        <v>1057</v>
      </c>
      <c r="D257" s="177"/>
      <c r="E257" s="177" t="s">
        <v>518</v>
      </c>
      <c r="F257" s="181" t="s">
        <v>667</v>
      </c>
      <c r="G257" s="180">
        <f t="shared" si="63"/>
        <v>2011</v>
      </c>
      <c r="H257" s="180">
        <v>1</v>
      </c>
      <c r="I257" s="205">
        <v>10</v>
      </c>
      <c r="J257" s="181">
        <v>1</v>
      </c>
      <c r="K257" s="199">
        <v>13</v>
      </c>
      <c r="L257" s="177"/>
      <c r="M257" s="181"/>
      <c r="N257" s="199"/>
      <c r="O257" s="180"/>
      <c r="P257" s="181"/>
      <c r="Q257" s="200">
        <v>8.6621399176954732</v>
      </c>
      <c r="R257" s="201">
        <v>12.410186472434432</v>
      </c>
      <c r="S257" s="202">
        <v>15.033986928104577</v>
      </c>
      <c r="T257" s="199">
        <v>1.35</v>
      </c>
      <c r="U257" s="190">
        <f t="shared" si="62"/>
        <v>1.5149257407543117</v>
      </c>
      <c r="V257" s="196">
        <f>1+(T257-1)*2</f>
        <v>1.7000000000000002</v>
      </c>
      <c r="W257" s="179"/>
      <c r="X257" s="180"/>
      <c r="Y257" s="181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s="6" customFormat="1" x14ac:dyDescent="0.2">
      <c r="A258" s="7"/>
      <c r="B258" s="177" t="s">
        <v>668</v>
      </c>
      <c r="C258" s="177" t="s">
        <v>214</v>
      </c>
      <c r="D258" s="177" t="s">
        <v>331</v>
      </c>
      <c r="E258" s="177" t="s">
        <v>591</v>
      </c>
      <c r="F258" s="181" t="s">
        <v>667</v>
      </c>
      <c r="G258" s="180">
        <f t="shared" si="63"/>
        <v>2011</v>
      </c>
      <c r="H258" s="180">
        <v>1</v>
      </c>
      <c r="I258" s="205">
        <v>10</v>
      </c>
      <c r="J258" s="181">
        <v>1</v>
      </c>
      <c r="K258" s="199">
        <v>13</v>
      </c>
      <c r="L258" s="177"/>
      <c r="M258" s="181"/>
      <c r="N258" s="199">
        <v>6.2</v>
      </c>
      <c r="O258" s="199">
        <v>6.2</v>
      </c>
      <c r="P258" s="181"/>
      <c r="Q258" s="197"/>
      <c r="R258" s="198"/>
      <c r="S258" s="204"/>
      <c r="T258" s="199">
        <v>0.54</v>
      </c>
      <c r="U258" s="190">
        <f t="shared" si="62"/>
        <v>0.59154036210557936</v>
      </c>
      <c r="V258" s="196">
        <f>T258*1.2</f>
        <v>0.64800000000000002</v>
      </c>
      <c r="W258" s="179"/>
      <c r="X258" s="180"/>
      <c r="Y258" s="181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s="6" customFormat="1" x14ac:dyDescent="0.2">
      <c r="A259" s="7"/>
      <c r="B259" s="177" t="s">
        <v>669</v>
      </c>
      <c r="C259" s="177" t="s">
        <v>215</v>
      </c>
      <c r="D259" s="177" t="s">
        <v>331</v>
      </c>
      <c r="E259" s="177" t="s">
        <v>2</v>
      </c>
      <c r="F259" s="181" t="s">
        <v>667</v>
      </c>
      <c r="G259" s="180">
        <f t="shared" si="63"/>
        <v>2011</v>
      </c>
      <c r="H259" s="180">
        <v>1</v>
      </c>
      <c r="I259" s="205">
        <v>10</v>
      </c>
      <c r="J259" s="181">
        <v>1</v>
      </c>
      <c r="K259" s="199">
        <v>13</v>
      </c>
      <c r="L259" s="177"/>
      <c r="M259" s="181"/>
      <c r="N259" s="199">
        <v>6.2</v>
      </c>
      <c r="O259" s="199">
        <v>6.2</v>
      </c>
      <c r="P259" s="181"/>
      <c r="Q259" s="197"/>
      <c r="R259" s="198"/>
      <c r="S259" s="204"/>
      <c r="T259" s="199">
        <v>0.54</v>
      </c>
      <c r="U259" s="190">
        <f t="shared" si="62"/>
        <v>0.59154036210557936</v>
      </c>
      <c r="V259" s="196">
        <f>T259*1.2</f>
        <v>0.64800000000000002</v>
      </c>
      <c r="W259" s="179"/>
      <c r="X259" s="180"/>
      <c r="Y259" s="181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s="6" customFormat="1" x14ac:dyDescent="0.2">
      <c r="A260" s="7"/>
      <c r="B260" s="177" t="s">
        <v>330</v>
      </c>
      <c r="C260" s="178" t="s">
        <v>355</v>
      </c>
      <c r="D260" s="177"/>
      <c r="E260" s="177"/>
      <c r="F260" s="181"/>
      <c r="G260" s="177"/>
      <c r="H260" s="180"/>
      <c r="I260" s="209"/>
      <c r="J260" s="181"/>
      <c r="K260" s="209"/>
      <c r="L260" s="177"/>
      <c r="M260" s="181"/>
      <c r="N260" s="209"/>
      <c r="O260" s="180"/>
      <c r="P260" s="181"/>
      <c r="Q260" s="209"/>
      <c r="R260" s="180"/>
      <c r="S260" s="181"/>
      <c r="T260" s="209"/>
      <c r="U260" s="195"/>
      <c r="V260" s="196"/>
      <c r="W260" s="179"/>
      <c r="X260" s="180"/>
      <c r="Y260" s="181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s="6" customFormat="1" x14ac:dyDescent="0.2">
      <c r="A261" s="7"/>
      <c r="B261" s="177" t="s">
        <v>670</v>
      </c>
      <c r="C261" s="177" t="s">
        <v>1058</v>
      </c>
      <c r="D261" s="177" t="s">
        <v>331</v>
      </c>
      <c r="E261" s="177" t="s">
        <v>518</v>
      </c>
      <c r="F261" s="181" t="s">
        <v>671</v>
      </c>
      <c r="G261" s="180">
        <f>BaseYear</f>
        <v>2010</v>
      </c>
      <c r="H261" s="180">
        <v>1</v>
      </c>
      <c r="I261" s="205">
        <v>15</v>
      </c>
      <c r="J261" s="181">
        <v>1</v>
      </c>
      <c r="K261" s="199">
        <v>13</v>
      </c>
      <c r="L261" s="177"/>
      <c r="M261" s="181"/>
      <c r="N261" s="199"/>
      <c r="O261" s="180"/>
      <c r="P261" s="181"/>
      <c r="Q261" s="199"/>
      <c r="R261" s="180"/>
      <c r="S261" s="181"/>
      <c r="T261" s="199">
        <v>1</v>
      </c>
      <c r="U261" s="190">
        <f>SQRT(V261*T261)</f>
        <v>1.0246950765959599</v>
      </c>
      <c r="V261" s="196">
        <f>T261*1.05</f>
        <v>1.05</v>
      </c>
      <c r="W261" s="179"/>
      <c r="X261" s="180"/>
      <c r="Y261" s="18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s="6" customFormat="1" x14ac:dyDescent="0.2">
      <c r="A262" s="7"/>
      <c r="B262" s="177" t="s">
        <v>1059</v>
      </c>
      <c r="C262" s="177" t="s">
        <v>1060</v>
      </c>
      <c r="D262" s="177"/>
      <c r="E262" s="177" t="s">
        <v>518</v>
      </c>
      <c r="F262" s="181" t="s">
        <v>671</v>
      </c>
      <c r="G262" s="180">
        <f>BaseYear+1</f>
        <v>2011</v>
      </c>
      <c r="H262" s="180">
        <v>1</v>
      </c>
      <c r="I262" s="205">
        <v>15</v>
      </c>
      <c r="J262" s="181">
        <v>1</v>
      </c>
      <c r="K262" s="199">
        <v>13</v>
      </c>
      <c r="L262" s="180"/>
      <c r="M262" s="181"/>
      <c r="N262" s="179"/>
      <c r="O262" s="180"/>
      <c r="P262" s="181"/>
      <c r="Q262" s="200">
        <v>2.5864646464646475</v>
      </c>
      <c r="R262" s="201">
        <v>5.0806458104407719</v>
      </c>
      <c r="S262" s="202">
        <v>7.2004144004143988</v>
      </c>
      <c r="T262" s="199">
        <v>1.1000000000000001</v>
      </c>
      <c r="U262" s="190">
        <f>SQRT(V262*T262)</f>
        <v>1.254192967609052</v>
      </c>
      <c r="V262" s="196">
        <f>T262*1.3</f>
        <v>1.4300000000000002</v>
      </c>
      <c r="W262" s="179"/>
      <c r="X262" s="180"/>
      <c r="Y262" s="181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s="6" customFormat="1" x14ac:dyDescent="0.2">
      <c r="A263" s="7"/>
      <c r="B263" s="1"/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AE263"/>
      <c r="AF263"/>
      <c r="AG263"/>
      <c r="AH263"/>
      <c r="AI263"/>
      <c r="AJ263"/>
      <c r="AK263"/>
      <c r="AL263"/>
    </row>
    <row r="264" spans="1:38" s="6" customFormat="1" x14ac:dyDescent="0.2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AE264"/>
      <c r="AF264"/>
      <c r="AG264"/>
      <c r="AH264"/>
      <c r="AI264"/>
      <c r="AJ264"/>
      <c r="AK264"/>
      <c r="AL264"/>
    </row>
    <row r="265" spans="1:38" s="8" customFormat="1" x14ac:dyDescent="0.2">
      <c r="A265" s="23" t="s">
        <v>269</v>
      </c>
      <c r="B265" s="7"/>
      <c r="C265" s="1"/>
      <c r="D265" s="7"/>
      <c r="E265" s="1"/>
      <c r="F265" s="1"/>
      <c r="G265" s="7"/>
      <c r="H265" s="7"/>
      <c r="L265" s="7"/>
      <c r="M265" s="7"/>
      <c r="N265" s="7"/>
      <c r="O265" s="7"/>
      <c r="P265" s="7"/>
    </row>
    <row r="266" spans="1:38" s="8" customFormat="1" x14ac:dyDescent="0.2">
      <c r="A266" s="43" t="s">
        <v>270</v>
      </c>
      <c r="B266" s="43" t="s">
        <v>271</v>
      </c>
      <c r="C266" s="77" t="s">
        <v>272</v>
      </c>
      <c r="D266" s="43" t="s">
        <v>273</v>
      </c>
      <c r="E266" s="77" t="s">
        <v>1139</v>
      </c>
      <c r="F266" s="77" t="s">
        <v>1140</v>
      </c>
      <c r="G266" s="43" t="s">
        <v>1141</v>
      </c>
      <c r="H266" s="43" t="s">
        <v>1142</v>
      </c>
      <c r="I266" s="43"/>
      <c r="K266"/>
      <c r="L266"/>
      <c r="M266"/>
      <c r="N266"/>
      <c r="O266" s="7"/>
      <c r="P266" s="7"/>
    </row>
    <row r="267" spans="1:38" s="6" customFormat="1" x14ac:dyDescent="0.2">
      <c r="A267" s="119" t="s">
        <v>500</v>
      </c>
      <c r="B267" s="120" t="s">
        <v>621</v>
      </c>
      <c r="C267" s="120" t="s">
        <v>989</v>
      </c>
      <c r="D267" s="120" t="s">
        <v>274</v>
      </c>
      <c r="E267" s="120"/>
      <c r="F267" s="120"/>
      <c r="G267" s="120"/>
      <c r="H267" s="120"/>
      <c r="I267" s="120"/>
      <c r="K267"/>
      <c r="L267"/>
      <c r="M267"/>
      <c r="N267"/>
      <c r="O267" s="1"/>
      <c r="P267" s="1"/>
    </row>
    <row r="268" spans="1:38" s="6" customFormat="1" x14ac:dyDescent="0.2">
      <c r="A268" s="119" t="s">
        <v>500</v>
      </c>
      <c r="B268" s="120" t="s">
        <v>233</v>
      </c>
      <c r="C268" s="120" t="s">
        <v>990</v>
      </c>
      <c r="D268" s="120" t="s">
        <v>274</v>
      </c>
      <c r="E268" s="120"/>
      <c r="F268" s="120"/>
      <c r="G268" s="120"/>
      <c r="H268" s="120"/>
      <c r="I268" s="120"/>
      <c r="K268"/>
      <c r="L268"/>
      <c r="M268"/>
      <c r="N268"/>
      <c r="O268" s="1"/>
      <c r="P268" s="1"/>
    </row>
    <row r="269" spans="1:38" s="6" customFormat="1" x14ac:dyDescent="0.2">
      <c r="A269" s="119" t="s">
        <v>500</v>
      </c>
      <c r="B269" s="120" t="s">
        <v>566</v>
      </c>
      <c r="C269" s="120" t="s">
        <v>352</v>
      </c>
      <c r="D269" s="120" t="s">
        <v>274</v>
      </c>
      <c r="E269" s="120"/>
      <c r="F269" s="120"/>
      <c r="G269" s="120"/>
      <c r="H269" s="120"/>
      <c r="I269" s="120"/>
      <c r="K269"/>
      <c r="L269"/>
      <c r="M269"/>
      <c r="N269"/>
      <c r="O269" s="1"/>
      <c r="P269" s="1"/>
    </row>
    <row r="270" spans="1:38" s="6" customFormat="1" x14ac:dyDescent="0.2">
      <c r="A270" s="119" t="s">
        <v>500</v>
      </c>
      <c r="B270" s="120" t="s">
        <v>600</v>
      </c>
      <c r="C270" s="120" t="s">
        <v>991</v>
      </c>
      <c r="D270" s="120" t="s">
        <v>274</v>
      </c>
      <c r="E270" s="120"/>
      <c r="F270" s="120"/>
      <c r="G270" s="120"/>
      <c r="H270" s="120"/>
      <c r="I270" s="120"/>
      <c r="K270"/>
      <c r="L270"/>
      <c r="M270"/>
      <c r="N270"/>
      <c r="O270" s="1"/>
      <c r="P270" s="1"/>
    </row>
    <row r="271" spans="1:38" s="6" customFormat="1" x14ac:dyDescent="0.2">
      <c r="A271" s="119" t="s">
        <v>500</v>
      </c>
      <c r="B271" s="120" t="s">
        <v>601</v>
      </c>
      <c r="C271" s="120" t="s">
        <v>992</v>
      </c>
      <c r="D271" s="120" t="s">
        <v>274</v>
      </c>
      <c r="E271" s="120"/>
      <c r="F271" s="120"/>
      <c r="G271" s="120"/>
      <c r="H271" s="120"/>
      <c r="I271" s="120"/>
      <c r="K271"/>
      <c r="L271"/>
      <c r="M271"/>
      <c r="N271"/>
      <c r="O271" s="1"/>
      <c r="P271" s="1"/>
    </row>
    <row r="272" spans="1:38" s="6" customFormat="1" x14ac:dyDescent="0.2">
      <c r="A272" s="119" t="s">
        <v>500</v>
      </c>
      <c r="B272" s="120" t="s">
        <v>589</v>
      </c>
      <c r="C272" s="120" t="s">
        <v>993</v>
      </c>
      <c r="D272" s="120" t="s">
        <v>274</v>
      </c>
      <c r="E272" s="120"/>
      <c r="F272" s="120"/>
      <c r="G272" s="120"/>
      <c r="H272" s="120"/>
      <c r="I272" s="120"/>
      <c r="K272"/>
      <c r="L272"/>
      <c r="M272"/>
      <c r="N272"/>
      <c r="O272" s="1"/>
      <c r="P272" s="1"/>
    </row>
    <row r="273" spans="1:23" s="6" customFormat="1" x14ac:dyDescent="0.2">
      <c r="A273" s="119" t="s">
        <v>500</v>
      </c>
      <c r="B273" s="120" t="s">
        <v>588</v>
      </c>
      <c r="C273" s="120" t="s">
        <v>994</v>
      </c>
      <c r="D273" s="120" t="s">
        <v>274</v>
      </c>
      <c r="E273" s="120"/>
      <c r="F273" s="120"/>
      <c r="G273" s="120"/>
      <c r="H273" s="120"/>
      <c r="I273" s="120"/>
      <c r="K273"/>
      <c r="L273"/>
      <c r="M273"/>
      <c r="N273"/>
      <c r="O273" s="1"/>
      <c r="P273" s="1"/>
    </row>
    <row r="274" spans="1:23" s="6" customFormat="1" x14ac:dyDescent="0.2">
      <c r="A274" s="119" t="s">
        <v>500</v>
      </c>
      <c r="B274" s="120" t="s">
        <v>665</v>
      </c>
      <c r="C274" s="120" t="s">
        <v>995</v>
      </c>
      <c r="D274" s="120" t="s">
        <v>274</v>
      </c>
      <c r="E274" s="120"/>
      <c r="F274" s="120"/>
      <c r="G274" s="120"/>
      <c r="H274" s="120"/>
      <c r="I274" s="120"/>
      <c r="K274"/>
      <c r="L274"/>
      <c r="M274"/>
      <c r="N274"/>
      <c r="O274" s="1"/>
      <c r="P274" s="1"/>
    </row>
    <row r="275" spans="1:23" s="6" customFormat="1" x14ac:dyDescent="0.2">
      <c r="A275" s="119" t="s">
        <v>500</v>
      </c>
      <c r="B275" s="120" t="s">
        <v>667</v>
      </c>
      <c r="C275" s="120" t="s">
        <v>291</v>
      </c>
      <c r="D275" s="120" t="s">
        <v>274</v>
      </c>
      <c r="E275" s="120"/>
      <c r="F275" s="120"/>
      <c r="G275" s="120"/>
      <c r="H275" s="120"/>
      <c r="I275" s="120"/>
      <c r="K275"/>
      <c r="L275"/>
      <c r="M275"/>
      <c r="N275"/>
      <c r="O275" s="1"/>
      <c r="P275" s="1"/>
    </row>
    <row r="276" spans="1:23" s="6" customFormat="1" x14ac:dyDescent="0.2">
      <c r="A276" s="119" t="s">
        <v>500</v>
      </c>
      <c r="B276" s="120" t="s">
        <v>671</v>
      </c>
      <c r="C276" s="120" t="s">
        <v>355</v>
      </c>
      <c r="D276" s="120" t="s">
        <v>274</v>
      </c>
      <c r="E276" s="120"/>
      <c r="F276" s="120"/>
      <c r="G276" s="120"/>
      <c r="H276" s="120"/>
      <c r="I276" s="120"/>
      <c r="K276"/>
      <c r="L276"/>
      <c r="M276"/>
      <c r="N276"/>
      <c r="O276" s="1"/>
      <c r="P276" s="1"/>
    </row>
    <row r="277" spans="1:23" s="6" customFormat="1" x14ac:dyDescent="0.2">
      <c r="A277" s="119" t="s">
        <v>500</v>
      </c>
      <c r="B277" s="120" t="s">
        <v>538</v>
      </c>
      <c r="C277" s="120" t="s">
        <v>292</v>
      </c>
      <c r="D277" s="120" t="s">
        <v>274</v>
      </c>
      <c r="E277" s="120"/>
      <c r="F277" s="120"/>
      <c r="G277" s="120"/>
      <c r="H277" s="120"/>
      <c r="I277" s="120"/>
      <c r="K277"/>
      <c r="L277"/>
      <c r="M277"/>
      <c r="N277"/>
      <c r="O277" s="1"/>
      <c r="P277" s="1"/>
    </row>
    <row r="278" spans="1:23" s="6" customFormat="1" x14ac:dyDescent="0.2">
      <c r="A278" s="119" t="s">
        <v>500</v>
      </c>
      <c r="B278" s="120" t="s">
        <v>1160</v>
      </c>
      <c r="C278" s="120" t="s">
        <v>638</v>
      </c>
      <c r="D278" s="120" t="s">
        <v>274</v>
      </c>
      <c r="E278" s="120"/>
      <c r="F278" s="120"/>
      <c r="G278" s="120"/>
      <c r="H278" s="120"/>
      <c r="I278" s="120"/>
      <c r="K278"/>
      <c r="L278"/>
      <c r="M278"/>
      <c r="N278"/>
      <c r="O278" s="1"/>
      <c r="P278" s="1"/>
    </row>
    <row r="279" spans="1:23" s="6" customFormat="1" x14ac:dyDescent="0.2">
      <c r="A279" s="119" t="s">
        <v>500</v>
      </c>
      <c r="B279" s="120" t="s">
        <v>10</v>
      </c>
      <c r="C279" s="120" t="s">
        <v>293</v>
      </c>
      <c r="D279" s="120" t="s">
        <v>274</v>
      </c>
      <c r="E279" s="120"/>
      <c r="F279" s="120"/>
      <c r="G279" s="120"/>
      <c r="H279" s="120"/>
      <c r="I279" s="120"/>
      <c r="K279"/>
      <c r="L279"/>
      <c r="M279"/>
      <c r="N279"/>
      <c r="O279" s="1"/>
      <c r="P279" s="1"/>
    </row>
    <row r="280" spans="1:23" s="6" customFormat="1" x14ac:dyDescent="0.2">
      <c r="A280" s="119" t="s">
        <v>500</v>
      </c>
      <c r="B280" s="120" t="s">
        <v>7</v>
      </c>
      <c r="C280" s="120" t="s">
        <v>294</v>
      </c>
      <c r="D280" s="120" t="s">
        <v>274</v>
      </c>
      <c r="E280" s="120"/>
      <c r="F280" s="120"/>
      <c r="G280" s="120"/>
      <c r="H280" s="120"/>
      <c r="I280" s="120"/>
      <c r="K280"/>
      <c r="L280"/>
      <c r="M280"/>
      <c r="N280"/>
      <c r="O280" s="1"/>
      <c r="P280" s="1"/>
    </row>
    <row r="281" spans="1:23" s="6" customFormat="1" x14ac:dyDescent="0.2">
      <c r="A281" s="119" t="s">
        <v>500</v>
      </c>
      <c r="B281" s="120" t="s">
        <v>11</v>
      </c>
      <c r="C281" s="120" t="s">
        <v>295</v>
      </c>
      <c r="D281" s="120" t="s">
        <v>274</v>
      </c>
      <c r="E281" s="120"/>
      <c r="F281" s="120"/>
      <c r="G281" s="120"/>
      <c r="H281" s="120"/>
      <c r="I281" s="120"/>
      <c r="K281"/>
      <c r="L281"/>
      <c r="M281"/>
      <c r="N281"/>
      <c r="O281" s="1"/>
      <c r="P281" s="1"/>
    </row>
    <row r="282" spans="1:23" s="6" customFormat="1" x14ac:dyDescent="0.2">
      <c r="A282" s="119" t="s">
        <v>500</v>
      </c>
      <c r="B282" s="120" t="s">
        <v>1185</v>
      </c>
      <c r="C282" s="120" t="s">
        <v>296</v>
      </c>
      <c r="D282" s="120" t="s">
        <v>274</v>
      </c>
      <c r="E282" s="120"/>
      <c r="F282" s="120"/>
      <c r="G282" s="120"/>
      <c r="H282" s="120"/>
      <c r="I282" s="120"/>
      <c r="K282"/>
      <c r="L282"/>
      <c r="M282"/>
      <c r="N282"/>
      <c r="O282" s="1"/>
      <c r="P282" s="1"/>
    </row>
    <row r="283" spans="1:23" s="6" customFormat="1" x14ac:dyDescent="0.2">
      <c r="A283" s="119" t="s">
        <v>500</v>
      </c>
      <c r="B283" s="120" t="s">
        <v>342</v>
      </c>
      <c r="C283" s="120" t="s">
        <v>299</v>
      </c>
      <c r="D283" s="120" t="s">
        <v>274</v>
      </c>
      <c r="E283" s="120"/>
      <c r="F283" s="120"/>
      <c r="G283" s="120"/>
      <c r="H283" s="120"/>
      <c r="I283" s="120"/>
      <c r="K283"/>
      <c r="L283"/>
      <c r="M283"/>
      <c r="N283"/>
      <c r="O283" s="1"/>
      <c r="P283" s="1"/>
    </row>
    <row r="284" spans="1:23" s="6" customFormat="1" x14ac:dyDescent="0.2">
      <c r="A284" s="119" t="s">
        <v>500</v>
      </c>
      <c r="B284" s="120" t="s">
        <v>343</v>
      </c>
      <c r="C284" s="120" t="s">
        <v>639</v>
      </c>
      <c r="D284" s="120" t="s">
        <v>274</v>
      </c>
      <c r="E284" s="120"/>
      <c r="F284" s="120"/>
      <c r="G284" s="120"/>
      <c r="H284" s="120"/>
      <c r="I284" s="120"/>
      <c r="K284"/>
      <c r="L284"/>
      <c r="M284"/>
      <c r="N284"/>
      <c r="O284" s="1"/>
      <c r="P284" s="1"/>
      <c r="Q284" s="1"/>
      <c r="R284" s="1"/>
      <c r="S284" s="1"/>
      <c r="T284" s="1"/>
      <c r="U284" s="1"/>
      <c r="V284" s="1"/>
      <c r="W284" s="1"/>
    </row>
    <row r="285" spans="1:23" s="6" customFormat="1" x14ac:dyDescent="0.2">
      <c r="A285" s="119" t="s">
        <v>500</v>
      </c>
      <c r="B285" s="120" t="s">
        <v>1150</v>
      </c>
      <c r="C285" s="120" t="s">
        <v>1151</v>
      </c>
      <c r="D285" s="120" t="s">
        <v>274</v>
      </c>
      <c r="E285" s="120"/>
      <c r="F285" s="120"/>
      <c r="G285" s="120"/>
      <c r="H285" s="120"/>
      <c r="I285" s="120"/>
      <c r="K285"/>
      <c r="L285"/>
      <c r="M285"/>
      <c r="N285"/>
      <c r="O285" s="1"/>
      <c r="P285" s="1"/>
      <c r="Q285" s="1"/>
      <c r="R285" s="1"/>
      <c r="S285" s="1"/>
      <c r="T285" s="1"/>
      <c r="U285" s="1"/>
      <c r="V285" s="1"/>
      <c r="W285" s="1"/>
    </row>
    <row r="286" spans="1:23" s="6" customFormat="1" x14ac:dyDescent="0.2">
      <c r="A286" s="119" t="s">
        <v>500</v>
      </c>
      <c r="B286" s="120" t="s">
        <v>720</v>
      </c>
      <c r="C286" s="120" t="s">
        <v>723</v>
      </c>
      <c r="D286" s="120" t="s">
        <v>274</v>
      </c>
      <c r="E286" s="120"/>
      <c r="F286" s="120"/>
      <c r="G286" s="120"/>
      <c r="H286" s="120"/>
      <c r="I286" s="120"/>
      <c r="K286"/>
      <c r="L286"/>
      <c r="M286"/>
      <c r="N286"/>
      <c r="O286" s="1"/>
      <c r="P286" s="1"/>
      <c r="Q286" s="1"/>
      <c r="R286" s="1"/>
      <c r="S286" s="1"/>
      <c r="T286" s="1"/>
      <c r="U286" s="1"/>
      <c r="V286" s="1"/>
      <c r="W286" s="1"/>
    </row>
    <row r="287" spans="1:23" s="6" customFormat="1" x14ac:dyDescent="0.2">
      <c r="A287" s="119" t="s">
        <v>500</v>
      </c>
      <c r="B287" s="120" t="s">
        <v>721</v>
      </c>
      <c r="C287" s="120" t="s">
        <v>722</v>
      </c>
      <c r="D287" s="120" t="s">
        <v>274</v>
      </c>
      <c r="E287" s="120"/>
      <c r="F287" s="120"/>
      <c r="G287" s="120"/>
      <c r="H287" s="120"/>
      <c r="I287" s="120"/>
      <c r="K287"/>
      <c r="L287"/>
      <c r="M287"/>
      <c r="N287"/>
      <c r="O287" s="1"/>
      <c r="P287" s="1"/>
      <c r="Q287" s="1"/>
      <c r="R287" s="1"/>
      <c r="S287" s="1"/>
      <c r="T287" s="1"/>
      <c r="U287" s="1"/>
      <c r="V287" s="1"/>
      <c r="W287" s="1"/>
    </row>
    <row r="288" spans="1:23" s="6" customFormat="1" x14ac:dyDescent="0.2">
      <c r="A288" s="119" t="s">
        <v>500</v>
      </c>
      <c r="B288" s="120" t="s">
        <v>573</v>
      </c>
      <c r="C288" s="120" t="s">
        <v>300</v>
      </c>
      <c r="D288" s="120" t="s">
        <v>274</v>
      </c>
      <c r="E288" s="120"/>
      <c r="F288" s="120"/>
      <c r="G288" s="120"/>
      <c r="H288" s="120"/>
      <c r="I288" s="120"/>
      <c r="K288"/>
      <c r="L288"/>
      <c r="M288"/>
      <c r="N288"/>
      <c r="O288" s="1"/>
      <c r="P288" s="1"/>
      <c r="Q288" s="1"/>
      <c r="R288" s="1"/>
      <c r="S288" s="1"/>
      <c r="T288" s="1"/>
      <c r="U288" s="1"/>
      <c r="V288" s="1"/>
      <c r="W288" s="1"/>
    </row>
    <row r="289" spans="1:23" s="6" customFormat="1" x14ac:dyDescent="0.2">
      <c r="A289" s="119" t="s">
        <v>500</v>
      </c>
      <c r="B289" s="120" t="s">
        <v>586</v>
      </c>
      <c r="C289" s="120" t="s">
        <v>640</v>
      </c>
      <c r="D289" s="120" t="s">
        <v>274</v>
      </c>
      <c r="E289" s="120"/>
      <c r="F289" s="120"/>
      <c r="G289" s="120"/>
      <c r="H289" s="120"/>
      <c r="I289" s="120"/>
      <c r="K289"/>
      <c r="L289"/>
      <c r="M289"/>
      <c r="N289"/>
      <c r="O289" s="1"/>
      <c r="P289" s="1"/>
      <c r="Q289" s="1"/>
      <c r="R289" s="1"/>
      <c r="S289" s="1"/>
      <c r="T289" s="1"/>
      <c r="U289" s="1"/>
      <c r="V289" s="1"/>
      <c r="W289" s="1"/>
    </row>
    <row r="290" spans="1:23" s="6" customFormat="1" x14ac:dyDescent="0.2">
      <c r="A290" s="119" t="s">
        <v>500</v>
      </c>
      <c r="B290" s="120" t="s">
        <v>286</v>
      </c>
      <c r="C290" s="120" t="s">
        <v>301</v>
      </c>
      <c r="D290" s="120" t="s">
        <v>274</v>
      </c>
      <c r="E290" s="120"/>
      <c r="F290" s="120"/>
      <c r="G290" s="120"/>
      <c r="H290" s="120"/>
      <c r="I290" s="120"/>
      <c r="K290"/>
      <c r="L290"/>
      <c r="M290"/>
      <c r="N290"/>
      <c r="O290" s="1"/>
      <c r="P290" s="1"/>
      <c r="Q290" s="1"/>
      <c r="R290" s="1"/>
      <c r="S290" s="1"/>
      <c r="T290" s="1"/>
      <c r="U290" s="1"/>
      <c r="V290" s="1"/>
      <c r="W290" s="1"/>
    </row>
    <row r="291" spans="1:23" s="6" customFormat="1" x14ac:dyDescent="0.2">
      <c r="A291" s="119" t="s">
        <v>500</v>
      </c>
      <c r="B291" s="120" t="s">
        <v>287</v>
      </c>
      <c r="C291" s="120" t="s">
        <v>641</v>
      </c>
      <c r="D291" s="120" t="s">
        <v>274</v>
      </c>
      <c r="E291" s="120"/>
      <c r="F291" s="120"/>
      <c r="G291" s="120"/>
      <c r="H291" s="120"/>
      <c r="I291" s="120"/>
      <c r="K291"/>
      <c r="L291"/>
      <c r="M291"/>
      <c r="N29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s="6" customFormat="1" x14ac:dyDescent="0.2">
      <c r="A292" s="119" t="s">
        <v>500</v>
      </c>
      <c r="B292" s="120" t="s">
        <v>1192</v>
      </c>
      <c r="C292" s="120" t="s">
        <v>302</v>
      </c>
      <c r="D292" s="120" t="s">
        <v>274</v>
      </c>
      <c r="E292" s="120"/>
      <c r="F292" s="120"/>
      <c r="G292" s="120"/>
      <c r="H292" s="120"/>
      <c r="I292" s="120"/>
      <c r="K292"/>
      <c r="L292"/>
      <c r="M292"/>
      <c r="N292"/>
      <c r="O292" s="1"/>
      <c r="P292" s="1"/>
      <c r="Q292" s="1"/>
      <c r="R292" s="1"/>
      <c r="S292" s="1"/>
      <c r="T292" s="1"/>
      <c r="U292" s="1"/>
      <c r="V292" s="1"/>
      <c r="W292" s="1"/>
    </row>
    <row r="293" spans="1:23" s="6" customFormat="1" x14ac:dyDescent="0.2">
      <c r="A293" s="119" t="s">
        <v>500</v>
      </c>
      <c r="B293" s="120" t="s">
        <v>1171</v>
      </c>
      <c r="C293" s="120" t="s">
        <v>303</v>
      </c>
      <c r="D293" s="120" t="s">
        <v>274</v>
      </c>
      <c r="E293" s="120"/>
      <c r="F293" s="120"/>
      <c r="G293" s="120"/>
      <c r="H293" s="120"/>
      <c r="I293" s="120"/>
      <c r="K293"/>
      <c r="L293"/>
      <c r="M293"/>
      <c r="N293"/>
      <c r="O293" s="1"/>
      <c r="P293" s="1"/>
      <c r="Q293" s="1"/>
      <c r="R293" s="1"/>
      <c r="S293" s="1"/>
      <c r="T293" s="1"/>
      <c r="U293" s="1"/>
      <c r="V293" s="1"/>
      <c r="W293" s="1"/>
    </row>
    <row r="294" spans="1:23" s="6" customFormat="1" x14ac:dyDescent="0.2">
      <c r="A294" s="121" t="s">
        <v>1153</v>
      </c>
      <c r="B294" s="78" t="s">
        <v>183</v>
      </c>
      <c r="C294" s="78" t="s">
        <v>1077</v>
      </c>
      <c r="D294" s="78" t="s">
        <v>274</v>
      </c>
      <c r="E294" s="78"/>
      <c r="F294" s="78"/>
      <c r="G294" s="78"/>
      <c r="H294" s="78"/>
      <c r="I294" s="78"/>
      <c r="K294"/>
      <c r="L294"/>
      <c r="M294"/>
      <c r="N294"/>
      <c r="O294" s="1"/>
      <c r="P294" s="1"/>
    </row>
    <row r="295" spans="1:23" s="6" customFormat="1" x14ac:dyDescent="0.2">
      <c r="A295" s="121" t="s">
        <v>1153</v>
      </c>
      <c r="B295" s="78" t="s">
        <v>587</v>
      </c>
      <c r="C295" s="78" t="s">
        <v>996</v>
      </c>
      <c r="D295" s="78" t="s">
        <v>274</v>
      </c>
      <c r="E295" s="78"/>
      <c r="F295" s="78" t="s">
        <v>1143</v>
      </c>
      <c r="G295" s="78"/>
      <c r="H295" s="78" t="s">
        <v>1144</v>
      </c>
      <c r="I295" s="78"/>
      <c r="K295"/>
      <c r="L295"/>
      <c r="M295"/>
      <c r="N295"/>
      <c r="O295" s="1"/>
      <c r="P295" s="1"/>
    </row>
    <row r="296" spans="1:23" s="6" customFormat="1" x14ac:dyDescent="0.2">
      <c r="A296" s="121" t="s">
        <v>1153</v>
      </c>
      <c r="B296" s="78" t="s">
        <v>512</v>
      </c>
      <c r="C296" s="78" t="s">
        <v>513</v>
      </c>
      <c r="D296" s="78" t="s">
        <v>274</v>
      </c>
      <c r="E296" s="122" t="s">
        <v>926</v>
      </c>
      <c r="F296" s="78" t="s">
        <v>929</v>
      </c>
      <c r="G296" s="78"/>
      <c r="H296" s="78" t="s">
        <v>1144</v>
      </c>
      <c r="I296" s="78"/>
      <c r="K296"/>
      <c r="L296"/>
      <c r="M296"/>
      <c r="N296"/>
      <c r="O296" s="1"/>
      <c r="P296" s="1"/>
    </row>
    <row r="297" spans="1:23" s="6" customFormat="1" x14ac:dyDescent="0.2">
      <c r="A297" s="121" t="s">
        <v>1153</v>
      </c>
      <c r="B297" s="78" t="s">
        <v>514</v>
      </c>
      <c r="C297" s="78" t="s">
        <v>515</v>
      </c>
      <c r="D297" s="78" t="s">
        <v>274</v>
      </c>
      <c r="E297" s="122" t="s">
        <v>926</v>
      </c>
      <c r="F297" s="78" t="s">
        <v>929</v>
      </c>
      <c r="G297" s="78"/>
      <c r="H297" s="78" t="s">
        <v>1144</v>
      </c>
      <c r="I297" s="78"/>
      <c r="K297"/>
      <c r="L297"/>
      <c r="M297"/>
      <c r="N297"/>
      <c r="O297" s="1"/>
      <c r="P297" s="1"/>
    </row>
    <row r="298" spans="1:23" s="6" customFormat="1" x14ac:dyDescent="0.2">
      <c r="A298" s="121" t="s">
        <v>1153</v>
      </c>
      <c r="B298" s="78" t="s">
        <v>516</v>
      </c>
      <c r="C298" s="78" t="s">
        <v>517</v>
      </c>
      <c r="D298" s="78" t="s">
        <v>274</v>
      </c>
      <c r="E298" s="122" t="s">
        <v>926</v>
      </c>
      <c r="F298" s="78" t="s">
        <v>929</v>
      </c>
      <c r="G298" s="78"/>
      <c r="H298" s="78" t="s">
        <v>1144</v>
      </c>
      <c r="I298" s="78"/>
      <c r="K298"/>
      <c r="L298"/>
      <c r="M298"/>
      <c r="N298"/>
      <c r="O298" s="1"/>
      <c r="P298" s="1"/>
    </row>
    <row r="299" spans="1:23" s="6" customFormat="1" x14ac:dyDescent="0.2">
      <c r="A299" s="121" t="s">
        <v>1153</v>
      </c>
      <c r="B299" s="78" t="s">
        <v>518</v>
      </c>
      <c r="C299" s="78" t="s">
        <v>519</v>
      </c>
      <c r="D299" s="78" t="s">
        <v>274</v>
      </c>
      <c r="E299" s="122" t="s">
        <v>926</v>
      </c>
      <c r="F299" s="78" t="s">
        <v>929</v>
      </c>
      <c r="G299" s="78"/>
      <c r="H299" s="78" t="s">
        <v>1144</v>
      </c>
      <c r="I299" s="78"/>
      <c r="K299"/>
      <c r="L299"/>
      <c r="M299"/>
      <c r="N299"/>
      <c r="O299" s="1"/>
      <c r="P299" s="1"/>
    </row>
    <row r="300" spans="1:23" s="6" customFormat="1" x14ac:dyDescent="0.2">
      <c r="A300" s="121" t="s">
        <v>1153</v>
      </c>
      <c r="B300" s="78" t="s">
        <v>520</v>
      </c>
      <c r="C300" s="78" t="s">
        <v>521</v>
      </c>
      <c r="D300" s="78" t="s">
        <v>274</v>
      </c>
      <c r="E300" s="78"/>
      <c r="F300" s="78" t="s">
        <v>929</v>
      </c>
      <c r="G300" s="78"/>
      <c r="H300" s="78" t="s">
        <v>1144</v>
      </c>
      <c r="I300" s="78"/>
      <c r="K300"/>
      <c r="L300"/>
      <c r="M300"/>
      <c r="N300"/>
      <c r="O300" s="1"/>
      <c r="P300" s="1"/>
    </row>
    <row r="301" spans="1:23" s="6" customFormat="1" x14ac:dyDescent="0.2">
      <c r="A301" s="121" t="s">
        <v>1153</v>
      </c>
      <c r="B301" s="78" t="s">
        <v>522</v>
      </c>
      <c r="C301" s="78" t="s">
        <v>523</v>
      </c>
      <c r="D301" s="78" t="s">
        <v>274</v>
      </c>
      <c r="E301" s="78"/>
      <c r="F301" s="78" t="s">
        <v>929</v>
      </c>
      <c r="G301" s="78"/>
      <c r="H301" s="78" t="s">
        <v>1144</v>
      </c>
      <c r="I301" s="78"/>
      <c r="K301"/>
      <c r="L301"/>
      <c r="M301"/>
      <c r="N301"/>
      <c r="O301" s="1"/>
      <c r="P301" s="1"/>
    </row>
    <row r="302" spans="1:23" s="6" customFormat="1" x14ac:dyDescent="0.2">
      <c r="A302" s="121" t="s">
        <v>1153</v>
      </c>
      <c r="B302" s="78" t="s">
        <v>524</v>
      </c>
      <c r="C302" s="78" t="s">
        <v>525</v>
      </c>
      <c r="D302" s="78" t="s">
        <v>274</v>
      </c>
      <c r="E302" s="78"/>
      <c r="F302" s="78" t="s">
        <v>929</v>
      </c>
      <c r="G302" s="78"/>
      <c r="H302" s="78" t="s">
        <v>1144</v>
      </c>
      <c r="I302" s="78"/>
      <c r="K302"/>
      <c r="L302"/>
      <c r="M302"/>
      <c r="N302"/>
      <c r="O302" s="1"/>
      <c r="P302" s="1"/>
    </row>
    <row r="303" spans="1:23" s="6" customFormat="1" x14ac:dyDescent="0.2">
      <c r="A303" s="121" t="s">
        <v>1153</v>
      </c>
      <c r="B303" s="78" t="s">
        <v>620</v>
      </c>
      <c r="C303" s="78" t="s">
        <v>997</v>
      </c>
      <c r="D303" s="78" t="s">
        <v>274</v>
      </c>
      <c r="E303" s="78"/>
      <c r="F303" s="78" t="s">
        <v>929</v>
      </c>
      <c r="G303" s="78"/>
      <c r="H303" s="78" t="s">
        <v>1146</v>
      </c>
      <c r="I303" s="78"/>
      <c r="K303"/>
      <c r="L303"/>
      <c r="M303"/>
      <c r="N303"/>
      <c r="O303" s="1"/>
      <c r="P303" s="1"/>
    </row>
    <row r="304" spans="1:23" s="6" customFormat="1" x14ac:dyDescent="0.2">
      <c r="A304" s="121" t="s">
        <v>1153</v>
      </c>
      <c r="B304" s="78" t="s">
        <v>526</v>
      </c>
      <c r="C304" s="78" t="s">
        <v>527</v>
      </c>
      <c r="D304" s="78" t="s">
        <v>274</v>
      </c>
      <c r="E304" s="106" t="s">
        <v>926</v>
      </c>
      <c r="F304" s="78" t="s">
        <v>929</v>
      </c>
      <c r="G304" s="78"/>
      <c r="H304" s="78" t="s">
        <v>1146</v>
      </c>
      <c r="I304" s="78"/>
      <c r="K304"/>
      <c r="L304"/>
      <c r="M304"/>
      <c r="N304"/>
      <c r="O304" s="1"/>
      <c r="P304" s="1"/>
    </row>
    <row r="305" spans="1:23" s="6" customFormat="1" x14ac:dyDescent="0.2">
      <c r="A305" s="121" t="s">
        <v>1153</v>
      </c>
      <c r="B305" s="78" t="s">
        <v>184</v>
      </c>
      <c r="C305" s="78" t="s">
        <v>1076</v>
      </c>
      <c r="D305" s="78" t="s">
        <v>274</v>
      </c>
      <c r="E305" s="78"/>
      <c r="F305" s="78"/>
      <c r="G305" s="78"/>
      <c r="H305" s="78"/>
      <c r="I305" s="78"/>
      <c r="K305"/>
      <c r="L305"/>
      <c r="M305"/>
      <c r="N305"/>
      <c r="O305" s="1"/>
      <c r="P305" s="1"/>
    </row>
    <row r="306" spans="1:23" s="6" customFormat="1" x14ac:dyDescent="0.2">
      <c r="A306" s="121" t="s">
        <v>1153</v>
      </c>
      <c r="B306" s="78" t="s">
        <v>1170</v>
      </c>
      <c r="C306" s="78" t="s">
        <v>297</v>
      </c>
      <c r="D306" s="78" t="s">
        <v>274</v>
      </c>
      <c r="E306" s="78"/>
      <c r="F306" s="78" t="s">
        <v>1143</v>
      </c>
      <c r="G306" s="78"/>
      <c r="H306" s="78" t="s">
        <v>1144</v>
      </c>
      <c r="I306" s="78"/>
      <c r="K306"/>
      <c r="L306"/>
      <c r="M306"/>
      <c r="N306"/>
      <c r="O306" s="1"/>
      <c r="P306" s="1"/>
    </row>
    <row r="307" spans="1:23" s="6" customFormat="1" x14ac:dyDescent="0.2">
      <c r="A307" s="121" t="s">
        <v>1153</v>
      </c>
      <c r="B307" s="78" t="s">
        <v>504</v>
      </c>
      <c r="C307" s="78" t="s">
        <v>505</v>
      </c>
      <c r="D307" s="78" t="s">
        <v>274</v>
      </c>
      <c r="E307" s="122" t="s">
        <v>926</v>
      </c>
      <c r="F307" s="78" t="s">
        <v>929</v>
      </c>
      <c r="G307" s="78"/>
      <c r="H307" s="78" t="s">
        <v>1144</v>
      </c>
      <c r="I307" s="78"/>
      <c r="K307"/>
      <c r="L307"/>
      <c r="M307"/>
      <c r="N307"/>
      <c r="O307" s="1"/>
      <c r="P307" s="1"/>
    </row>
    <row r="308" spans="1:23" s="6" customFormat="1" x14ac:dyDescent="0.2">
      <c r="A308" s="121" t="s">
        <v>1153</v>
      </c>
      <c r="B308" s="78" t="s">
        <v>374</v>
      </c>
      <c r="C308" s="78" t="s">
        <v>506</v>
      </c>
      <c r="D308" s="78" t="s">
        <v>274</v>
      </c>
      <c r="E308" s="122" t="s">
        <v>926</v>
      </c>
      <c r="F308" s="78" t="s">
        <v>929</v>
      </c>
      <c r="G308" s="78"/>
      <c r="H308" s="78" t="s">
        <v>1144</v>
      </c>
      <c r="I308" s="78"/>
      <c r="K308"/>
      <c r="L308"/>
      <c r="M308"/>
      <c r="N308"/>
      <c r="O308" s="1"/>
      <c r="P308" s="1"/>
    </row>
    <row r="309" spans="1:23" s="6" customFormat="1" x14ac:dyDescent="0.2">
      <c r="A309" s="121" t="s">
        <v>1153</v>
      </c>
      <c r="B309" s="78" t="s">
        <v>375</v>
      </c>
      <c r="C309" s="78" t="s">
        <v>507</v>
      </c>
      <c r="D309" s="78" t="s">
        <v>274</v>
      </c>
      <c r="E309" s="122" t="s">
        <v>926</v>
      </c>
      <c r="F309" s="78" t="s">
        <v>929</v>
      </c>
      <c r="G309" s="78"/>
      <c r="H309" s="78" t="s">
        <v>1144</v>
      </c>
      <c r="I309" s="78"/>
      <c r="K309"/>
      <c r="L309"/>
      <c r="M309"/>
      <c r="N309"/>
      <c r="O309" s="1"/>
      <c r="P309" s="1"/>
    </row>
    <row r="310" spans="1:23" s="6" customFormat="1" x14ac:dyDescent="0.2">
      <c r="A310" s="121" t="s">
        <v>1153</v>
      </c>
      <c r="B310" s="78" t="s">
        <v>1155</v>
      </c>
      <c r="C310" s="78" t="s">
        <v>508</v>
      </c>
      <c r="D310" s="78" t="s">
        <v>274</v>
      </c>
      <c r="E310" s="122" t="s">
        <v>926</v>
      </c>
      <c r="F310" s="78" t="s">
        <v>929</v>
      </c>
      <c r="G310" s="78"/>
      <c r="H310" s="78" t="s">
        <v>1144</v>
      </c>
      <c r="I310" s="78"/>
      <c r="K310"/>
      <c r="L310"/>
      <c r="M310"/>
      <c r="N310"/>
      <c r="O310" s="1"/>
      <c r="P310" s="1"/>
    </row>
    <row r="311" spans="1:23" s="6" customFormat="1" x14ac:dyDescent="0.2">
      <c r="A311" s="121" t="s">
        <v>1153</v>
      </c>
      <c r="B311" s="78" t="s">
        <v>502</v>
      </c>
      <c r="C311" s="78" t="s">
        <v>509</v>
      </c>
      <c r="D311" s="78" t="s">
        <v>274</v>
      </c>
      <c r="E311" s="78"/>
      <c r="F311" s="78" t="s">
        <v>929</v>
      </c>
      <c r="G311" s="78"/>
      <c r="H311" s="78" t="s">
        <v>1144</v>
      </c>
      <c r="I311" s="78"/>
      <c r="K311"/>
      <c r="L311"/>
      <c r="M311"/>
      <c r="N311"/>
      <c r="O311" s="1"/>
      <c r="P311" s="1"/>
    </row>
    <row r="312" spans="1:23" s="6" customFormat="1" x14ac:dyDescent="0.2">
      <c r="A312" s="121" t="s">
        <v>1153</v>
      </c>
      <c r="B312" s="78" t="s">
        <v>658</v>
      </c>
      <c r="C312" s="78" t="s">
        <v>290</v>
      </c>
      <c r="D312" s="78" t="s">
        <v>274</v>
      </c>
      <c r="E312" s="78"/>
      <c r="F312" s="78" t="s">
        <v>929</v>
      </c>
      <c r="G312" s="78"/>
      <c r="H312" s="78" t="s">
        <v>1144</v>
      </c>
      <c r="I312" s="78"/>
      <c r="K312"/>
      <c r="L312"/>
      <c r="M312"/>
      <c r="N312"/>
      <c r="O312" s="1"/>
      <c r="P312" s="1"/>
    </row>
    <row r="313" spans="1:23" s="6" customFormat="1" x14ac:dyDescent="0.2">
      <c r="A313" s="121" t="s">
        <v>1153</v>
      </c>
      <c r="B313" s="78" t="s">
        <v>503</v>
      </c>
      <c r="C313" s="78" t="s">
        <v>510</v>
      </c>
      <c r="D313" s="78" t="s">
        <v>274</v>
      </c>
      <c r="E313" s="78"/>
      <c r="F313" s="78" t="s">
        <v>929</v>
      </c>
      <c r="G313" s="78"/>
      <c r="H313" s="78" t="s">
        <v>1144</v>
      </c>
      <c r="I313" s="78"/>
      <c r="K313"/>
      <c r="L313"/>
      <c r="M313"/>
      <c r="N313"/>
      <c r="O313" s="1"/>
      <c r="P313" s="1"/>
    </row>
    <row r="314" spans="1:23" s="6" customFormat="1" x14ac:dyDescent="0.2">
      <c r="A314" s="121" t="s">
        <v>1153</v>
      </c>
      <c r="B314" s="78" t="s">
        <v>179</v>
      </c>
      <c r="C314" s="78" t="s">
        <v>180</v>
      </c>
      <c r="D314" s="78" t="s">
        <v>274</v>
      </c>
      <c r="E314" s="78"/>
      <c r="F314" s="78" t="s">
        <v>929</v>
      </c>
      <c r="G314" s="78"/>
      <c r="H314" s="78" t="s">
        <v>1144</v>
      </c>
      <c r="I314" s="78"/>
      <c r="K314"/>
      <c r="L314"/>
      <c r="M314"/>
      <c r="N314"/>
      <c r="O314" s="1"/>
      <c r="P314" s="1"/>
    </row>
    <row r="315" spans="1:23" s="6" customFormat="1" x14ac:dyDescent="0.2">
      <c r="A315" s="121" t="s">
        <v>1153</v>
      </c>
      <c r="B315" s="78" t="s">
        <v>376</v>
      </c>
      <c r="C315" s="78" t="s">
        <v>511</v>
      </c>
      <c r="D315" s="78" t="s">
        <v>274</v>
      </c>
      <c r="E315" s="78"/>
      <c r="F315" s="78" t="s">
        <v>929</v>
      </c>
      <c r="G315" s="78"/>
      <c r="H315" s="78" t="s">
        <v>1144</v>
      </c>
      <c r="I315" s="78"/>
      <c r="K315"/>
      <c r="L315"/>
      <c r="M315"/>
      <c r="N315"/>
      <c r="O315" s="1"/>
      <c r="P315" s="1"/>
    </row>
    <row r="316" spans="1:23" s="6" customFormat="1" x14ac:dyDescent="0.2">
      <c r="A316" s="121" t="s">
        <v>1153</v>
      </c>
      <c r="B316" s="78" t="s">
        <v>1124</v>
      </c>
      <c r="C316" s="78" t="s">
        <v>298</v>
      </c>
      <c r="D316" s="78" t="s">
        <v>274</v>
      </c>
      <c r="E316" s="78"/>
      <c r="F316" s="78" t="s">
        <v>929</v>
      </c>
      <c r="G316" s="78"/>
      <c r="H316" s="78" t="s">
        <v>1146</v>
      </c>
      <c r="I316" s="78"/>
      <c r="K316"/>
      <c r="L316"/>
      <c r="M316"/>
      <c r="N316"/>
      <c r="O316" s="1"/>
      <c r="P316" s="1"/>
    </row>
    <row r="317" spans="1:23" s="6" customFormat="1" x14ac:dyDescent="0.2">
      <c r="A317" s="123" t="s">
        <v>276</v>
      </c>
      <c r="B317" s="123" t="s">
        <v>1207</v>
      </c>
      <c r="C317" s="123" t="s">
        <v>1188</v>
      </c>
      <c r="D317" s="123" t="s">
        <v>274</v>
      </c>
      <c r="E317" s="123"/>
      <c r="F317" s="123"/>
      <c r="G317" s="123"/>
      <c r="H317" s="123"/>
      <c r="I317" s="123"/>
      <c r="K317"/>
      <c r="L317"/>
      <c r="M317"/>
      <c r="N317"/>
      <c r="O317" s="1"/>
      <c r="P317" s="1"/>
      <c r="Q317" s="1"/>
      <c r="R317" s="1"/>
      <c r="S317" s="1"/>
      <c r="T317" s="1"/>
      <c r="U317" s="1"/>
      <c r="V317" s="1"/>
      <c r="W317" s="1"/>
    </row>
    <row r="318" spans="1:23" s="6" customFormat="1" x14ac:dyDescent="0.2">
      <c r="A318" s="123" t="s">
        <v>276</v>
      </c>
      <c r="B318" s="123" t="s">
        <v>1208</v>
      </c>
      <c r="C318" s="123" t="s">
        <v>1189</v>
      </c>
      <c r="D318" s="123" t="s">
        <v>274</v>
      </c>
      <c r="E318" s="123"/>
      <c r="F318" s="123"/>
      <c r="G318" s="123"/>
      <c r="H318" s="123"/>
      <c r="I318" s="123"/>
      <c r="K318"/>
      <c r="L318"/>
      <c r="M318"/>
      <c r="N318"/>
      <c r="O318" s="1"/>
      <c r="P318" s="1"/>
      <c r="Q318" s="1"/>
      <c r="R318" s="1"/>
      <c r="S318" s="1"/>
      <c r="T318" s="1"/>
      <c r="U318" s="1"/>
      <c r="V318" s="1"/>
      <c r="W318" s="1"/>
    </row>
    <row r="319" spans="1:23" s="6" customFormat="1" x14ac:dyDescent="0.2">
      <c r="A319" s="123" t="s">
        <v>276</v>
      </c>
      <c r="B319" s="123" t="s">
        <v>1206</v>
      </c>
      <c r="C319" s="123" t="s">
        <v>1190</v>
      </c>
      <c r="D319" s="123" t="s">
        <v>274</v>
      </c>
      <c r="E319" s="123"/>
      <c r="F319" s="123"/>
      <c r="G319" s="123"/>
      <c r="H319" s="123"/>
      <c r="I319" s="123"/>
      <c r="K319"/>
      <c r="L319"/>
      <c r="M319"/>
      <c r="N319"/>
      <c r="O319" s="1"/>
      <c r="P319" s="1"/>
      <c r="Q319" s="1"/>
      <c r="R319" s="1"/>
      <c r="S319" s="1"/>
      <c r="T319" s="1"/>
      <c r="U319" s="1"/>
      <c r="V319" s="1"/>
      <c r="W319" s="1"/>
    </row>
    <row r="320" spans="1:23" s="6" customFormat="1" x14ac:dyDescent="0.2">
      <c r="A320" s="96" t="s">
        <v>1153</v>
      </c>
      <c r="B320" s="96" t="s">
        <v>324</v>
      </c>
      <c r="C320" s="96" t="s">
        <v>327</v>
      </c>
      <c r="D320" s="96" t="s">
        <v>274</v>
      </c>
      <c r="E320" s="96"/>
      <c r="F320" s="96"/>
      <c r="G320" s="96"/>
      <c r="H320" s="96"/>
      <c r="I320" s="96"/>
      <c r="K320"/>
      <c r="L320"/>
      <c r="M320"/>
      <c r="N320"/>
      <c r="O320" s="1"/>
      <c r="P320" s="1"/>
      <c r="Q320" s="1"/>
      <c r="R320" s="1"/>
      <c r="S320" s="1"/>
      <c r="T320" s="1"/>
      <c r="U320" s="1"/>
      <c r="V320" s="1"/>
      <c r="W320" s="1"/>
    </row>
    <row r="321" spans="1:32" s="6" customFormat="1" x14ac:dyDescent="0.2">
      <c r="A321" s="96" t="s">
        <v>1153</v>
      </c>
      <c r="B321" s="96" t="s">
        <v>325</v>
      </c>
      <c r="C321" s="96" t="s">
        <v>327</v>
      </c>
      <c r="D321" s="96" t="s">
        <v>274</v>
      </c>
      <c r="E321" s="96"/>
      <c r="F321" s="96"/>
      <c r="G321" s="96"/>
      <c r="H321" s="96"/>
      <c r="I321" s="96"/>
      <c r="K321"/>
      <c r="L321"/>
      <c r="M321"/>
      <c r="N321"/>
      <c r="O321" s="1"/>
      <c r="P321" s="1"/>
      <c r="Q321" s="1"/>
      <c r="R321" s="1"/>
      <c r="S321" s="1"/>
      <c r="T321" s="1"/>
      <c r="U321" s="1"/>
      <c r="V321" s="1"/>
      <c r="W321" s="1"/>
    </row>
    <row r="322" spans="1:32" s="6" customFormat="1" x14ac:dyDescent="0.2">
      <c r="A322" s="96" t="s">
        <v>1153</v>
      </c>
      <c r="B322" s="96" t="s">
        <v>326</v>
      </c>
      <c r="C322" s="96" t="s">
        <v>328</v>
      </c>
      <c r="D322" s="96" t="s">
        <v>274</v>
      </c>
      <c r="E322" s="96"/>
      <c r="F322" s="96"/>
      <c r="G322" s="96"/>
      <c r="H322" s="96"/>
      <c r="I322" s="96"/>
      <c r="K322"/>
      <c r="L322"/>
      <c r="M322"/>
      <c r="N322"/>
      <c r="O322" s="1"/>
      <c r="P322" s="1"/>
      <c r="Q322" s="1"/>
      <c r="R322" s="1"/>
      <c r="S322" s="1"/>
      <c r="T322" s="1"/>
      <c r="U322" s="1"/>
      <c r="V322" s="1"/>
      <c r="W322" s="1"/>
    </row>
    <row r="323" spans="1:32" s="6" customFormat="1" x14ac:dyDescent="0.2">
      <c r="A323" s="96" t="s">
        <v>1153</v>
      </c>
      <c r="B323" s="96" t="s">
        <v>190</v>
      </c>
      <c r="C323" s="96" t="s">
        <v>191</v>
      </c>
      <c r="D323" s="96" t="s">
        <v>274</v>
      </c>
      <c r="E323" s="96"/>
      <c r="F323" s="96" t="s">
        <v>1183</v>
      </c>
      <c r="G323" s="96"/>
      <c r="H323" s="96"/>
      <c r="I323" s="96"/>
      <c r="K323"/>
      <c r="L323"/>
      <c r="M323"/>
      <c r="N323"/>
      <c r="O323" s="1"/>
      <c r="P323" s="1"/>
      <c r="Q323" s="1"/>
      <c r="R323" s="1"/>
      <c r="S323" s="1"/>
      <c r="T323" s="1"/>
      <c r="U323" s="1"/>
      <c r="V323" s="1"/>
      <c r="W323" s="1"/>
    </row>
    <row r="324" spans="1:32" s="8" customFormat="1" x14ac:dyDescent="0.2">
      <c r="A324" s="30" t="s">
        <v>1153</v>
      </c>
      <c r="B324" s="30" t="s">
        <v>198</v>
      </c>
      <c r="C324" s="78" t="s">
        <v>209</v>
      </c>
      <c r="D324" s="78" t="s">
        <v>274</v>
      </c>
      <c r="E324" s="78"/>
      <c r="F324" s="78" t="s">
        <v>1143</v>
      </c>
      <c r="G324" s="78"/>
      <c r="H324" s="78" t="s">
        <v>1144</v>
      </c>
      <c r="I324" s="30"/>
      <c r="K324"/>
      <c r="L324"/>
      <c r="M324"/>
      <c r="N324"/>
      <c r="O324" s="7"/>
      <c r="P324" s="7"/>
      <c r="Q324" s="7"/>
      <c r="R324" s="7"/>
      <c r="S324" s="7"/>
      <c r="T324" s="7"/>
      <c r="U324" s="7"/>
      <c r="V324" s="7"/>
      <c r="W324" s="7"/>
    </row>
    <row r="325" spans="1:32" s="8" customFormat="1" x14ac:dyDescent="0.2">
      <c r="A325" s="30" t="s">
        <v>1153</v>
      </c>
      <c r="B325" s="30" t="s">
        <v>1400</v>
      </c>
      <c r="C325" s="78" t="s">
        <v>1401</v>
      </c>
      <c r="D325" s="78" t="s">
        <v>274</v>
      </c>
      <c r="E325" s="78"/>
      <c r="F325" s="78" t="s">
        <v>929</v>
      </c>
      <c r="G325" s="78"/>
      <c r="H325" s="78" t="s">
        <v>1144</v>
      </c>
      <c r="I325" s="30"/>
      <c r="K325"/>
      <c r="L325"/>
      <c r="M325"/>
      <c r="N325"/>
      <c r="O325" s="7"/>
      <c r="P325" s="7"/>
      <c r="Q325" s="7"/>
      <c r="R325" s="7"/>
      <c r="S325" s="7"/>
      <c r="T325" s="7"/>
      <c r="U325" s="7"/>
      <c r="V325" s="7"/>
      <c r="W325" s="7"/>
    </row>
    <row r="326" spans="1:32" s="8" customFormat="1" x14ac:dyDescent="0.2">
      <c r="A326" s="30" t="s">
        <v>1153</v>
      </c>
      <c r="B326" s="30" t="s">
        <v>199</v>
      </c>
      <c r="C326" s="78" t="s">
        <v>210</v>
      </c>
      <c r="D326" s="78" t="s">
        <v>274</v>
      </c>
      <c r="E326" s="78"/>
      <c r="F326" s="78" t="s">
        <v>929</v>
      </c>
      <c r="G326" s="78"/>
      <c r="H326" s="78" t="s">
        <v>1146</v>
      </c>
      <c r="I326" s="30"/>
      <c r="K326"/>
      <c r="L326"/>
      <c r="M326"/>
      <c r="N326"/>
      <c r="O326" s="7"/>
      <c r="P326" s="7"/>
      <c r="Q326" s="7"/>
      <c r="R326" s="7"/>
      <c r="S326" s="7"/>
      <c r="T326" s="7"/>
      <c r="U326" s="7"/>
      <c r="V326" s="7"/>
      <c r="W326" s="7"/>
    </row>
    <row r="327" spans="1:32" s="8" customFormat="1" x14ac:dyDescent="0.2">
      <c r="A327" s="30" t="s">
        <v>1153</v>
      </c>
      <c r="B327" s="30" t="s">
        <v>201</v>
      </c>
      <c r="C327" s="78" t="s">
        <v>211</v>
      </c>
      <c r="D327" s="78" t="s">
        <v>274</v>
      </c>
      <c r="E327" s="78"/>
      <c r="F327" s="78" t="s">
        <v>929</v>
      </c>
      <c r="G327" s="78"/>
      <c r="H327" s="78" t="s">
        <v>1146</v>
      </c>
      <c r="I327" s="30"/>
      <c r="K327"/>
      <c r="L327"/>
      <c r="M327"/>
      <c r="N327"/>
      <c r="O327" s="7"/>
      <c r="P327" s="7"/>
      <c r="Q327" s="7"/>
      <c r="R327" s="7"/>
      <c r="S327" s="7"/>
      <c r="T327" s="7"/>
      <c r="U327" s="7"/>
      <c r="V327" s="7"/>
      <c r="W327" s="7"/>
      <c r="AF327" s="7"/>
    </row>
    <row r="328" spans="1:32" s="8" customFormat="1" x14ac:dyDescent="0.2">
      <c r="A328" s="7"/>
      <c r="B328" s="7"/>
      <c r="C328" s="1"/>
      <c r="D328" s="7"/>
      <c r="E328" s="1"/>
      <c r="F328" s="1"/>
      <c r="G328" s="7"/>
      <c r="H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AF328" s="7"/>
    </row>
    <row r="331" spans="1:32" x14ac:dyDescent="0.2">
      <c r="A331" s="23" t="s">
        <v>1114</v>
      </c>
      <c r="E331" s="1"/>
      <c r="F331" s="7"/>
      <c r="G331" s="1"/>
    </row>
    <row r="332" spans="1:32" x14ac:dyDescent="0.2">
      <c r="A332" s="34" t="s">
        <v>316</v>
      </c>
      <c r="B332" s="35" t="s">
        <v>1126</v>
      </c>
      <c r="C332" s="35" t="s">
        <v>1127</v>
      </c>
      <c r="D332" s="35" t="s">
        <v>1115</v>
      </c>
      <c r="E332" s="79" t="s">
        <v>1116</v>
      </c>
      <c r="F332" s="35" t="s">
        <v>1117</v>
      </c>
      <c r="G332" s="79" t="s">
        <v>1118</v>
      </c>
      <c r="H332" s="80" t="s">
        <v>1119</v>
      </c>
    </row>
    <row r="333" spans="1:32" x14ac:dyDescent="0.2">
      <c r="A333" s="40" t="s">
        <v>1220</v>
      </c>
      <c r="B333" s="40" t="s">
        <v>247</v>
      </c>
      <c r="C333" s="40" t="s">
        <v>1201</v>
      </c>
      <c r="D333" s="40" t="s">
        <v>274</v>
      </c>
      <c r="E333" s="81" t="s">
        <v>1121</v>
      </c>
      <c r="F333" s="40"/>
      <c r="G333" s="81"/>
      <c r="H333" s="81" t="s">
        <v>1120</v>
      </c>
    </row>
    <row r="334" spans="1:32" x14ac:dyDescent="0.2">
      <c r="A334" s="40" t="s">
        <v>1220</v>
      </c>
      <c r="B334" s="40" t="s">
        <v>234</v>
      </c>
      <c r="C334" s="40" t="s">
        <v>1007</v>
      </c>
      <c r="D334" s="40" t="s">
        <v>274</v>
      </c>
      <c r="E334" s="81" t="s">
        <v>1121</v>
      </c>
      <c r="F334" s="40"/>
      <c r="G334" s="81"/>
      <c r="H334" s="81" t="s">
        <v>1120</v>
      </c>
    </row>
    <row r="335" spans="1:32" x14ac:dyDescent="0.2">
      <c r="A335" s="40" t="s">
        <v>1220</v>
      </c>
      <c r="B335" s="40" t="s">
        <v>236</v>
      </c>
      <c r="C335" s="40" t="s">
        <v>1009</v>
      </c>
      <c r="D335" s="40" t="s">
        <v>274</v>
      </c>
      <c r="E335" s="81" t="s">
        <v>1121</v>
      </c>
      <c r="F335" s="40"/>
      <c r="G335" s="81"/>
      <c r="H335" s="81" t="s">
        <v>1120</v>
      </c>
    </row>
    <row r="336" spans="1:32" x14ac:dyDescent="0.2">
      <c r="A336" s="40" t="s">
        <v>1220</v>
      </c>
      <c r="B336" s="40" t="s">
        <v>238</v>
      </c>
      <c r="C336" s="40" t="s">
        <v>1063</v>
      </c>
      <c r="D336" s="40" t="s">
        <v>274</v>
      </c>
      <c r="E336" s="81" t="s">
        <v>1121</v>
      </c>
      <c r="F336" s="40"/>
      <c r="G336" s="81"/>
      <c r="H336" s="81" t="s">
        <v>1120</v>
      </c>
    </row>
    <row r="337" spans="1:8" x14ac:dyDescent="0.2">
      <c r="A337" s="40" t="s">
        <v>1220</v>
      </c>
      <c r="B337" s="40" t="s">
        <v>240</v>
      </c>
      <c r="C337" s="40" t="s">
        <v>283</v>
      </c>
      <c r="D337" s="40" t="s">
        <v>274</v>
      </c>
      <c r="E337" s="81" t="s">
        <v>1121</v>
      </c>
      <c r="F337" s="40"/>
      <c r="G337" s="81"/>
      <c r="H337" s="81" t="s">
        <v>1120</v>
      </c>
    </row>
    <row r="338" spans="1:8" x14ac:dyDescent="0.2">
      <c r="A338" s="40" t="s">
        <v>1220</v>
      </c>
      <c r="B338" s="40" t="s">
        <v>243</v>
      </c>
      <c r="C338" s="40" t="s">
        <v>14</v>
      </c>
      <c r="D338" s="40" t="s">
        <v>274</v>
      </c>
      <c r="E338" s="81" t="s">
        <v>1121</v>
      </c>
      <c r="F338" s="40"/>
      <c r="G338" s="81"/>
      <c r="H338" s="81" t="s">
        <v>1120</v>
      </c>
    </row>
    <row r="339" spans="1:8" x14ac:dyDescent="0.2">
      <c r="A339" s="40" t="s">
        <v>1220</v>
      </c>
      <c r="B339" s="40" t="s">
        <v>245</v>
      </c>
      <c r="C339" s="40" t="s">
        <v>580</v>
      </c>
      <c r="D339" s="40" t="s">
        <v>274</v>
      </c>
      <c r="E339" s="81" t="s">
        <v>1121</v>
      </c>
      <c r="F339" s="40"/>
      <c r="G339" s="81"/>
      <c r="H339" s="81" t="s">
        <v>1120</v>
      </c>
    </row>
    <row r="340" spans="1:8" x14ac:dyDescent="0.2">
      <c r="A340" s="40" t="s">
        <v>1220</v>
      </c>
      <c r="B340" s="40" t="s">
        <v>675</v>
      </c>
      <c r="C340" s="40" t="s">
        <v>225</v>
      </c>
      <c r="D340" s="40" t="s">
        <v>274</v>
      </c>
      <c r="E340" s="81" t="s">
        <v>1121</v>
      </c>
      <c r="F340" s="40"/>
      <c r="G340" s="81"/>
      <c r="H340" s="81" t="s">
        <v>1120</v>
      </c>
    </row>
    <row r="341" spans="1:8" x14ac:dyDescent="0.2">
      <c r="A341" s="40" t="s">
        <v>1220</v>
      </c>
      <c r="B341" s="40" t="s">
        <v>672</v>
      </c>
      <c r="C341" s="40" t="s">
        <v>223</v>
      </c>
      <c r="D341" s="40" t="s">
        <v>274</v>
      </c>
      <c r="E341" s="81" t="s">
        <v>1121</v>
      </c>
      <c r="F341" s="40"/>
      <c r="G341" s="81"/>
      <c r="H341" s="81" t="s">
        <v>1120</v>
      </c>
    </row>
    <row r="342" spans="1:8" x14ac:dyDescent="0.2">
      <c r="A342" s="40" t="s">
        <v>1220</v>
      </c>
      <c r="B342" s="40" t="s">
        <v>1037</v>
      </c>
      <c r="C342" s="40" t="s">
        <v>1038</v>
      </c>
      <c r="D342" s="40" t="s">
        <v>274</v>
      </c>
      <c r="E342" s="81" t="s">
        <v>1121</v>
      </c>
      <c r="F342" s="40"/>
      <c r="G342" s="81"/>
      <c r="H342" s="81" t="s">
        <v>1120</v>
      </c>
    </row>
    <row r="343" spans="1:8" x14ac:dyDescent="0.2">
      <c r="A343" s="40" t="s">
        <v>1220</v>
      </c>
      <c r="B343" s="40" t="s">
        <v>255</v>
      </c>
      <c r="C343" s="40" t="s">
        <v>635</v>
      </c>
      <c r="D343" s="40" t="s">
        <v>274</v>
      </c>
      <c r="E343" s="81" t="s">
        <v>1121</v>
      </c>
      <c r="F343" s="40"/>
      <c r="G343" s="81"/>
      <c r="H343" s="81" t="s">
        <v>1120</v>
      </c>
    </row>
    <row r="344" spans="1:8" x14ac:dyDescent="0.2">
      <c r="A344" s="40" t="s">
        <v>1220</v>
      </c>
      <c r="B344" s="40" t="s">
        <v>257</v>
      </c>
      <c r="C344" s="40" t="s">
        <v>637</v>
      </c>
      <c r="D344" s="40" t="s">
        <v>274</v>
      </c>
      <c r="E344" s="81" t="s">
        <v>1121</v>
      </c>
      <c r="F344" s="40"/>
      <c r="G344" s="81"/>
      <c r="H344" s="81" t="s">
        <v>1120</v>
      </c>
    </row>
    <row r="345" spans="1:8" x14ac:dyDescent="0.2">
      <c r="A345" s="40" t="s">
        <v>1220</v>
      </c>
      <c r="B345" s="40" t="s">
        <v>248</v>
      </c>
      <c r="C345" s="40" t="s">
        <v>634</v>
      </c>
      <c r="D345" s="40" t="s">
        <v>274</v>
      </c>
      <c r="E345" s="81" t="s">
        <v>1121</v>
      </c>
      <c r="F345" s="40"/>
      <c r="G345" s="81"/>
      <c r="H345" s="81" t="s">
        <v>1120</v>
      </c>
    </row>
    <row r="346" spans="1:8" x14ac:dyDescent="0.2">
      <c r="A346" s="40" t="s">
        <v>1220</v>
      </c>
      <c r="B346" s="40" t="s">
        <v>235</v>
      </c>
      <c r="C346" s="40" t="s">
        <v>1008</v>
      </c>
      <c r="D346" s="40" t="s">
        <v>274</v>
      </c>
      <c r="E346" s="81" t="s">
        <v>1121</v>
      </c>
      <c r="F346" s="40"/>
      <c r="G346" s="81"/>
      <c r="H346" s="81" t="s">
        <v>1120</v>
      </c>
    </row>
    <row r="347" spans="1:8" x14ac:dyDescent="0.2">
      <c r="A347" s="40" t="s">
        <v>1220</v>
      </c>
      <c r="B347" s="40" t="s">
        <v>237</v>
      </c>
      <c r="C347" s="40" t="s">
        <v>1061</v>
      </c>
      <c r="D347" s="40" t="s">
        <v>274</v>
      </c>
      <c r="E347" s="81" t="s">
        <v>1121</v>
      </c>
      <c r="F347" s="40"/>
      <c r="G347" s="81"/>
      <c r="H347" s="81" t="s">
        <v>1120</v>
      </c>
    </row>
    <row r="348" spans="1:8" x14ac:dyDescent="0.2">
      <c r="A348" s="40" t="s">
        <v>1220</v>
      </c>
      <c r="B348" s="40" t="s">
        <v>239</v>
      </c>
      <c r="C348" s="40" t="s">
        <v>1064</v>
      </c>
      <c r="D348" s="40" t="s">
        <v>274</v>
      </c>
      <c r="E348" s="81" t="s">
        <v>1121</v>
      </c>
      <c r="F348" s="40"/>
      <c r="G348" s="81"/>
      <c r="H348" s="81" t="s">
        <v>1120</v>
      </c>
    </row>
    <row r="349" spans="1:8" x14ac:dyDescent="0.2">
      <c r="A349" s="40" t="s">
        <v>1220</v>
      </c>
      <c r="B349" s="40" t="s">
        <v>241</v>
      </c>
      <c r="C349" s="40" t="s">
        <v>284</v>
      </c>
      <c r="D349" s="40" t="s">
        <v>274</v>
      </c>
      <c r="E349" s="81" t="s">
        <v>1121</v>
      </c>
      <c r="F349" s="40"/>
      <c r="G349" s="81"/>
      <c r="H349" s="81" t="s">
        <v>1120</v>
      </c>
    </row>
    <row r="350" spans="1:8" x14ac:dyDescent="0.2">
      <c r="A350" s="40" t="s">
        <v>1220</v>
      </c>
      <c r="B350" s="40" t="s">
        <v>244</v>
      </c>
      <c r="C350" s="40" t="s">
        <v>15</v>
      </c>
      <c r="D350" s="40" t="s">
        <v>274</v>
      </c>
      <c r="E350" s="81" t="s">
        <v>1121</v>
      </c>
      <c r="F350" s="40"/>
      <c r="G350" s="81"/>
      <c r="H350" s="81" t="s">
        <v>1120</v>
      </c>
    </row>
    <row r="351" spans="1:8" x14ac:dyDescent="0.2">
      <c r="A351" s="40" t="s">
        <v>1220</v>
      </c>
      <c r="B351" s="40" t="s">
        <v>246</v>
      </c>
      <c r="C351" s="40" t="s">
        <v>581</v>
      </c>
      <c r="D351" s="40" t="s">
        <v>274</v>
      </c>
      <c r="E351" s="81" t="s">
        <v>1121</v>
      </c>
      <c r="F351" s="40"/>
      <c r="G351" s="81"/>
      <c r="H351" s="81" t="s">
        <v>1120</v>
      </c>
    </row>
    <row r="352" spans="1:8" x14ac:dyDescent="0.2">
      <c r="A352" s="40" t="s">
        <v>1220</v>
      </c>
      <c r="B352" s="40" t="s">
        <v>676</v>
      </c>
      <c r="C352" s="40" t="s">
        <v>226</v>
      </c>
      <c r="D352" s="40" t="s">
        <v>274</v>
      </c>
      <c r="E352" s="81" t="s">
        <v>1121</v>
      </c>
      <c r="F352" s="40"/>
      <c r="G352" s="81"/>
      <c r="H352" s="81" t="s">
        <v>1120</v>
      </c>
    </row>
    <row r="353" spans="1:8" x14ac:dyDescent="0.2">
      <c r="A353" s="40" t="s">
        <v>1220</v>
      </c>
      <c r="B353" s="40" t="s">
        <v>674</v>
      </c>
      <c r="C353" s="40" t="s">
        <v>224</v>
      </c>
      <c r="D353" s="40" t="s">
        <v>274</v>
      </c>
      <c r="E353" s="81" t="s">
        <v>1121</v>
      </c>
      <c r="F353" s="40"/>
      <c r="G353" s="81"/>
      <c r="H353" s="81" t="s">
        <v>1120</v>
      </c>
    </row>
    <row r="354" spans="1:8" x14ac:dyDescent="0.2">
      <c r="A354" s="40" t="s">
        <v>1220</v>
      </c>
      <c r="B354" s="40" t="s">
        <v>1040</v>
      </c>
      <c r="C354" s="40" t="s">
        <v>1041</v>
      </c>
      <c r="D354" s="40" t="s">
        <v>274</v>
      </c>
      <c r="E354" s="81" t="s">
        <v>1121</v>
      </c>
      <c r="F354" s="40"/>
      <c r="G354" s="81"/>
      <c r="H354" s="81" t="s">
        <v>1120</v>
      </c>
    </row>
    <row r="355" spans="1:8" x14ac:dyDescent="0.2">
      <c r="A355" s="40" t="s">
        <v>1220</v>
      </c>
      <c r="B355" s="40" t="s">
        <v>256</v>
      </c>
      <c r="C355" s="40" t="s">
        <v>636</v>
      </c>
      <c r="D355" s="40" t="s">
        <v>274</v>
      </c>
      <c r="E355" s="81" t="s">
        <v>1121</v>
      </c>
      <c r="F355" s="40"/>
      <c r="G355" s="81"/>
      <c r="H355" s="81" t="s">
        <v>1120</v>
      </c>
    </row>
    <row r="356" spans="1:8" x14ac:dyDescent="0.2">
      <c r="A356" s="40" t="s">
        <v>1220</v>
      </c>
      <c r="B356" s="40" t="s">
        <v>1179</v>
      </c>
      <c r="C356" s="40" t="s">
        <v>593</v>
      </c>
      <c r="D356" s="40" t="s">
        <v>274</v>
      </c>
      <c r="E356" s="81" t="s">
        <v>1121</v>
      </c>
      <c r="F356" s="40"/>
      <c r="G356" s="81"/>
      <c r="H356" s="81" t="s">
        <v>1120</v>
      </c>
    </row>
    <row r="357" spans="1:8" x14ac:dyDescent="0.2">
      <c r="A357" s="40" t="s">
        <v>1220</v>
      </c>
      <c r="B357" s="40" t="s">
        <v>681</v>
      </c>
      <c r="C357" s="40" t="s">
        <v>663</v>
      </c>
      <c r="D357" s="40" t="s">
        <v>274</v>
      </c>
      <c r="E357" s="81" t="s">
        <v>1121</v>
      </c>
      <c r="F357" s="40"/>
      <c r="G357" s="81"/>
      <c r="H357" s="81" t="s">
        <v>1120</v>
      </c>
    </row>
    <row r="358" spans="1:8" x14ac:dyDescent="0.2">
      <c r="A358" s="40" t="s">
        <v>1220</v>
      </c>
      <c r="B358" s="40" t="s">
        <v>231</v>
      </c>
      <c r="C358" s="40" t="s">
        <v>230</v>
      </c>
      <c r="D358" s="40" t="s">
        <v>274</v>
      </c>
      <c r="E358" s="81" t="s">
        <v>1121</v>
      </c>
      <c r="F358" s="40"/>
      <c r="G358" s="81"/>
      <c r="H358" s="81" t="s">
        <v>1120</v>
      </c>
    </row>
    <row r="359" spans="1:8" x14ac:dyDescent="0.2">
      <c r="A359" s="40" t="s">
        <v>1220</v>
      </c>
      <c r="B359" s="40" t="s">
        <v>569</v>
      </c>
      <c r="C359" s="40" t="s">
        <v>212</v>
      </c>
      <c r="D359" s="40" t="s">
        <v>274</v>
      </c>
      <c r="E359" s="81" t="s">
        <v>1121</v>
      </c>
      <c r="F359" s="40"/>
      <c r="G359" s="81"/>
      <c r="H359" s="81" t="s">
        <v>1120</v>
      </c>
    </row>
    <row r="360" spans="1:8" x14ac:dyDescent="0.2">
      <c r="A360" s="40" t="s">
        <v>1220</v>
      </c>
      <c r="B360" s="40" t="s">
        <v>567</v>
      </c>
      <c r="C360" s="40" t="s">
        <v>17</v>
      </c>
      <c r="D360" s="40" t="s">
        <v>274</v>
      </c>
      <c r="E360" s="81" t="s">
        <v>1121</v>
      </c>
      <c r="F360" s="40"/>
      <c r="G360" s="81"/>
      <c r="H360" s="81" t="s">
        <v>1120</v>
      </c>
    </row>
    <row r="361" spans="1:8" x14ac:dyDescent="0.2">
      <c r="A361" s="40" t="s">
        <v>1220</v>
      </c>
      <c r="B361" s="40" t="s">
        <v>568</v>
      </c>
      <c r="C361" s="40" t="s">
        <v>18</v>
      </c>
      <c r="D361" s="40" t="s">
        <v>274</v>
      </c>
      <c r="E361" s="81" t="s">
        <v>1121</v>
      </c>
      <c r="F361" s="40"/>
      <c r="G361" s="81"/>
      <c r="H361" s="81" t="s">
        <v>1120</v>
      </c>
    </row>
    <row r="362" spans="1:8" x14ac:dyDescent="0.2">
      <c r="A362" s="40" t="s">
        <v>1220</v>
      </c>
      <c r="B362" s="40" t="s">
        <v>565</v>
      </c>
      <c r="C362" s="40" t="s">
        <v>16</v>
      </c>
      <c r="D362" s="40" t="s">
        <v>274</v>
      </c>
      <c r="E362" s="81" t="s">
        <v>1121</v>
      </c>
      <c r="F362" s="40"/>
      <c r="G362" s="81"/>
      <c r="H362" s="81" t="s">
        <v>1120</v>
      </c>
    </row>
    <row r="363" spans="1:8" x14ac:dyDescent="0.2">
      <c r="A363" s="40" t="s">
        <v>1220</v>
      </c>
      <c r="B363" s="40" t="s">
        <v>228</v>
      </c>
      <c r="C363" s="40" t="s">
        <v>227</v>
      </c>
      <c r="D363" s="40" t="s">
        <v>274</v>
      </c>
      <c r="E363" s="81" t="s">
        <v>1121</v>
      </c>
      <c r="F363" s="40"/>
      <c r="G363" s="81"/>
      <c r="H363" s="81" t="s">
        <v>1120</v>
      </c>
    </row>
    <row r="364" spans="1:8" x14ac:dyDescent="0.2">
      <c r="A364" s="40" t="s">
        <v>1220</v>
      </c>
      <c r="B364" s="40" t="s">
        <v>120</v>
      </c>
      <c r="C364" s="40" t="s">
        <v>121</v>
      </c>
      <c r="D364" s="40" t="s">
        <v>274</v>
      </c>
      <c r="E364" s="81" t="s">
        <v>1121</v>
      </c>
      <c r="F364" s="40"/>
      <c r="G364" s="81" t="s">
        <v>600</v>
      </c>
      <c r="H364" s="81" t="s">
        <v>1120</v>
      </c>
    </row>
    <row r="365" spans="1:8" x14ac:dyDescent="0.2">
      <c r="A365" s="40" t="s">
        <v>1220</v>
      </c>
      <c r="B365" s="40" t="s">
        <v>122</v>
      </c>
      <c r="C365" s="40" t="s">
        <v>123</v>
      </c>
      <c r="D365" s="40" t="s">
        <v>274</v>
      </c>
      <c r="E365" s="81" t="s">
        <v>1121</v>
      </c>
      <c r="F365" s="40"/>
      <c r="G365" s="81" t="s">
        <v>600</v>
      </c>
      <c r="H365" s="81" t="s">
        <v>1120</v>
      </c>
    </row>
    <row r="366" spans="1:8" x14ac:dyDescent="0.2">
      <c r="A366" s="40" t="s">
        <v>1220</v>
      </c>
      <c r="B366" s="40" t="s">
        <v>39</v>
      </c>
      <c r="C366" s="40" t="s">
        <v>40</v>
      </c>
      <c r="D366" s="40" t="s">
        <v>274</v>
      </c>
      <c r="E366" s="81" t="s">
        <v>1121</v>
      </c>
      <c r="F366" s="40"/>
      <c r="G366" s="81" t="s">
        <v>600</v>
      </c>
      <c r="H366" s="81" t="s">
        <v>1120</v>
      </c>
    </row>
    <row r="367" spans="1:8" x14ac:dyDescent="0.2">
      <c r="A367" s="40" t="s">
        <v>1220</v>
      </c>
      <c r="B367" s="40" t="s">
        <v>602</v>
      </c>
      <c r="C367" s="40" t="s">
        <v>124</v>
      </c>
      <c r="D367" s="40" t="s">
        <v>274</v>
      </c>
      <c r="E367" s="81" t="s">
        <v>1121</v>
      </c>
      <c r="F367" s="40"/>
      <c r="G367" s="81" t="s">
        <v>600</v>
      </c>
      <c r="H367" s="81" t="s">
        <v>1120</v>
      </c>
    </row>
    <row r="368" spans="1:8" x14ac:dyDescent="0.2">
      <c r="A368" s="40" t="s">
        <v>1220</v>
      </c>
      <c r="B368" s="40" t="s">
        <v>125</v>
      </c>
      <c r="C368" s="40" t="s">
        <v>126</v>
      </c>
      <c r="D368" s="40" t="s">
        <v>274</v>
      </c>
      <c r="E368" s="81" t="s">
        <v>1121</v>
      </c>
      <c r="F368" s="40"/>
      <c r="G368" s="81" t="s">
        <v>600</v>
      </c>
      <c r="H368" s="81" t="s">
        <v>1120</v>
      </c>
    </row>
    <row r="369" spans="1:8" x14ac:dyDescent="0.2">
      <c r="A369" s="40" t="s">
        <v>1220</v>
      </c>
      <c r="B369" s="40" t="s">
        <v>127</v>
      </c>
      <c r="C369" s="40" t="s">
        <v>128</v>
      </c>
      <c r="D369" s="40" t="s">
        <v>274</v>
      </c>
      <c r="E369" s="81" t="s">
        <v>1121</v>
      </c>
      <c r="F369" s="40"/>
      <c r="G369" s="81" t="s">
        <v>600</v>
      </c>
      <c r="H369" s="81" t="s">
        <v>1120</v>
      </c>
    </row>
    <row r="370" spans="1:8" x14ac:dyDescent="0.2">
      <c r="A370" s="40" t="s">
        <v>1220</v>
      </c>
      <c r="B370" s="40" t="s">
        <v>129</v>
      </c>
      <c r="C370" s="40" t="s">
        <v>130</v>
      </c>
      <c r="D370" s="40" t="s">
        <v>274</v>
      </c>
      <c r="E370" s="81" t="s">
        <v>1121</v>
      </c>
      <c r="F370" s="40"/>
      <c r="G370" s="81" t="s">
        <v>600</v>
      </c>
      <c r="H370" s="81" t="s">
        <v>1120</v>
      </c>
    </row>
    <row r="371" spans="1:8" x14ac:dyDescent="0.2">
      <c r="A371" s="40" t="s">
        <v>1220</v>
      </c>
      <c r="B371" s="40" t="s">
        <v>617</v>
      </c>
      <c r="C371" s="40" t="s">
        <v>131</v>
      </c>
      <c r="D371" s="40" t="s">
        <v>274</v>
      </c>
      <c r="E371" s="81" t="s">
        <v>1121</v>
      </c>
      <c r="F371" s="40"/>
      <c r="G371" s="81" t="s">
        <v>600</v>
      </c>
      <c r="H371" s="81" t="s">
        <v>1120</v>
      </c>
    </row>
    <row r="372" spans="1:8" x14ac:dyDescent="0.2">
      <c r="A372" s="40" t="s">
        <v>1220</v>
      </c>
      <c r="B372" s="40" t="s">
        <v>618</v>
      </c>
      <c r="C372" s="40" t="s">
        <v>41</v>
      </c>
      <c r="D372" s="40" t="s">
        <v>274</v>
      </c>
      <c r="E372" s="81" t="s">
        <v>1121</v>
      </c>
      <c r="F372" s="40"/>
      <c r="G372" s="81" t="s">
        <v>600</v>
      </c>
      <c r="H372" s="81" t="s">
        <v>1120</v>
      </c>
    </row>
    <row r="373" spans="1:8" x14ac:dyDescent="0.2">
      <c r="A373" s="40" t="s">
        <v>1220</v>
      </c>
      <c r="B373" s="40" t="s">
        <v>619</v>
      </c>
      <c r="C373" s="40" t="s">
        <v>132</v>
      </c>
      <c r="D373" s="40" t="s">
        <v>274</v>
      </c>
      <c r="E373" s="81" t="s">
        <v>1121</v>
      </c>
      <c r="F373" s="40"/>
      <c r="G373" s="81" t="s">
        <v>600</v>
      </c>
      <c r="H373" s="81" t="s">
        <v>1120</v>
      </c>
    </row>
    <row r="374" spans="1:8" x14ac:dyDescent="0.2">
      <c r="A374" s="40" t="s">
        <v>1220</v>
      </c>
      <c r="B374" s="40" t="s">
        <v>677</v>
      </c>
      <c r="C374" s="40" t="s">
        <v>133</v>
      </c>
      <c r="D374" s="40" t="s">
        <v>274</v>
      </c>
      <c r="E374" s="81" t="s">
        <v>1121</v>
      </c>
      <c r="F374" s="40"/>
      <c r="G374" s="81" t="s">
        <v>600</v>
      </c>
      <c r="H374" s="81" t="s">
        <v>1120</v>
      </c>
    </row>
    <row r="375" spans="1:8" x14ac:dyDescent="0.2">
      <c r="A375" s="40" t="s">
        <v>1220</v>
      </c>
      <c r="B375" s="40" t="s">
        <v>134</v>
      </c>
      <c r="C375" s="40" t="s">
        <v>135</v>
      </c>
      <c r="D375" s="40" t="s">
        <v>274</v>
      </c>
      <c r="E375" s="81" t="s">
        <v>1121</v>
      </c>
      <c r="F375" s="40"/>
      <c r="G375" s="81" t="s">
        <v>600</v>
      </c>
      <c r="H375" s="81" t="s">
        <v>1120</v>
      </c>
    </row>
    <row r="376" spans="1:8" x14ac:dyDescent="0.2">
      <c r="A376" s="40" t="s">
        <v>1220</v>
      </c>
      <c r="B376" s="40" t="s">
        <v>110</v>
      </c>
      <c r="C376" s="40" t="s">
        <v>111</v>
      </c>
      <c r="D376" s="40" t="s">
        <v>274</v>
      </c>
      <c r="E376" s="81" t="s">
        <v>1121</v>
      </c>
      <c r="F376" s="40"/>
      <c r="G376" s="81"/>
      <c r="H376" s="81" t="s">
        <v>1120</v>
      </c>
    </row>
    <row r="377" spans="1:8" x14ac:dyDescent="0.2">
      <c r="A377" s="40" t="s">
        <v>1220</v>
      </c>
      <c r="B377" s="40" t="s">
        <v>590</v>
      </c>
      <c r="C377" s="40" t="s">
        <v>108</v>
      </c>
      <c r="D377" s="40" t="s">
        <v>274</v>
      </c>
      <c r="E377" s="81" t="s">
        <v>1121</v>
      </c>
      <c r="F377" s="40"/>
      <c r="G377" s="81"/>
      <c r="H377" s="81" t="s">
        <v>1120</v>
      </c>
    </row>
    <row r="378" spans="1:8" x14ac:dyDescent="0.2">
      <c r="A378" s="40" t="s">
        <v>1220</v>
      </c>
      <c r="B378" s="40" t="s">
        <v>109</v>
      </c>
      <c r="C378" s="40" t="s">
        <v>986</v>
      </c>
      <c r="D378" s="40" t="s">
        <v>274</v>
      </c>
      <c r="E378" s="81" t="s">
        <v>1121</v>
      </c>
      <c r="F378" s="40"/>
      <c r="G378" s="81"/>
      <c r="H378" s="81" t="s">
        <v>1120</v>
      </c>
    </row>
    <row r="379" spans="1:8" x14ac:dyDescent="0.2">
      <c r="A379" s="40" t="s">
        <v>1220</v>
      </c>
      <c r="B379" s="40" t="s">
        <v>112</v>
      </c>
      <c r="C379" s="40" t="s">
        <v>113</v>
      </c>
      <c r="D379" s="40" t="s">
        <v>274</v>
      </c>
      <c r="E379" s="81" t="s">
        <v>1121</v>
      </c>
      <c r="F379" s="40"/>
      <c r="G379" s="81"/>
      <c r="H379" s="81" t="s">
        <v>1120</v>
      </c>
    </row>
    <row r="380" spans="1:8" x14ac:dyDescent="0.2">
      <c r="A380" s="40" t="s">
        <v>1220</v>
      </c>
      <c r="B380" s="40" t="s">
        <v>114</v>
      </c>
      <c r="C380" s="40" t="s">
        <v>115</v>
      </c>
      <c r="D380" s="40" t="s">
        <v>274</v>
      </c>
      <c r="E380" s="81" t="s">
        <v>1121</v>
      </c>
      <c r="F380" s="40"/>
      <c r="G380" s="81"/>
      <c r="H380" s="81" t="s">
        <v>1120</v>
      </c>
    </row>
    <row r="381" spans="1:8" x14ac:dyDescent="0.2">
      <c r="A381" s="40" t="s">
        <v>1220</v>
      </c>
      <c r="B381" s="40" t="s">
        <v>597</v>
      </c>
      <c r="C381" s="40" t="s">
        <v>116</v>
      </c>
      <c r="D381" s="40" t="s">
        <v>274</v>
      </c>
      <c r="E381" s="81" t="s">
        <v>1121</v>
      </c>
      <c r="F381" s="40"/>
      <c r="G381" s="81"/>
      <c r="H381" s="81" t="s">
        <v>1120</v>
      </c>
    </row>
    <row r="382" spans="1:8" x14ac:dyDescent="0.2">
      <c r="A382" s="40" t="s">
        <v>1220</v>
      </c>
      <c r="B382" s="40" t="s">
        <v>117</v>
      </c>
      <c r="C382" s="40" t="s">
        <v>118</v>
      </c>
      <c r="D382" s="40" t="s">
        <v>274</v>
      </c>
      <c r="E382" s="81" t="s">
        <v>1121</v>
      </c>
      <c r="F382" s="40"/>
      <c r="G382" s="81"/>
      <c r="H382" s="81" t="s">
        <v>1120</v>
      </c>
    </row>
    <row r="383" spans="1:8" x14ac:dyDescent="0.2">
      <c r="A383" s="40" t="s">
        <v>50</v>
      </c>
      <c r="B383" s="40" t="s">
        <v>598</v>
      </c>
      <c r="C383" s="40" t="s">
        <v>119</v>
      </c>
      <c r="D383" s="40" t="s">
        <v>274</v>
      </c>
      <c r="E383" s="81" t="s">
        <v>1121</v>
      </c>
      <c r="F383" s="40"/>
      <c r="G383" s="81"/>
      <c r="H383" s="81" t="s">
        <v>1120</v>
      </c>
    </row>
    <row r="384" spans="1:8" x14ac:dyDescent="0.2">
      <c r="A384" s="40" t="s">
        <v>1220</v>
      </c>
      <c r="B384" s="40" t="s">
        <v>100</v>
      </c>
      <c r="C384" s="40" t="s">
        <v>101</v>
      </c>
      <c r="D384" s="40" t="s">
        <v>274</v>
      </c>
      <c r="E384" s="81" t="s">
        <v>1121</v>
      </c>
      <c r="F384" s="40"/>
      <c r="G384" s="81"/>
      <c r="H384" s="81" t="s">
        <v>1120</v>
      </c>
    </row>
    <row r="385" spans="1:8" x14ac:dyDescent="0.2">
      <c r="A385" s="40" t="s">
        <v>1220</v>
      </c>
      <c r="B385" s="40" t="s">
        <v>1228</v>
      </c>
      <c r="C385" s="40" t="s">
        <v>1227</v>
      </c>
      <c r="D385" s="40" t="s">
        <v>274</v>
      </c>
      <c r="E385" s="81" t="s">
        <v>1121</v>
      </c>
      <c r="F385" s="40"/>
      <c r="G385" s="81"/>
      <c r="H385" s="81" t="s">
        <v>1120</v>
      </c>
    </row>
    <row r="386" spans="1:8" x14ac:dyDescent="0.2">
      <c r="A386" s="40" t="s">
        <v>1220</v>
      </c>
      <c r="B386" s="40" t="s">
        <v>102</v>
      </c>
      <c r="C386" s="40" t="s">
        <v>103</v>
      </c>
      <c r="D386" s="40" t="s">
        <v>274</v>
      </c>
      <c r="E386" s="81" t="s">
        <v>1121</v>
      </c>
      <c r="F386" s="40"/>
      <c r="G386" s="81"/>
      <c r="H386" s="81" t="s">
        <v>1120</v>
      </c>
    </row>
    <row r="387" spans="1:8" x14ac:dyDescent="0.2">
      <c r="A387" s="40" t="s">
        <v>1220</v>
      </c>
      <c r="B387" s="40" t="s">
        <v>104</v>
      </c>
      <c r="C387" s="40" t="s">
        <v>105</v>
      </c>
      <c r="D387" s="40" t="s">
        <v>274</v>
      </c>
      <c r="E387" s="81" t="s">
        <v>1121</v>
      </c>
      <c r="F387" s="40"/>
      <c r="G387" s="81"/>
      <c r="H387" s="81" t="s">
        <v>1120</v>
      </c>
    </row>
    <row r="388" spans="1:8" x14ac:dyDescent="0.2">
      <c r="A388" s="40" t="s">
        <v>1220</v>
      </c>
      <c r="B388" s="40" t="s">
        <v>106</v>
      </c>
      <c r="C388" s="40" t="s">
        <v>107</v>
      </c>
      <c r="D388" s="40" t="s">
        <v>274</v>
      </c>
      <c r="E388" s="81" t="s">
        <v>1121</v>
      </c>
      <c r="F388" s="40"/>
      <c r="G388" s="81"/>
      <c r="H388" s="81" t="s">
        <v>1120</v>
      </c>
    </row>
    <row r="389" spans="1:8" x14ac:dyDescent="0.2">
      <c r="A389" s="40" t="s">
        <v>1220</v>
      </c>
      <c r="B389" s="40" t="s">
        <v>1229</v>
      </c>
      <c r="C389" s="40" t="s">
        <v>1230</v>
      </c>
      <c r="D389" s="40" t="s">
        <v>274</v>
      </c>
      <c r="E389" s="81" t="s">
        <v>1121</v>
      </c>
      <c r="F389" s="40"/>
      <c r="G389" s="81"/>
      <c r="H389" s="81" t="s">
        <v>1120</v>
      </c>
    </row>
    <row r="390" spans="1:8" x14ac:dyDescent="0.2">
      <c r="A390" s="40" t="s">
        <v>1220</v>
      </c>
      <c r="B390" s="40" t="s">
        <v>664</v>
      </c>
      <c r="C390" s="40" t="s">
        <v>213</v>
      </c>
      <c r="D390" s="40" t="s">
        <v>274</v>
      </c>
      <c r="E390" s="81" t="s">
        <v>1121</v>
      </c>
      <c r="F390" s="40"/>
      <c r="G390" s="81"/>
      <c r="H390" s="81" t="s">
        <v>1120</v>
      </c>
    </row>
    <row r="391" spans="1:8" x14ac:dyDescent="0.2">
      <c r="A391" s="40" t="s">
        <v>1220</v>
      </c>
      <c r="B391" s="40" t="s">
        <v>1043</v>
      </c>
      <c r="C391" s="40" t="s">
        <v>1044</v>
      </c>
      <c r="D391" s="40" t="s">
        <v>274</v>
      </c>
      <c r="E391" s="81" t="s">
        <v>1121</v>
      </c>
      <c r="F391" s="40"/>
      <c r="G391" s="81"/>
      <c r="H391" s="81" t="s">
        <v>1120</v>
      </c>
    </row>
    <row r="392" spans="1:8" x14ac:dyDescent="0.2">
      <c r="A392" s="40" t="s">
        <v>1220</v>
      </c>
      <c r="B392" s="40" t="s">
        <v>1045</v>
      </c>
      <c r="C392" s="40" t="s">
        <v>1046</v>
      </c>
      <c r="D392" s="40" t="s">
        <v>274</v>
      </c>
      <c r="E392" s="81" t="s">
        <v>1121</v>
      </c>
      <c r="F392" s="40"/>
      <c r="G392" s="81"/>
      <c r="H392" s="81" t="s">
        <v>1120</v>
      </c>
    </row>
    <row r="393" spans="1:8" x14ac:dyDescent="0.2">
      <c r="A393" s="40" t="s">
        <v>1220</v>
      </c>
      <c r="B393" s="40" t="s">
        <v>668</v>
      </c>
      <c r="C393" s="40" t="s">
        <v>214</v>
      </c>
      <c r="D393" s="40" t="s">
        <v>274</v>
      </c>
      <c r="E393" s="81" t="s">
        <v>1121</v>
      </c>
      <c r="F393" s="40"/>
      <c r="G393" s="81"/>
      <c r="H393" s="81" t="s">
        <v>1120</v>
      </c>
    </row>
    <row r="394" spans="1:8" x14ac:dyDescent="0.2">
      <c r="A394" s="40" t="s">
        <v>1220</v>
      </c>
      <c r="B394" s="40" t="s">
        <v>1047</v>
      </c>
      <c r="C394" s="40" t="s">
        <v>1048</v>
      </c>
      <c r="D394" s="40" t="s">
        <v>274</v>
      </c>
      <c r="E394" s="81" t="s">
        <v>1121</v>
      </c>
      <c r="F394" s="40"/>
      <c r="G394" s="81"/>
      <c r="H394" s="81" t="s">
        <v>1120</v>
      </c>
    </row>
    <row r="395" spans="1:8" x14ac:dyDescent="0.2">
      <c r="A395" s="40" t="s">
        <v>1220</v>
      </c>
      <c r="B395" s="40" t="s">
        <v>1049</v>
      </c>
      <c r="C395" s="40" t="s">
        <v>1050</v>
      </c>
      <c r="D395" s="40" t="s">
        <v>274</v>
      </c>
      <c r="E395" s="81" t="s">
        <v>1121</v>
      </c>
      <c r="F395" s="40"/>
      <c r="G395" s="81"/>
      <c r="H395" s="81" t="s">
        <v>1120</v>
      </c>
    </row>
    <row r="396" spans="1:8" x14ac:dyDescent="0.2">
      <c r="A396" s="40" t="s">
        <v>1220</v>
      </c>
      <c r="B396" s="40" t="s">
        <v>666</v>
      </c>
      <c r="C396" s="40" t="s">
        <v>1051</v>
      </c>
      <c r="D396" s="40" t="s">
        <v>274</v>
      </c>
      <c r="E396" s="81" t="s">
        <v>1121</v>
      </c>
      <c r="F396" s="40"/>
      <c r="G396" s="81"/>
      <c r="H396" s="81" t="s">
        <v>1120</v>
      </c>
    </row>
    <row r="397" spans="1:8" x14ac:dyDescent="0.2">
      <c r="A397" s="40" t="s">
        <v>1220</v>
      </c>
      <c r="B397" s="40" t="s">
        <v>1052</v>
      </c>
      <c r="C397" s="40" t="s">
        <v>1053</v>
      </c>
      <c r="D397" s="40" t="s">
        <v>274</v>
      </c>
      <c r="E397" s="81" t="s">
        <v>1121</v>
      </c>
      <c r="F397" s="40"/>
      <c r="G397" s="81"/>
      <c r="H397" s="81" t="s">
        <v>1120</v>
      </c>
    </row>
    <row r="398" spans="1:8" x14ac:dyDescent="0.2">
      <c r="A398" s="40" t="s">
        <v>1220</v>
      </c>
      <c r="B398" s="40" t="s">
        <v>1054</v>
      </c>
      <c r="C398" s="40" t="s">
        <v>1055</v>
      </c>
      <c r="D398" s="40" t="s">
        <v>274</v>
      </c>
      <c r="E398" s="81" t="s">
        <v>1121</v>
      </c>
      <c r="F398" s="40"/>
      <c r="G398" s="81"/>
      <c r="H398" s="81" t="s">
        <v>1120</v>
      </c>
    </row>
    <row r="399" spans="1:8" x14ac:dyDescent="0.2">
      <c r="A399" s="40" t="s">
        <v>1220</v>
      </c>
      <c r="B399" s="40" t="s">
        <v>1056</v>
      </c>
      <c r="C399" s="40" t="s">
        <v>1057</v>
      </c>
      <c r="D399" s="40" t="s">
        <v>274</v>
      </c>
      <c r="E399" s="81" t="s">
        <v>1121</v>
      </c>
      <c r="F399" s="40"/>
      <c r="G399" s="81"/>
      <c r="H399" s="81" t="s">
        <v>1120</v>
      </c>
    </row>
    <row r="400" spans="1:8" x14ac:dyDescent="0.2">
      <c r="A400" s="40" t="s">
        <v>1220</v>
      </c>
      <c r="B400" s="40" t="s">
        <v>669</v>
      </c>
      <c r="C400" s="40" t="s">
        <v>215</v>
      </c>
      <c r="D400" s="40" t="s">
        <v>274</v>
      </c>
      <c r="E400" s="81" t="s">
        <v>1121</v>
      </c>
      <c r="F400" s="40"/>
      <c r="G400" s="81"/>
      <c r="H400" s="81" t="s">
        <v>1120</v>
      </c>
    </row>
    <row r="401" spans="1:8" x14ac:dyDescent="0.2">
      <c r="A401" s="40" t="s">
        <v>1220</v>
      </c>
      <c r="B401" s="40" t="s">
        <v>670</v>
      </c>
      <c r="C401" s="40" t="s">
        <v>222</v>
      </c>
      <c r="D401" s="40" t="s">
        <v>274</v>
      </c>
      <c r="E401" s="81" t="s">
        <v>1121</v>
      </c>
      <c r="F401" s="40"/>
      <c r="G401" s="81"/>
      <c r="H401" s="81" t="s">
        <v>1120</v>
      </c>
    </row>
    <row r="402" spans="1:8" x14ac:dyDescent="0.2">
      <c r="A402" s="40" t="s">
        <v>1220</v>
      </c>
      <c r="B402" s="40" t="s">
        <v>1059</v>
      </c>
      <c r="C402" s="40" t="s">
        <v>1060</v>
      </c>
      <c r="D402" s="40" t="s">
        <v>274</v>
      </c>
      <c r="E402" s="81" t="s">
        <v>1121</v>
      </c>
      <c r="F402" s="40"/>
      <c r="G402" s="81"/>
      <c r="H402" s="81" t="s">
        <v>1120</v>
      </c>
    </row>
    <row r="403" spans="1:8" x14ac:dyDescent="0.2">
      <c r="A403" s="40" t="s">
        <v>1220</v>
      </c>
      <c r="B403" s="40" t="s">
        <v>1161</v>
      </c>
      <c r="C403" s="40" t="s">
        <v>1162</v>
      </c>
      <c r="D403" s="40" t="s">
        <v>274</v>
      </c>
      <c r="E403" s="81" t="s">
        <v>1121</v>
      </c>
      <c r="F403" s="40"/>
      <c r="G403" s="81"/>
      <c r="H403" s="81" t="s">
        <v>1120</v>
      </c>
    </row>
    <row r="404" spans="1:8" x14ac:dyDescent="0.2">
      <c r="A404" s="40" t="s">
        <v>1220</v>
      </c>
      <c r="B404" s="40" t="s">
        <v>536</v>
      </c>
      <c r="C404" s="40" t="s">
        <v>537</v>
      </c>
      <c r="D404" s="40" t="s">
        <v>274</v>
      </c>
      <c r="E404" s="81" t="s">
        <v>1121</v>
      </c>
      <c r="F404" s="40"/>
      <c r="G404" s="81"/>
      <c r="H404" s="81" t="s">
        <v>1120</v>
      </c>
    </row>
    <row r="405" spans="1:8" x14ac:dyDescent="0.2">
      <c r="A405" s="40" t="s">
        <v>1220</v>
      </c>
      <c r="B405" s="40" t="s">
        <v>1131</v>
      </c>
      <c r="C405" s="40" t="s">
        <v>1132</v>
      </c>
      <c r="D405" s="40" t="s">
        <v>274</v>
      </c>
      <c r="E405" s="81" t="s">
        <v>1121</v>
      </c>
      <c r="F405" s="40"/>
      <c r="G405" s="81"/>
      <c r="H405" s="81" t="s">
        <v>1120</v>
      </c>
    </row>
    <row r="406" spans="1:8" x14ac:dyDescent="0.2">
      <c r="A406" s="40" t="s">
        <v>1220</v>
      </c>
      <c r="B406" s="40" t="s">
        <v>1135</v>
      </c>
      <c r="C406" s="40" t="s">
        <v>1136</v>
      </c>
      <c r="D406" s="40" t="s">
        <v>274</v>
      </c>
      <c r="E406" s="81" t="s">
        <v>1121</v>
      </c>
      <c r="F406" s="40"/>
      <c r="G406" s="81"/>
      <c r="H406" s="81" t="s">
        <v>1120</v>
      </c>
    </row>
    <row r="407" spans="1:8" x14ac:dyDescent="0.2">
      <c r="A407" s="40" t="s">
        <v>1220</v>
      </c>
      <c r="B407" s="40" t="s">
        <v>616</v>
      </c>
      <c r="C407" s="40" t="s">
        <v>1204</v>
      </c>
      <c r="D407" s="40" t="s">
        <v>274</v>
      </c>
      <c r="E407" s="81" t="s">
        <v>1121</v>
      </c>
      <c r="F407" s="40"/>
      <c r="G407" s="81"/>
      <c r="H407" s="81" t="s">
        <v>1120</v>
      </c>
    </row>
    <row r="408" spans="1:8" x14ac:dyDescent="0.2">
      <c r="A408" s="40" t="s">
        <v>1220</v>
      </c>
      <c r="B408" s="40" t="s">
        <v>679</v>
      </c>
      <c r="C408" s="40" t="s">
        <v>661</v>
      </c>
      <c r="D408" s="40" t="s">
        <v>274</v>
      </c>
      <c r="E408" s="81" t="s">
        <v>1121</v>
      </c>
      <c r="F408" s="40"/>
      <c r="G408" s="81"/>
      <c r="H408" s="81" t="s">
        <v>1120</v>
      </c>
    </row>
    <row r="409" spans="1:8" x14ac:dyDescent="0.2">
      <c r="A409" s="40" t="s">
        <v>1220</v>
      </c>
      <c r="B409" s="40" t="s">
        <v>604</v>
      </c>
      <c r="C409" s="40" t="s">
        <v>605</v>
      </c>
      <c r="D409" s="40" t="s">
        <v>274</v>
      </c>
      <c r="E409" s="81" t="s">
        <v>1121</v>
      </c>
      <c r="F409" s="40"/>
      <c r="G409" s="81"/>
      <c r="H409" s="81" t="s">
        <v>1120</v>
      </c>
    </row>
    <row r="410" spans="1:8" x14ac:dyDescent="0.2">
      <c r="A410" s="40" t="s">
        <v>1220</v>
      </c>
      <c r="B410" s="40" t="s">
        <v>608</v>
      </c>
      <c r="C410" s="40" t="s">
        <v>609</v>
      </c>
      <c r="D410" s="40" t="s">
        <v>274</v>
      </c>
      <c r="E410" s="81" t="s">
        <v>1121</v>
      </c>
      <c r="F410" s="40"/>
      <c r="G410" s="81"/>
      <c r="H410" s="81" t="s">
        <v>1120</v>
      </c>
    </row>
    <row r="411" spans="1:8" x14ac:dyDescent="0.2">
      <c r="A411" s="40" t="s">
        <v>1220</v>
      </c>
      <c r="B411" s="40" t="s">
        <v>1163</v>
      </c>
      <c r="C411" s="40" t="s">
        <v>1164</v>
      </c>
      <c r="D411" s="40" t="s">
        <v>274</v>
      </c>
      <c r="E411" s="81" t="s">
        <v>1121</v>
      </c>
      <c r="F411" s="40"/>
      <c r="G411" s="81"/>
      <c r="H411" s="81" t="s">
        <v>1120</v>
      </c>
    </row>
    <row r="412" spans="1:8" x14ac:dyDescent="0.2">
      <c r="A412" s="40" t="s">
        <v>1220</v>
      </c>
      <c r="B412" s="40" t="s">
        <v>539</v>
      </c>
      <c r="C412" s="40" t="s">
        <v>1159</v>
      </c>
      <c r="D412" s="40" t="s">
        <v>274</v>
      </c>
      <c r="E412" s="81" t="s">
        <v>1121</v>
      </c>
      <c r="F412" s="40"/>
      <c r="G412" s="81"/>
      <c r="H412" s="81" t="s">
        <v>1120</v>
      </c>
    </row>
    <row r="413" spans="1:8" x14ac:dyDescent="0.2">
      <c r="A413" s="40" t="s">
        <v>1220</v>
      </c>
      <c r="B413" s="40" t="s">
        <v>1133</v>
      </c>
      <c r="C413" s="40" t="s">
        <v>1134</v>
      </c>
      <c r="D413" s="40" t="s">
        <v>274</v>
      </c>
      <c r="E413" s="81" t="s">
        <v>1121</v>
      </c>
      <c r="F413" s="40"/>
      <c r="G413" s="81"/>
      <c r="H413" s="81" t="s">
        <v>1120</v>
      </c>
    </row>
    <row r="414" spans="1:8" x14ac:dyDescent="0.2">
      <c r="A414" s="40" t="s">
        <v>1220</v>
      </c>
      <c r="B414" s="40" t="s">
        <v>1137</v>
      </c>
      <c r="C414" s="40" t="s">
        <v>1138</v>
      </c>
      <c r="D414" s="40" t="s">
        <v>274</v>
      </c>
      <c r="E414" s="81" t="s">
        <v>1121</v>
      </c>
      <c r="F414" s="40"/>
      <c r="G414" s="81"/>
      <c r="H414" s="81" t="s">
        <v>1120</v>
      </c>
    </row>
    <row r="415" spans="1:8" x14ac:dyDescent="0.2">
      <c r="A415" s="40" t="s">
        <v>1220</v>
      </c>
      <c r="B415" s="40" t="s">
        <v>1205</v>
      </c>
      <c r="C415" s="40" t="s">
        <v>1226</v>
      </c>
      <c r="D415" s="40" t="s">
        <v>274</v>
      </c>
      <c r="E415" s="81" t="s">
        <v>1121</v>
      </c>
      <c r="F415" s="40"/>
      <c r="G415" s="81"/>
      <c r="H415" s="81" t="s">
        <v>1120</v>
      </c>
    </row>
    <row r="416" spans="1:8" x14ac:dyDescent="0.2">
      <c r="A416" s="40" t="s">
        <v>1220</v>
      </c>
      <c r="B416" s="40" t="s">
        <v>680</v>
      </c>
      <c r="C416" s="40" t="s">
        <v>662</v>
      </c>
      <c r="D416" s="40" t="s">
        <v>274</v>
      </c>
      <c r="E416" s="81" t="s">
        <v>1121</v>
      </c>
      <c r="F416" s="40"/>
      <c r="G416" s="81"/>
      <c r="H416" s="81" t="s">
        <v>1120</v>
      </c>
    </row>
    <row r="417" spans="1:8" x14ac:dyDescent="0.2">
      <c r="A417" s="40" t="s">
        <v>1220</v>
      </c>
      <c r="B417" s="40" t="s">
        <v>606</v>
      </c>
      <c r="C417" s="40" t="s">
        <v>607</v>
      </c>
      <c r="D417" s="40" t="s">
        <v>274</v>
      </c>
      <c r="E417" s="81" t="s">
        <v>1121</v>
      </c>
      <c r="F417" s="40"/>
      <c r="G417" s="81"/>
      <c r="H417" s="81" t="s">
        <v>1120</v>
      </c>
    </row>
    <row r="418" spans="1:8" x14ac:dyDescent="0.2">
      <c r="A418" s="40" t="s">
        <v>1220</v>
      </c>
      <c r="B418" s="40" t="s">
        <v>610</v>
      </c>
      <c r="C418" s="40" t="s">
        <v>611</v>
      </c>
      <c r="D418" s="40" t="s">
        <v>274</v>
      </c>
      <c r="E418" s="81" t="s">
        <v>1121</v>
      </c>
      <c r="F418" s="40"/>
      <c r="G418" s="81"/>
      <c r="H418" s="81" t="s">
        <v>1120</v>
      </c>
    </row>
    <row r="419" spans="1:8" x14ac:dyDescent="0.2">
      <c r="A419" s="40" t="s">
        <v>1220</v>
      </c>
      <c r="B419" s="40" t="s">
        <v>8</v>
      </c>
      <c r="C419" s="40" t="s">
        <v>9</v>
      </c>
      <c r="D419" s="40" t="s">
        <v>274</v>
      </c>
      <c r="E419" s="81" t="s">
        <v>1121</v>
      </c>
      <c r="F419" s="40"/>
      <c r="G419" s="81"/>
      <c r="H419" s="81" t="s">
        <v>1120</v>
      </c>
    </row>
    <row r="420" spans="1:8" x14ac:dyDescent="0.2">
      <c r="A420" s="40" t="s">
        <v>1220</v>
      </c>
      <c r="B420" s="40" t="s">
        <v>52</v>
      </c>
      <c r="C420" s="40" t="s">
        <v>285</v>
      </c>
      <c r="D420" s="40" t="s">
        <v>274</v>
      </c>
      <c r="E420" s="81" t="s">
        <v>1121</v>
      </c>
      <c r="F420" s="40"/>
      <c r="G420" s="81"/>
      <c r="H420" s="81" t="s">
        <v>1120</v>
      </c>
    </row>
    <row r="421" spans="1:8" x14ac:dyDescent="0.2">
      <c r="A421" s="40" t="s">
        <v>1220</v>
      </c>
      <c r="B421" s="40" t="s">
        <v>1023</v>
      </c>
      <c r="C421" s="40" t="s">
        <v>1024</v>
      </c>
      <c r="D421" s="40" t="s">
        <v>274</v>
      </c>
      <c r="E421" s="81" t="s">
        <v>1121</v>
      </c>
      <c r="F421" s="40"/>
      <c r="G421" s="81"/>
      <c r="H421" s="81" t="s">
        <v>1120</v>
      </c>
    </row>
    <row r="422" spans="1:8" x14ac:dyDescent="0.2">
      <c r="A422" s="40" t="s">
        <v>1220</v>
      </c>
      <c r="B422" s="40" t="s">
        <v>250</v>
      </c>
      <c r="C422" s="40" t="s">
        <v>251</v>
      </c>
      <c r="D422" s="40" t="s">
        <v>274</v>
      </c>
      <c r="E422" s="81" t="s">
        <v>1121</v>
      </c>
      <c r="F422" s="40"/>
      <c r="G422" s="81"/>
      <c r="H422" s="81" t="s">
        <v>1120</v>
      </c>
    </row>
    <row r="423" spans="1:8" x14ac:dyDescent="0.2">
      <c r="A423" s="40" t="s">
        <v>1220</v>
      </c>
      <c r="B423" s="40" t="s">
        <v>252</v>
      </c>
      <c r="C423" s="40" t="s">
        <v>253</v>
      </c>
      <c r="D423" s="40" t="s">
        <v>274</v>
      </c>
      <c r="E423" s="81" t="s">
        <v>1121</v>
      </c>
      <c r="F423" s="40"/>
      <c r="G423" s="81"/>
      <c r="H423" s="81" t="s">
        <v>1120</v>
      </c>
    </row>
    <row r="424" spans="1:8" x14ac:dyDescent="0.2">
      <c r="A424" s="40" t="s">
        <v>1220</v>
      </c>
      <c r="B424" s="40" t="s">
        <v>12</v>
      </c>
      <c r="C424" s="40" t="s">
        <v>13</v>
      </c>
      <c r="D424" s="40" t="s">
        <v>274</v>
      </c>
      <c r="E424" s="81" t="s">
        <v>1121</v>
      </c>
      <c r="F424" s="40"/>
      <c r="G424" s="81"/>
      <c r="H424" s="81" t="s">
        <v>1120</v>
      </c>
    </row>
    <row r="425" spans="1:8" x14ac:dyDescent="0.2">
      <c r="A425" s="40" t="s">
        <v>1220</v>
      </c>
      <c r="B425" s="40" t="s">
        <v>594</v>
      </c>
      <c r="C425" s="40" t="s">
        <v>595</v>
      </c>
      <c r="D425" s="40" t="s">
        <v>274</v>
      </c>
      <c r="E425" s="81" t="s">
        <v>1121</v>
      </c>
      <c r="F425" s="40"/>
      <c r="G425" s="81"/>
      <c r="H425" s="81" t="s">
        <v>1120</v>
      </c>
    </row>
    <row r="426" spans="1:8" x14ac:dyDescent="0.2">
      <c r="A426" s="40" t="s">
        <v>1220</v>
      </c>
      <c r="B426" s="40" t="s">
        <v>596</v>
      </c>
      <c r="C426" s="40" t="s">
        <v>570</v>
      </c>
      <c r="D426" s="40" t="s">
        <v>274</v>
      </c>
      <c r="E426" s="81" t="s">
        <v>1121</v>
      </c>
      <c r="F426" s="40"/>
      <c r="G426" s="81"/>
      <c r="H426" s="81" t="s">
        <v>1120</v>
      </c>
    </row>
    <row r="427" spans="1:8" x14ac:dyDescent="0.2">
      <c r="A427" s="40" t="s">
        <v>1220</v>
      </c>
      <c r="B427" s="40" t="s">
        <v>1025</v>
      </c>
      <c r="C427" s="40" t="s">
        <v>1026</v>
      </c>
      <c r="D427" s="40" t="s">
        <v>274</v>
      </c>
      <c r="E427" s="81" t="s">
        <v>1121</v>
      </c>
      <c r="F427" s="40"/>
      <c r="G427" s="81"/>
      <c r="H427" s="81" t="s">
        <v>1120</v>
      </c>
    </row>
    <row r="428" spans="1:8" x14ac:dyDescent="0.2">
      <c r="A428" s="40" t="s">
        <v>1220</v>
      </c>
      <c r="B428" s="40" t="s">
        <v>1027</v>
      </c>
      <c r="C428" s="40" t="s">
        <v>1028</v>
      </c>
      <c r="D428" s="40" t="s">
        <v>274</v>
      </c>
      <c r="E428" s="81" t="s">
        <v>1121</v>
      </c>
      <c r="F428" s="40"/>
      <c r="G428" s="81"/>
      <c r="H428" s="81" t="s">
        <v>1120</v>
      </c>
    </row>
    <row r="429" spans="1:8" x14ac:dyDescent="0.2">
      <c r="A429" s="40" t="s">
        <v>1220</v>
      </c>
      <c r="B429" s="40" t="s">
        <v>1184</v>
      </c>
      <c r="C429" s="40" t="s">
        <v>1029</v>
      </c>
      <c r="D429" s="40" t="s">
        <v>274</v>
      </c>
      <c r="E429" s="81" t="s">
        <v>1121</v>
      </c>
      <c r="F429" s="40"/>
      <c r="G429" s="81"/>
      <c r="H429" s="81" t="s">
        <v>1120</v>
      </c>
    </row>
    <row r="430" spans="1:8" x14ac:dyDescent="0.2">
      <c r="A430" s="40" t="s">
        <v>1220</v>
      </c>
      <c r="B430" s="40" t="s">
        <v>1030</v>
      </c>
      <c r="C430" s="40" t="s">
        <v>1031</v>
      </c>
      <c r="D430" s="40" t="s">
        <v>274</v>
      </c>
      <c r="E430" s="81" t="s">
        <v>1121</v>
      </c>
      <c r="F430" s="40"/>
      <c r="G430" s="81"/>
      <c r="H430" s="81" t="s">
        <v>1120</v>
      </c>
    </row>
    <row r="431" spans="1:8" x14ac:dyDescent="0.2">
      <c r="A431" s="40" t="s">
        <v>1220</v>
      </c>
      <c r="B431" s="40" t="s">
        <v>1032</v>
      </c>
      <c r="C431" s="40" t="s">
        <v>1033</v>
      </c>
      <c r="D431" s="40" t="s">
        <v>274</v>
      </c>
      <c r="E431" s="81" t="s">
        <v>1121</v>
      </c>
      <c r="F431" s="40"/>
      <c r="G431" s="81"/>
      <c r="H431" s="81" t="s">
        <v>1120</v>
      </c>
    </row>
    <row r="432" spans="1:8" x14ac:dyDescent="0.2">
      <c r="A432" s="40" t="s">
        <v>1220</v>
      </c>
      <c r="B432" s="40" t="s">
        <v>1034</v>
      </c>
      <c r="C432" s="40" t="s">
        <v>1035</v>
      </c>
      <c r="D432" s="40" t="s">
        <v>274</v>
      </c>
      <c r="E432" s="81" t="s">
        <v>1121</v>
      </c>
      <c r="F432" s="40"/>
      <c r="G432" s="81"/>
      <c r="H432" s="81" t="s">
        <v>1120</v>
      </c>
    </row>
    <row r="433" spans="1:8" x14ac:dyDescent="0.2">
      <c r="A433" s="40" t="s">
        <v>1220</v>
      </c>
      <c r="B433" s="40" t="s">
        <v>66</v>
      </c>
      <c r="C433" s="40" t="s">
        <v>67</v>
      </c>
      <c r="D433" s="40" t="s">
        <v>274</v>
      </c>
      <c r="E433" s="81" t="s">
        <v>1121</v>
      </c>
      <c r="F433" s="40"/>
      <c r="G433" s="40" t="s">
        <v>342</v>
      </c>
      <c r="H433" s="81" t="s">
        <v>1120</v>
      </c>
    </row>
    <row r="434" spans="1:8" x14ac:dyDescent="0.2">
      <c r="A434" s="40" t="s">
        <v>1220</v>
      </c>
      <c r="B434" s="40" t="s">
        <v>68</v>
      </c>
      <c r="C434" s="40" t="s">
        <v>69</v>
      </c>
      <c r="D434" s="40" t="s">
        <v>274</v>
      </c>
      <c r="E434" s="81" t="s">
        <v>1121</v>
      </c>
      <c r="F434" s="40"/>
      <c r="G434" s="40" t="s">
        <v>342</v>
      </c>
      <c r="H434" s="81" t="s">
        <v>1120</v>
      </c>
    </row>
    <row r="435" spans="1:8" x14ac:dyDescent="0.2">
      <c r="A435" s="40" t="s">
        <v>1220</v>
      </c>
      <c r="B435" s="40" t="s">
        <v>70</v>
      </c>
      <c r="C435" s="40" t="s">
        <v>71</v>
      </c>
      <c r="D435" s="40" t="s">
        <v>274</v>
      </c>
      <c r="E435" s="81" t="s">
        <v>1121</v>
      </c>
      <c r="F435" s="40"/>
      <c r="G435" s="40" t="s">
        <v>342</v>
      </c>
      <c r="H435" s="81" t="s">
        <v>1120</v>
      </c>
    </row>
    <row r="436" spans="1:8" x14ac:dyDescent="0.2">
      <c r="A436" s="40" t="s">
        <v>1220</v>
      </c>
      <c r="B436" s="40" t="s">
        <v>344</v>
      </c>
      <c r="C436" s="40" t="s">
        <v>72</v>
      </c>
      <c r="D436" s="40" t="s">
        <v>274</v>
      </c>
      <c r="E436" s="81" t="s">
        <v>1121</v>
      </c>
      <c r="F436" s="40"/>
      <c r="G436" s="40" t="s">
        <v>342</v>
      </c>
      <c r="H436" s="81" t="s">
        <v>1120</v>
      </c>
    </row>
    <row r="437" spans="1:8" x14ac:dyDescent="0.2">
      <c r="A437" s="40" t="s">
        <v>50</v>
      </c>
      <c r="B437" s="40" t="s">
        <v>356</v>
      </c>
      <c r="C437" s="40" t="s">
        <v>73</v>
      </c>
      <c r="D437" s="40" t="s">
        <v>274</v>
      </c>
      <c r="E437" s="81" t="s">
        <v>1121</v>
      </c>
      <c r="F437" s="40"/>
      <c r="G437" s="40" t="s">
        <v>342</v>
      </c>
      <c r="H437" s="81" t="s">
        <v>1120</v>
      </c>
    </row>
    <row r="438" spans="1:8" x14ac:dyDescent="0.2">
      <c r="A438" s="40" t="s">
        <v>1220</v>
      </c>
      <c r="B438" s="40" t="s">
        <v>1147</v>
      </c>
      <c r="C438" s="40" t="s">
        <v>74</v>
      </c>
      <c r="D438" s="40" t="s">
        <v>274</v>
      </c>
      <c r="E438" s="81" t="s">
        <v>1121</v>
      </c>
      <c r="F438" s="40"/>
      <c r="G438" s="40" t="s">
        <v>342</v>
      </c>
      <c r="H438" s="81" t="s">
        <v>1120</v>
      </c>
    </row>
    <row r="439" spans="1:8" x14ac:dyDescent="0.2">
      <c r="A439" s="40" t="s">
        <v>1220</v>
      </c>
      <c r="B439" s="40" t="s">
        <v>75</v>
      </c>
      <c r="C439" s="40" t="s">
        <v>76</v>
      </c>
      <c r="D439" s="40" t="s">
        <v>274</v>
      </c>
      <c r="E439" s="81" t="s">
        <v>1121</v>
      </c>
      <c r="F439" s="40"/>
      <c r="G439" s="40" t="s">
        <v>342</v>
      </c>
      <c r="H439" s="81" t="s">
        <v>1120</v>
      </c>
    </row>
    <row r="440" spans="1:8" x14ac:dyDescent="0.2">
      <c r="A440" s="40" t="s">
        <v>1220</v>
      </c>
      <c r="B440" s="40" t="s">
        <v>77</v>
      </c>
      <c r="C440" s="40" t="s">
        <v>78</v>
      </c>
      <c r="D440" s="40" t="s">
        <v>274</v>
      </c>
      <c r="E440" s="81" t="s">
        <v>1121</v>
      </c>
      <c r="F440" s="40"/>
      <c r="G440" s="40" t="s">
        <v>342</v>
      </c>
      <c r="H440" s="81" t="s">
        <v>1120</v>
      </c>
    </row>
    <row r="441" spans="1:8" x14ac:dyDescent="0.2">
      <c r="A441" s="40" t="s">
        <v>1220</v>
      </c>
      <c r="B441" s="40" t="s">
        <v>79</v>
      </c>
      <c r="C441" s="40" t="s">
        <v>80</v>
      </c>
      <c r="D441" s="40" t="s">
        <v>274</v>
      </c>
      <c r="E441" s="81" t="s">
        <v>1121</v>
      </c>
      <c r="F441" s="40"/>
      <c r="G441" s="40" t="s">
        <v>342</v>
      </c>
      <c r="H441" s="81" t="s">
        <v>1120</v>
      </c>
    </row>
    <row r="442" spans="1:8" x14ac:dyDescent="0.2">
      <c r="A442" s="40" t="s">
        <v>1220</v>
      </c>
      <c r="B442" s="40" t="s">
        <v>288</v>
      </c>
      <c r="C442" s="40" t="s">
        <v>34</v>
      </c>
      <c r="D442" s="40" t="s">
        <v>274</v>
      </c>
      <c r="E442" s="81" t="s">
        <v>1121</v>
      </c>
      <c r="F442" s="40"/>
      <c r="G442" s="40" t="s">
        <v>342</v>
      </c>
      <c r="H442" s="81" t="s">
        <v>1120</v>
      </c>
    </row>
    <row r="443" spans="1:8" x14ac:dyDescent="0.2">
      <c r="A443" s="40" t="s">
        <v>1220</v>
      </c>
      <c r="B443" s="40" t="s">
        <v>534</v>
      </c>
      <c r="C443" s="40" t="s">
        <v>81</v>
      </c>
      <c r="D443" s="40" t="s">
        <v>274</v>
      </c>
      <c r="E443" s="81" t="s">
        <v>1121</v>
      </c>
      <c r="F443" s="40"/>
      <c r="G443" s="40" t="s">
        <v>342</v>
      </c>
      <c r="H443" s="81" t="s">
        <v>1120</v>
      </c>
    </row>
    <row r="444" spans="1:8" x14ac:dyDescent="0.2">
      <c r="A444" s="40" t="s">
        <v>1220</v>
      </c>
      <c r="B444" s="40" t="s">
        <v>1187</v>
      </c>
      <c r="C444" s="40" t="s">
        <v>83</v>
      </c>
      <c r="D444" s="40" t="s">
        <v>274</v>
      </c>
      <c r="E444" s="81" t="s">
        <v>1121</v>
      </c>
      <c r="F444" s="40"/>
      <c r="G444" s="40" t="s">
        <v>342</v>
      </c>
      <c r="H444" s="81" t="s">
        <v>1120</v>
      </c>
    </row>
    <row r="445" spans="1:8" x14ac:dyDescent="0.2">
      <c r="A445" s="40" t="s">
        <v>1220</v>
      </c>
      <c r="B445" s="40" t="s">
        <v>625</v>
      </c>
      <c r="C445" s="40" t="s">
        <v>35</v>
      </c>
      <c r="D445" s="40" t="s">
        <v>274</v>
      </c>
      <c r="E445" s="81" t="s">
        <v>1121</v>
      </c>
      <c r="F445" s="40"/>
      <c r="G445" s="40" t="s">
        <v>342</v>
      </c>
      <c r="H445" s="81" t="s">
        <v>1120</v>
      </c>
    </row>
    <row r="446" spans="1:8" x14ac:dyDescent="0.2">
      <c r="A446" s="40" t="s">
        <v>1220</v>
      </c>
      <c r="B446" s="40" t="s">
        <v>84</v>
      </c>
      <c r="C446" s="40" t="s">
        <v>85</v>
      </c>
      <c r="D446" s="40" t="s">
        <v>274</v>
      </c>
      <c r="E446" s="81" t="s">
        <v>1121</v>
      </c>
      <c r="F446" s="40"/>
      <c r="G446" s="40" t="s">
        <v>342</v>
      </c>
      <c r="H446" s="81" t="s">
        <v>1120</v>
      </c>
    </row>
    <row r="447" spans="1:8" x14ac:dyDescent="0.2">
      <c r="A447" s="40" t="s">
        <v>1220</v>
      </c>
      <c r="B447" s="40" t="s">
        <v>86</v>
      </c>
      <c r="C447" s="40" t="s">
        <v>87</v>
      </c>
      <c r="D447" s="40" t="s">
        <v>274</v>
      </c>
      <c r="E447" s="81" t="s">
        <v>1121</v>
      </c>
      <c r="F447" s="40"/>
      <c r="G447" s="40" t="s">
        <v>343</v>
      </c>
      <c r="H447" s="81" t="s">
        <v>1120</v>
      </c>
    </row>
    <row r="448" spans="1:8" x14ac:dyDescent="0.2">
      <c r="A448" s="40" t="s">
        <v>1220</v>
      </c>
      <c r="B448" s="40" t="s">
        <v>88</v>
      </c>
      <c r="C448" s="40" t="s">
        <v>89</v>
      </c>
      <c r="D448" s="40" t="s">
        <v>274</v>
      </c>
      <c r="E448" s="81" t="s">
        <v>1121</v>
      </c>
      <c r="F448" s="40"/>
      <c r="G448" s="40" t="s">
        <v>343</v>
      </c>
      <c r="H448" s="81" t="s">
        <v>1120</v>
      </c>
    </row>
    <row r="449" spans="1:8" x14ac:dyDescent="0.2">
      <c r="A449" s="40" t="s">
        <v>1220</v>
      </c>
      <c r="B449" s="40" t="s">
        <v>345</v>
      </c>
      <c r="C449" s="40" t="s">
        <v>90</v>
      </c>
      <c r="D449" s="40" t="s">
        <v>274</v>
      </c>
      <c r="E449" s="81" t="s">
        <v>1121</v>
      </c>
      <c r="F449" s="40"/>
      <c r="G449" s="40" t="s">
        <v>343</v>
      </c>
      <c r="H449" s="81" t="s">
        <v>1120</v>
      </c>
    </row>
    <row r="450" spans="1:8" x14ac:dyDescent="0.2">
      <c r="A450" s="40" t="s">
        <v>1220</v>
      </c>
      <c r="B450" s="40" t="s">
        <v>1148</v>
      </c>
      <c r="C450" s="40" t="s">
        <v>91</v>
      </c>
      <c r="D450" s="40" t="s">
        <v>274</v>
      </c>
      <c r="E450" s="81" t="s">
        <v>1121</v>
      </c>
      <c r="F450" s="40"/>
      <c r="G450" s="40" t="s">
        <v>343</v>
      </c>
      <c r="H450" s="81" t="s">
        <v>1120</v>
      </c>
    </row>
    <row r="451" spans="1:8" x14ac:dyDescent="0.2">
      <c r="A451" s="40" t="s">
        <v>1220</v>
      </c>
      <c r="B451" s="40" t="s">
        <v>185</v>
      </c>
      <c r="C451" s="40" t="s">
        <v>92</v>
      </c>
      <c r="D451" s="40" t="s">
        <v>274</v>
      </c>
      <c r="E451" s="81" t="s">
        <v>1121</v>
      </c>
      <c r="F451" s="40"/>
      <c r="G451" s="40" t="s">
        <v>343</v>
      </c>
      <c r="H451" s="81" t="s">
        <v>1120</v>
      </c>
    </row>
    <row r="452" spans="1:8" x14ac:dyDescent="0.2">
      <c r="A452" s="40" t="s">
        <v>1220</v>
      </c>
      <c r="B452" s="40" t="s">
        <v>186</v>
      </c>
      <c r="C452" s="40" t="s">
        <v>93</v>
      </c>
      <c r="D452" s="40" t="s">
        <v>274</v>
      </c>
      <c r="E452" s="81" t="s">
        <v>1121</v>
      </c>
      <c r="F452" s="40"/>
      <c r="G452" s="40" t="s">
        <v>343</v>
      </c>
      <c r="H452" s="81" t="s">
        <v>1120</v>
      </c>
    </row>
    <row r="453" spans="1:8" x14ac:dyDescent="0.2">
      <c r="A453" s="40" t="s">
        <v>1220</v>
      </c>
      <c r="B453" s="40" t="s">
        <v>94</v>
      </c>
      <c r="C453" s="40" t="s">
        <v>95</v>
      </c>
      <c r="D453" s="40" t="s">
        <v>274</v>
      </c>
      <c r="E453" s="81" t="s">
        <v>1121</v>
      </c>
      <c r="F453" s="40"/>
      <c r="G453" s="40" t="s">
        <v>343</v>
      </c>
      <c r="H453" s="81" t="s">
        <v>1120</v>
      </c>
    </row>
    <row r="454" spans="1:8" x14ac:dyDescent="0.2">
      <c r="A454" s="40" t="s">
        <v>1220</v>
      </c>
      <c r="B454" s="40" t="s">
        <v>1123</v>
      </c>
      <c r="C454" s="40" t="s">
        <v>36</v>
      </c>
      <c r="D454" s="40" t="s">
        <v>274</v>
      </c>
      <c r="E454" s="81" t="s">
        <v>1121</v>
      </c>
      <c r="F454" s="40"/>
      <c r="G454" s="40" t="s">
        <v>343</v>
      </c>
      <c r="H454" s="81" t="s">
        <v>1120</v>
      </c>
    </row>
    <row r="455" spans="1:8" x14ac:dyDescent="0.2">
      <c r="A455" s="40" t="s">
        <v>1220</v>
      </c>
      <c r="B455" s="40" t="s">
        <v>1125</v>
      </c>
      <c r="C455" s="40" t="s">
        <v>96</v>
      </c>
      <c r="D455" s="40" t="s">
        <v>274</v>
      </c>
      <c r="E455" s="81" t="s">
        <v>1121</v>
      </c>
      <c r="F455" s="40"/>
      <c r="G455" s="40" t="s">
        <v>343</v>
      </c>
      <c r="H455" s="81" t="s">
        <v>1120</v>
      </c>
    </row>
    <row r="456" spans="1:8" x14ac:dyDescent="0.2">
      <c r="A456" s="40" t="s">
        <v>1220</v>
      </c>
      <c r="B456" s="40" t="s">
        <v>535</v>
      </c>
      <c r="C456" s="40" t="s">
        <v>37</v>
      </c>
      <c r="D456" s="40" t="s">
        <v>274</v>
      </c>
      <c r="E456" s="81" t="s">
        <v>1121</v>
      </c>
      <c r="F456" s="40"/>
      <c r="G456" s="40" t="s">
        <v>343</v>
      </c>
      <c r="H456" s="81" t="s">
        <v>1120</v>
      </c>
    </row>
    <row r="457" spans="1:8" x14ac:dyDescent="0.2">
      <c r="A457" s="40" t="s">
        <v>1220</v>
      </c>
      <c r="B457" s="40" t="s">
        <v>97</v>
      </c>
      <c r="C457" s="40" t="s">
        <v>38</v>
      </c>
      <c r="D457" s="40" t="s">
        <v>274</v>
      </c>
      <c r="E457" s="81" t="s">
        <v>1121</v>
      </c>
      <c r="F457" s="40"/>
      <c r="G457" s="40" t="s">
        <v>343</v>
      </c>
      <c r="H457" s="81" t="s">
        <v>1120</v>
      </c>
    </row>
    <row r="458" spans="1:8" x14ac:dyDescent="0.2">
      <c r="A458" s="40" t="s">
        <v>1220</v>
      </c>
      <c r="B458" s="40" t="s">
        <v>701</v>
      </c>
      <c r="C458" s="40" t="s">
        <v>21</v>
      </c>
      <c r="D458" s="40" t="s">
        <v>274</v>
      </c>
      <c r="E458" s="81" t="s">
        <v>1121</v>
      </c>
      <c r="F458" s="40"/>
      <c r="G458" s="81"/>
      <c r="H458" s="81" t="s">
        <v>1120</v>
      </c>
    </row>
    <row r="459" spans="1:8" x14ac:dyDescent="0.2">
      <c r="A459" s="40" t="s">
        <v>1220</v>
      </c>
      <c r="B459" s="40" t="s">
        <v>699</v>
      </c>
      <c r="C459" s="40" t="s">
        <v>1177</v>
      </c>
      <c r="D459" s="40" t="s">
        <v>274</v>
      </c>
      <c r="E459" s="81" t="s">
        <v>1121</v>
      </c>
      <c r="F459" s="40"/>
      <c r="G459" s="81"/>
      <c r="H459" s="81" t="s">
        <v>1120</v>
      </c>
    </row>
    <row r="460" spans="1:8" x14ac:dyDescent="0.2">
      <c r="A460" s="40" t="s">
        <v>1220</v>
      </c>
      <c r="B460" s="40" t="s">
        <v>700</v>
      </c>
      <c r="C460" s="40" t="s">
        <v>20</v>
      </c>
      <c r="D460" s="40" t="s">
        <v>274</v>
      </c>
      <c r="E460" s="81" t="s">
        <v>1121</v>
      </c>
      <c r="F460" s="40"/>
      <c r="G460" s="81"/>
      <c r="H460" s="81" t="s">
        <v>1120</v>
      </c>
    </row>
    <row r="461" spans="1:8" x14ac:dyDescent="0.2">
      <c r="A461" s="40" t="s">
        <v>50</v>
      </c>
      <c r="B461" s="40" t="s">
        <v>702</v>
      </c>
      <c r="C461" s="40" t="s">
        <v>22</v>
      </c>
      <c r="D461" s="40" t="s">
        <v>274</v>
      </c>
      <c r="E461" s="81" t="s">
        <v>1121</v>
      </c>
      <c r="F461" s="40"/>
      <c r="G461" s="81"/>
      <c r="H461" s="81" t="s">
        <v>1120</v>
      </c>
    </row>
    <row r="462" spans="1:8" x14ac:dyDescent="0.2">
      <c r="A462" s="40" t="s">
        <v>1220</v>
      </c>
      <c r="B462" s="40" t="s">
        <v>703</v>
      </c>
      <c r="C462" s="40" t="s">
        <v>23</v>
      </c>
      <c r="D462" s="40" t="s">
        <v>274</v>
      </c>
      <c r="E462" s="81" t="s">
        <v>1121</v>
      </c>
      <c r="F462" s="40"/>
      <c r="G462" s="81"/>
      <c r="H462" s="81" t="s">
        <v>1120</v>
      </c>
    </row>
    <row r="463" spans="1:8" x14ac:dyDescent="0.2">
      <c r="A463" s="40" t="s">
        <v>1220</v>
      </c>
      <c r="B463" s="40" t="s">
        <v>704</v>
      </c>
      <c r="C463" s="40" t="s">
        <v>24</v>
      </c>
      <c r="D463" s="40" t="s">
        <v>274</v>
      </c>
      <c r="E463" s="81" t="s">
        <v>1121</v>
      </c>
      <c r="F463" s="40"/>
      <c r="G463" s="81"/>
      <c r="H463" s="81" t="s">
        <v>1120</v>
      </c>
    </row>
    <row r="464" spans="1:8" x14ac:dyDescent="0.2">
      <c r="A464" s="40" t="s">
        <v>1220</v>
      </c>
      <c r="B464" s="40" t="s">
        <v>705</v>
      </c>
      <c r="C464" s="40" t="s">
        <v>25</v>
      </c>
      <c r="D464" s="40" t="s">
        <v>274</v>
      </c>
      <c r="E464" s="81" t="s">
        <v>1121</v>
      </c>
      <c r="F464" s="40"/>
      <c r="G464" s="81"/>
      <c r="H464" s="81" t="s">
        <v>1120</v>
      </c>
    </row>
    <row r="465" spans="1:8" x14ac:dyDescent="0.2">
      <c r="A465" s="40" t="s">
        <v>1220</v>
      </c>
      <c r="B465" s="40" t="s">
        <v>706</v>
      </c>
      <c r="C465" s="40" t="s">
        <v>26</v>
      </c>
      <c r="D465" s="40" t="s">
        <v>274</v>
      </c>
      <c r="E465" s="81" t="s">
        <v>1121</v>
      </c>
      <c r="F465" s="40"/>
      <c r="G465" s="81"/>
      <c r="H465" s="81" t="s">
        <v>1120</v>
      </c>
    </row>
    <row r="466" spans="1:8" x14ac:dyDescent="0.2">
      <c r="A466" s="40" t="s">
        <v>1220</v>
      </c>
      <c r="B466" s="40" t="s">
        <v>707</v>
      </c>
      <c r="C466" s="40" t="s">
        <v>48</v>
      </c>
      <c r="D466" s="40" t="s">
        <v>274</v>
      </c>
      <c r="E466" s="81" t="s">
        <v>1121</v>
      </c>
      <c r="F466" s="40"/>
      <c r="G466" s="81"/>
      <c r="H466" s="81" t="s">
        <v>1120</v>
      </c>
    </row>
    <row r="467" spans="1:8" x14ac:dyDescent="0.2">
      <c r="A467" s="40" t="s">
        <v>1220</v>
      </c>
      <c r="B467" s="40" t="s">
        <v>708</v>
      </c>
      <c r="C467" s="40" t="s">
        <v>49</v>
      </c>
      <c r="D467" s="40" t="s">
        <v>274</v>
      </c>
      <c r="E467" s="81" t="s">
        <v>1121</v>
      </c>
      <c r="F467" s="40"/>
      <c r="G467" s="81"/>
      <c r="H467" s="81" t="s">
        <v>1120</v>
      </c>
    </row>
    <row r="468" spans="1:8" x14ac:dyDescent="0.2">
      <c r="A468" s="40" t="s">
        <v>1220</v>
      </c>
      <c r="B468" s="40" t="s">
        <v>709</v>
      </c>
      <c r="C468" s="40" t="s">
        <v>51</v>
      </c>
      <c r="D468" s="40" t="s">
        <v>274</v>
      </c>
      <c r="E468" s="81" t="s">
        <v>1121</v>
      </c>
      <c r="F468" s="40"/>
      <c r="G468" s="81"/>
      <c r="H468" s="81" t="s">
        <v>1120</v>
      </c>
    </row>
    <row r="469" spans="1:8" x14ac:dyDescent="0.2">
      <c r="A469" s="40" t="s">
        <v>1220</v>
      </c>
      <c r="B469" s="40" t="s">
        <v>654</v>
      </c>
      <c r="C469" s="40" t="s">
        <v>21</v>
      </c>
      <c r="D469" s="40" t="s">
        <v>274</v>
      </c>
      <c r="E469" s="81" t="s">
        <v>1121</v>
      </c>
      <c r="F469" s="40"/>
      <c r="G469" s="81"/>
      <c r="H469" s="81" t="s">
        <v>1120</v>
      </c>
    </row>
    <row r="470" spans="1:8" x14ac:dyDescent="0.2">
      <c r="A470" s="40" t="s">
        <v>1220</v>
      </c>
      <c r="B470" s="40" t="s">
        <v>653</v>
      </c>
      <c r="C470" s="40" t="s">
        <v>1177</v>
      </c>
      <c r="D470" s="40" t="s">
        <v>274</v>
      </c>
      <c r="E470" s="81" t="s">
        <v>1121</v>
      </c>
      <c r="F470" s="40"/>
      <c r="G470" s="81"/>
      <c r="H470" s="81" t="s">
        <v>1120</v>
      </c>
    </row>
    <row r="471" spans="1:8" x14ac:dyDescent="0.2">
      <c r="A471" s="40" t="s">
        <v>50</v>
      </c>
      <c r="B471" s="40" t="s">
        <v>655</v>
      </c>
      <c r="C471" s="40" t="s">
        <v>22</v>
      </c>
      <c r="D471" s="40" t="s">
        <v>274</v>
      </c>
      <c r="E471" s="81" t="s">
        <v>1121</v>
      </c>
      <c r="F471" s="40"/>
      <c r="G471" s="81"/>
      <c r="H471" s="81" t="s">
        <v>1120</v>
      </c>
    </row>
    <row r="472" spans="1:8" x14ac:dyDescent="0.2">
      <c r="A472" s="40" t="s">
        <v>1220</v>
      </c>
      <c r="B472" s="40" t="s">
        <v>656</v>
      </c>
      <c r="C472" s="40" t="s">
        <v>24</v>
      </c>
      <c r="D472" s="40" t="s">
        <v>274</v>
      </c>
      <c r="E472" s="81" t="s">
        <v>1121</v>
      </c>
      <c r="F472" s="40"/>
      <c r="G472" s="81"/>
      <c r="H472" s="81" t="s">
        <v>1120</v>
      </c>
    </row>
    <row r="473" spans="1:8" x14ac:dyDescent="0.2">
      <c r="A473" s="40" t="s">
        <v>1220</v>
      </c>
      <c r="B473" s="40" t="s">
        <v>657</v>
      </c>
      <c r="C473" s="40" t="s">
        <v>48</v>
      </c>
      <c r="D473" s="40" t="s">
        <v>274</v>
      </c>
      <c r="E473" s="81" t="s">
        <v>1121</v>
      </c>
      <c r="F473" s="40"/>
      <c r="G473" s="81"/>
      <c r="H473" s="81" t="s">
        <v>1120</v>
      </c>
    </row>
    <row r="474" spans="1:8" x14ac:dyDescent="0.2">
      <c r="A474" s="40" t="s">
        <v>1220</v>
      </c>
      <c r="B474" s="40" t="s">
        <v>0</v>
      </c>
      <c r="C474" s="40" t="s">
        <v>582</v>
      </c>
      <c r="D474" s="40" t="s">
        <v>274</v>
      </c>
      <c r="E474" s="81" t="s">
        <v>1121</v>
      </c>
      <c r="F474" s="40"/>
      <c r="G474" s="81"/>
      <c r="H474" s="81" t="s">
        <v>1120</v>
      </c>
    </row>
    <row r="475" spans="1:8" x14ac:dyDescent="0.2">
      <c r="A475" s="40" t="s">
        <v>1220</v>
      </c>
      <c r="B475" s="40" t="s">
        <v>1236</v>
      </c>
      <c r="C475" s="40" t="s">
        <v>1237</v>
      </c>
      <c r="D475" s="40" t="s">
        <v>274</v>
      </c>
      <c r="E475" s="81" t="s">
        <v>1121</v>
      </c>
      <c r="F475" s="40"/>
      <c r="G475" s="81"/>
      <c r="H475" s="81" t="s">
        <v>1120</v>
      </c>
    </row>
    <row r="476" spans="1:8" x14ac:dyDescent="0.2">
      <c r="A476" s="40" t="s">
        <v>1220</v>
      </c>
      <c r="B476" s="40" t="s">
        <v>1234</v>
      </c>
      <c r="C476" s="40" t="s">
        <v>1235</v>
      </c>
      <c r="D476" s="40" t="s">
        <v>274</v>
      </c>
      <c r="E476" s="81" t="s">
        <v>1121</v>
      </c>
      <c r="F476" s="40"/>
      <c r="G476" s="81"/>
      <c r="H476" s="81" t="s">
        <v>1120</v>
      </c>
    </row>
    <row r="477" spans="1:8" x14ac:dyDescent="0.2">
      <c r="A477" s="40" t="s">
        <v>1220</v>
      </c>
      <c r="B477" s="40" t="s">
        <v>571</v>
      </c>
      <c r="C477" s="40" t="s">
        <v>572</v>
      </c>
      <c r="D477" s="40" t="s">
        <v>274</v>
      </c>
      <c r="E477" s="81" t="s">
        <v>1121</v>
      </c>
      <c r="F477" s="40"/>
      <c r="G477" s="81"/>
      <c r="H477" s="81" t="s">
        <v>1120</v>
      </c>
    </row>
    <row r="478" spans="1:8" x14ac:dyDescent="0.2">
      <c r="A478" s="40" t="s">
        <v>1220</v>
      </c>
      <c r="B478" s="40" t="s">
        <v>583</v>
      </c>
      <c r="C478" s="40" t="s">
        <v>584</v>
      </c>
      <c r="D478" s="40" t="s">
        <v>274</v>
      </c>
      <c r="E478" s="81" t="s">
        <v>1121</v>
      </c>
      <c r="F478" s="40"/>
      <c r="G478" s="81"/>
      <c r="H478" s="81" t="s">
        <v>1120</v>
      </c>
    </row>
    <row r="479" spans="1:8" x14ac:dyDescent="0.2">
      <c r="A479" s="40" t="s">
        <v>1220</v>
      </c>
      <c r="B479" s="40" t="s">
        <v>55</v>
      </c>
      <c r="C479" s="40" t="s">
        <v>56</v>
      </c>
      <c r="D479" s="40" t="s">
        <v>274</v>
      </c>
      <c r="E479" s="81" t="s">
        <v>1121</v>
      </c>
      <c r="F479" s="40"/>
      <c r="G479" s="81"/>
      <c r="H479" s="81" t="s">
        <v>1120</v>
      </c>
    </row>
    <row r="480" spans="1:8" x14ac:dyDescent="0.2">
      <c r="A480" s="40" t="s">
        <v>1220</v>
      </c>
      <c r="B480" s="40" t="s">
        <v>58</v>
      </c>
      <c r="C480" s="40" t="s">
        <v>59</v>
      </c>
      <c r="D480" s="40" t="s">
        <v>274</v>
      </c>
      <c r="E480" s="81" t="s">
        <v>1121</v>
      </c>
      <c r="F480" s="40"/>
      <c r="G480" s="81"/>
      <c r="H480" s="81" t="s">
        <v>1120</v>
      </c>
    </row>
    <row r="481" spans="1:8" x14ac:dyDescent="0.2">
      <c r="A481" s="40" t="s">
        <v>1220</v>
      </c>
      <c r="B481" s="40" t="s">
        <v>60</v>
      </c>
      <c r="C481" s="40" t="s">
        <v>61</v>
      </c>
      <c r="D481" s="40" t="s">
        <v>274</v>
      </c>
      <c r="E481" s="81" t="s">
        <v>1121</v>
      </c>
      <c r="F481" s="40"/>
      <c r="G481" s="81"/>
      <c r="H481" s="81" t="s">
        <v>1120</v>
      </c>
    </row>
    <row r="482" spans="1:8" x14ac:dyDescent="0.2">
      <c r="A482" s="40" t="s">
        <v>1220</v>
      </c>
      <c r="B482" s="40" t="s">
        <v>62</v>
      </c>
      <c r="C482" s="40" t="s">
        <v>63</v>
      </c>
      <c r="D482" s="40" t="s">
        <v>274</v>
      </c>
      <c r="E482" s="81" t="s">
        <v>1121</v>
      </c>
      <c r="F482" s="40"/>
      <c r="G482" s="81"/>
      <c r="H482" s="81" t="s">
        <v>1120</v>
      </c>
    </row>
    <row r="483" spans="1:8" x14ac:dyDescent="0.2">
      <c r="A483" s="40" t="s">
        <v>1220</v>
      </c>
      <c r="B483" s="40" t="s">
        <v>64</v>
      </c>
      <c r="C483" s="40" t="s">
        <v>65</v>
      </c>
      <c r="D483" s="40" t="s">
        <v>274</v>
      </c>
      <c r="E483" s="81" t="s">
        <v>1121</v>
      </c>
      <c r="F483" s="40"/>
      <c r="G483" s="81"/>
      <c r="H483" s="81" t="s">
        <v>1120</v>
      </c>
    </row>
    <row r="484" spans="1:8" x14ac:dyDescent="0.2">
      <c r="A484" s="40" t="s">
        <v>1220</v>
      </c>
      <c r="B484" s="40" t="s">
        <v>1231</v>
      </c>
      <c r="C484" s="40" t="s">
        <v>1232</v>
      </c>
      <c r="D484" s="40" t="s">
        <v>274</v>
      </c>
      <c r="E484" s="81" t="s">
        <v>1121</v>
      </c>
      <c r="F484" s="40"/>
      <c r="G484" s="81"/>
      <c r="H484" s="81" t="s">
        <v>1120</v>
      </c>
    </row>
    <row r="485" spans="1:8" x14ac:dyDescent="0.2">
      <c r="A485" s="40" t="s">
        <v>1220</v>
      </c>
      <c r="B485" s="40" t="s">
        <v>1186</v>
      </c>
      <c r="C485" s="40" t="s">
        <v>1191</v>
      </c>
      <c r="D485" s="40" t="s">
        <v>274</v>
      </c>
      <c r="E485" s="81" t="s">
        <v>1121</v>
      </c>
      <c r="F485" s="40"/>
      <c r="G485" s="81"/>
      <c r="H485" s="81" t="s">
        <v>1120</v>
      </c>
    </row>
    <row r="486" spans="1:8" x14ac:dyDescent="0.2">
      <c r="A486" s="40" t="s">
        <v>1220</v>
      </c>
      <c r="B486" s="40" t="s">
        <v>1193</v>
      </c>
      <c r="C486" s="40" t="s">
        <v>1194</v>
      </c>
      <c r="D486" s="40" t="s">
        <v>274</v>
      </c>
      <c r="E486" s="81" t="s">
        <v>1121</v>
      </c>
      <c r="F486" s="40"/>
      <c r="G486" s="81"/>
      <c r="H486" s="81" t="s">
        <v>1120</v>
      </c>
    </row>
    <row r="487" spans="1:8" x14ac:dyDescent="0.2">
      <c r="A487" s="40" t="s">
        <v>1220</v>
      </c>
      <c r="B487" s="40" t="s">
        <v>1196</v>
      </c>
      <c r="C487" s="40" t="s">
        <v>1197</v>
      </c>
      <c r="D487" s="40" t="s">
        <v>274</v>
      </c>
      <c r="E487" s="81" t="s">
        <v>1121</v>
      </c>
      <c r="F487" s="40"/>
      <c r="G487" s="81"/>
      <c r="H487" s="81" t="s">
        <v>1120</v>
      </c>
    </row>
    <row r="488" spans="1:8" x14ac:dyDescent="0.2">
      <c r="A488" s="40" t="s">
        <v>1220</v>
      </c>
      <c r="B488" s="40" t="s">
        <v>561</v>
      </c>
      <c r="C488" s="40" t="s">
        <v>562</v>
      </c>
      <c r="D488" s="40" t="s">
        <v>274</v>
      </c>
      <c r="E488" s="81" t="s">
        <v>1121</v>
      </c>
      <c r="F488" s="40"/>
      <c r="G488" s="81"/>
      <c r="H488" s="81" t="s">
        <v>1120</v>
      </c>
    </row>
    <row r="489" spans="1:8" x14ac:dyDescent="0.2">
      <c r="A489" s="40" t="s">
        <v>1220</v>
      </c>
      <c r="B489" s="40" t="s">
        <v>563</v>
      </c>
      <c r="C489" s="40" t="s">
        <v>564</v>
      </c>
      <c r="D489" s="40" t="s">
        <v>274</v>
      </c>
      <c r="E489" s="81" t="s">
        <v>1121</v>
      </c>
      <c r="F489" s="40"/>
      <c r="G489" s="81"/>
      <c r="H489" s="81" t="s">
        <v>1120</v>
      </c>
    </row>
    <row r="490" spans="1:8" x14ac:dyDescent="0.2">
      <c r="A490" s="40" t="s">
        <v>1220</v>
      </c>
      <c r="B490" s="40" t="s">
        <v>1199</v>
      </c>
      <c r="C490" s="40" t="s">
        <v>1200</v>
      </c>
      <c r="D490" s="40" t="s">
        <v>274</v>
      </c>
      <c r="E490" s="81" t="s">
        <v>1121</v>
      </c>
      <c r="F490" s="40"/>
      <c r="G490" s="81"/>
      <c r="H490" s="81" t="s">
        <v>1120</v>
      </c>
    </row>
    <row r="491" spans="1:8" x14ac:dyDescent="0.2">
      <c r="A491" s="40" t="s">
        <v>1220</v>
      </c>
      <c r="B491" s="40" t="s">
        <v>542</v>
      </c>
      <c r="C491" s="40" t="s">
        <v>1168</v>
      </c>
      <c r="D491" s="40" t="s">
        <v>274</v>
      </c>
      <c r="E491" s="81" t="s">
        <v>1121</v>
      </c>
      <c r="F491" s="40"/>
      <c r="G491" s="81"/>
      <c r="H491" s="81" t="s">
        <v>1120</v>
      </c>
    </row>
    <row r="492" spans="1:8" x14ac:dyDescent="0.2">
      <c r="A492" s="40" t="s">
        <v>1220</v>
      </c>
      <c r="B492" s="40" t="s">
        <v>1174</v>
      </c>
      <c r="C492" s="40" t="s">
        <v>1175</v>
      </c>
      <c r="D492" s="40" t="s">
        <v>274</v>
      </c>
      <c r="E492" s="81" t="s">
        <v>1121</v>
      </c>
      <c r="F492" s="40"/>
      <c r="G492" s="81"/>
      <c r="H492" s="81" t="s">
        <v>1120</v>
      </c>
    </row>
    <row r="493" spans="1:8" x14ac:dyDescent="0.2">
      <c r="A493" s="40" t="s">
        <v>1220</v>
      </c>
      <c r="B493" s="40" t="s">
        <v>1172</v>
      </c>
      <c r="C493" s="40" t="s">
        <v>1173</v>
      </c>
      <c r="D493" s="40" t="s">
        <v>274</v>
      </c>
      <c r="E493" s="81" t="s">
        <v>1121</v>
      </c>
      <c r="F493" s="40"/>
      <c r="G493" s="81"/>
      <c r="H493" s="81" t="s">
        <v>1120</v>
      </c>
    </row>
    <row r="494" spans="1:8" x14ac:dyDescent="0.2">
      <c r="A494" s="40" t="s">
        <v>1220</v>
      </c>
      <c r="B494" s="40" t="s">
        <v>1260</v>
      </c>
      <c r="C494" s="40" t="s">
        <v>121</v>
      </c>
      <c r="D494" s="40" t="s">
        <v>274</v>
      </c>
      <c r="E494" s="81" t="s">
        <v>1121</v>
      </c>
      <c r="F494" s="40"/>
      <c r="G494" s="40" t="s">
        <v>600</v>
      </c>
      <c r="H494" s="81" t="s">
        <v>1120</v>
      </c>
    </row>
    <row r="495" spans="1:8" x14ac:dyDescent="0.2">
      <c r="A495" s="40" t="s">
        <v>1220</v>
      </c>
      <c r="B495" s="40" t="s">
        <v>1261</v>
      </c>
      <c r="C495" s="40" t="s">
        <v>123</v>
      </c>
      <c r="D495" s="40" t="s">
        <v>274</v>
      </c>
      <c r="E495" s="81" t="s">
        <v>1121</v>
      </c>
      <c r="F495" s="40"/>
      <c r="G495" s="40" t="s">
        <v>600</v>
      </c>
      <c r="H495" s="81" t="s">
        <v>1120</v>
      </c>
    </row>
    <row r="496" spans="1:8" x14ac:dyDescent="0.2">
      <c r="A496" s="40" t="s">
        <v>1220</v>
      </c>
      <c r="B496" s="40" t="s">
        <v>1262</v>
      </c>
      <c r="C496" s="40" t="s">
        <v>124</v>
      </c>
      <c r="D496" s="40" t="s">
        <v>274</v>
      </c>
      <c r="E496" s="81" t="s">
        <v>1121</v>
      </c>
      <c r="F496" s="40"/>
      <c r="G496" s="40" t="s">
        <v>600</v>
      </c>
      <c r="H496" s="81" t="s">
        <v>1120</v>
      </c>
    </row>
    <row r="497" spans="1:8" x14ac:dyDescent="0.2">
      <c r="A497" s="40" t="s">
        <v>1220</v>
      </c>
      <c r="B497" s="40" t="s">
        <v>1263</v>
      </c>
      <c r="C497" s="40" t="s">
        <v>126</v>
      </c>
      <c r="D497" s="40" t="s">
        <v>274</v>
      </c>
      <c r="E497" s="81" t="s">
        <v>1121</v>
      </c>
      <c r="F497" s="40"/>
      <c r="G497" s="40" t="s">
        <v>600</v>
      </c>
      <c r="H497" s="81" t="s">
        <v>1120</v>
      </c>
    </row>
    <row r="498" spans="1:8" x14ac:dyDescent="0.2">
      <c r="A498" s="40" t="s">
        <v>1220</v>
      </c>
      <c r="B498" s="40" t="s">
        <v>1264</v>
      </c>
      <c r="C498" s="40" t="s">
        <v>128</v>
      </c>
      <c r="D498" s="40" t="s">
        <v>274</v>
      </c>
      <c r="E498" s="81" t="s">
        <v>1121</v>
      </c>
      <c r="F498" s="40"/>
      <c r="G498" s="40" t="s">
        <v>600</v>
      </c>
      <c r="H498" s="81" t="s">
        <v>1120</v>
      </c>
    </row>
    <row r="499" spans="1:8" x14ac:dyDescent="0.2">
      <c r="A499" s="40" t="s">
        <v>1220</v>
      </c>
      <c r="B499" s="40" t="s">
        <v>1265</v>
      </c>
      <c r="C499" s="40" t="s">
        <v>130</v>
      </c>
      <c r="D499" s="40" t="s">
        <v>274</v>
      </c>
      <c r="E499" s="81" t="s">
        <v>1121</v>
      </c>
      <c r="F499" s="40"/>
      <c r="G499" s="40" t="s">
        <v>600</v>
      </c>
      <c r="H499" s="81" t="s">
        <v>1120</v>
      </c>
    </row>
    <row r="500" spans="1:8" x14ac:dyDescent="0.2">
      <c r="A500" s="40" t="s">
        <v>1220</v>
      </c>
      <c r="B500" s="40" t="s">
        <v>1266</v>
      </c>
      <c r="C500" s="40" t="s">
        <v>131</v>
      </c>
      <c r="D500" s="40" t="s">
        <v>274</v>
      </c>
      <c r="E500" s="81" t="s">
        <v>1121</v>
      </c>
      <c r="F500" s="40"/>
      <c r="G500" s="40" t="s">
        <v>600</v>
      </c>
      <c r="H500" s="81" t="s">
        <v>1120</v>
      </c>
    </row>
    <row r="501" spans="1:8" x14ac:dyDescent="0.2">
      <c r="A501" s="40" t="s">
        <v>1220</v>
      </c>
      <c r="B501" s="40" t="s">
        <v>1267</v>
      </c>
      <c r="C501" s="40" t="s">
        <v>41</v>
      </c>
      <c r="D501" s="40" t="s">
        <v>274</v>
      </c>
      <c r="E501" s="81" t="s">
        <v>1121</v>
      </c>
      <c r="F501" s="40"/>
      <c r="G501" s="40" t="s">
        <v>600</v>
      </c>
      <c r="H501" s="81" t="s">
        <v>1120</v>
      </c>
    </row>
    <row r="502" spans="1:8" x14ac:dyDescent="0.2">
      <c r="A502" s="40" t="s">
        <v>1220</v>
      </c>
      <c r="B502" s="40" t="s">
        <v>1268</v>
      </c>
      <c r="C502" s="40" t="s">
        <v>132</v>
      </c>
      <c r="D502" s="40" t="s">
        <v>274</v>
      </c>
      <c r="E502" s="81" t="s">
        <v>1121</v>
      </c>
      <c r="F502" s="40"/>
      <c r="G502" s="40" t="s">
        <v>600</v>
      </c>
      <c r="H502" s="81" t="s">
        <v>1120</v>
      </c>
    </row>
    <row r="503" spans="1:8" x14ac:dyDescent="0.2">
      <c r="A503" s="40" t="s">
        <v>1220</v>
      </c>
      <c r="B503" s="40" t="s">
        <v>1269</v>
      </c>
      <c r="C503" s="40" t="s">
        <v>133</v>
      </c>
      <c r="D503" s="40" t="s">
        <v>274</v>
      </c>
      <c r="E503" s="81" t="s">
        <v>1121</v>
      </c>
      <c r="F503" s="40"/>
      <c r="G503" s="40" t="s">
        <v>600</v>
      </c>
      <c r="H503" s="81" t="s">
        <v>1120</v>
      </c>
    </row>
    <row r="504" spans="1:8" x14ac:dyDescent="0.2">
      <c r="A504" s="40" t="s">
        <v>1220</v>
      </c>
      <c r="B504" s="40" t="s">
        <v>1270</v>
      </c>
      <c r="C504" s="40" t="s">
        <v>135</v>
      </c>
      <c r="D504" s="40" t="s">
        <v>274</v>
      </c>
      <c r="E504" s="81" t="s">
        <v>1121</v>
      </c>
      <c r="F504" s="40"/>
      <c r="G504" s="40" t="s">
        <v>600</v>
      </c>
      <c r="H504" s="81" t="s">
        <v>1120</v>
      </c>
    </row>
    <row r="505" spans="1:8" x14ac:dyDescent="0.2">
      <c r="A505" s="40" t="s">
        <v>1220</v>
      </c>
      <c r="B505" s="40" t="s">
        <v>1238</v>
      </c>
      <c r="C505" s="40" t="s">
        <v>67</v>
      </c>
      <c r="D505" s="40" t="s">
        <v>274</v>
      </c>
      <c r="E505" s="81" t="s">
        <v>1121</v>
      </c>
      <c r="F505" s="40"/>
      <c r="G505" s="40" t="s">
        <v>342</v>
      </c>
      <c r="H505" s="81" t="s">
        <v>1120</v>
      </c>
    </row>
    <row r="506" spans="1:8" x14ac:dyDescent="0.2">
      <c r="A506" s="40" t="s">
        <v>1220</v>
      </c>
      <c r="B506" s="40" t="s">
        <v>1239</v>
      </c>
      <c r="C506" s="40" t="s">
        <v>69</v>
      </c>
      <c r="D506" s="40" t="s">
        <v>274</v>
      </c>
      <c r="E506" s="81" t="s">
        <v>1121</v>
      </c>
      <c r="F506" s="40"/>
      <c r="G506" s="40" t="s">
        <v>342</v>
      </c>
      <c r="H506" s="81" t="s">
        <v>1120</v>
      </c>
    </row>
    <row r="507" spans="1:8" x14ac:dyDescent="0.2">
      <c r="A507" s="40" t="s">
        <v>1220</v>
      </c>
      <c r="B507" s="40" t="s">
        <v>1240</v>
      </c>
      <c r="C507" s="40" t="s">
        <v>71</v>
      </c>
      <c r="D507" s="40" t="s">
        <v>274</v>
      </c>
      <c r="E507" s="81" t="s">
        <v>1121</v>
      </c>
      <c r="F507" s="40"/>
      <c r="G507" s="40" t="s">
        <v>342</v>
      </c>
      <c r="H507" s="81" t="s">
        <v>1120</v>
      </c>
    </row>
    <row r="508" spans="1:8" x14ac:dyDescent="0.2">
      <c r="A508" s="40" t="s">
        <v>1220</v>
      </c>
      <c r="B508" s="40" t="s">
        <v>1241</v>
      </c>
      <c r="C508" s="40" t="s">
        <v>72</v>
      </c>
      <c r="D508" s="40" t="s">
        <v>274</v>
      </c>
      <c r="E508" s="81" t="s">
        <v>1121</v>
      </c>
      <c r="F508" s="40"/>
      <c r="G508" s="40" t="s">
        <v>342</v>
      </c>
      <c r="H508" s="81" t="s">
        <v>1120</v>
      </c>
    </row>
    <row r="509" spans="1:8" x14ac:dyDescent="0.2">
      <c r="A509" s="40" t="s">
        <v>50</v>
      </c>
      <c r="B509" s="40" t="s">
        <v>1242</v>
      </c>
      <c r="C509" s="40" t="s">
        <v>73</v>
      </c>
      <c r="D509" s="40" t="s">
        <v>274</v>
      </c>
      <c r="E509" s="81" t="s">
        <v>1121</v>
      </c>
      <c r="F509" s="40"/>
      <c r="G509" s="40" t="s">
        <v>342</v>
      </c>
      <c r="H509" s="81" t="s">
        <v>1120</v>
      </c>
    </row>
    <row r="510" spans="1:8" x14ac:dyDescent="0.2">
      <c r="A510" s="40" t="s">
        <v>1220</v>
      </c>
      <c r="B510" s="40" t="s">
        <v>1243</v>
      </c>
      <c r="C510" s="40" t="s">
        <v>74</v>
      </c>
      <c r="D510" s="40" t="s">
        <v>274</v>
      </c>
      <c r="E510" s="81" t="s">
        <v>1121</v>
      </c>
      <c r="F510" s="40"/>
      <c r="G510" s="40" t="s">
        <v>342</v>
      </c>
      <c r="H510" s="81" t="s">
        <v>1120</v>
      </c>
    </row>
    <row r="511" spans="1:8" x14ac:dyDescent="0.2">
      <c r="A511" s="40" t="s">
        <v>1220</v>
      </c>
      <c r="B511" s="40" t="s">
        <v>1244</v>
      </c>
      <c r="C511" s="40" t="s">
        <v>76</v>
      </c>
      <c r="D511" s="40" t="s">
        <v>274</v>
      </c>
      <c r="E511" s="81" t="s">
        <v>1121</v>
      </c>
      <c r="F511" s="40"/>
      <c r="G511" s="40" t="s">
        <v>342</v>
      </c>
      <c r="H511" s="81" t="s">
        <v>1120</v>
      </c>
    </row>
    <row r="512" spans="1:8" x14ac:dyDescent="0.2">
      <c r="A512" s="40" t="s">
        <v>1220</v>
      </c>
      <c r="B512" s="40" t="s">
        <v>1245</v>
      </c>
      <c r="C512" s="40" t="s">
        <v>78</v>
      </c>
      <c r="D512" s="40" t="s">
        <v>274</v>
      </c>
      <c r="E512" s="81" t="s">
        <v>1121</v>
      </c>
      <c r="F512" s="40"/>
      <c r="G512" s="40" t="s">
        <v>342</v>
      </c>
      <c r="H512" s="81" t="s">
        <v>1120</v>
      </c>
    </row>
    <row r="513" spans="1:8" x14ac:dyDescent="0.2">
      <c r="A513" s="40" t="s">
        <v>1220</v>
      </c>
      <c r="B513" s="40" t="s">
        <v>1246</v>
      </c>
      <c r="C513" s="40" t="s">
        <v>80</v>
      </c>
      <c r="D513" s="40" t="s">
        <v>274</v>
      </c>
      <c r="E513" s="81" t="s">
        <v>1121</v>
      </c>
      <c r="F513" s="40"/>
      <c r="G513" s="40" t="s">
        <v>342</v>
      </c>
      <c r="H513" s="81" t="s">
        <v>1120</v>
      </c>
    </row>
    <row r="514" spans="1:8" x14ac:dyDescent="0.2">
      <c r="A514" s="40" t="s">
        <v>1220</v>
      </c>
      <c r="B514" s="40" t="s">
        <v>1247</v>
      </c>
      <c r="C514" s="40" t="s">
        <v>34</v>
      </c>
      <c r="D514" s="40" t="s">
        <v>274</v>
      </c>
      <c r="E514" s="81" t="s">
        <v>1121</v>
      </c>
      <c r="F514" s="40"/>
      <c r="G514" s="40" t="s">
        <v>342</v>
      </c>
      <c r="H514" s="81" t="s">
        <v>1120</v>
      </c>
    </row>
    <row r="515" spans="1:8" x14ac:dyDescent="0.2">
      <c r="A515" s="40" t="s">
        <v>1220</v>
      </c>
      <c r="B515" s="40" t="s">
        <v>1248</v>
      </c>
      <c r="C515" s="40" t="s">
        <v>81</v>
      </c>
      <c r="D515" s="40" t="s">
        <v>274</v>
      </c>
      <c r="E515" s="81" t="s">
        <v>1121</v>
      </c>
      <c r="F515" s="40"/>
      <c r="G515" s="40" t="s">
        <v>342</v>
      </c>
      <c r="H515" s="81" t="s">
        <v>1120</v>
      </c>
    </row>
    <row r="516" spans="1:8" x14ac:dyDescent="0.2">
      <c r="A516" s="40" t="s">
        <v>1220</v>
      </c>
      <c r="B516" s="40" t="s">
        <v>1249</v>
      </c>
      <c r="C516" s="40" t="s">
        <v>35</v>
      </c>
      <c r="D516" s="40" t="s">
        <v>274</v>
      </c>
      <c r="E516" s="81" t="s">
        <v>1121</v>
      </c>
      <c r="F516" s="40"/>
      <c r="G516" s="40" t="s">
        <v>342</v>
      </c>
      <c r="H516" s="81" t="s">
        <v>1120</v>
      </c>
    </row>
    <row r="517" spans="1:8" x14ac:dyDescent="0.2">
      <c r="A517" s="40" t="s">
        <v>1220</v>
      </c>
      <c r="B517" s="40" t="s">
        <v>1250</v>
      </c>
      <c r="C517" s="40" t="s">
        <v>85</v>
      </c>
      <c r="D517" s="40" t="s">
        <v>274</v>
      </c>
      <c r="E517" s="81" t="s">
        <v>1121</v>
      </c>
      <c r="F517" s="40"/>
      <c r="G517" s="40" t="s">
        <v>342</v>
      </c>
      <c r="H517" s="81" t="s">
        <v>1120</v>
      </c>
    </row>
    <row r="518" spans="1:8" x14ac:dyDescent="0.2">
      <c r="A518" s="40" t="s">
        <v>1220</v>
      </c>
      <c r="B518" s="40" t="s">
        <v>1251</v>
      </c>
      <c r="C518" s="40" t="s">
        <v>87</v>
      </c>
      <c r="D518" s="40" t="s">
        <v>274</v>
      </c>
      <c r="E518" s="81" t="s">
        <v>1121</v>
      </c>
      <c r="F518" s="40"/>
      <c r="G518" s="40" t="s">
        <v>343</v>
      </c>
      <c r="H518" s="81" t="s">
        <v>1120</v>
      </c>
    </row>
    <row r="519" spans="1:8" x14ac:dyDescent="0.2">
      <c r="A519" s="40" t="s">
        <v>1220</v>
      </c>
      <c r="B519" s="40" t="s">
        <v>1252</v>
      </c>
      <c r="C519" s="40" t="s">
        <v>89</v>
      </c>
      <c r="D519" s="40" t="s">
        <v>274</v>
      </c>
      <c r="E519" s="81" t="s">
        <v>1121</v>
      </c>
      <c r="F519" s="40"/>
      <c r="G519" s="40" t="s">
        <v>343</v>
      </c>
      <c r="H519" s="81" t="s">
        <v>1120</v>
      </c>
    </row>
    <row r="520" spans="1:8" x14ac:dyDescent="0.2">
      <c r="A520" s="40" t="s">
        <v>1220</v>
      </c>
      <c r="B520" s="40" t="s">
        <v>1253</v>
      </c>
      <c r="C520" s="40" t="s">
        <v>90</v>
      </c>
      <c r="D520" s="40" t="s">
        <v>274</v>
      </c>
      <c r="E520" s="81" t="s">
        <v>1121</v>
      </c>
      <c r="F520" s="40"/>
      <c r="G520" s="40" t="s">
        <v>343</v>
      </c>
      <c r="H520" s="81" t="s">
        <v>1120</v>
      </c>
    </row>
    <row r="521" spans="1:8" x14ac:dyDescent="0.2">
      <c r="A521" s="40" t="s">
        <v>1220</v>
      </c>
      <c r="B521" s="40" t="s">
        <v>1254</v>
      </c>
      <c r="C521" s="40" t="s">
        <v>91</v>
      </c>
      <c r="D521" s="40" t="s">
        <v>274</v>
      </c>
      <c r="E521" s="81" t="s">
        <v>1121</v>
      </c>
      <c r="F521" s="40"/>
      <c r="G521" s="40" t="s">
        <v>343</v>
      </c>
      <c r="H521" s="81" t="s">
        <v>1120</v>
      </c>
    </row>
    <row r="522" spans="1:8" x14ac:dyDescent="0.2">
      <c r="A522" s="40" t="s">
        <v>1220</v>
      </c>
      <c r="B522" s="40" t="s">
        <v>185</v>
      </c>
      <c r="C522" s="40" t="s">
        <v>92</v>
      </c>
      <c r="D522" s="40" t="s">
        <v>274</v>
      </c>
      <c r="E522" s="81" t="s">
        <v>1121</v>
      </c>
      <c r="F522" s="40"/>
      <c r="G522" s="40" t="s">
        <v>343</v>
      </c>
      <c r="H522" s="81" t="s">
        <v>1120</v>
      </c>
    </row>
    <row r="523" spans="1:8" x14ac:dyDescent="0.2">
      <c r="A523" s="40" t="s">
        <v>1220</v>
      </c>
      <c r="B523" s="40" t="s">
        <v>186</v>
      </c>
      <c r="C523" s="40" t="s">
        <v>93</v>
      </c>
      <c r="D523" s="40" t="s">
        <v>274</v>
      </c>
      <c r="E523" s="81" t="s">
        <v>1121</v>
      </c>
      <c r="F523" s="40"/>
      <c r="G523" s="40" t="s">
        <v>343</v>
      </c>
      <c r="H523" s="81" t="s">
        <v>1120</v>
      </c>
    </row>
    <row r="524" spans="1:8" x14ac:dyDescent="0.2">
      <c r="A524" s="40" t="s">
        <v>1220</v>
      </c>
      <c r="B524" s="40" t="s">
        <v>1255</v>
      </c>
      <c r="C524" s="40" t="s">
        <v>95</v>
      </c>
      <c r="D524" s="40" t="s">
        <v>274</v>
      </c>
      <c r="E524" s="81" t="s">
        <v>1121</v>
      </c>
      <c r="F524" s="40"/>
      <c r="G524" s="40" t="s">
        <v>343</v>
      </c>
      <c r="H524" s="81" t="s">
        <v>1120</v>
      </c>
    </row>
    <row r="525" spans="1:8" x14ac:dyDescent="0.2">
      <c r="A525" s="40" t="s">
        <v>1220</v>
      </c>
      <c r="B525" s="40" t="s">
        <v>1256</v>
      </c>
      <c r="C525" s="40" t="s">
        <v>36</v>
      </c>
      <c r="D525" s="40" t="s">
        <v>274</v>
      </c>
      <c r="E525" s="81" t="s">
        <v>1121</v>
      </c>
      <c r="F525" s="40"/>
      <c r="G525" s="40" t="s">
        <v>343</v>
      </c>
      <c r="H525" s="81" t="s">
        <v>1120</v>
      </c>
    </row>
    <row r="526" spans="1:8" x14ac:dyDescent="0.2">
      <c r="A526" s="40" t="s">
        <v>1220</v>
      </c>
      <c r="B526" s="40" t="s">
        <v>1257</v>
      </c>
      <c r="C526" s="40" t="s">
        <v>96</v>
      </c>
      <c r="D526" s="40" t="s">
        <v>274</v>
      </c>
      <c r="E526" s="81" t="s">
        <v>1121</v>
      </c>
      <c r="F526" s="40"/>
      <c r="G526" s="40" t="s">
        <v>343</v>
      </c>
      <c r="H526" s="81" t="s">
        <v>1120</v>
      </c>
    </row>
    <row r="527" spans="1:8" x14ac:dyDescent="0.2">
      <c r="A527" s="40" t="s">
        <v>1220</v>
      </c>
      <c r="B527" s="40" t="s">
        <v>1258</v>
      </c>
      <c r="C527" s="40" t="s">
        <v>37</v>
      </c>
      <c r="D527" s="40" t="s">
        <v>274</v>
      </c>
      <c r="E527" s="81" t="s">
        <v>1121</v>
      </c>
      <c r="F527" s="40"/>
      <c r="G527" s="40" t="s">
        <v>343</v>
      </c>
      <c r="H527" s="81" t="s">
        <v>1120</v>
      </c>
    </row>
    <row r="528" spans="1:8" x14ac:dyDescent="0.2">
      <c r="A528" s="40" t="s">
        <v>1220</v>
      </c>
      <c r="B528" s="40" t="s">
        <v>1259</v>
      </c>
      <c r="C528" s="40" t="s">
        <v>38</v>
      </c>
      <c r="D528" s="40" t="s">
        <v>274</v>
      </c>
      <c r="E528" s="81" t="s">
        <v>1121</v>
      </c>
      <c r="F528" s="40"/>
      <c r="G528" s="40" t="s">
        <v>343</v>
      </c>
      <c r="H528" s="81" t="s">
        <v>1120</v>
      </c>
    </row>
    <row r="529" spans="1:8" x14ac:dyDescent="0.2">
      <c r="A529" s="40" t="s">
        <v>1220</v>
      </c>
      <c r="B529" s="40" t="s">
        <v>202</v>
      </c>
      <c r="C529" s="40" t="s">
        <v>187</v>
      </c>
      <c r="D529" s="40" t="s">
        <v>274</v>
      </c>
      <c r="E529" s="81" t="s">
        <v>1121</v>
      </c>
      <c r="F529" s="40"/>
      <c r="G529" s="81"/>
      <c r="H529" s="81" t="s">
        <v>1120</v>
      </c>
    </row>
    <row r="530" spans="1:8" x14ac:dyDescent="0.2">
      <c r="A530" s="40" t="s">
        <v>1220</v>
      </c>
      <c r="B530" s="40" t="s">
        <v>203</v>
      </c>
      <c r="C530" s="40" t="s">
        <v>188</v>
      </c>
      <c r="D530" s="40" t="s">
        <v>274</v>
      </c>
      <c r="E530" s="81" t="s">
        <v>1121</v>
      </c>
      <c r="F530" s="40"/>
      <c r="G530" s="81"/>
      <c r="H530" s="81" t="s">
        <v>1120</v>
      </c>
    </row>
    <row r="531" spans="1:8" x14ac:dyDescent="0.2">
      <c r="A531" s="40" t="s">
        <v>1220</v>
      </c>
      <c r="B531" s="40" t="s">
        <v>204</v>
      </c>
      <c r="C531" s="40" t="s">
        <v>189</v>
      </c>
      <c r="D531" s="40" t="s">
        <v>274</v>
      </c>
      <c r="E531" s="81" t="s">
        <v>1121</v>
      </c>
      <c r="F531" s="40"/>
      <c r="G531" s="81"/>
      <c r="H531" s="81" t="s">
        <v>1120</v>
      </c>
    </row>
    <row r="532" spans="1:8" x14ac:dyDescent="0.2">
      <c r="A532" s="40" t="s">
        <v>1220</v>
      </c>
      <c r="B532" s="40" t="s">
        <v>1273</v>
      </c>
      <c r="C532" s="40" t="s">
        <v>1271</v>
      </c>
      <c r="D532" s="40" t="s">
        <v>274</v>
      </c>
      <c r="E532" s="81" t="s">
        <v>1121</v>
      </c>
      <c r="F532" s="40"/>
      <c r="G532" s="81"/>
      <c r="H532" s="81" t="s">
        <v>1120</v>
      </c>
    </row>
    <row r="533" spans="1:8" x14ac:dyDescent="0.2">
      <c r="A533" s="40" t="s">
        <v>1220</v>
      </c>
      <c r="B533" s="40" t="s">
        <v>205</v>
      </c>
      <c r="C533" s="40" t="s">
        <v>192</v>
      </c>
      <c r="D533" s="40" t="s">
        <v>274</v>
      </c>
      <c r="E533" s="81" t="s">
        <v>1121</v>
      </c>
      <c r="F533" s="40"/>
      <c r="G533" s="81"/>
      <c r="H533" s="81" t="s">
        <v>1120</v>
      </c>
    </row>
    <row r="534" spans="1:8" x14ac:dyDescent="0.2">
      <c r="A534" s="40" t="s">
        <v>1220</v>
      </c>
      <c r="B534" s="40" t="s">
        <v>47</v>
      </c>
      <c r="C534" s="40" t="s">
        <v>208</v>
      </c>
      <c r="D534" s="40" t="s">
        <v>274</v>
      </c>
      <c r="E534" s="81" t="s">
        <v>1121</v>
      </c>
      <c r="F534" s="40"/>
      <c r="G534" s="81"/>
      <c r="H534" s="81" t="s">
        <v>1120</v>
      </c>
    </row>
    <row r="535" spans="1:8" x14ac:dyDescent="0.2">
      <c r="A535" s="40" t="s">
        <v>1220</v>
      </c>
      <c r="B535" s="40" t="s">
        <v>206</v>
      </c>
      <c r="C535" s="40" t="s">
        <v>193</v>
      </c>
      <c r="D535" s="40" t="s">
        <v>274</v>
      </c>
      <c r="E535" s="81" t="s">
        <v>1121</v>
      </c>
      <c r="F535" s="40"/>
      <c r="G535" s="81"/>
      <c r="H535" s="81" t="s">
        <v>1120</v>
      </c>
    </row>
    <row r="536" spans="1:8" x14ac:dyDescent="0.2">
      <c r="A536" s="40" t="s">
        <v>50</v>
      </c>
      <c r="B536" s="40" t="s">
        <v>207</v>
      </c>
      <c r="C536" s="40" t="s">
        <v>194</v>
      </c>
      <c r="D536" s="40" t="s">
        <v>274</v>
      </c>
      <c r="E536" s="81" t="s">
        <v>1121</v>
      </c>
      <c r="F536" s="40"/>
      <c r="G536" s="81"/>
      <c r="H536" s="81" t="s">
        <v>1120</v>
      </c>
    </row>
    <row r="537" spans="1:8" x14ac:dyDescent="0.2">
      <c r="A537" s="40" t="s">
        <v>956</v>
      </c>
      <c r="B537" s="40" t="s">
        <v>1210</v>
      </c>
      <c r="C537" s="40" t="s">
        <v>1221</v>
      </c>
      <c r="D537" s="40" t="s">
        <v>274</v>
      </c>
      <c r="E537" s="81" t="s">
        <v>1121</v>
      </c>
      <c r="F537" s="40"/>
      <c r="G537" s="81" t="s">
        <v>1207</v>
      </c>
      <c r="H537" s="81" t="s">
        <v>1120</v>
      </c>
    </row>
    <row r="538" spans="1:8" x14ac:dyDescent="0.2">
      <c r="A538" s="40" t="s">
        <v>956</v>
      </c>
      <c r="B538" s="40" t="s">
        <v>1222</v>
      </c>
      <c r="C538" s="40" t="s">
        <v>1223</v>
      </c>
      <c r="D538" s="40" t="s">
        <v>274</v>
      </c>
      <c r="E538" s="81" t="s">
        <v>1121</v>
      </c>
      <c r="F538" s="40"/>
      <c r="G538" s="81" t="s">
        <v>1208</v>
      </c>
      <c r="H538" s="81" t="s">
        <v>1120</v>
      </c>
    </row>
    <row r="539" spans="1:8" x14ac:dyDescent="0.2">
      <c r="A539" s="40" t="s">
        <v>956</v>
      </c>
      <c r="B539" s="40" t="s">
        <v>1224</v>
      </c>
      <c r="C539" s="40" t="s">
        <v>1225</v>
      </c>
      <c r="D539" s="40" t="s">
        <v>274</v>
      </c>
      <c r="E539" s="81" t="s">
        <v>1121</v>
      </c>
      <c r="F539" s="40"/>
      <c r="G539" s="81" t="s">
        <v>1206</v>
      </c>
      <c r="H539" s="81" t="s">
        <v>1120</v>
      </c>
    </row>
  </sheetData>
  <phoneticPr fontId="0" type="noConversion"/>
  <pageMargins left="0.75" right="0.75" top="1" bottom="1" header="0.5" footer="0.5"/>
  <pageSetup scale="67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AO173"/>
  <sheetViews>
    <sheetView tabSelected="1" zoomScale="80" zoomScaleNormal="100" workbookViewId="0">
      <pane xSplit="6" ySplit="4" topLeftCell="N15" activePane="bottomRight" state="frozen"/>
      <selection pane="topRight" activeCell="G1" sqref="G1"/>
      <selection pane="bottomLeft" activeCell="A5" sqref="A5"/>
      <selection pane="bottomRight" activeCell="AR24" sqref="AR24"/>
    </sheetView>
  </sheetViews>
  <sheetFormatPr defaultRowHeight="12.75" x14ac:dyDescent="0.2"/>
  <cols>
    <col min="1" max="1" width="3.28515625" customWidth="1"/>
    <col min="2" max="2" width="7.140625" customWidth="1"/>
    <col min="3" max="3" width="12.85546875" customWidth="1"/>
    <col min="4" max="4" width="29.28515625" customWidth="1"/>
    <col min="6" max="6" width="8.42578125" customWidth="1"/>
    <col min="8" max="8" width="6.85546875" customWidth="1"/>
    <col min="9" max="9" width="7.7109375" customWidth="1"/>
    <col min="10" max="11" width="7" customWidth="1"/>
    <col min="12" max="15" width="7.5703125" customWidth="1"/>
    <col min="16" max="16" width="3.7109375" customWidth="1"/>
    <col min="17" max="17" width="11.85546875" customWidth="1"/>
    <col min="18" max="19" width="7.42578125" customWidth="1"/>
    <col min="20" max="20" width="8.140625" customWidth="1"/>
    <col min="21" max="23" width="7.42578125" customWidth="1"/>
    <col min="24" max="24" width="2.85546875" customWidth="1"/>
    <col min="25" max="25" width="11.7109375" customWidth="1"/>
    <col min="26" max="31" width="8" customWidth="1"/>
    <col min="32" max="32" width="3.7109375" customWidth="1"/>
    <col min="35" max="35" width="10" customWidth="1"/>
  </cols>
  <sheetData>
    <row r="1" spans="3:41" x14ac:dyDescent="0.2">
      <c r="E1" s="413" t="s">
        <v>978</v>
      </c>
      <c r="F1" s="413">
        <v>2010</v>
      </c>
    </row>
    <row r="3" spans="3:41" x14ac:dyDescent="0.2">
      <c r="F3" s="84" t="s">
        <v>377</v>
      </c>
      <c r="Q3" s="23" t="s">
        <v>1336</v>
      </c>
      <c r="Y3" s="23" t="s">
        <v>1337</v>
      </c>
      <c r="AH3" s="23" t="s">
        <v>1323</v>
      </c>
    </row>
    <row r="4" spans="3:41" ht="24.75" thickBot="1" x14ac:dyDescent="0.25">
      <c r="C4" s="42" t="s">
        <v>1126</v>
      </c>
      <c r="D4" s="42" t="s">
        <v>1127</v>
      </c>
      <c r="E4" s="42" t="s">
        <v>1128</v>
      </c>
      <c r="F4" s="42" t="s">
        <v>289</v>
      </c>
      <c r="G4" s="42" t="s">
        <v>318</v>
      </c>
      <c r="H4" s="42" t="s">
        <v>322</v>
      </c>
      <c r="I4" s="42" t="s">
        <v>541</v>
      </c>
      <c r="J4" s="42">
        <v>2015</v>
      </c>
      <c r="K4" s="42">
        <v>2020</v>
      </c>
      <c r="L4" s="42">
        <v>2030</v>
      </c>
      <c r="M4" s="42">
        <v>2040</v>
      </c>
      <c r="N4" s="42">
        <v>2050</v>
      </c>
      <c r="O4" s="86">
        <v>2080</v>
      </c>
      <c r="Q4" s="87" t="s">
        <v>1126</v>
      </c>
      <c r="R4" s="25">
        <v>2015</v>
      </c>
      <c r="S4" s="25">
        <v>2020</v>
      </c>
      <c r="T4" s="25">
        <v>2030</v>
      </c>
      <c r="U4" s="25">
        <v>2040</v>
      </c>
      <c r="V4" s="25">
        <v>2050</v>
      </c>
      <c r="W4" s="88">
        <v>2080</v>
      </c>
      <c r="Y4" s="87" t="s">
        <v>1126</v>
      </c>
      <c r="Z4" s="25">
        <v>2015</v>
      </c>
      <c r="AA4" s="25">
        <v>2020</v>
      </c>
      <c r="AB4" s="25">
        <v>2030</v>
      </c>
      <c r="AC4" s="25">
        <v>2040</v>
      </c>
      <c r="AD4" s="25">
        <v>2050</v>
      </c>
      <c r="AE4" s="88">
        <v>2080</v>
      </c>
      <c r="AG4" s="87" t="s">
        <v>1126</v>
      </c>
      <c r="AH4" s="42" t="s">
        <v>1128</v>
      </c>
      <c r="AI4" s="89">
        <v>2015</v>
      </c>
      <c r="AJ4" s="25">
        <v>2030</v>
      </c>
      <c r="AK4" s="25">
        <v>2050</v>
      </c>
      <c r="AL4" s="88">
        <v>2070</v>
      </c>
      <c r="AO4" s="393" t="s">
        <v>378</v>
      </c>
    </row>
    <row r="5" spans="3:41" ht="16.5" customHeight="1" x14ac:dyDescent="0.2">
      <c r="C5" s="90" t="s">
        <v>330</v>
      </c>
      <c r="D5" s="91" t="s">
        <v>379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31"/>
      <c r="Q5" s="412" t="s">
        <v>330</v>
      </c>
      <c r="R5" s="92"/>
      <c r="S5" s="92"/>
      <c r="T5" s="92"/>
      <c r="U5" s="92"/>
      <c r="V5" s="92"/>
      <c r="W5" s="92"/>
      <c r="X5" s="31"/>
      <c r="Y5" s="412" t="s">
        <v>330</v>
      </c>
      <c r="Z5" s="92"/>
      <c r="AA5" s="92"/>
      <c r="AB5" s="92"/>
      <c r="AC5" s="92"/>
      <c r="AD5" s="92"/>
      <c r="AE5" s="92"/>
      <c r="AF5" s="31"/>
      <c r="AG5" s="412" t="s">
        <v>330</v>
      </c>
      <c r="AH5" s="90"/>
      <c r="AI5" s="92"/>
      <c r="AJ5" s="92"/>
      <c r="AK5" s="92"/>
      <c r="AL5" s="92"/>
      <c r="AO5" s="393"/>
    </row>
    <row r="6" spans="3:41" x14ac:dyDescent="0.2">
      <c r="C6" s="28" t="s">
        <v>380</v>
      </c>
      <c r="D6" s="28" t="s">
        <v>381</v>
      </c>
      <c r="E6" s="28" t="s">
        <v>332</v>
      </c>
      <c r="F6" s="227" t="s">
        <v>333</v>
      </c>
      <c r="G6" s="227">
        <v>2015</v>
      </c>
      <c r="H6" s="237">
        <v>18.3</v>
      </c>
      <c r="I6" s="227">
        <v>14</v>
      </c>
      <c r="J6" s="391">
        <v>0.46828810857027819</v>
      </c>
      <c r="K6" s="391">
        <v>0.49056209945877749</v>
      </c>
      <c r="L6" s="391">
        <v>0.51161325847733241</v>
      </c>
      <c r="M6" s="391">
        <v>0.53356777151330204</v>
      </c>
      <c r="N6" s="391">
        <v>0.55646440357639504</v>
      </c>
      <c r="O6" s="391"/>
      <c r="Q6" s="240" t="s">
        <v>380</v>
      </c>
      <c r="R6" s="226">
        <v>17106</v>
      </c>
      <c r="S6" s="226">
        <v>17106</v>
      </c>
      <c r="T6" s="226">
        <v>17316.007524741439</v>
      </c>
      <c r="U6" s="226">
        <v>17316.007524741439</v>
      </c>
      <c r="V6" s="226">
        <v>17316.007524741439</v>
      </c>
      <c r="W6" s="28"/>
      <c r="Y6" s="240" t="s">
        <v>380</v>
      </c>
      <c r="Z6" s="226">
        <v>499.77811015845185</v>
      </c>
      <c r="AA6" s="226">
        <v>495.72585521122119</v>
      </c>
      <c r="AB6" s="226">
        <v>486.27059366768287</v>
      </c>
      <c r="AC6" s="226">
        <v>472.76307717691395</v>
      </c>
      <c r="AD6" s="226">
        <v>459.25556068614497</v>
      </c>
      <c r="AE6" s="226"/>
      <c r="AG6" s="240" t="s">
        <v>380</v>
      </c>
      <c r="AH6" s="28"/>
      <c r="AI6" s="28"/>
      <c r="AJ6" s="28"/>
      <c r="AK6" s="28"/>
      <c r="AL6" s="28"/>
      <c r="AO6" s="394"/>
    </row>
    <row r="7" spans="3:41" x14ac:dyDescent="0.2">
      <c r="C7" s="28" t="s">
        <v>383</v>
      </c>
      <c r="D7" s="28" t="s">
        <v>384</v>
      </c>
      <c r="E7" s="28" t="s">
        <v>332</v>
      </c>
      <c r="F7" s="227" t="s">
        <v>333</v>
      </c>
      <c r="G7" s="227">
        <v>2015</v>
      </c>
      <c r="H7" s="237">
        <v>18.3</v>
      </c>
      <c r="I7" s="227">
        <v>14</v>
      </c>
      <c r="J7" s="391">
        <v>0.49440154282954518</v>
      </c>
      <c r="K7" s="391">
        <v>0.50741506954342519</v>
      </c>
      <c r="L7" s="391">
        <v>0.53647216188598867</v>
      </c>
      <c r="M7" s="391">
        <v>0.56719320665981787</v>
      </c>
      <c r="N7" s="391">
        <v>0.59967348997988423</v>
      </c>
      <c r="O7" s="391"/>
      <c r="Q7" s="240" t="s">
        <v>383</v>
      </c>
      <c r="R7" s="226">
        <v>18332.934336000006</v>
      </c>
      <c r="S7" s="226">
        <v>18332.934336000006</v>
      </c>
      <c r="T7" s="226">
        <v>18120.489112383777</v>
      </c>
      <c r="U7" s="226">
        <v>18120.489112383777</v>
      </c>
      <c r="V7" s="226">
        <v>18120.489112383777</v>
      </c>
      <c r="W7" s="28"/>
      <c r="Y7" s="240" t="s">
        <v>383</v>
      </c>
      <c r="Z7" s="226">
        <v>535.62488460803672</v>
      </c>
      <c r="AA7" s="226">
        <v>531.28198013824181</v>
      </c>
      <c r="AB7" s="226">
        <v>508.86216038181209</v>
      </c>
      <c r="AC7" s="226">
        <v>494.72710037120623</v>
      </c>
      <c r="AD7" s="226">
        <v>480.59204036060032</v>
      </c>
      <c r="AE7" s="226"/>
      <c r="AG7" s="240" t="s">
        <v>383</v>
      </c>
      <c r="AH7" s="28"/>
      <c r="AI7" s="28"/>
      <c r="AJ7" s="28"/>
      <c r="AK7" s="28"/>
      <c r="AL7" s="28"/>
      <c r="AO7" s="394"/>
    </row>
    <row r="8" spans="3:41" x14ac:dyDescent="0.2">
      <c r="C8" s="28" t="s">
        <v>393</v>
      </c>
      <c r="D8" s="28" t="s">
        <v>394</v>
      </c>
      <c r="E8" s="28" t="s">
        <v>336</v>
      </c>
      <c r="F8" s="227" t="s">
        <v>333</v>
      </c>
      <c r="G8" s="227">
        <v>2015</v>
      </c>
      <c r="H8" s="237">
        <v>19.3</v>
      </c>
      <c r="I8" s="227">
        <v>14</v>
      </c>
      <c r="J8" s="391">
        <v>0.50211326729296901</v>
      </c>
      <c r="K8" s="391">
        <v>0.52531525915269928</v>
      </c>
      <c r="L8" s="391">
        <v>0.54759928733907604</v>
      </c>
      <c r="M8" s="391">
        <v>0.57082861004335117</v>
      </c>
      <c r="N8" s="391">
        <v>0.59504332689287787</v>
      </c>
      <c r="O8" s="391"/>
      <c r="Q8" s="240" t="s">
        <v>393</v>
      </c>
      <c r="R8" s="226">
        <v>19106</v>
      </c>
      <c r="S8" s="226">
        <v>19106</v>
      </c>
      <c r="T8" s="226">
        <v>19294.355775249798</v>
      </c>
      <c r="U8" s="226">
        <v>19294.355775249798</v>
      </c>
      <c r="V8" s="226">
        <v>19294.355775249798</v>
      </c>
      <c r="W8" s="28"/>
      <c r="Y8" s="240" t="s">
        <v>393</v>
      </c>
      <c r="Z8" s="226">
        <v>517.33788159645155</v>
      </c>
      <c r="AA8" s="226">
        <v>513.28562664922083</v>
      </c>
      <c r="AB8" s="226">
        <v>503.83036510568257</v>
      </c>
      <c r="AC8" s="226">
        <v>495.72585521122119</v>
      </c>
      <c r="AD8" s="226">
        <v>486.27059366768287</v>
      </c>
      <c r="AE8" s="226"/>
      <c r="AG8" s="240" t="s">
        <v>393</v>
      </c>
      <c r="AH8" s="28"/>
      <c r="AI8" s="28"/>
      <c r="AJ8" s="28"/>
      <c r="AK8" s="28"/>
      <c r="AL8" s="28"/>
      <c r="AO8" s="394"/>
    </row>
    <row r="9" spans="3:41" x14ac:dyDescent="0.2">
      <c r="C9" s="28" t="s">
        <v>395</v>
      </c>
      <c r="D9" s="28" t="s">
        <v>396</v>
      </c>
      <c r="E9" s="28" t="s">
        <v>336</v>
      </c>
      <c r="F9" s="227" t="s">
        <v>333</v>
      </c>
      <c r="G9" s="227">
        <v>2015</v>
      </c>
      <c r="H9" s="237">
        <v>19.3</v>
      </c>
      <c r="I9" s="227">
        <v>14</v>
      </c>
      <c r="J9" s="391">
        <v>0.52795536069920812</v>
      </c>
      <c r="K9" s="391">
        <v>0.54140483182905119</v>
      </c>
      <c r="L9" s="391">
        <v>0.57243471222583509</v>
      </c>
      <c r="M9" s="391">
        <v>0.60524302719495437</v>
      </c>
      <c r="N9" s="391">
        <v>0.63993170520507558</v>
      </c>
      <c r="O9" s="391"/>
      <c r="Q9" s="240" t="s">
        <v>395</v>
      </c>
      <c r="R9" s="226">
        <v>20377.976802500001</v>
      </c>
      <c r="S9" s="226">
        <v>20377.976802500001</v>
      </c>
      <c r="T9" s="226">
        <v>20164.155220834382</v>
      </c>
      <c r="U9" s="226">
        <v>20164.155220834382</v>
      </c>
      <c r="V9" s="226">
        <v>20164.155220834382</v>
      </c>
      <c r="W9" s="28"/>
      <c r="Y9" s="240" t="s">
        <v>395</v>
      </c>
      <c r="Z9" s="226">
        <v>551.7795116836063</v>
      </c>
      <c r="AA9" s="226">
        <v>547.45747895501404</v>
      </c>
      <c r="AB9" s="226">
        <v>526.54329614843596</v>
      </c>
      <c r="AC9" s="226">
        <v>518.07343079484178</v>
      </c>
      <c r="AD9" s="226">
        <v>508.19192121564879</v>
      </c>
      <c r="AE9" s="226"/>
      <c r="AG9" s="240" t="s">
        <v>395</v>
      </c>
      <c r="AH9" s="28"/>
      <c r="AI9" s="28"/>
      <c r="AJ9" s="28"/>
      <c r="AK9" s="28"/>
      <c r="AL9" s="28"/>
      <c r="AO9" s="394"/>
    </row>
    <row r="10" spans="3:41" x14ac:dyDescent="0.2">
      <c r="C10" s="28" t="s">
        <v>388</v>
      </c>
      <c r="D10" s="28" t="s">
        <v>389</v>
      </c>
      <c r="E10" s="28" t="s">
        <v>332</v>
      </c>
      <c r="F10" s="227" t="s">
        <v>333</v>
      </c>
      <c r="G10" s="227">
        <v>2015</v>
      </c>
      <c r="H10" s="237">
        <v>18.3</v>
      </c>
      <c r="I10" s="227">
        <v>14</v>
      </c>
      <c r="J10" s="391">
        <v>0.5791277691359471</v>
      </c>
      <c r="K10" s="391">
        <v>0.60765298085904984</v>
      </c>
      <c r="L10" s="391">
        <v>0.66301303048070392</v>
      </c>
      <c r="M10" s="391">
        <v>0.72341664139568784</v>
      </c>
      <c r="N10" s="391">
        <v>0.78932330578944521</v>
      </c>
      <c r="O10" s="391"/>
      <c r="Q10" s="240" t="s">
        <v>388</v>
      </c>
      <c r="R10" s="226">
        <v>20769.447002223056</v>
      </c>
      <c r="S10" s="226">
        <v>19917.823745555459</v>
      </c>
      <c r="T10" s="226">
        <v>19134.085716657009</v>
      </c>
      <c r="U10" s="226">
        <v>18894.418629069518</v>
      </c>
      <c r="V10" s="226">
        <v>18757.827407081</v>
      </c>
      <c r="W10" s="28"/>
      <c r="Y10" s="240" t="s">
        <v>388</v>
      </c>
      <c r="Z10" s="226">
        <v>499.77811015845185</v>
      </c>
      <c r="AA10" s="226">
        <v>495.72585521122119</v>
      </c>
      <c r="AB10" s="226">
        <v>486.27059366768287</v>
      </c>
      <c r="AC10" s="226">
        <v>472.76307717691395</v>
      </c>
      <c r="AD10" s="226">
        <v>459.25556068614497</v>
      </c>
      <c r="AE10" s="226"/>
      <c r="AG10" s="240" t="s">
        <v>388</v>
      </c>
      <c r="AH10" s="28"/>
      <c r="AI10" s="28"/>
      <c r="AJ10" s="28"/>
      <c r="AK10" s="28"/>
      <c r="AL10" s="28"/>
      <c r="AO10" s="394"/>
    </row>
    <row r="11" spans="3:41" x14ac:dyDescent="0.2">
      <c r="C11" s="28" t="s">
        <v>397</v>
      </c>
      <c r="D11" s="28" t="s">
        <v>398</v>
      </c>
      <c r="E11" s="28" t="s">
        <v>336</v>
      </c>
      <c r="F11" s="227" t="s">
        <v>333</v>
      </c>
      <c r="G11" s="227">
        <v>2015</v>
      </c>
      <c r="H11" s="237">
        <v>19.3</v>
      </c>
      <c r="I11" s="227">
        <v>14</v>
      </c>
      <c r="J11" s="391">
        <v>0.624098621051</v>
      </c>
      <c r="K11" s="391">
        <v>0.65484281873163053</v>
      </c>
      <c r="L11" s="391">
        <v>0.71451065110996126</v>
      </c>
      <c r="M11" s="391">
        <v>0.7796152846653035</v>
      </c>
      <c r="N11" s="391">
        <v>0.85065210871802432</v>
      </c>
      <c r="O11" s="391"/>
      <c r="Q11" s="240" t="s">
        <v>397</v>
      </c>
      <c r="R11" s="226">
        <v>21905.981495575925</v>
      </c>
      <c r="S11" s="226">
        <v>20908.592199600895</v>
      </c>
      <c r="T11" s="226">
        <v>20517.527652989022</v>
      </c>
      <c r="U11" s="226">
        <v>20268.365734933603</v>
      </c>
      <c r="V11" s="226">
        <v>20126.523145399293</v>
      </c>
      <c r="W11" s="28"/>
      <c r="Y11" s="240" t="s">
        <v>397</v>
      </c>
      <c r="Z11" s="226">
        <v>517.33788159645155</v>
      </c>
      <c r="AA11" s="226">
        <v>513.28562664922083</v>
      </c>
      <c r="AB11" s="226">
        <v>503.83036510568257</v>
      </c>
      <c r="AC11" s="226">
        <v>495.72585521122119</v>
      </c>
      <c r="AD11" s="226">
        <v>486.27059366768287</v>
      </c>
      <c r="AE11" s="226"/>
      <c r="AG11" s="240" t="s">
        <v>397</v>
      </c>
      <c r="AH11" s="28"/>
      <c r="AI11" s="28"/>
      <c r="AJ11" s="28"/>
      <c r="AK11" s="28"/>
      <c r="AL11" s="28"/>
      <c r="AO11" s="394"/>
    </row>
    <row r="12" spans="3:41" x14ac:dyDescent="0.2">
      <c r="C12" s="28" t="s">
        <v>390</v>
      </c>
      <c r="D12" s="28" t="s">
        <v>391</v>
      </c>
      <c r="E12" s="28" t="s">
        <v>332</v>
      </c>
      <c r="F12" s="227" t="s">
        <v>333</v>
      </c>
      <c r="G12" s="227">
        <v>2015</v>
      </c>
      <c r="H12" s="237">
        <v>18.3</v>
      </c>
      <c r="I12" s="227">
        <v>14</v>
      </c>
      <c r="J12" s="391">
        <v>0.9205992629498555</v>
      </c>
      <c r="K12" s="391">
        <v>0.95587531985595475</v>
      </c>
      <c r="L12" s="391">
        <v>1.0302624829890732</v>
      </c>
      <c r="M12" s="391">
        <v>1.1100527266297489</v>
      </c>
      <c r="N12" s="391">
        <v>1.1956133704362235</v>
      </c>
      <c r="O12" s="391">
        <v>1.2506027287631318</v>
      </c>
      <c r="Q12" s="240" t="s">
        <v>390</v>
      </c>
      <c r="R12" s="226">
        <v>28173.328684966767</v>
      </c>
      <c r="S12" s="226">
        <v>20700.275124107335</v>
      </c>
      <c r="T12" s="226">
        <v>19881.035193897984</v>
      </c>
      <c r="U12" s="226">
        <v>19481.663310515894</v>
      </c>
      <c r="V12" s="226">
        <v>19081.379599765121</v>
      </c>
      <c r="W12" s="28"/>
      <c r="Y12" s="240" t="s">
        <v>390</v>
      </c>
      <c r="Z12" s="226">
        <v>418.73301121383804</v>
      </c>
      <c r="AA12" s="226">
        <v>414.68075626660737</v>
      </c>
      <c r="AB12" s="226">
        <v>405.22549472306906</v>
      </c>
      <c r="AC12" s="226">
        <v>395.77023317953081</v>
      </c>
      <c r="AD12" s="226">
        <v>387.66572328506942</v>
      </c>
      <c r="AE12" s="226"/>
      <c r="AG12" s="240" t="s">
        <v>390</v>
      </c>
      <c r="AH12" s="28" t="s">
        <v>392</v>
      </c>
      <c r="AI12" s="28">
        <v>0.3</v>
      </c>
      <c r="AJ12" s="28">
        <v>0.4</v>
      </c>
      <c r="AK12" s="28">
        <v>0.5</v>
      </c>
      <c r="AL12" s="28">
        <v>0.6</v>
      </c>
      <c r="AO12" s="394"/>
    </row>
    <row r="13" spans="3:41" x14ac:dyDescent="0.2">
      <c r="C13" s="28" t="s">
        <v>399</v>
      </c>
      <c r="D13" s="28" t="s">
        <v>400</v>
      </c>
      <c r="E13" s="28" t="s">
        <v>336</v>
      </c>
      <c r="F13" s="227" t="s">
        <v>333</v>
      </c>
      <c r="G13" s="227">
        <v>2015</v>
      </c>
      <c r="H13" s="237">
        <v>19.399999999999999</v>
      </c>
      <c r="I13" s="227">
        <v>14</v>
      </c>
      <c r="J13" s="391">
        <v>0.9304930154674016</v>
      </c>
      <c r="K13" s="391">
        <v>0.97020982798619992</v>
      </c>
      <c r="L13" s="391">
        <v>1.0492030140246369</v>
      </c>
      <c r="M13" s="391">
        <v>1.1343381963459824</v>
      </c>
      <c r="N13" s="391">
        <v>1.2260708429479967</v>
      </c>
      <c r="O13" s="391">
        <v>1.2824610193914427</v>
      </c>
      <c r="Q13" s="240" t="s">
        <v>399</v>
      </c>
      <c r="R13" s="226">
        <v>29758.456629259861</v>
      </c>
      <c r="S13" s="226">
        <v>21895.392394562623</v>
      </c>
      <c r="T13" s="226">
        <v>21121.184281329435</v>
      </c>
      <c r="U13" s="226">
        <v>20742.175647101471</v>
      </c>
      <c r="V13" s="226">
        <v>20351.73105712414</v>
      </c>
      <c r="W13" s="28"/>
      <c r="Y13" s="240" t="s">
        <v>399</v>
      </c>
      <c r="Z13" s="226">
        <v>428.18827275737635</v>
      </c>
      <c r="AA13" s="226">
        <v>422.78526616106876</v>
      </c>
      <c r="AB13" s="226">
        <v>414.68075626660737</v>
      </c>
      <c r="AC13" s="226">
        <v>407.92699802122286</v>
      </c>
      <c r="AD13" s="226">
        <v>401.1732397758384</v>
      </c>
      <c r="AE13" s="226"/>
      <c r="AG13" s="240" t="s">
        <v>399</v>
      </c>
      <c r="AH13" s="28" t="s">
        <v>392</v>
      </c>
      <c r="AI13" s="28">
        <v>0.3</v>
      </c>
      <c r="AJ13" s="28">
        <v>0.4</v>
      </c>
      <c r="AK13" s="28">
        <v>0.5</v>
      </c>
      <c r="AL13" s="28">
        <v>0.6</v>
      </c>
      <c r="AO13" s="394"/>
    </row>
    <row r="14" spans="3:41" x14ac:dyDescent="0.2">
      <c r="C14" s="28" t="s">
        <v>401</v>
      </c>
      <c r="D14" s="28" t="s">
        <v>402</v>
      </c>
      <c r="E14" s="28" t="s">
        <v>392</v>
      </c>
      <c r="F14" s="227" t="s">
        <v>333</v>
      </c>
      <c r="G14" s="227">
        <v>2015</v>
      </c>
      <c r="H14" s="237">
        <v>18.3</v>
      </c>
      <c r="I14" s="227">
        <v>14</v>
      </c>
      <c r="J14" s="391">
        <v>1.716052168778909</v>
      </c>
      <c r="K14" s="391">
        <v>1.806370703977799</v>
      </c>
      <c r="L14" s="391">
        <v>1.9001927195032726</v>
      </c>
      <c r="M14" s="391">
        <v>1.998887804868664</v>
      </c>
      <c r="N14" s="391">
        <v>2.1027090649505942</v>
      </c>
      <c r="O14" s="391">
        <v>2.2325995502761566</v>
      </c>
      <c r="Q14" s="240" t="s">
        <v>401</v>
      </c>
      <c r="R14" s="226">
        <v>33861</v>
      </c>
      <c r="S14" s="226">
        <v>24170.793094567009</v>
      </c>
      <c r="T14" s="226">
        <v>22585.594107998066</v>
      </c>
      <c r="U14" s="226">
        <v>21315.261459315298</v>
      </c>
      <c r="V14" s="226">
        <v>20274.934847603548</v>
      </c>
      <c r="W14" s="28"/>
      <c r="Y14" s="240" t="s">
        <v>401</v>
      </c>
      <c r="Z14" s="226">
        <v>337.68791226922423</v>
      </c>
      <c r="AA14" s="226">
        <v>333.63565732199356</v>
      </c>
      <c r="AB14" s="226">
        <v>324.18039577845525</v>
      </c>
      <c r="AC14" s="226">
        <v>320.12814083122458</v>
      </c>
      <c r="AD14" s="226">
        <v>314.72513423491699</v>
      </c>
      <c r="AE14" s="226"/>
      <c r="AG14" s="240" t="s">
        <v>401</v>
      </c>
      <c r="AH14" s="28"/>
      <c r="AI14" s="28"/>
      <c r="AJ14" s="28"/>
      <c r="AK14" s="28"/>
      <c r="AL14" s="28"/>
      <c r="AO14" s="394"/>
    </row>
    <row r="15" spans="3:41" x14ac:dyDescent="0.2">
      <c r="C15" s="28" t="s">
        <v>413</v>
      </c>
      <c r="D15" s="28" t="s">
        <v>414</v>
      </c>
      <c r="E15" s="28" t="s">
        <v>998</v>
      </c>
      <c r="F15" s="227" t="s">
        <v>333</v>
      </c>
      <c r="G15" s="227">
        <v>2020</v>
      </c>
      <c r="H15" s="237">
        <v>18.8</v>
      </c>
      <c r="I15" s="227">
        <v>14</v>
      </c>
      <c r="J15" s="391">
        <v>0.84122173298431668</v>
      </c>
      <c r="K15" s="391">
        <v>0.93469361926333638</v>
      </c>
      <c r="L15" s="391">
        <v>1.0528175605051373</v>
      </c>
      <c r="M15" s="391">
        <v>1.185869671982174</v>
      </c>
      <c r="N15" s="391">
        <v>1.3357365337033462</v>
      </c>
      <c r="O15" s="391">
        <v>1.4182488838528848</v>
      </c>
      <c r="Q15" s="240" t="s">
        <v>413</v>
      </c>
      <c r="R15" s="226">
        <v>33604</v>
      </c>
      <c r="S15" s="226">
        <v>28436.475855490717</v>
      </c>
      <c r="T15" s="226">
        <v>25613.07331492216</v>
      </c>
      <c r="U15" s="226">
        <v>24184.175850202315</v>
      </c>
      <c r="V15" s="226">
        <v>22990.090813696643</v>
      </c>
      <c r="W15" s="28"/>
      <c r="Y15" s="240" t="s">
        <v>413</v>
      </c>
      <c r="Z15" s="226">
        <v>420.08376286291497</v>
      </c>
      <c r="AA15" s="226">
        <v>405.22549472306906</v>
      </c>
      <c r="AB15" s="226">
        <v>378.21046174153116</v>
      </c>
      <c r="AC15" s="226">
        <v>368.75520019799285</v>
      </c>
      <c r="AD15" s="226">
        <v>360.65069030353146</v>
      </c>
      <c r="AE15" s="226"/>
      <c r="AG15" s="240" t="s">
        <v>413</v>
      </c>
      <c r="AH15" s="28"/>
      <c r="AI15" s="28"/>
      <c r="AJ15" s="28"/>
      <c r="AK15" s="28"/>
      <c r="AL15" s="28"/>
      <c r="AO15" s="394"/>
    </row>
    <row r="16" spans="3:41" x14ac:dyDescent="0.2">
      <c r="C16" s="28" t="s">
        <v>403</v>
      </c>
      <c r="D16" s="28" t="s">
        <v>404</v>
      </c>
      <c r="E16" s="28" t="s">
        <v>337</v>
      </c>
      <c r="F16" s="227" t="s">
        <v>333</v>
      </c>
      <c r="G16" s="227">
        <v>2015</v>
      </c>
      <c r="H16" s="237">
        <v>18.3</v>
      </c>
      <c r="I16" s="227">
        <v>14</v>
      </c>
      <c r="J16" s="391">
        <v>0.49901324765658606</v>
      </c>
      <c r="K16" s="391">
        <v>0.53222208748174837</v>
      </c>
      <c r="L16" s="391">
        <v>0.54277469700956238</v>
      </c>
      <c r="M16" s="391">
        <v>0.5654061225915834</v>
      </c>
      <c r="N16" s="391">
        <v>0.58994448145214928</v>
      </c>
      <c r="O16" s="391"/>
      <c r="Q16" s="240" t="s">
        <v>403</v>
      </c>
      <c r="R16" s="226">
        <v>19568.173276465721</v>
      </c>
      <c r="S16" s="226">
        <v>19568.173276465721</v>
      </c>
      <c r="T16" s="226">
        <v>19761.085369405693</v>
      </c>
      <c r="U16" s="226">
        <v>19761.085369405693</v>
      </c>
      <c r="V16" s="226">
        <v>19761.085369405693</v>
      </c>
      <c r="W16" s="28"/>
      <c r="Y16" s="240" t="s">
        <v>403</v>
      </c>
      <c r="Z16" s="226">
        <v>499.77811015845185</v>
      </c>
      <c r="AA16" s="226">
        <v>495.72585521122119</v>
      </c>
      <c r="AB16" s="226">
        <v>486.27059366768287</v>
      </c>
      <c r="AC16" s="226">
        <v>472.76307717691395</v>
      </c>
      <c r="AD16" s="226">
        <v>459.25556068614497</v>
      </c>
      <c r="AE16" s="226"/>
      <c r="AG16" s="240" t="s">
        <v>403</v>
      </c>
      <c r="AH16" s="28"/>
      <c r="AI16" s="28"/>
      <c r="AJ16" s="28"/>
      <c r="AK16" s="28"/>
      <c r="AL16" s="28"/>
      <c r="AO16" s="394"/>
    </row>
    <row r="17" spans="3:41" x14ac:dyDescent="0.2">
      <c r="C17" s="28" t="s">
        <v>405</v>
      </c>
      <c r="D17" s="28" t="s">
        <v>406</v>
      </c>
      <c r="E17" s="28" t="s">
        <v>338</v>
      </c>
      <c r="F17" s="227" t="s">
        <v>333</v>
      </c>
      <c r="G17" s="227">
        <v>2015</v>
      </c>
      <c r="H17" s="237">
        <v>18.3</v>
      </c>
      <c r="I17" s="227">
        <v>14</v>
      </c>
      <c r="J17" s="391">
        <v>0.48040167312842313</v>
      </c>
      <c r="K17" s="391">
        <v>0.5193732847829865</v>
      </c>
      <c r="L17" s="391">
        <v>0.52814477389999437</v>
      </c>
      <c r="M17" s="391">
        <v>0.54947603459548355</v>
      </c>
      <c r="N17" s="391">
        <v>0.57252527125716013</v>
      </c>
      <c r="O17" s="391"/>
      <c r="Q17" s="240" t="s">
        <v>405</v>
      </c>
      <c r="R17" s="226">
        <v>20017.491724800002</v>
      </c>
      <c r="S17" s="226">
        <v>20017.491724800002</v>
      </c>
      <c r="T17" s="226">
        <v>19956.007524741442</v>
      </c>
      <c r="U17" s="226">
        <v>19956.007524741442</v>
      </c>
      <c r="V17" s="226">
        <v>19956.007524741442</v>
      </c>
      <c r="W17" s="28"/>
      <c r="Y17" s="240" t="s">
        <v>405</v>
      </c>
      <c r="Z17" s="226">
        <v>524.7670156663745</v>
      </c>
      <c r="AA17" s="226">
        <v>520.51214797178227</v>
      </c>
      <c r="AB17" s="226">
        <v>510.58412335106703</v>
      </c>
      <c r="AC17" s="226">
        <v>496.40123103575962</v>
      </c>
      <c r="AD17" s="226">
        <v>482.21833872045221</v>
      </c>
      <c r="AE17" s="226"/>
      <c r="AG17" s="240" t="s">
        <v>405</v>
      </c>
      <c r="AH17" s="28"/>
      <c r="AI17" s="28"/>
      <c r="AJ17" s="28"/>
      <c r="AK17" s="28"/>
      <c r="AL17" s="28"/>
      <c r="AO17" s="394"/>
    </row>
    <row r="18" spans="3:41" x14ac:dyDescent="0.2">
      <c r="C18" s="28" t="s">
        <v>1324</v>
      </c>
      <c r="D18" s="28" t="s">
        <v>1325</v>
      </c>
      <c r="E18" s="28" t="s">
        <v>338</v>
      </c>
      <c r="F18" s="227" t="s">
        <v>333</v>
      </c>
      <c r="G18" s="227">
        <v>2015</v>
      </c>
      <c r="H18" s="237">
        <v>18.3</v>
      </c>
      <c r="I18" s="227">
        <v>14</v>
      </c>
      <c r="J18" s="391">
        <v>0.5627287238137928</v>
      </c>
      <c r="K18" s="391">
        <v>0.62197349590132467</v>
      </c>
      <c r="L18" s="391">
        <v>0.6527214121324697</v>
      </c>
      <c r="M18" s="391">
        <v>0.70081958459155491</v>
      </c>
      <c r="N18" s="391">
        <v>0.75358932370323639</v>
      </c>
      <c r="O18" s="391"/>
      <c r="Q18" s="240" t="s">
        <v>1324</v>
      </c>
      <c r="R18" s="226">
        <v>21588.269030400003</v>
      </c>
      <c r="S18" s="226">
        <v>21588.269030400003</v>
      </c>
      <c r="T18" s="226">
        <v>21278.600222438403</v>
      </c>
      <c r="U18" s="226">
        <v>21278.600222438403</v>
      </c>
      <c r="V18" s="226">
        <v>21278.600222438403</v>
      </c>
      <c r="W18" s="28"/>
      <c r="Y18" s="240" t="s">
        <v>1324</v>
      </c>
      <c r="Z18" s="226">
        <v>565.94560738348514</v>
      </c>
      <c r="AA18" s="226">
        <v>561.35685921551089</v>
      </c>
      <c r="AB18" s="226">
        <v>544.42329845996073</v>
      </c>
      <c r="AC18" s="226">
        <v>529.30042905829521</v>
      </c>
      <c r="AD18" s="226">
        <v>514.17755965662957</v>
      </c>
      <c r="AE18" s="226"/>
      <c r="AG18" s="240" t="s">
        <v>1324</v>
      </c>
      <c r="AH18" s="28"/>
      <c r="AI18" s="28"/>
      <c r="AJ18" s="28"/>
      <c r="AK18" s="28"/>
      <c r="AL18" s="28"/>
      <c r="AO18" s="394"/>
    </row>
    <row r="19" spans="3:41" x14ac:dyDescent="0.2">
      <c r="C19" s="28" t="s">
        <v>407</v>
      </c>
      <c r="D19" s="28" t="s">
        <v>408</v>
      </c>
      <c r="E19" s="28" t="s">
        <v>340</v>
      </c>
      <c r="F19" s="227" t="s">
        <v>333</v>
      </c>
      <c r="G19" s="227">
        <v>2015</v>
      </c>
      <c r="H19" s="237">
        <v>18.3</v>
      </c>
      <c r="I19" s="227">
        <v>14</v>
      </c>
      <c r="J19" s="391">
        <v>0.49186572280739532</v>
      </c>
      <c r="K19" s="391">
        <v>0.52632621058127771</v>
      </c>
      <c r="L19" s="391">
        <v>0.53843393183575994</v>
      </c>
      <c r="M19" s="391">
        <v>0.55958429539349963</v>
      </c>
      <c r="N19" s="391">
        <v>0.58016096164598441</v>
      </c>
      <c r="O19" s="391"/>
      <c r="Q19" s="240" t="s">
        <v>407</v>
      </c>
      <c r="R19" s="226">
        <v>18332.934336000006</v>
      </c>
      <c r="S19" s="226">
        <v>18332.934336000006</v>
      </c>
      <c r="T19" s="226">
        <v>18120.489112383777</v>
      </c>
      <c r="U19" s="226">
        <v>18120.489112383777</v>
      </c>
      <c r="V19" s="226">
        <v>18120.489112383777</v>
      </c>
      <c r="W19" s="28"/>
      <c r="Y19" s="240" t="s">
        <v>407</v>
      </c>
      <c r="Z19" s="226">
        <v>517.33788159645155</v>
      </c>
      <c r="AA19" s="226">
        <v>513.28562664922083</v>
      </c>
      <c r="AB19" s="226">
        <v>503.83036510568257</v>
      </c>
      <c r="AC19" s="226">
        <v>495.72585521122119</v>
      </c>
      <c r="AD19" s="226">
        <v>486.27059366768287</v>
      </c>
      <c r="AE19" s="226"/>
      <c r="AG19" s="240" t="s">
        <v>407</v>
      </c>
      <c r="AH19" s="28"/>
      <c r="AI19" s="28"/>
      <c r="AJ19" s="28"/>
      <c r="AK19" s="28"/>
      <c r="AL19" s="28"/>
      <c r="AO19" s="394"/>
    </row>
    <row r="20" spans="3:41" x14ac:dyDescent="0.2">
      <c r="C20" s="28" t="s">
        <v>409</v>
      </c>
      <c r="D20" s="28" t="s">
        <v>410</v>
      </c>
      <c r="E20" s="28" t="s">
        <v>339</v>
      </c>
      <c r="F20" s="227" t="s">
        <v>333</v>
      </c>
      <c r="G20" s="227">
        <v>2025</v>
      </c>
      <c r="H20" s="237">
        <v>18.3</v>
      </c>
      <c r="I20" s="227">
        <v>14</v>
      </c>
      <c r="J20" s="391">
        <v>0.52795536069920812</v>
      </c>
      <c r="K20" s="391">
        <v>0.54140483182905119</v>
      </c>
      <c r="L20" s="391">
        <v>0.57243471222583509</v>
      </c>
      <c r="M20" s="391">
        <v>0.60524302719495437</v>
      </c>
      <c r="N20" s="391">
        <v>0.63993170520507558</v>
      </c>
      <c r="O20" s="391"/>
      <c r="Q20" s="240" t="s">
        <v>409</v>
      </c>
      <c r="R20" s="226">
        <v>20377.976802500001</v>
      </c>
      <c r="S20" s="226">
        <v>20377.976802500001</v>
      </c>
      <c r="T20" s="226">
        <v>20164.155220834382</v>
      </c>
      <c r="U20" s="226">
        <v>20164.155220834382</v>
      </c>
      <c r="V20" s="226">
        <v>20164.155220834382</v>
      </c>
      <c r="W20" s="28"/>
      <c r="Y20" s="240" t="s">
        <v>409</v>
      </c>
      <c r="Z20" s="226">
        <v>551.7795116836063</v>
      </c>
      <c r="AA20" s="226">
        <v>547.45747895501404</v>
      </c>
      <c r="AB20" s="226">
        <v>526.54329614843596</v>
      </c>
      <c r="AC20" s="226">
        <v>518.07343079484178</v>
      </c>
      <c r="AD20" s="226">
        <v>508.19192121564879</v>
      </c>
      <c r="AE20" s="226"/>
      <c r="AG20" s="240" t="s">
        <v>409</v>
      </c>
      <c r="AH20" s="28"/>
      <c r="AI20" s="28"/>
      <c r="AJ20" s="28"/>
      <c r="AK20" s="28"/>
      <c r="AL20" s="28"/>
      <c r="AO20" s="394"/>
    </row>
    <row r="21" spans="3:41" x14ac:dyDescent="0.2">
      <c r="C21" s="28" t="s">
        <v>411</v>
      </c>
      <c r="D21" s="28" t="s">
        <v>412</v>
      </c>
      <c r="E21" s="28" t="s">
        <v>339</v>
      </c>
      <c r="F21" s="227" t="s">
        <v>333</v>
      </c>
      <c r="G21" s="227">
        <v>2030</v>
      </c>
      <c r="H21" s="237">
        <v>19.3</v>
      </c>
      <c r="I21" s="227">
        <v>14</v>
      </c>
      <c r="J21" s="391">
        <v>0.68980182104713961</v>
      </c>
      <c r="K21" s="391">
        <v>0.76644876779593574</v>
      </c>
      <c r="L21" s="391">
        <v>0.86331039961421252</v>
      </c>
      <c r="M21" s="391">
        <v>0.97241313102538263</v>
      </c>
      <c r="N21" s="391">
        <v>1.0953039576367438</v>
      </c>
      <c r="O21" s="391">
        <v>1.1629640847593654</v>
      </c>
      <c r="Q21" s="240" t="s">
        <v>411</v>
      </c>
      <c r="R21" s="226">
        <v>33604</v>
      </c>
      <c r="S21" s="226">
        <v>28436.475855490717</v>
      </c>
      <c r="T21" s="226">
        <v>25613.07331492216</v>
      </c>
      <c r="U21" s="226">
        <v>24184.175850202315</v>
      </c>
      <c r="V21" s="226">
        <v>22990.090813696643</v>
      </c>
      <c r="W21" s="28"/>
      <c r="Y21" s="240" t="s">
        <v>411</v>
      </c>
      <c r="Z21" s="226">
        <v>481.44949219903748</v>
      </c>
      <c r="AA21" s="226">
        <v>471.00289569108782</v>
      </c>
      <c r="AB21" s="226">
        <v>446.25573740088515</v>
      </c>
      <c r="AC21" s="226">
        <v>437.0838268456211</v>
      </c>
      <c r="AD21" s="226">
        <v>428.11186294367224</v>
      </c>
      <c r="AE21" s="226"/>
      <c r="AG21" s="240" t="s">
        <v>411</v>
      </c>
      <c r="AH21" s="28"/>
      <c r="AI21" s="28"/>
      <c r="AJ21" s="28"/>
      <c r="AK21" s="28"/>
      <c r="AL21" s="28"/>
      <c r="AO21" s="394"/>
    </row>
    <row r="22" spans="3:41" x14ac:dyDescent="0.2">
      <c r="C22" s="90" t="s">
        <v>330</v>
      </c>
      <c r="D22" s="91" t="s">
        <v>415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31"/>
      <c r="Q22" s="411" t="s">
        <v>330</v>
      </c>
      <c r="R22" s="92"/>
      <c r="S22" s="92"/>
      <c r="T22" s="92"/>
      <c r="U22" s="92"/>
      <c r="V22" s="92"/>
      <c r="W22" s="92"/>
      <c r="X22" s="31"/>
      <c r="Y22" s="411" t="s">
        <v>330</v>
      </c>
      <c r="Z22" s="92"/>
      <c r="AA22" s="92"/>
      <c r="AB22" s="92"/>
      <c r="AC22" s="92"/>
      <c r="AD22" s="92"/>
      <c r="AE22" s="92"/>
      <c r="AF22" s="31"/>
      <c r="AG22" s="411" t="s">
        <v>330</v>
      </c>
      <c r="AH22" s="90"/>
      <c r="AI22" s="92"/>
      <c r="AJ22" s="92"/>
      <c r="AK22" s="92"/>
      <c r="AL22" s="92"/>
      <c r="AO22" s="393"/>
    </row>
    <row r="23" spans="3:41" x14ac:dyDescent="0.2">
      <c r="C23" s="28" t="s">
        <v>416</v>
      </c>
      <c r="D23" s="28" t="s">
        <v>417</v>
      </c>
      <c r="E23" s="28" t="s">
        <v>332</v>
      </c>
      <c r="F23" s="227" t="s">
        <v>341</v>
      </c>
      <c r="G23" s="227">
        <v>2015</v>
      </c>
      <c r="H23" s="237">
        <v>17.5</v>
      </c>
      <c r="I23" s="227">
        <v>14</v>
      </c>
      <c r="J23" s="391">
        <v>0.36526472468481702</v>
      </c>
      <c r="K23" s="391">
        <v>0.38263843757784644</v>
      </c>
      <c r="L23" s="391">
        <v>0.39905834161231929</v>
      </c>
      <c r="M23" s="391">
        <v>0.41618286178037561</v>
      </c>
      <c r="N23" s="391">
        <v>0.43404223478958814</v>
      </c>
      <c r="O23" s="28"/>
      <c r="Q23" s="240" t="s">
        <v>416</v>
      </c>
      <c r="R23" s="226">
        <v>18100.849504808222</v>
      </c>
      <c r="S23" s="226">
        <v>18100.849504808222</v>
      </c>
      <c r="T23" s="226">
        <v>18099.57952085515</v>
      </c>
      <c r="U23" s="226">
        <v>18099.57952085515</v>
      </c>
      <c r="V23" s="226">
        <v>18099.57952085515</v>
      </c>
      <c r="W23" s="28"/>
      <c r="Y23" s="240" t="s">
        <v>416</v>
      </c>
      <c r="Z23" s="226">
        <v>528.76943608544036</v>
      </c>
      <c r="AA23" s="226">
        <v>524.48211633339611</v>
      </c>
      <c r="AB23" s="226">
        <v>508.21874011084554</v>
      </c>
      <c r="AC23" s="226">
        <v>494.10155288554432</v>
      </c>
      <c r="AD23" s="226">
        <v>479.98436566024299</v>
      </c>
      <c r="AE23" s="28"/>
      <c r="AG23" s="240" t="s">
        <v>416</v>
      </c>
      <c r="AH23" s="28"/>
      <c r="AI23" s="28"/>
      <c r="AJ23" s="28"/>
      <c r="AK23" s="28"/>
      <c r="AL23" s="28"/>
      <c r="AO23" s="394"/>
    </row>
    <row r="24" spans="3:41" x14ac:dyDescent="0.2">
      <c r="C24" s="28" t="s">
        <v>422</v>
      </c>
      <c r="D24" s="28" t="s">
        <v>423</v>
      </c>
      <c r="E24" s="28" t="s">
        <v>336</v>
      </c>
      <c r="F24" s="227" t="s">
        <v>341</v>
      </c>
      <c r="G24" s="227">
        <v>2015</v>
      </c>
      <c r="H24" s="227">
        <v>19</v>
      </c>
      <c r="I24" s="227">
        <v>14</v>
      </c>
      <c r="J24" s="391">
        <v>0.40671174650730491</v>
      </c>
      <c r="K24" s="391">
        <v>0.42550535991368643</v>
      </c>
      <c r="L24" s="391">
        <v>0.4435554227446516</v>
      </c>
      <c r="M24" s="391">
        <v>0.46237117413511447</v>
      </c>
      <c r="N24" s="391">
        <v>0.48198509478323109</v>
      </c>
      <c r="O24" s="28"/>
      <c r="Q24" s="240" t="s">
        <v>422</v>
      </c>
      <c r="R24" s="226">
        <v>20210.543669812341</v>
      </c>
      <c r="S24" s="226">
        <v>20210.543669812341</v>
      </c>
      <c r="T24" s="226">
        <v>20197.247948245706</v>
      </c>
      <c r="U24" s="226">
        <v>20197.247948245706</v>
      </c>
      <c r="V24" s="226">
        <v>20197.247948245706</v>
      </c>
      <c r="W24" s="28"/>
      <c r="Y24" s="240" t="s">
        <v>422</v>
      </c>
      <c r="Z24" s="226">
        <v>547.16899799487612</v>
      </c>
      <c r="AA24" s="226">
        <v>542.88307895052981</v>
      </c>
      <c r="AB24" s="226">
        <v>527.34714378999934</v>
      </c>
      <c r="AC24" s="226">
        <v>518.86434791133979</v>
      </c>
      <c r="AD24" s="226">
        <v>508.9677527195704</v>
      </c>
      <c r="AE24" s="28"/>
      <c r="AG24" s="240" t="s">
        <v>422</v>
      </c>
      <c r="AH24" s="28"/>
      <c r="AI24" s="28"/>
      <c r="AJ24" s="28"/>
      <c r="AK24" s="28"/>
      <c r="AL24" s="28"/>
      <c r="AO24" s="394"/>
    </row>
    <row r="25" spans="3:41" x14ac:dyDescent="0.2">
      <c r="C25" s="28" t="s">
        <v>418</v>
      </c>
      <c r="D25" s="28" t="s">
        <v>419</v>
      </c>
      <c r="E25" s="28" t="s">
        <v>332</v>
      </c>
      <c r="F25" s="227" t="s">
        <v>341</v>
      </c>
      <c r="G25" s="227">
        <v>2015</v>
      </c>
      <c r="H25" s="237">
        <v>17.5</v>
      </c>
      <c r="I25" s="227">
        <v>14</v>
      </c>
      <c r="J25" s="391">
        <v>0.45171965992603874</v>
      </c>
      <c r="K25" s="391">
        <v>0.4739693250700589</v>
      </c>
      <c r="L25" s="391">
        <v>0.51715016377494905</v>
      </c>
      <c r="M25" s="391">
        <v>0.56426498028863659</v>
      </c>
      <c r="N25" s="391">
        <v>0.61567217851576728</v>
      </c>
      <c r="O25" s="28"/>
      <c r="Q25" s="240" t="s">
        <v>418</v>
      </c>
      <c r="R25" s="226">
        <v>21283.973919784607</v>
      </c>
      <c r="S25" s="226">
        <v>20394.168758791227</v>
      </c>
      <c r="T25" s="226">
        <v>19575.963903652839</v>
      </c>
      <c r="U25" s="226">
        <v>19325.889417635564</v>
      </c>
      <c r="V25" s="226">
        <v>19183.39513234713</v>
      </c>
      <c r="W25" s="28"/>
      <c r="Y25" s="240" t="s">
        <v>418</v>
      </c>
      <c r="Z25" s="226">
        <v>512.78628906849156</v>
      </c>
      <c r="AA25" s="226">
        <v>508.18155829144939</v>
      </c>
      <c r="AB25" s="226">
        <v>498.06866472128843</v>
      </c>
      <c r="AC25" s="226">
        <v>484.10526433541946</v>
      </c>
      <c r="AD25" s="226">
        <v>470.20203791216835</v>
      </c>
      <c r="AE25" s="28"/>
      <c r="AG25" s="240" t="s">
        <v>418</v>
      </c>
      <c r="AH25" s="28"/>
      <c r="AI25" s="28"/>
      <c r="AJ25" s="28"/>
      <c r="AK25" s="28"/>
      <c r="AL25" s="28"/>
      <c r="AO25" s="394"/>
    </row>
    <row r="26" spans="3:41" x14ac:dyDescent="0.2">
      <c r="C26" s="28" t="s">
        <v>424</v>
      </c>
      <c r="D26" s="28" t="s">
        <v>425</v>
      </c>
      <c r="E26" s="28" t="s">
        <v>336</v>
      </c>
      <c r="F26" s="227" t="s">
        <v>341</v>
      </c>
      <c r="G26" s="227">
        <v>2015</v>
      </c>
      <c r="H26" s="227">
        <v>19</v>
      </c>
      <c r="I26" s="227">
        <v>14</v>
      </c>
      <c r="J26" s="391">
        <v>0.50551988305131001</v>
      </c>
      <c r="K26" s="391">
        <v>0.53042268317262076</v>
      </c>
      <c r="L26" s="391">
        <v>0.57875362739906866</v>
      </c>
      <c r="M26" s="391">
        <v>0.63148838057889589</v>
      </c>
      <c r="N26" s="391">
        <v>0.6890282080615997</v>
      </c>
      <c r="O26" s="28"/>
      <c r="Q26" s="240" t="s">
        <v>424</v>
      </c>
      <c r="R26" s="226">
        <v>22472.596647572598</v>
      </c>
      <c r="S26" s="226">
        <v>21429.427765707402</v>
      </c>
      <c r="T26" s="226">
        <v>21020.68256933894</v>
      </c>
      <c r="U26" s="226">
        <v>20760.336712914916</v>
      </c>
      <c r="V26" s="226">
        <v>20612.155883925094</v>
      </c>
      <c r="W26" s="28"/>
      <c r="Y26" s="240" t="s">
        <v>424</v>
      </c>
      <c r="Z26" s="226">
        <v>531.35483985674909</v>
      </c>
      <c r="AA26" s="226">
        <v>526.70426512505787</v>
      </c>
      <c r="AB26" s="226">
        <v>516.80163024678757</v>
      </c>
      <c r="AC26" s="226">
        <v>508.36488006106094</v>
      </c>
      <c r="AD26" s="226">
        <v>498.59887943827277</v>
      </c>
      <c r="AE26" s="28"/>
      <c r="AG26" s="240" t="s">
        <v>424</v>
      </c>
      <c r="AH26" s="28"/>
      <c r="AI26" s="28"/>
      <c r="AJ26" s="28"/>
      <c r="AK26" s="28"/>
      <c r="AL26" s="28"/>
      <c r="AO26" s="394"/>
    </row>
    <row r="27" spans="3:41" x14ac:dyDescent="0.2">
      <c r="C27" s="28" t="s">
        <v>420</v>
      </c>
      <c r="D27" s="28" t="s">
        <v>421</v>
      </c>
      <c r="E27" s="28" t="s">
        <v>332</v>
      </c>
      <c r="F27" s="227" t="s">
        <v>341</v>
      </c>
      <c r="G27" s="227">
        <v>2015</v>
      </c>
      <c r="H27" s="237">
        <v>17.5</v>
      </c>
      <c r="I27" s="227">
        <v>14</v>
      </c>
      <c r="J27" s="391">
        <v>0.71806742510088728</v>
      </c>
      <c r="K27" s="391">
        <v>0.74558274948764469</v>
      </c>
      <c r="L27" s="391">
        <v>0.80360473673147714</v>
      </c>
      <c r="M27" s="391">
        <v>0.86584112677120417</v>
      </c>
      <c r="N27" s="391">
        <v>0.93257842894025433</v>
      </c>
      <c r="O27" s="28"/>
      <c r="Q27" s="240" t="s">
        <v>420</v>
      </c>
      <c r="R27" s="226">
        <v>29047.864584134539</v>
      </c>
      <c r="S27" s="226">
        <v>21211.673129559058</v>
      </c>
      <c r="T27" s="226">
        <v>20355.747732681575</v>
      </c>
      <c r="U27" s="226">
        <v>19938.745965435788</v>
      </c>
      <c r="V27" s="226">
        <v>19520.963654214131</v>
      </c>
      <c r="W27" s="28"/>
      <c r="Y27" s="240" t="s">
        <v>420</v>
      </c>
      <c r="Z27" s="226">
        <v>432.39140448931988</v>
      </c>
      <c r="AA27" s="226">
        <v>425.4442228813175</v>
      </c>
      <c r="AB27" s="226">
        <v>415.39114122599426</v>
      </c>
      <c r="AC27" s="226">
        <v>405.52583186299745</v>
      </c>
      <c r="AD27" s="226">
        <v>397.04840772764578</v>
      </c>
      <c r="AE27" s="28"/>
      <c r="AG27" s="240" t="s">
        <v>420</v>
      </c>
      <c r="AH27" s="28" t="s">
        <v>392</v>
      </c>
      <c r="AI27" s="28">
        <v>0.3</v>
      </c>
      <c r="AJ27" s="28">
        <v>0.4</v>
      </c>
      <c r="AK27" s="28">
        <v>0.5</v>
      </c>
      <c r="AL27" s="28">
        <v>0.6</v>
      </c>
      <c r="AO27" s="394"/>
    </row>
    <row r="28" spans="3:41" x14ac:dyDescent="0.2">
      <c r="C28" s="28" t="s">
        <v>426</v>
      </c>
      <c r="D28" s="28" t="s">
        <v>427</v>
      </c>
      <c r="E28" s="28" t="s">
        <v>336</v>
      </c>
      <c r="F28" s="227" t="s">
        <v>341</v>
      </c>
      <c r="G28" s="227">
        <v>2015</v>
      </c>
      <c r="H28" s="227">
        <v>19</v>
      </c>
      <c r="I28" s="227">
        <v>14</v>
      </c>
      <c r="J28" s="391">
        <v>0.75369934252859538</v>
      </c>
      <c r="K28" s="391">
        <v>0.78586996066882198</v>
      </c>
      <c r="L28" s="391">
        <v>0.84985444135995591</v>
      </c>
      <c r="M28" s="391">
        <v>0.91881393904024578</v>
      </c>
      <c r="N28" s="391">
        <v>0.99311738278787742</v>
      </c>
      <c r="O28" s="28"/>
      <c r="Q28" s="240" t="s">
        <v>426</v>
      </c>
      <c r="R28" s="226">
        <v>30715.804707420182</v>
      </c>
      <c r="S28" s="226">
        <v>22461.516444915866</v>
      </c>
      <c r="T28" s="226">
        <v>21651.695820042503</v>
      </c>
      <c r="U28" s="226">
        <v>21255.46839963071</v>
      </c>
      <c r="V28" s="226">
        <v>20847.436903237813</v>
      </c>
      <c r="W28" s="28"/>
      <c r="Y28" s="240" t="s">
        <v>426</v>
      </c>
      <c r="Z28" s="226">
        <v>442.62825183791591</v>
      </c>
      <c r="AA28" s="226">
        <v>434.25833497158789</v>
      </c>
      <c r="AB28" s="226">
        <v>425.615932184119</v>
      </c>
      <c r="AC28" s="226">
        <v>418.53055164000421</v>
      </c>
      <c r="AD28" s="226">
        <v>411.44020834536502</v>
      </c>
      <c r="AE28" s="28"/>
      <c r="AG28" s="240" t="s">
        <v>426</v>
      </c>
      <c r="AH28" s="28" t="s">
        <v>392</v>
      </c>
      <c r="AI28" s="28">
        <v>0.3</v>
      </c>
      <c r="AJ28" s="28">
        <v>0.4</v>
      </c>
      <c r="AK28" s="28">
        <v>0.5</v>
      </c>
      <c r="AL28" s="28">
        <v>0.6</v>
      </c>
      <c r="AO28" s="394"/>
    </row>
    <row r="29" spans="3:41" x14ac:dyDescent="0.2">
      <c r="C29" s="28" t="s">
        <v>428</v>
      </c>
      <c r="D29" s="28" t="s">
        <v>429</v>
      </c>
      <c r="E29" s="28" t="s">
        <v>392</v>
      </c>
      <c r="F29" s="227" t="s">
        <v>341</v>
      </c>
      <c r="G29" s="227">
        <v>2015</v>
      </c>
      <c r="H29" s="237">
        <v>18</v>
      </c>
      <c r="I29" s="227">
        <v>14</v>
      </c>
      <c r="J29" s="391">
        <v>1.3642614741792327</v>
      </c>
      <c r="K29" s="391">
        <v>1.4360647096623502</v>
      </c>
      <c r="L29" s="391">
        <v>1.5106532120051017</v>
      </c>
      <c r="M29" s="391">
        <v>1.589115804870588</v>
      </c>
      <c r="N29" s="391">
        <v>1.6716537066357224</v>
      </c>
      <c r="O29" s="391">
        <v>1.7749166424695446</v>
      </c>
      <c r="Q29" s="240" t="s">
        <v>428</v>
      </c>
      <c r="R29" s="226">
        <v>35040.723240110674</v>
      </c>
      <c r="S29" s="226">
        <v>27329.311451288231</v>
      </c>
      <c r="T29" s="226">
        <v>23763.548968310337</v>
      </c>
      <c r="U29" s="226">
        <v>21854.645362670613</v>
      </c>
      <c r="V29" s="226">
        <v>20767.199870180328</v>
      </c>
      <c r="W29" s="28"/>
      <c r="Y29" s="240" t="s">
        <v>428</v>
      </c>
      <c r="Z29" s="226">
        <v>350.05191740398726</v>
      </c>
      <c r="AA29" s="226">
        <v>343.4114877041323</v>
      </c>
      <c r="AB29" s="226">
        <v>333.20419493619306</v>
      </c>
      <c r="AC29" s="226">
        <v>328.73988311692739</v>
      </c>
      <c r="AD29" s="226">
        <v>322.92284983081572</v>
      </c>
      <c r="AE29" s="28"/>
      <c r="AG29" s="240" t="s">
        <v>428</v>
      </c>
      <c r="AH29" s="28"/>
      <c r="AI29" s="28"/>
      <c r="AJ29" s="28"/>
      <c r="AK29" s="28"/>
      <c r="AL29" s="28"/>
      <c r="AO29" s="394"/>
    </row>
    <row r="30" spans="3:41" x14ac:dyDescent="0.2">
      <c r="C30" s="28" t="s">
        <v>440</v>
      </c>
      <c r="D30" s="28" t="s">
        <v>441</v>
      </c>
      <c r="E30" s="28" t="s">
        <v>998</v>
      </c>
      <c r="F30" s="227" t="s">
        <v>341</v>
      </c>
      <c r="G30" s="227">
        <v>2020</v>
      </c>
      <c r="H30" s="227">
        <v>19</v>
      </c>
      <c r="I30" s="227">
        <v>14</v>
      </c>
      <c r="J30" s="391">
        <v>0.67297738638745341</v>
      </c>
      <c r="K30" s="391">
        <v>0.7477548954106692</v>
      </c>
      <c r="L30" s="391">
        <v>0.84225404840410989</v>
      </c>
      <c r="M30" s="391">
        <v>0.94869573758573922</v>
      </c>
      <c r="N30" s="391">
        <v>1.0685892269626771</v>
      </c>
      <c r="O30" s="391">
        <v>1.134599107082308</v>
      </c>
      <c r="Q30" s="240" t="s">
        <v>440</v>
      </c>
      <c r="R30" s="226">
        <v>34769.470876521664</v>
      </c>
      <c r="S30" s="226">
        <v>29324.632258856425</v>
      </c>
      <c r="T30" s="226">
        <v>26357.863984162213</v>
      </c>
      <c r="U30" s="226">
        <v>24858.85974080268</v>
      </c>
      <c r="V30" s="226">
        <v>23607.542846807137</v>
      </c>
      <c r="W30" s="28"/>
      <c r="Y30" s="240" t="s">
        <v>440</v>
      </c>
      <c r="Z30" s="226">
        <v>435.39491873506466</v>
      </c>
      <c r="AA30" s="226">
        <v>418.52499775604713</v>
      </c>
      <c r="AB30" s="226">
        <v>389.76647704392389</v>
      </c>
      <c r="AC30" s="226">
        <v>379.56447737013951</v>
      </c>
      <c r="AD30" s="226">
        <v>370.8278750973555</v>
      </c>
      <c r="AE30" s="28"/>
      <c r="AG30" s="240" t="s">
        <v>440</v>
      </c>
      <c r="AH30" s="28"/>
      <c r="AI30" s="28"/>
      <c r="AJ30" s="28"/>
      <c r="AK30" s="28"/>
      <c r="AL30" s="28"/>
      <c r="AO30" s="394"/>
    </row>
    <row r="31" spans="3:41" x14ac:dyDescent="0.2">
      <c r="C31" s="28" t="s">
        <v>430</v>
      </c>
      <c r="D31" s="28" t="s">
        <v>431</v>
      </c>
      <c r="E31" s="28" t="s">
        <v>337</v>
      </c>
      <c r="F31" s="227" t="s">
        <v>341</v>
      </c>
      <c r="G31" s="227">
        <v>2015</v>
      </c>
      <c r="H31" s="237">
        <v>19</v>
      </c>
      <c r="I31" s="227">
        <v>14</v>
      </c>
      <c r="J31" s="391">
        <v>0.39921059812526888</v>
      </c>
      <c r="K31" s="391">
        <v>0.42577766998539873</v>
      </c>
      <c r="L31" s="391">
        <v>0.43421975760764991</v>
      </c>
      <c r="M31" s="391">
        <v>0.45232489807326676</v>
      </c>
      <c r="N31" s="391">
        <v>0.47195558516171943</v>
      </c>
      <c r="O31" s="28"/>
      <c r="Q31" s="240" t="s">
        <v>430</v>
      </c>
      <c r="R31" s="226">
        <v>23033.419510025524</v>
      </c>
      <c r="S31" s="226">
        <v>22031.966487850503</v>
      </c>
      <c r="T31" s="226">
        <v>20736.247208525678</v>
      </c>
      <c r="U31" s="226">
        <v>20230.485081488467</v>
      </c>
      <c r="V31" s="226">
        <v>20230.485081488467</v>
      </c>
      <c r="W31" s="28"/>
      <c r="Y31" s="240" t="s">
        <v>430</v>
      </c>
      <c r="Z31" s="226">
        <v>512.14511760912615</v>
      </c>
      <c r="AA31" s="226">
        <v>507.99258962851167</v>
      </c>
      <c r="AB31" s="226">
        <v>498.40602565338423</v>
      </c>
      <c r="AC31" s="226">
        <v>484.56141382967917</v>
      </c>
      <c r="AD31" s="226">
        <v>470.71680200597405</v>
      </c>
      <c r="AE31" s="28"/>
      <c r="AG31" s="240" t="s">
        <v>430</v>
      </c>
      <c r="AH31" s="28"/>
      <c r="AI31" s="28"/>
      <c r="AJ31" s="28"/>
      <c r="AK31" s="28"/>
      <c r="AL31" s="28"/>
      <c r="AO31" s="394"/>
    </row>
    <row r="32" spans="3:41" x14ac:dyDescent="0.2">
      <c r="C32" s="28" t="s">
        <v>432</v>
      </c>
      <c r="D32" s="28" t="s">
        <v>433</v>
      </c>
      <c r="E32" s="28" t="s">
        <v>338</v>
      </c>
      <c r="F32" s="227" t="s">
        <v>341</v>
      </c>
      <c r="G32" s="227">
        <v>2015</v>
      </c>
      <c r="H32" s="227">
        <v>19</v>
      </c>
      <c r="I32" s="227">
        <v>14</v>
      </c>
      <c r="J32" s="391">
        <v>0.38432133850273853</v>
      </c>
      <c r="K32" s="391">
        <v>0.41549862782638924</v>
      </c>
      <c r="L32" s="391">
        <v>0.42251581911999553</v>
      </c>
      <c r="M32" s="391">
        <v>0.43958082767638684</v>
      </c>
      <c r="N32" s="391">
        <v>0.45802021700572815</v>
      </c>
      <c r="O32" s="28"/>
      <c r="Q32" s="240" t="s">
        <v>432</v>
      </c>
      <c r="R32" s="226">
        <v>23573.006568330453</v>
      </c>
      <c r="S32" s="226">
        <v>22548.09323927261</v>
      </c>
      <c r="T32" s="226">
        <v>20944.899636678212</v>
      </c>
      <c r="U32" s="226">
        <v>20434.048426027526</v>
      </c>
      <c r="V32" s="226">
        <v>20434.048426027526</v>
      </c>
      <c r="W32" s="28"/>
      <c r="Y32" s="240" t="s">
        <v>432</v>
      </c>
      <c r="Z32" s="226">
        <v>538.00880424453771</v>
      </c>
      <c r="AA32" s="226">
        <v>533.64657069660905</v>
      </c>
      <c r="AB32" s="226">
        <v>523.43421014941384</v>
      </c>
      <c r="AC32" s="226">
        <v>508.89437097859684</v>
      </c>
      <c r="AD32" s="226">
        <v>494.35453180777978</v>
      </c>
      <c r="AE32" s="28"/>
      <c r="AG32" s="240" t="s">
        <v>432</v>
      </c>
      <c r="AH32" s="28"/>
      <c r="AI32" s="28"/>
      <c r="AJ32" s="28"/>
      <c r="AK32" s="28"/>
      <c r="AL32" s="28"/>
      <c r="AO32" s="394"/>
    </row>
    <row r="33" spans="3:41" x14ac:dyDescent="0.2">
      <c r="C33" s="28" t="s">
        <v>434</v>
      </c>
      <c r="D33" s="28" t="s">
        <v>435</v>
      </c>
      <c r="E33" s="28" t="s">
        <v>340</v>
      </c>
      <c r="F33" s="227" t="s">
        <v>341</v>
      </c>
      <c r="G33" s="227">
        <v>2015</v>
      </c>
      <c r="H33" s="227">
        <v>19</v>
      </c>
      <c r="I33" s="227">
        <v>14</v>
      </c>
      <c r="J33" s="391">
        <v>0.3910332496318793</v>
      </c>
      <c r="K33" s="391">
        <v>0.4184293374121158</v>
      </c>
      <c r="L33" s="391">
        <v>0.42805497580942919</v>
      </c>
      <c r="M33" s="391">
        <v>0.44486951483783221</v>
      </c>
      <c r="N33" s="391">
        <v>0.46122796450855763</v>
      </c>
      <c r="O33" s="28"/>
      <c r="Q33" s="240" t="s">
        <v>434</v>
      </c>
      <c r="R33" s="226">
        <v>21551.313722732273</v>
      </c>
      <c r="S33" s="226">
        <v>20614.300082613481</v>
      </c>
      <c r="T33" s="226">
        <v>18981.759468999822</v>
      </c>
      <c r="U33" s="226">
        <v>18518.789725853487</v>
      </c>
      <c r="V33" s="226">
        <v>18518.789725853487</v>
      </c>
      <c r="W33" s="28"/>
      <c r="Y33" s="240" t="s">
        <v>434</v>
      </c>
      <c r="Z33" s="226">
        <v>529.41397641611718</v>
      </c>
      <c r="AA33" s="226">
        <v>525.26713064784474</v>
      </c>
      <c r="AB33" s="226">
        <v>515.46497002806655</v>
      </c>
      <c r="AC33" s="226">
        <v>507.17330831179743</v>
      </c>
      <c r="AD33" s="226">
        <v>497.49970297614999</v>
      </c>
      <c r="AE33" s="28"/>
      <c r="AG33" s="240" t="s">
        <v>434</v>
      </c>
      <c r="AH33" s="28"/>
      <c r="AI33" s="28"/>
      <c r="AJ33" s="28"/>
      <c r="AK33" s="28"/>
      <c r="AL33" s="28"/>
      <c r="AO33" s="394"/>
    </row>
    <row r="34" spans="3:41" x14ac:dyDescent="0.2">
      <c r="C34" s="28" t="s">
        <v>436</v>
      </c>
      <c r="D34" s="28" t="s">
        <v>437</v>
      </c>
      <c r="E34" s="28" t="s">
        <v>339</v>
      </c>
      <c r="F34" s="227" t="s">
        <v>341</v>
      </c>
      <c r="G34" s="227">
        <v>2025</v>
      </c>
      <c r="H34" s="227">
        <v>19</v>
      </c>
      <c r="I34" s="227">
        <v>14</v>
      </c>
      <c r="J34" s="391">
        <v>0.42236428855936653</v>
      </c>
      <c r="K34" s="391">
        <v>0.433123865463241</v>
      </c>
      <c r="L34" s="391">
        <v>0.45794776978066809</v>
      </c>
      <c r="M34" s="391">
        <v>0.4841944217559635</v>
      </c>
      <c r="N34" s="391">
        <v>0.51194536416406045</v>
      </c>
      <c r="O34" s="28"/>
      <c r="Q34" s="240" t="s">
        <v>436</v>
      </c>
      <c r="R34" s="226">
        <v>24006.088963571707</v>
      </c>
      <c r="S34" s="226">
        <v>22962.345965155549</v>
      </c>
      <c r="T34" s="226">
        <v>21167.754208017399</v>
      </c>
      <c r="U34" s="226">
        <v>20651.467520016977</v>
      </c>
      <c r="V34" s="226">
        <v>20651.467520016977</v>
      </c>
      <c r="W34" s="28"/>
      <c r="Y34" s="240" t="s">
        <v>436</v>
      </c>
      <c r="Z34" s="226">
        <v>565.91499715248278</v>
      </c>
      <c r="AA34" s="226">
        <v>561.48224260559653</v>
      </c>
      <c r="AB34" s="226">
        <v>539.91266968060461</v>
      </c>
      <c r="AC34" s="226">
        <v>531.22774738011231</v>
      </c>
      <c r="AD34" s="226">
        <v>521.09533802953808</v>
      </c>
      <c r="AE34" s="28"/>
      <c r="AG34" s="240" t="s">
        <v>436</v>
      </c>
      <c r="AH34" s="28"/>
      <c r="AI34" s="28"/>
      <c r="AJ34" s="28"/>
      <c r="AK34" s="28"/>
      <c r="AL34" s="28"/>
      <c r="AO34" s="394"/>
    </row>
    <row r="35" spans="3:41" x14ac:dyDescent="0.2">
      <c r="C35" s="28" t="s">
        <v>438</v>
      </c>
      <c r="D35" s="28" t="s">
        <v>439</v>
      </c>
      <c r="E35" s="28" t="s">
        <v>339</v>
      </c>
      <c r="F35" s="227" t="s">
        <v>341</v>
      </c>
      <c r="G35" s="227">
        <v>2030</v>
      </c>
      <c r="H35" s="227">
        <v>19</v>
      </c>
      <c r="I35" s="227">
        <v>14</v>
      </c>
      <c r="J35" s="391">
        <v>0.55184145683771169</v>
      </c>
      <c r="K35" s="391">
        <v>0.61315901423674868</v>
      </c>
      <c r="L35" s="391">
        <v>0.69064831969137008</v>
      </c>
      <c r="M35" s="391">
        <v>0.77793050482030612</v>
      </c>
      <c r="N35" s="391">
        <v>0.87624316610939512</v>
      </c>
      <c r="O35" s="391">
        <v>0.93037126780749246</v>
      </c>
      <c r="Q35" s="240" t="s">
        <v>438</v>
      </c>
      <c r="R35" s="226">
        <v>34769.470876521664</v>
      </c>
      <c r="S35" s="226">
        <v>29324.632258856425</v>
      </c>
      <c r="T35" s="226">
        <v>26357.863984162213</v>
      </c>
      <c r="U35" s="226">
        <v>24858.85974080268</v>
      </c>
      <c r="V35" s="226">
        <v>23607.542846807137</v>
      </c>
      <c r="W35" s="28"/>
      <c r="Y35" s="240" t="s">
        <v>438</v>
      </c>
      <c r="Z35" s="226">
        <v>498.9972978304404</v>
      </c>
      <c r="AA35" s="226">
        <v>486.46121339655684</v>
      </c>
      <c r="AB35" s="226">
        <v>459.89083915465278</v>
      </c>
      <c r="AC35" s="226">
        <v>449.89601289560812</v>
      </c>
      <c r="AD35" s="226">
        <v>440.19273138160344</v>
      </c>
      <c r="AE35" s="28"/>
      <c r="AG35" s="240" t="s">
        <v>438</v>
      </c>
      <c r="AH35" s="28"/>
      <c r="AI35" s="28"/>
      <c r="AJ35" s="28"/>
      <c r="AK35" s="28"/>
      <c r="AL35" s="28"/>
      <c r="AO35" s="394"/>
    </row>
    <row r="36" spans="3:41" x14ac:dyDescent="0.2">
      <c r="C36" s="90" t="s">
        <v>330</v>
      </c>
      <c r="D36" s="91" t="s">
        <v>442</v>
      </c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31"/>
      <c r="Q36" s="411" t="s">
        <v>330</v>
      </c>
      <c r="R36" s="92"/>
      <c r="S36" s="92"/>
      <c r="T36" s="92"/>
      <c r="U36" s="92"/>
      <c r="V36" s="92"/>
      <c r="W36" s="92"/>
      <c r="X36" s="31"/>
      <c r="Y36" s="411" t="s">
        <v>330</v>
      </c>
      <c r="Z36" s="92"/>
      <c r="AA36" s="92"/>
      <c r="AB36" s="92"/>
      <c r="AC36" s="92"/>
      <c r="AD36" s="92"/>
      <c r="AE36" s="92"/>
      <c r="AF36" s="31"/>
      <c r="AG36" s="411" t="s">
        <v>330</v>
      </c>
      <c r="AH36" s="90"/>
      <c r="AI36" s="92"/>
      <c r="AJ36" s="92"/>
      <c r="AK36" s="92"/>
      <c r="AL36" s="92"/>
      <c r="AO36" s="393"/>
    </row>
    <row r="37" spans="3:41" x14ac:dyDescent="0.2">
      <c r="C37" s="28" t="s">
        <v>443</v>
      </c>
      <c r="D37" s="28" t="s">
        <v>444</v>
      </c>
      <c r="E37" s="28" t="s">
        <v>336</v>
      </c>
      <c r="F37" s="227" t="s">
        <v>1167</v>
      </c>
      <c r="G37" s="227">
        <v>2015</v>
      </c>
      <c r="H37" s="227">
        <v>40</v>
      </c>
      <c r="I37" s="227">
        <v>15</v>
      </c>
      <c r="J37" s="391">
        <v>8.2219638830785979E-2</v>
      </c>
      <c r="K37" s="391">
        <v>8.8202943732918065E-2</v>
      </c>
      <c r="L37" s="391">
        <v>9.2736835522636937E-2</v>
      </c>
      <c r="M37" s="391">
        <v>9.7503782739883568E-2</v>
      </c>
      <c r="N37" s="391">
        <v>9.9978372110462663E-2</v>
      </c>
      <c r="O37" s="28"/>
      <c r="Q37" s="28" t="s">
        <v>443</v>
      </c>
      <c r="R37" s="226">
        <v>66357.022684343567</v>
      </c>
      <c r="S37" s="226">
        <v>66357.022684343567</v>
      </c>
      <c r="T37" s="226">
        <v>66311.187079980053</v>
      </c>
      <c r="U37" s="226">
        <v>66311.187079980053</v>
      </c>
      <c r="V37" s="226">
        <v>66311.187079980053</v>
      </c>
      <c r="W37" s="28"/>
      <c r="Y37" s="28" t="s">
        <v>443</v>
      </c>
      <c r="Z37" s="226">
        <v>1581.9229489903553</v>
      </c>
      <c r="AA37" s="226">
        <v>1569.5319076144515</v>
      </c>
      <c r="AB37" s="226">
        <v>1524.5710926264401</v>
      </c>
      <c r="AC37" s="226">
        <v>1500.0471608415642</v>
      </c>
      <c r="AD37" s="226">
        <v>1471.4359070925427</v>
      </c>
      <c r="AE37" s="226"/>
      <c r="AG37" s="240" t="s">
        <v>443</v>
      </c>
      <c r="AH37" s="28"/>
      <c r="AI37" s="28"/>
      <c r="AJ37" s="28"/>
      <c r="AK37" s="28"/>
      <c r="AL37" s="28"/>
      <c r="AO37" s="394"/>
    </row>
    <row r="38" spans="3:41" x14ac:dyDescent="0.2">
      <c r="C38" s="28" t="s">
        <v>445</v>
      </c>
      <c r="D38" s="28" t="s">
        <v>446</v>
      </c>
      <c r="E38" s="28" t="s">
        <v>336</v>
      </c>
      <c r="F38" s="227" t="s">
        <v>1167</v>
      </c>
      <c r="G38" s="227">
        <v>2015</v>
      </c>
      <c r="H38" s="227">
        <v>40</v>
      </c>
      <c r="I38" s="227">
        <v>15</v>
      </c>
      <c r="J38" s="391">
        <v>0.10615507681203068</v>
      </c>
      <c r="K38" s="391">
        <v>0.11676324589449173</v>
      </c>
      <c r="L38" s="391">
        <v>0.11904578697628553</v>
      </c>
      <c r="M38" s="391">
        <v>0.12585001585993921</v>
      </c>
      <c r="N38" s="391">
        <v>0.13102187855526309</v>
      </c>
      <c r="O38" s="28"/>
      <c r="Q38" s="28" t="s">
        <v>445</v>
      </c>
      <c r="R38" s="226">
        <v>74226.986726932286</v>
      </c>
      <c r="S38" s="226">
        <v>70781.399910131542</v>
      </c>
      <c r="T38" s="226">
        <v>69431.314526526519</v>
      </c>
      <c r="U38" s="226">
        <v>68571.392162757969</v>
      </c>
      <c r="V38" s="226">
        <v>68081.950884604579</v>
      </c>
      <c r="W38" s="28"/>
      <c r="Y38" s="28" t="s">
        <v>445</v>
      </c>
      <c r="Z38" s="226">
        <v>1633.7793670758042</v>
      </c>
      <c r="AA38" s="226">
        <v>1619.3966380084355</v>
      </c>
      <c r="AB38" s="226">
        <v>1588.9355193443862</v>
      </c>
      <c r="AC38" s="226">
        <v>1562.9751519292613</v>
      </c>
      <c r="AD38" s="226">
        <v>1532.9375434167578</v>
      </c>
      <c r="AE38" s="226"/>
      <c r="AG38" s="240" t="s">
        <v>445</v>
      </c>
      <c r="AH38" s="28"/>
      <c r="AI38" s="28"/>
      <c r="AJ38" s="28"/>
      <c r="AK38" s="28"/>
      <c r="AL38" s="28"/>
      <c r="AO38" s="394"/>
    </row>
    <row r="39" spans="3:41" x14ac:dyDescent="0.2">
      <c r="C39" s="28" t="s">
        <v>447</v>
      </c>
      <c r="D39" s="28" t="s">
        <v>448</v>
      </c>
      <c r="E39" s="28" t="s">
        <v>336</v>
      </c>
      <c r="F39" s="227" t="s">
        <v>1167</v>
      </c>
      <c r="G39" s="227">
        <v>2020</v>
      </c>
      <c r="H39" s="227">
        <v>40</v>
      </c>
      <c r="I39" s="227">
        <v>15</v>
      </c>
      <c r="J39" s="391">
        <v>0.12923226742334171</v>
      </c>
      <c r="K39" s="391">
        <v>0.14860776750208038</v>
      </c>
      <c r="L39" s="391">
        <v>0.16061631184856398</v>
      </c>
      <c r="M39" s="391">
        <v>0.18030550072169052</v>
      </c>
      <c r="N39" s="391">
        <v>0.19653281783289464</v>
      </c>
      <c r="O39" s="391">
        <v>0.21501218450337353</v>
      </c>
      <c r="Q39" s="28" t="s">
        <v>447</v>
      </c>
      <c r="R39" s="226">
        <v>100775.85518571832</v>
      </c>
      <c r="S39" s="226">
        <v>82342.205352896766</v>
      </c>
      <c r="T39" s="226">
        <v>74097.554726739821</v>
      </c>
      <c r="U39" s="226">
        <v>71032.947384371088</v>
      </c>
      <c r="V39" s="226">
        <v>69736.913857812833</v>
      </c>
      <c r="W39" s="28"/>
      <c r="Y39" s="28" t="s">
        <v>447</v>
      </c>
      <c r="Z39" s="226">
        <v>1452.3404458806237</v>
      </c>
      <c r="AA39" s="226">
        <v>1447.2755908688873</v>
      </c>
      <c r="AB39" s="226">
        <v>1421.0661986563719</v>
      </c>
      <c r="AC39" s="226">
        <v>1398.6813875750483</v>
      </c>
      <c r="AD39" s="226">
        <v>1376.3088124327758</v>
      </c>
      <c r="AE39" s="226"/>
      <c r="AG39" s="240" t="s">
        <v>447</v>
      </c>
      <c r="AH39" s="28" t="s">
        <v>392</v>
      </c>
      <c r="AI39" s="28">
        <v>0.25</v>
      </c>
      <c r="AJ39" s="28">
        <v>0.36670000000000003</v>
      </c>
      <c r="AK39" s="28">
        <v>0.5</v>
      </c>
      <c r="AL39" s="28">
        <v>0.6</v>
      </c>
      <c r="AO39" s="394"/>
    </row>
    <row r="40" spans="3:41" x14ac:dyDescent="0.2">
      <c r="C40" s="28" t="s">
        <v>1402</v>
      </c>
      <c r="D40" s="28" t="s">
        <v>1403</v>
      </c>
      <c r="E40" s="28" t="s">
        <v>392</v>
      </c>
      <c r="F40" s="227" t="s">
        <v>1167</v>
      </c>
      <c r="G40" s="227">
        <v>2030</v>
      </c>
      <c r="H40" s="227">
        <v>40</v>
      </c>
      <c r="I40" s="227">
        <v>15</v>
      </c>
      <c r="J40" s="391"/>
      <c r="K40" s="391">
        <v>0.2025507341056039</v>
      </c>
      <c r="L40" s="391">
        <v>0.21307112068965556</v>
      </c>
      <c r="M40" s="391">
        <v>0.22413793103448332</v>
      </c>
      <c r="N40" s="391">
        <v>0.23577954612437366</v>
      </c>
      <c r="O40" s="391">
        <v>0.25034433789058758</v>
      </c>
      <c r="Q40" s="28" t="s">
        <v>1402</v>
      </c>
      <c r="R40" s="226"/>
      <c r="S40" s="226">
        <v>146873.58935941471</v>
      </c>
      <c r="T40" s="226">
        <v>96522.097494675108</v>
      </c>
      <c r="U40" s="226">
        <v>83439.617041880541</v>
      </c>
      <c r="V40" s="226">
        <v>79849.533163692366</v>
      </c>
      <c r="W40" s="28"/>
      <c r="Y40" s="28" t="s">
        <v>1402</v>
      </c>
      <c r="Z40" s="226"/>
      <c r="AA40" s="462">
        <v>1447.2755908688873</v>
      </c>
      <c r="AB40" s="462">
        <v>1421.0661986563719</v>
      </c>
      <c r="AC40" s="462">
        <v>1398.6813875750483</v>
      </c>
      <c r="AD40" s="462">
        <v>1376.3088124327758</v>
      </c>
      <c r="AE40" s="226"/>
      <c r="AG40" s="240" t="s">
        <v>1402</v>
      </c>
      <c r="AH40" s="28"/>
      <c r="AI40" s="28"/>
      <c r="AJ40" s="28"/>
      <c r="AK40" s="28"/>
      <c r="AL40" s="28"/>
      <c r="AO40" s="394"/>
    </row>
    <row r="41" spans="3:41" x14ac:dyDescent="0.2">
      <c r="C41" s="28" t="s">
        <v>449</v>
      </c>
      <c r="D41" s="28" t="s">
        <v>450</v>
      </c>
      <c r="E41" s="28" t="s">
        <v>337</v>
      </c>
      <c r="F41" s="227" t="s">
        <v>1167</v>
      </c>
      <c r="G41" s="227">
        <v>2015</v>
      </c>
      <c r="H41" s="227">
        <v>40</v>
      </c>
      <c r="I41" s="227">
        <v>15</v>
      </c>
      <c r="J41" s="391">
        <v>8.2219638830785979E-2</v>
      </c>
      <c r="K41" s="391">
        <v>8.8202943732918065E-2</v>
      </c>
      <c r="L41" s="391">
        <v>9.2736835522636937E-2</v>
      </c>
      <c r="M41" s="391">
        <v>9.7503782739883568E-2</v>
      </c>
      <c r="N41" s="391">
        <v>9.9978372110462663E-2</v>
      </c>
      <c r="O41" s="28"/>
      <c r="Q41" s="28" t="s">
        <v>449</v>
      </c>
      <c r="R41" s="226">
        <v>76470.952773284735</v>
      </c>
      <c r="S41" s="226">
        <v>73146.128739663676</v>
      </c>
      <c r="T41" s="226">
        <v>68844.340732305238</v>
      </c>
      <c r="U41" s="226">
        <v>67165.2104705417</v>
      </c>
      <c r="V41" s="226">
        <v>67165.2104705417</v>
      </c>
      <c r="W41" s="28"/>
      <c r="Y41" s="28" t="s">
        <v>449</v>
      </c>
      <c r="Z41" s="226">
        <v>1582.2053020809087</v>
      </c>
      <c r="AA41" s="226">
        <v>1569.3766104424149</v>
      </c>
      <c r="AB41" s="226">
        <v>1539.7601759033264</v>
      </c>
      <c r="AC41" s="226">
        <v>1496.9890599060118</v>
      </c>
      <c r="AD41" s="226">
        <v>1454.2179439086972</v>
      </c>
      <c r="AE41" s="226"/>
      <c r="AG41" s="240" t="s">
        <v>449</v>
      </c>
      <c r="AH41" s="28"/>
      <c r="AI41" s="28"/>
      <c r="AJ41" s="28"/>
      <c r="AK41" s="28"/>
      <c r="AL41" s="28"/>
      <c r="AO41" s="394"/>
    </row>
    <row r="42" spans="3:41" x14ac:dyDescent="0.2">
      <c r="C42" s="28" t="s">
        <v>451</v>
      </c>
      <c r="D42" s="28" t="s">
        <v>452</v>
      </c>
      <c r="E42" s="28" t="s">
        <v>338</v>
      </c>
      <c r="F42" s="227" t="s">
        <v>1167</v>
      </c>
      <c r="G42" s="227">
        <v>2015</v>
      </c>
      <c r="H42" s="227">
        <v>40</v>
      </c>
      <c r="I42" s="227">
        <v>15</v>
      </c>
      <c r="J42" s="391">
        <v>7.9215688811973384E-2</v>
      </c>
      <c r="K42" s="391">
        <v>8.4980389629620054E-2</v>
      </c>
      <c r="L42" s="391">
        <v>8.9348632621549309E-2</v>
      </c>
      <c r="M42" s="391">
        <v>9.3941416203604119E-2</v>
      </c>
      <c r="N42" s="391">
        <v>9.632559478070353E-2</v>
      </c>
      <c r="O42" s="28"/>
      <c r="Q42" s="28" t="s">
        <v>451</v>
      </c>
      <c r="R42" s="226">
        <v>78262.381806857098</v>
      </c>
      <c r="S42" s="226">
        <v>74859.669554385066</v>
      </c>
      <c r="T42" s="226">
        <v>69537.06679377165</v>
      </c>
      <c r="U42" s="226">
        <v>67841.040774411376</v>
      </c>
      <c r="V42" s="226">
        <v>67841.040774411376</v>
      </c>
      <c r="W42" s="28"/>
      <c r="Y42" s="28" t="s">
        <v>451</v>
      </c>
      <c r="Z42" s="226">
        <v>1662.1077764361146</v>
      </c>
      <c r="AA42" s="226">
        <v>1648.6312268974436</v>
      </c>
      <c r="AB42" s="226">
        <v>1617.0814757644725</v>
      </c>
      <c r="AC42" s="226">
        <v>1572.1625458821263</v>
      </c>
      <c r="AD42" s="226">
        <v>1527.2436159997796</v>
      </c>
      <c r="AE42" s="226"/>
      <c r="AG42" s="240" t="s">
        <v>451</v>
      </c>
      <c r="AH42" s="28"/>
      <c r="AI42" s="28"/>
      <c r="AJ42" s="28"/>
      <c r="AK42" s="28"/>
      <c r="AL42" s="28"/>
      <c r="AO42" s="394"/>
    </row>
    <row r="43" spans="3:41" x14ac:dyDescent="0.2">
      <c r="C43" s="28" t="s">
        <v>453</v>
      </c>
      <c r="D43" s="28" t="s">
        <v>454</v>
      </c>
      <c r="E43" s="28" t="s">
        <v>340</v>
      </c>
      <c r="F43" s="227" t="s">
        <v>1167</v>
      </c>
      <c r="G43" s="227">
        <v>2015</v>
      </c>
      <c r="H43" s="227">
        <v>40</v>
      </c>
      <c r="I43" s="227">
        <v>15</v>
      </c>
      <c r="J43" s="391">
        <v>8.1285324753163427E-2</v>
      </c>
      <c r="K43" s="391">
        <v>8.7200637554134916E-2</v>
      </c>
      <c r="L43" s="391">
        <v>9.168300784624335E-2</v>
      </c>
      <c r="M43" s="391">
        <v>9.639578520874853E-2</v>
      </c>
      <c r="N43" s="391">
        <v>9.8842254245571054E-2</v>
      </c>
      <c r="O43" s="28"/>
      <c r="Q43" s="28" t="s">
        <v>453</v>
      </c>
      <c r="R43" s="226">
        <v>75429.598029562942</v>
      </c>
      <c r="S43" s="226">
        <v>72150.050289147184</v>
      </c>
      <c r="T43" s="226">
        <v>66436.158141499385</v>
      </c>
      <c r="U43" s="226">
        <v>64815.764040487207</v>
      </c>
      <c r="V43" s="226">
        <v>64815.764040487207</v>
      </c>
      <c r="W43" s="28"/>
      <c r="Y43" s="28" t="s">
        <v>453</v>
      </c>
      <c r="Z43" s="226">
        <v>1718.7763295594398</v>
      </c>
      <c r="AA43" s="226">
        <v>1705.3133295890004</v>
      </c>
      <c r="AB43" s="226">
        <v>1673.4899883053695</v>
      </c>
      <c r="AC43" s="226">
        <v>1646.570578305819</v>
      </c>
      <c r="AD43" s="226">
        <v>1615.1645999730104</v>
      </c>
      <c r="AE43" s="226"/>
      <c r="AG43" s="240" t="s">
        <v>453</v>
      </c>
      <c r="AH43" s="28"/>
      <c r="AI43" s="28"/>
      <c r="AJ43" s="28"/>
      <c r="AK43" s="28"/>
      <c r="AL43" s="28"/>
      <c r="AO43" s="394"/>
    </row>
    <row r="44" spans="3:41" x14ac:dyDescent="0.2">
      <c r="C44" s="28" t="s">
        <v>455</v>
      </c>
      <c r="D44" s="28" t="s">
        <v>456</v>
      </c>
      <c r="E44" s="28" t="s">
        <v>339</v>
      </c>
      <c r="F44" s="227" t="s">
        <v>1167</v>
      </c>
      <c r="G44" s="227">
        <v>2025</v>
      </c>
      <c r="H44" s="227">
        <v>40</v>
      </c>
      <c r="I44" s="227">
        <v>15</v>
      </c>
      <c r="J44" s="391">
        <v>0.10615507681203068</v>
      </c>
      <c r="K44" s="391">
        <v>0.11676324589449173</v>
      </c>
      <c r="L44" s="391">
        <v>0.11904578697628553</v>
      </c>
      <c r="M44" s="391">
        <v>0.12585001585993921</v>
      </c>
      <c r="N44" s="391">
        <v>0.13102187855526309</v>
      </c>
      <c r="O44" s="28"/>
      <c r="Q44" s="28" t="s">
        <v>455</v>
      </c>
      <c r="R44" s="226">
        <v>79460.154469422356</v>
      </c>
      <c r="S44" s="226">
        <v>76005.365144664873</v>
      </c>
      <c r="T44" s="226">
        <v>70065.266428537594</v>
      </c>
      <c r="U44" s="226">
        <v>68356.357491256189</v>
      </c>
      <c r="V44" s="226">
        <v>68356.357491256189</v>
      </c>
      <c r="W44" s="28"/>
      <c r="Y44" s="28" t="s">
        <v>455</v>
      </c>
      <c r="Z44" s="226">
        <v>1743.3697952700772</v>
      </c>
      <c r="AA44" s="226">
        <v>1729.714157187022</v>
      </c>
      <c r="AB44" s="226">
        <v>1663.2664713622646</v>
      </c>
      <c r="AC44" s="226">
        <v>1636.5115147183676</v>
      </c>
      <c r="AD44" s="226">
        <v>1605.2973986338216</v>
      </c>
      <c r="AE44" s="226"/>
      <c r="AG44" s="240" t="s">
        <v>455</v>
      </c>
      <c r="AH44" s="28"/>
      <c r="AI44" s="28"/>
      <c r="AJ44" s="28"/>
      <c r="AK44" s="28"/>
      <c r="AL44" s="28"/>
      <c r="AO44" s="394"/>
    </row>
    <row r="45" spans="3:41" x14ac:dyDescent="0.2">
      <c r="C45" s="28" t="s">
        <v>457</v>
      </c>
      <c r="D45" s="28" t="s">
        <v>458</v>
      </c>
      <c r="E45" s="28" t="s">
        <v>339</v>
      </c>
      <c r="F45" s="227" t="s">
        <v>1167</v>
      </c>
      <c r="G45" s="227">
        <v>2035</v>
      </c>
      <c r="H45" s="227">
        <v>40</v>
      </c>
      <c r="I45" s="227">
        <v>15</v>
      </c>
      <c r="J45" s="391">
        <v>0.11424561302456349</v>
      </c>
      <c r="K45" s="391">
        <v>0.12503611404387019</v>
      </c>
      <c r="L45" s="391">
        <v>0.13757163420132679</v>
      </c>
      <c r="M45" s="391">
        <v>0.14982968383745771</v>
      </c>
      <c r="N45" s="391">
        <v>0.15832537938738384</v>
      </c>
      <c r="O45" s="391">
        <v>0.16810560086964785</v>
      </c>
      <c r="Q45" s="28" t="s">
        <v>457</v>
      </c>
      <c r="R45" s="226">
        <v>114391.55918375627</v>
      </c>
      <c r="S45" s="226">
        <v>96478.040131637637</v>
      </c>
      <c r="T45" s="226">
        <v>86717.372507893684</v>
      </c>
      <c r="U45" s="226">
        <v>81785.648547240824</v>
      </c>
      <c r="V45" s="226">
        <v>77668.815965995484</v>
      </c>
      <c r="W45" s="28"/>
      <c r="Y45" s="28" t="s">
        <v>457</v>
      </c>
      <c r="Z45" s="226">
        <v>1641.701109862149</v>
      </c>
      <c r="AA45" s="226">
        <v>1600.4573920746718</v>
      </c>
      <c r="AB45" s="226">
        <v>1513.0408608188075</v>
      </c>
      <c r="AC45" s="226">
        <v>1480.1578824265507</v>
      </c>
      <c r="AD45" s="226">
        <v>1448.2340862454755</v>
      </c>
      <c r="AE45" s="226"/>
      <c r="AG45" s="240" t="s">
        <v>457</v>
      </c>
      <c r="AH45" s="28"/>
      <c r="AI45" s="28"/>
      <c r="AJ45" s="28"/>
      <c r="AK45" s="28"/>
      <c r="AL45" s="28"/>
      <c r="AO45" s="394"/>
    </row>
    <row r="46" spans="3:41" x14ac:dyDescent="0.2">
      <c r="C46" s="28" t="s">
        <v>459</v>
      </c>
      <c r="D46" s="28" t="s">
        <v>460</v>
      </c>
      <c r="E46" s="28" t="s">
        <v>998</v>
      </c>
      <c r="F46" s="227" t="s">
        <v>1167</v>
      </c>
      <c r="G46" s="227">
        <v>2025</v>
      </c>
      <c r="H46" s="227">
        <v>40</v>
      </c>
      <c r="I46" s="227">
        <v>15</v>
      </c>
      <c r="J46" s="391">
        <v>0.13530488769209137</v>
      </c>
      <c r="K46" s="391">
        <v>0.14808443773262361</v>
      </c>
      <c r="L46" s="391">
        <v>0.16293067210577136</v>
      </c>
      <c r="M46" s="391">
        <v>0.17744828889149578</v>
      </c>
      <c r="N46" s="391">
        <v>0.18751002432112499</v>
      </c>
      <c r="O46" s="391">
        <v>0.19909306662995302</v>
      </c>
      <c r="Q46" s="28" t="s">
        <v>459</v>
      </c>
      <c r="R46" s="226">
        <v>114391.55918375627</v>
      </c>
      <c r="S46" s="226">
        <v>96478.040131637637</v>
      </c>
      <c r="T46" s="226">
        <v>86717.372507893684</v>
      </c>
      <c r="U46" s="226">
        <v>81785.648547240824</v>
      </c>
      <c r="V46" s="226">
        <v>77668.815965995484</v>
      </c>
      <c r="W46" s="28"/>
      <c r="Y46" s="28" t="s">
        <v>459</v>
      </c>
      <c r="Z46" s="226">
        <v>1432.4492826383625</v>
      </c>
      <c r="AA46" s="226">
        <v>1376.947242617395</v>
      </c>
      <c r="AB46" s="226">
        <v>1282.3317094745096</v>
      </c>
      <c r="AC46" s="226">
        <v>1248.7671305477593</v>
      </c>
      <c r="AD46" s="226">
        <v>1220.0237090702997</v>
      </c>
      <c r="AE46" s="226"/>
      <c r="AG46" s="240" t="s">
        <v>459</v>
      </c>
      <c r="AH46" s="28"/>
      <c r="AI46" s="28"/>
      <c r="AJ46" s="28"/>
      <c r="AK46" s="28"/>
      <c r="AL46" s="28"/>
      <c r="AO46" s="394"/>
    </row>
    <row r="47" spans="3:41" x14ac:dyDescent="0.2">
      <c r="C47" s="90" t="s">
        <v>330</v>
      </c>
      <c r="D47" s="91" t="s">
        <v>461</v>
      </c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31"/>
      <c r="Q47" s="92" t="s">
        <v>330</v>
      </c>
      <c r="R47" s="92"/>
      <c r="S47" s="92"/>
      <c r="T47" s="92"/>
      <c r="U47" s="92"/>
      <c r="V47" s="92"/>
      <c r="W47" s="92"/>
      <c r="X47" s="31"/>
      <c r="Y47" s="92" t="s">
        <v>330</v>
      </c>
      <c r="Z47" s="92"/>
      <c r="AA47" s="92"/>
      <c r="AB47" s="92"/>
      <c r="AC47" s="92"/>
      <c r="AD47" s="95"/>
      <c r="AE47" s="95"/>
      <c r="AF47" s="31"/>
      <c r="AG47" s="411" t="s">
        <v>330</v>
      </c>
      <c r="AH47" s="90"/>
      <c r="AI47" s="92"/>
      <c r="AJ47" s="92"/>
      <c r="AK47" s="92"/>
      <c r="AL47" s="92"/>
    </row>
    <row r="48" spans="3:41" x14ac:dyDescent="0.2">
      <c r="C48" s="28" t="s">
        <v>462</v>
      </c>
      <c r="D48" s="28" t="s">
        <v>463</v>
      </c>
      <c r="E48" s="28" t="s">
        <v>336</v>
      </c>
      <c r="F48" s="227" t="s">
        <v>626</v>
      </c>
      <c r="G48" s="227">
        <v>2015</v>
      </c>
      <c r="H48" s="227">
        <v>60</v>
      </c>
      <c r="I48" s="227">
        <v>15</v>
      </c>
      <c r="J48" s="391">
        <v>5.9609238152319832E-2</v>
      </c>
      <c r="K48" s="391">
        <v>6.3947134206365594E-2</v>
      </c>
      <c r="L48" s="391">
        <v>6.7234205753911772E-2</v>
      </c>
      <c r="M48" s="391">
        <v>7.0690242486415589E-2</v>
      </c>
      <c r="N48" s="391">
        <v>7.2484319780085432E-2</v>
      </c>
      <c r="O48" s="28"/>
      <c r="Q48" s="28" t="s">
        <v>462</v>
      </c>
      <c r="R48" s="463">
        <v>113085.30510986131</v>
      </c>
      <c r="S48" s="463">
        <v>113085.30510986131</v>
      </c>
      <c r="T48" s="463">
        <v>113008.98829108385</v>
      </c>
      <c r="U48" s="463">
        <v>113008.98829108385</v>
      </c>
      <c r="V48" s="463">
        <v>113008.98829108385</v>
      </c>
      <c r="W48" s="28"/>
      <c r="Y48" s="28" t="s">
        <v>462</v>
      </c>
      <c r="Z48" s="226">
        <v>2572.3550492954223</v>
      </c>
      <c r="AA48" s="226">
        <v>2552.2060541312276</v>
      </c>
      <c r="AB48" s="226">
        <v>2479.1314853758804</v>
      </c>
      <c r="AC48" s="226">
        <v>2439.2526947264018</v>
      </c>
      <c r="AD48" s="226">
        <v>2392.7274389686781</v>
      </c>
      <c r="AE48" s="226"/>
      <c r="AG48" s="240" t="s">
        <v>462</v>
      </c>
      <c r="AH48" s="28"/>
      <c r="AI48" s="28"/>
      <c r="AJ48" s="28"/>
      <c r="AK48" s="28"/>
      <c r="AL48" s="28"/>
    </row>
    <row r="49" spans="3:38" x14ac:dyDescent="0.2">
      <c r="C49" s="28" t="s">
        <v>464</v>
      </c>
      <c r="D49" s="28" t="s">
        <v>465</v>
      </c>
      <c r="E49" s="28" t="s">
        <v>336</v>
      </c>
      <c r="F49" s="227" t="s">
        <v>626</v>
      </c>
      <c r="G49" s="227">
        <v>2015</v>
      </c>
      <c r="H49" s="227">
        <v>60</v>
      </c>
      <c r="I49" s="227">
        <v>15</v>
      </c>
      <c r="J49" s="391">
        <v>7.6962430688722244E-2</v>
      </c>
      <c r="K49" s="391">
        <v>8.465335327350651E-2</v>
      </c>
      <c r="L49" s="391">
        <v>8.6308195557806999E-2</v>
      </c>
      <c r="M49" s="391">
        <v>9.1241261498455919E-2</v>
      </c>
      <c r="N49" s="391">
        <v>9.4990861952565744E-2</v>
      </c>
      <c r="O49" s="28"/>
      <c r="Q49" s="28" t="s">
        <v>464</v>
      </c>
      <c r="R49" s="463">
        <v>126171.5938508074</v>
      </c>
      <c r="S49" s="463">
        <v>120446.3623586248</v>
      </c>
      <c r="T49" s="463">
        <v>118201.31132474847</v>
      </c>
      <c r="U49" s="463">
        <v>116770.82790192726</v>
      </c>
      <c r="V49" s="463">
        <v>115956.45693161522</v>
      </c>
      <c r="W49" s="28"/>
      <c r="Y49" s="28" t="s">
        <v>464</v>
      </c>
      <c r="Z49" s="226">
        <v>2704.4140147264093</v>
      </c>
      <c r="AA49" s="226">
        <v>2683.3915429891549</v>
      </c>
      <c r="AB49" s="226">
        <v>2634.0246505975715</v>
      </c>
      <c r="AC49" s="226">
        <v>2591.6950344954944</v>
      </c>
      <c r="AD49" s="226">
        <v>2542.2851372115674</v>
      </c>
      <c r="AE49" s="226"/>
      <c r="AG49" s="240" t="s">
        <v>464</v>
      </c>
      <c r="AH49" s="28"/>
      <c r="AI49" s="28"/>
      <c r="AJ49" s="28"/>
      <c r="AK49" s="28"/>
      <c r="AL49" s="28"/>
    </row>
    <row r="50" spans="3:38" x14ac:dyDescent="0.2">
      <c r="C50" s="28" t="s">
        <v>466</v>
      </c>
      <c r="D50" s="28" t="s">
        <v>467</v>
      </c>
      <c r="E50" s="28" t="s">
        <v>336</v>
      </c>
      <c r="F50" s="227" t="s">
        <v>626</v>
      </c>
      <c r="G50" s="227">
        <v>2020</v>
      </c>
      <c r="H50" s="227">
        <v>60</v>
      </c>
      <c r="I50" s="227">
        <v>15</v>
      </c>
      <c r="J50" s="391">
        <v>8.9789502470175947E-2</v>
      </c>
      <c r="K50" s="391">
        <v>0.10216784015768027</v>
      </c>
      <c r="L50" s="391">
        <v>0.10949547197632233</v>
      </c>
      <c r="M50" s="391">
        <v>0.12067982482761705</v>
      </c>
      <c r="N50" s="391">
        <v>0.12953299357168058</v>
      </c>
      <c r="O50" s="391">
        <v>0.14171257614995075</v>
      </c>
      <c r="Q50" s="28" t="s">
        <v>466</v>
      </c>
      <c r="R50" s="463">
        <v>169045.7059866084</v>
      </c>
      <c r="S50" s="463">
        <v>139361.86389118715</v>
      </c>
      <c r="T50" s="463">
        <v>125539.33444150542</v>
      </c>
      <c r="U50" s="463">
        <v>120410.50734053507</v>
      </c>
      <c r="V50" s="463">
        <v>118278.87590846281</v>
      </c>
      <c r="W50" s="28"/>
      <c r="Y50" s="28" t="s">
        <v>466</v>
      </c>
      <c r="Z50" s="226">
        <v>2436.2176391790022</v>
      </c>
      <c r="AA50" s="226">
        <v>2449.473183810127</v>
      </c>
      <c r="AB50" s="226">
        <v>2407.6328218191711</v>
      </c>
      <c r="AC50" s="226">
        <v>2370.9551931492933</v>
      </c>
      <c r="AD50" s="226">
        <v>2334.31980614127</v>
      </c>
      <c r="AE50" s="226"/>
      <c r="AG50" s="240" t="s">
        <v>466</v>
      </c>
      <c r="AH50" s="28" t="s">
        <v>392</v>
      </c>
      <c r="AI50" s="28">
        <v>0.2</v>
      </c>
      <c r="AJ50" s="28">
        <v>0.3</v>
      </c>
      <c r="AK50" s="28">
        <v>0.4</v>
      </c>
      <c r="AL50" s="28">
        <v>0.45</v>
      </c>
    </row>
    <row r="51" spans="3:38" x14ac:dyDescent="0.2">
      <c r="C51" s="28" t="s">
        <v>1404</v>
      </c>
      <c r="D51" s="28" t="s">
        <v>1405</v>
      </c>
      <c r="E51" s="28" t="s">
        <v>392</v>
      </c>
      <c r="F51" s="227" t="s">
        <v>626</v>
      </c>
      <c r="G51" s="227">
        <v>2030</v>
      </c>
      <c r="H51" s="227">
        <v>60</v>
      </c>
      <c r="I51" s="227">
        <v>15</v>
      </c>
      <c r="J51" s="391"/>
      <c r="K51" s="391">
        <v>0.14684928222656282</v>
      </c>
      <c r="L51" s="391">
        <v>0.1544765625000003</v>
      </c>
      <c r="M51" s="391">
        <v>0.16250000000000001</v>
      </c>
      <c r="N51" s="391">
        <v>0.17094017094017092</v>
      </c>
      <c r="O51" s="391">
        <v>0.181499644970676</v>
      </c>
      <c r="Q51" s="28" t="s">
        <v>1404</v>
      </c>
      <c r="R51" s="463"/>
      <c r="S51" s="463">
        <v>290922.96858704981</v>
      </c>
      <c r="T51" s="463">
        <v>199873.82180781825</v>
      </c>
      <c r="U51" s="463">
        <v>164797.68361272913</v>
      </c>
      <c r="V51" s="463">
        <v>154824.9146484806</v>
      </c>
      <c r="W51" s="28"/>
      <c r="Y51" s="28" t="s">
        <v>1404</v>
      </c>
      <c r="Z51" s="226"/>
      <c r="AA51" s="462">
        <v>2449.473183810127</v>
      </c>
      <c r="AB51" s="462">
        <v>2407.6328218191711</v>
      </c>
      <c r="AC51" s="462">
        <v>2370.9551931492933</v>
      </c>
      <c r="AD51" s="462">
        <v>2334.31980614127</v>
      </c>
      <c r="AE51" s="226"/>
      <c r="AG51" s="240" t="s">
        <v>1404</v>
      </c>
      <c r="AH51" s="28"/>
      <c r="AI51" s="28"/>
      <c r="AJ51" s="28"/>
      <c r="AK51" s="28"/>
      <c r="AL51" s="28"/>
    </row>
    <row r="52" spans="3:38" x14ac:dyDescent="0.2">
      <c r="C52" s="28" t="s">
        <v>468</v>
      </c>
      <c r="D52" s="28" t="s">
        <v>469</v>
      </c>
      <c r="E52" s="28" t="s">
        <v>337</v>
      </c>
      <c r="F52" s="227" t="s">
        <v>626</v>
      </c>
      <c r="G52" s="227">
        <v>2015</v>
      </c>
      <c r="H52" s="227">
        <v>60</v>
      </c>
      <c r="I52" s="227">
        <v>15</v>
      </c>
      <c r="J52" s="391">
        <v>5.9609238152319832E-2</v>
      </c>
      <c r="K52" s="391">
        <v>6.3947134206365594E-2</v>
      </c>
      <c r="L52" s="391">
        <v>6.7234205753911772E-2</v>
      </c>
      <c r="M52" s="391">
        <v>7.0690242486415589E-2</v>
      </c>
      <c r="N52" s="391">
        <v>7.2484319780085432E-2</v>
      </c>
      <c r="O52" s="28"/>
      <c r="Q52" s="28" t="s">
        <v>468</v>
      </c>
      <c r="R52" s="463">
        <v>130315.12136901608</v>
      </c>
      <c r="S52" s="463">
        <v>124649.24652688496</v>
      </c>
      <c r="T52" s="463">
        <v>117291.51758637476</v>
      </c>
      <c r="U52" s="463">
        <v>114430.74886475586</v>
      </c>
      <c r="V52" s="463">
        <v>114430.74886475586</v>
      </c>
      <c r="W52" s="28"/>
      <c r="Y52" s="28" t="s">
        <v>468</v>
      </c>
      <c r="Z52" s="226">
        <v>2625.3440864505365</v>
      </c>
      <c r="AA52" s="226">
        <v>2604.0575127766133</v>
      </c>
      <c r="AB52" s="226">
        <v>2554.3565901084476</v>
      </c>
      <c r="AC52" s="226">
        <v>2483.4022403832128</v>
      </c>
      <c r="AD52" s="226">
        <v>2412.4478906579784</v>
      </c>
      <c r="AE52" s="226"/>
      <c r="AG52" s="240" t="s">
        <v>468</v>
      </c>
      <c r="AH52" s="28"/>
      <c r="AI52" s="28"/>
      <c r="AJ52" s="28"/>
      <c r="AK52" s="28"/>
      <c r="AL52" s="28"/>
    </row>
    <row r="53" spans="3:38" x14ac:dyDescent="0.2">
      <c r="C53" s="28" t="s">
        <v>470</v>
      </c>
      <c r="D53" s="28" t="s">
        <v>471</v>
      </c>
      <c r="E53" s="28" t="s">
        <v>338</v>
      </c>
      <c r="F53" s="227" t="s">
        <v>626</v>
      </c>
      <c r="G53" s="227">
        <v>2015</v>
      </c>
      <c r="H53" s="227">
        <v>60</v>
      </c>
      <c r="I53" s="227">
        <v>15</v>
      </c>
      <c r="J53" s="391">
        <v>5.7431374388680699E-2</v>
      </c>
      <c r="K53" s="391">
        <v>6.1610782481474537E-2</v>
      </c>
      <c r="L53" s="391">
        <v>6.4777758650623241E-2</v>
      </c>
      <c r="M53" s="391">
        <v>6.8107526747612987E-2</v>
      </c>
      <c r="N53" s="391">
        <v>6.9836056216010051E-2</v>
      </c>
      <c r="O53" s="28"/>
      <c r="Q53" s="28" t="s">
        <v>470</v>
      </c>
      <c r="R53" s="463">
        <v>133296.90682591675</v>
      </c>
      <c r="S53" s="463">
        <v>127501.38913783344</v>
      </c>
      <c r="T53" s="463">
        <v>118444.45136871639</v>
      </c>
      <c r="U53" s="463">
        <v>115555.56231094283</v>
      </c>
      <c r="V53" s="463">
        <v>115555.56231094283</v>
      </c>
      <c r="W53" s="28"/>
      <c r="Y53" s="28" t="s">
        <v>470</v>
      </c>
      <c r="Z53" s="226">
        <v>2756.530750576374</v>
      </c>
      <c r="AA53" s="226">
        <v>2734.1805012473765</v>
      </c>
      <c r="AB53" s="226">
        <v>2682.040538017638</v>
      </c>
      <c r="AC53" s="226">
        <v>2607.5394119615926</v>
      </c>
      <c r="AD53" s="226">
        <v>2533.0382859055471</v>
      </c>
      <c r="AE53" s="226"/>
      <c r="AG53" s="240" t="s">
        <v>470</v>
      </c>
      <c r="AH53" s="28"/>
      <c r="AI53" s="28"/>
      <c r="AJ53" s="28"/>
      <c r="AK53" s="28"/>
      <c r="AL53" s="28"/>
    </row>
    <row r="54" spans="3:38" x14ac:dyDescent="0.2">
      <c r="C54" s="28" t="s">
        <v>472</v>
      </c>
      <c r="D54" s="28" t="s">
        <v>473</v>
      </c>
      <c r="E54" s="28" t="s">
        <v>340</v>
      </c>
      <c r="F54" s="227" t="s">
        <v>626</v>
      </c>
      <c r="G54" s="227">
        <v>2015</v>
      </c>
      <c r="H54" s="227">
        <v>60</v>
      </c>
      <c r="I54" s="227">
        <v>15</v>
      </c>
      <c r="J54" s="391">
        <v>5.8931860446043483E-2</v>
      </c>
      <c r="K54" s="391">
        <v>6.3220462226747806E-2</v>
      </c>
      <c r="L54" s="391">
        <v>6.647018068852642E-2</v>
      </c>
      <c r="M54" s="391">
        <v>6.9886944276342677E-2</v>
      </c>
      <c r="N54" s="391">
        <v>7.1660634328039013E-2</v>
      </c>
      <c r="O54" s="28"/>
      <c r="Q54" s="28" t="s">
        <v>472</v>
      </c>
      <c r="R54" s="463">
        <v>128581.07822203003</v>
      </c>
      <c r="S54" s="463">
        <v>122990.59656020266</v>
      </c>
      <c r="T54" s="463">
        <v>113281.38136022449</v>
      </c>
      <c r="U54" s="463">
        <v>110518.42083924342</v>
      </c>
      <c r="V54" s="463">
        <v>110518.42083924342</v>
      </c>
      <c r="W54" s="28"/>
      <c r="Y54" s="28" t="s">
        <v>472</v>
      </c>
      <c r="Z54" s="226">
        <v>2852.8101466357439</v>
      </c>
      <c r="AA54" s="226">
        <v>2830.4643752521742</v>
      </c>
      <c r="AB54" s="226">
        <v>2778.3659201606715</v>
      </c>
      <c r="AC54" s="226">
        <v>2733.6737069677379</v>
      </c>
      <c r="AD54" s="226">
        <v>2681.5327915759826</v>
      </c>
      <c r="AE54" s="226"/>
      <c r="AG54" s="240" t="s">
        <v>472</v>
      </c>
      <c r="AH54" s="28"/>
      <c r="AI54" s="28"/>
      <c r="AJ54" s="28"/>
      <c r="AK54" s="28"/>
      <c r="AL54" s="28"/>
    </row>
    <row r="55" spans="3:38" x14ac:dyDescent="0.2">
      <c r="C55" s="28" t="s">
        <v>474</v>
      </c>
      <c r="D55" s="28" t="s">
        <v>475</v>
      </c>
      <c r="E55" s="28" t="s">
        <v>339</v>
      </c>
      <c r="F55" s="227" t="s">
        <v>626</v>
      </c>
      <c r="G55" s="227">
        <v>2025</v>
      </c>
      <c r="H55" s="227">
        <v>60</v>
      </c>
      <c r="I55" s="227">
        <v>15</v>
      </c>
      <c r="J55" s="391">
        <v>7.6962430688722244E-2</v>
      </c>
      <c r="K55" s="391">
        <v>8.465335327350651E-2</v>
      </c>
      <c r="L55" s="391">
        <v>8.6308195557806999E-2</v>
      </c>
      <c r="M55" s="391">
        <v>9.1241261498455919E-2</v>
      </c>
      <c r="N55" s="391">
        <v>9.4990861952565744E-2</v>
      </c>
      <c r="O55" s="28"/>
      <c r="Q55" s="28" t="s">
        <v>474</v>
      </c>
      <c r="R55" s="463">
        <v>135289.68943008079</v>
      </c>
      <c r="S55" s="463">
        <v>129407.5290200773</v>
      </c>
      <c r="T55" s="463">
        <v>119323.37911112753</v>
      </c>
      <c r="U55" s="463">
        <v>116413.05279134394</v>
      </c>
      <c r="V55" s="463">
        <v>116413.05279134394</v>
      </c>
      <c r="W55" s="28"/>
      <c r="Y55" s="28" t="s">
        <v>474</v>
      </c>
      <c r="Z55" s="226">
        <v>2890.3407602020279</v>
      </c>
      <c r="AA55" s="226">
        <v>2867.7010153440488</v>
      </c>
      <c r="AB55" s="226">
        <v>2758.1854332674729</v>
      </c>
      <c r="AC55" s="226">
        <v>2713.8178391666561</v>
      </c>
      <c r="AD55" s="226">
        <v>2662.0556460490366</v>
      </c>
      <c r="AE55" s="226"/>
      <c r="AG55" s="240" t="s">
        <v>474</v>
      </c>
      <c r="AH55" s="28"/>
      <c r="AI55" s="28"/>
      <c r="AJ55" s="28"/>
      <c r="AK55" s="28"/>
      <c r="AL55" s="28"/>
    </row>
    <row r="56" spans="3:38" x14ac:dyDescent="0.2">
      <c r="C56" s="28" t="s">
        <v>476</v>
      </c>
      <c r="D56" s="28" t="s">
        <v>477</v>
      </c>
      <c r="E56" s="28" t="s">
        <v>339</v>
      </c>
      <c r="F56" s="227" t="s">
        <v>626</v>
      </c>
      <c r="G56" s="227">
        <v>2035</v>
      </c>
      <c r="H56" s="227">
        <v>60</v>
      </c>
      <c r="I56" s="227">
        <v>15</v>
      </c>
      <c r="J56" s="391">
        <v>8.282806944280853E-2</v>
      </c>
      <c r="K56" s="391">
        <v>9.0651182681805886E-2</v>
      </c>
      <c r="L56" s="391">
        <v>9.9739434795961923E-2</v>
      </c>
      <c r="M56" s="391">
        <v>0.10862652078215683</v>
      </c>
      <c r="N56" s="391">
        <v>0.11478590005585328</v>
      </c>
      <c r="O56" s="391">
        <v>0.12187656063049469</v>
      </c>
      <c r="Q56" s="28" t="s">
        <v>476</v>
      </c>
      <c r="R56" s="463">
        <v>192519.00075480939</v>
      </c>
      <c r="S56" s="463">
        <v>163008.14246878988</v>
      </c>
      <c r="T56" s="463">
        <v>146876.51211837455</v>
      </c>
      <c r="U56" s="463">
        <v>138710.13978599163</v>
      </c>
      <c r="V56" s="463">
        <v>131884.48008837612</v>
      </c>
      <c r="W56" s="226"/>
      <c r="Y56" s="28" t="s">
        <v>476</v>
      </c>
      <c r="Z56" s="226">
        <v>2762.9543601290748</v>
      </c>
      <c r="AA56" s="226">
        <v>2704.1136638614639</v>
      </c>
      <c r="AB56" s="226">
        <v>2562.6948545912219</v>
      </c>
      <c r="AC56" s="226">
        <v>2510.3781705433548</v>
      </c>
      <c r="AD56" s="226">
        <v>2459.15425818222</v>
      </c>
      <c r="AE56" s="226"/>
      <c r="AG56" s="240" t="s">
        <v>476</v>
      </c>
      <c r="AH56" s="28"/>
      <c r="AI56" s="28"/>
      <c r="AJ56" s="28"/>
      <c r="AK56" s="28"/>
      <c r="AL56" s="28"/>
    </row>
    <row r="57" spans="3:38" x14ac:dyDescent="0.2">
      <c r="C57" s="28" t="s">
        <v>478</v>
      </c>
      <c r="D57" s="28" t="s">
        <v>479</v>
      </c>
      <c r="E57" s="28" t="s">
        <v>998</v>
      </c>
      <c r="F57" s="227" t="s">
        <v>626</v>
      </c>
      <c r="G57" s="227">
        <v>2025</v>
      </c>
      <c r="H57" s="227">
        <v>60</v>
      </c>
      <c r="I57" s="227">
        <v>15</v>
      </c>
      <c r="J57" s="391">
        <v>9.809604357676624E-2</v>
      </c>
      <c r="K57" s="391">
        <v>0.10736121735615212</v>
      </c>
      <c r="L57" s="391">
        <v>0.11812473727668424</v>
      </c>
      <c r="M57" s="391">
        <v>0.12865000944633442</v>
      </c>
      <c r="N57" s="391">
        <v>0.1359447676328156</v>
      </c>
      <c r="O57" s="391">
        <v>0.14434247330671593</v>
      </c>
      <c r="Q57" s="28" t="s">
        <v>478</v>
      </c>
      <c r="R57" s="463">
        <v>192519.00075480939</v>
      </c>
      <c r="S57" s="463">
        <v>163008.14246878988</v>
      </c>
      <c r="T57" s="463">
        <v>146876.51211837455</v>
      </c>
      <c r="U57" s="463">
        <v>138710.13978599163</v>
      </c>
      <c r="V57" s="463">
        <v>131884.48008837612</v>
      </c>
      <c r="W57" s="226"/>
      <c r="Y57" s="28" t="s">
        <v>478</v>
      </c>
      <c r="Z57" s="226">
        <v>2410.7871812681901</v>
      </c>
      <c r="AA57" s="226">
        <v>2326.4735891227911</v>
      </c>
      <c r="AB57" s="226">
        <v>2171.933989919542</v>
      </c>
      <c r="AC57" s="226">
        <v>2117.9347026682603</v>
      </c>
      <c r="AD57" s="226">
        <v>2071.6447207934007</v>
      </c>
      <c r="AE57" s="226"/>
      <c r="AG57" s="240" t="s">
        <v>478</v>
      </c>
      <c r="AH57" s="28"/>
      <c r="AI57" s="28"/>
      <c r="AJ57" s="28"/>
      <c r="AK57" s="28"/>
      <c r="AL57" s="28"/>
    </row>
    <row r="58" spans="3:38" x14ac:dyDescent="0.2">
      <c r="C58" s="90" t="s">
        <v>330</v>
      </c>
      <c r="D58" s="91" t="s">
        <v>480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31"/>
      <c r="Q58" s="92" t="s">
        <v>330</v>
      </c>
      <c r="R58" s="92"/>
      <c r="S58" s="92"/>
      <c r="T58" s="92"/>
      <c r="U58" s="92"/>
      <c r="V58" s="92"/>
      <c r="W58" s="92"/>
      <c r="X58" s="31"/>
      <c r="Y58" s="92" t="s">
        <v>330</v>
      </c>
      <c r="Z58" s="92"/>
      <c r="AA58" s="92"/>
      <c r="AB58" s="92"/>
      <c r="AC58" s="92"/>
      <c r="AD58" s="95"/>
      <c r="AE58" s="95"/>
      <c r="AF58" s="31"/>
      <c r="AG58" s="411" t="s">
        <v>330</v>
      </c>
      <c r="AH58" s="90"/>
      <c r="AI58" s="92"/>
      <c r="AJ58" s="92"/>
      <c r="AK58" s="92"/>
      <c r="AL58" s="92"/>
    </row>
    <row r="59" spans="3:38" x14ac:dyDescent="0.2">
      <c r="C59" s="28" t="s">
        <v>481</v>
      </c>
      <c r="D59" s="28" t="s">
        <v>482</v>
      </c>
      <c r="E59" s="28" t="s">
        <v>336</v>
      </c>
      <c r="F59" s="227" t="s">
        <v>627</v>
      </c>
      <c r="G59" s="227">
        <v>2015</v>
      </c>
      <c r="H59" s="227">
        <v>60</v>
      </c>
      <c r="I59" s="227">
        <v>15</v>
      </c>
      <c r="J59" s="391">
        <v>8.1661652256848988E-2</v>
      </c>
      <c r="K59" s="391">
        <v>8.4580825648230121E-2</v>
      </c>
      <c r="L59" s="391">
        <v>9.0735959335559599E-2</v>
      </c>
      <c r="M59" s="391">
        <v>9.5400055607782183E-2</v>
      </c>
      <c r="N59" s="391">
        <v>0.1003039002024544</v>
      </c>
      <c r="O59" s="28"/>
      <c r="Q59" s="28" t="s">
        <v>481</v>
      </c>
      <c r="R59" s="226">
        <v>269282.41320108762</v>
      </c>
      <c r="S59" s="226">
        <v>269282.41320108762</v>
      </c>
      <c r="T59" s="226">
        <v>269092.68965554365</v>
      </c>
      <c r="U59" s="226">
        <v>269092.68965554365</v>
      </c>
      <c r="V59" s="226">
        <v>269092.68965554365</v>
      </c>
      <c r="W59" s="28"/>
      <c r="Y59" s="28" t="s">
        <v>481</v>
      </c>
      <c r="Z59" s="226">
        <v>4717.1076067405847</v>
      </c>
      <c r="AA59" s="226">
        <v>4680.1589831890915</v>
      </c>
      <c r="AB59" s="226">
        <v>4546.0421337084772</v>
      </c>
      <c r="AC59" s="226">
        <v>4472.9154505925226</v>
      </c>
      <c r="AD59" s="226">
        <v>4387.6009869572435</v>
      </c>
      <c r="AE59" s="226"/>
      <c r="AG59" s="240" t="s">
        <v>481</v>
      </c>
      <c r="AH59" s="28"/>
      <c r="AI59" s="28"/>
      <c r="AJ59" s="28"/>
      <c r="AK59" s="28"/>
      <c r="AL59" s="28"/>
    </row>
    <row r="60" spans="3:38" x14ac:dyDescent="0.2">
      <c r="C60" s="28" t="s">
        <v>483</v>
      </c>
      <c r="D60" s="28" t="s">
        <v>484</v>
      </c>
      <c r="E60" s="28" t="s">
        <v>336</v>
      </c>
      <c r="F60" s="227" t="s">
        <v>627</v>
      </c>
      <c r="G60" s="227">
        <v>2015</v>
      </c>
      <c r="H60" s="227">
        <v>60</v>
      </c>
      <c r="I60" s="227">
        <v>15</v>
      </c>
      <c r="J60" s="391">
        <v>0.10551982518721022</v>
      </c>
      <c r="K60" s="391">
        <v>0.10920364247757924</v>
      </c>
      <c r="L60" s="391">
        <v>0.12011645737642822</v>
      </c>
      <c r="M60" s="391">
        <v>0.12246454856266478</v>
      </c>
      <c r="N60" s="391">
        <v>0.12946418155866227</v>
      </c>
      <c r="O60" s="28"/>
      <c r="Q60" s="28" t="s">
        <v>483</v>
      </c>
      <c r="R60" s="226">
        <v>300037.53548548039</v>
      </c>
      <c r="S60" s="226">
        <v>285838.05835574889</v>
      </c>
      <c r="T60" s="226">
        <v>280278.00516801793</v>
      </c>
      <c r="U60" s="226">
        <v>276737.71356624318</v>
      </c>
      <c r="V60" s="226">
        <v>274723.0845951339</v>
      </c>
      <c r="W60" s="28"/>
      <c r="Y60" s="28" t="s">
        <v>483</v>
      </c>
      <c r="Z60" s="226">
        <v>4856.8214626498175</v>
      </c>
      <c r="AA60" s="226">
        <v>4810.4969035728882</v>
      </c>
      <c r="AB60" s="226">
        <v>4718.5928458931776</v>
      </c>
      <c r="AC60" s="226">
        <v>4640.597175822375</v>
      </c>
      <c r="AD60" s="226">
        <v>4550.9045546403713</v>
      </c>
      <c r="AE60" s="226"/>
      <c r="AG60" s="240" t="s">
        <v>483</v>
      </c>
      <c r="AH60" s="28"/>
      <c r="AI60" s="28"/>
      <c r="AJ60" s="28"/>
      <c r="AK60" s="28"/>
      <c r="AL60" s="28"/>
    </row>
    <row r="61" spans="3:38" x14ac:dyDescent="0.2">
      <c r="C61" s="28" t="s">
        <v>485</v>
      </c>
      <c r="D61" s="28" t="s">
        <v>486</v>
      </c>
      <c r="E61" s="28" t="s">
        <v>336</v>
      </c>
      <c r="F61" s="227" t="s">
        <v>627</v>
      </c>
      <c r="G61" s="227">
        <v>2020</v>
      </c>
      <c r="H61" s="227">
        <v>60</v>
      </c>
      <c r="I61" s="227">
        <v>15</v>
      </c>
      <c r="J61" s="391">
        <v>0.13429795932917662</v>
      </c>
      <c r="K61" s="391">
        <v>0.14423122591378393</v>
      </c>
      <c r="L61" s="391">
        <v>0.1724645080573716</v>
      </c>
      <c r="M61" s="391">
        <v>0.19207842692813393</v>
      </c>
      <c r="N61" s="391">
        <v>0.2157736359311038</v>
      </c>
      <c r="O61" s="391">
        <v>0.23606215659732457</v>
      </c>
      <c r="Q61" s="28" t="s">
        <v>485</v>
      </c>
      <c r="R61" s="226">
        <v>414600.19396854925</v>
      </c>
      <c r="S61" s="226">
        <v>306049.13586353912</v>
      </c>
      <c r="T61" s="226">
        <v>295340.64115007309</v>
      </c>
      <c r="U61" s="226">
        <v>290096.85074836214</v>
      </c>
      <c r="V61" s="226">
        <v>284693.77012563706</v>
      </c>
      <c r="W61" s="28"/>
      <c r="Y61" s="28" t="s">
        <v>485</v>
      </c>
      <c r="Z61" s="226">
        <v>4698.0218173651219</v>
      </c>
      <c r="AA61" s="226">
        <v>4657.4387978060331</v>
      </c>
      <c r="AB61" s="226">
        <v>4570.31535369226</v>
      </c>
      <c r="AC61" s="226">
        <v>4496.9476737935283</v>
      </c>
      <c r="AD61" s="226">
        <v>4423.5968432184445</v>
      </c>
      <c r="AE61" s="226"/>
      <c r="AG61" s="240" t="s">
        <v>485</v>
      </c>
      <c r="AH61" s="28" t="s">
        <v>392</v>
      </c>
      <c r="AI61" s="28">
        <v>0.3</v>
      </c>
      <c r="AJ61" s="28">
        <v>0.43</v>
      </c>
      <c r="AK61" s="28">
        <v>0.6</v>
      </c>
      <c r="AL61" s="28">
        <v>0.65</v>
      </c>
    </row>
    <row r="62" spans="3:38" x14ac:dyDescent="0.2">
      <c r="C62" s="28" t="s">
        <v>1406</v>
      </c>
      <c r="D62" s="28" t="s">
        <v>1407</v>
      </c>
      <c r="E62" s="28" t="s">
        <v>392</v>
      </c>
      <c r="F62" s="227" t="s">
        <v>627</v>
      </c>
      <c r="G62" s="227">
        <v>2025</v>
      </c>
      <c r="H62" s="227">
        <v>60</v>
      </c>
      <c r="I62" s="227">
        <v>15</v>
      </c>
      <c r="J62" s="391"/>
      <c r="K62" s="391">
        <v>0.21828209918478253</v>
      </c>
      <c r="L62" s="391">
        <v>0.22961956521739119</v>
      </c>
      <c r="M62" s="391">
        <v>0.24154589371980678</v>
      </c>
      <c r="N62" s="391">
        <v>0.25409166992221549</v>
      </c>
      <c r="O62" s="391">
        <v>0.26978765510319663</v>
      </c>
      <c r="Q62" s="28" t="s">
        <v>1406</v>
      </c>
      <c r="R62" s="226"/>
      <c r="S62" s="226">
        <v>417685.48262031586</v>
      </c>
      <c r="T62" s="226">
        <v>313001.32662429567</v>
      </c>
      <c r="U62" s="226">
        <v>294627.17520053824</v>
      </c>
      <c r="V62" s="226">
        <v>286049.05794395425</v>
      </c>
      <c r="W62" s="28"/>
      <c r="Y62" s="28" t="s">
        <v>1406</v>
      </c>
      <c r="Z62" s="226"/>
      <c r="AA62" s="462">
        <v>4657.4387978060331</v>
      </c>
      <c r="AB62" s="462">
        <v>4570.31535369226</v>
      </c>
      <c r="AC62" s="462">
        <v>4496.9476737935283</v>
      </c>
      <c r="AD62" s="462">
        <v>4423.5968432184445</v>
      </c>
      <c r="AE62" s="226"/>
      <c r="AG62" s="240" t="s">
        <v>1406</v>
      </c>
      <c r="AH62" s="28"/>
      <c r="AI62" s="28"/>
      <c r="AJ62" s="28"/>
      <c r="AK62" s="28"/>
      <c r="AL62" s="28"/>
    </row>
    <row r="63" spans="3:38" x14ac:dyDescent="0.2">
      <c r="C63" s="28" t="s">
        <v>487</v>
      </c>
      <c r="D63" s="28" t="s">
        <v>488</v>
      </c>
      <c r="E63" s="28" t="s">
        <v>337</v>
      </c>
      <c r="F63" s="227" t="s">
        <v>627</v>
      </c>
      <c r="G63" s="227">
        <v>2015</v>
      </c>
      <c r="H63" s="227">
        <v>60</v>
      </c>
      <c r="I63" s="227">
        <v>15</v>
      </c>
      <c r="J63" s="391">
        <v>8.1661652256848988E-2</v>
      </c>
      <c r="K63" s="391">
        <v>8.4580825648230121E-2</v>
      </c>
      <c r="L63" s="391">
        <v>9.0735959335559599E-2</v>
      </c>
      <c r="M63" s="391">
        <v>9.5400055607782183E-2</v>
      </c>
      <c r="N63" s="391">
        <v>0.1003039002024544</v>
      </c>
      <c r="O63" s="28"/>
      <c r="Q63" s="28" t="s">
        <v>487</v>
      </c>
      <c r="R63" s="226">
        <v>268199.00135637674</v>
      </c>
      <c r="S63" s="226">
        <v>268199.00135637674</v>
      </c>
      <c r="T63" s="226">
        <v>270950.39590951544</v>
      </c>
      <c r="U63" s="226">
        <v>270950.39590951544</v>
      </c>
      <c r="V63" s="226">
        <v>270950.39590951544</v>
      </c>
      <c r="W63" s="28"/>
      <c r="Y63" s="28" t="s">
        <v>487</v>
      </c>
      <c r="Z63" s="226">
        <v>5034.5352599603875</v>
      </c>
      <c r="AA63" s="226">
        <v>4993.7147037985469</v>
      </c>
      <c r="AB63" s="226">
        <v>4900.2898956438612</v>
      </c>
      <c r="AC63" s="226">
        <v>4764.1707318759763</v>
      </c>
      <c r="AD63" s="226">
        <v>4628.0515681080906</v>
      </c>
      <c r="AE63" s="226"/>
      <c r="AG63" s="240" t="s">
        <v>487</v>
      </c>
      <c r="AH63" s="28"/>
      <c r="AI63" s="28"/>
      <c r="AJ63" s="28"/>
      <c r="AK63" s="28"/>
      <c r="AL63" s="28"/>
    </row>
    <row r="64" spans="3:38" x14ac:dyDescent="0.2">
      <c r="C64" s="28" t="s">
        <v>489</v>
      </c>
      <c r="D64" s="28" t="s">
        <v>490</v>
      </c>
      <c r="E64" s="28" t="s">
        <v>338</v>
      </c>
      <c r="F64" s="227" t="s">
        <v>627</v>
      </c>
      <c r="G64" s="227">
        <v>2015</v>
      </c>
      <c r="H64" s="227">
        <v>60</v>
      </c>
      <c r="I64" s="227">
        <v>15</v>
      </c>
      <c r="J64" s="391">
        <v>7.8678088654263817E-2</v>
      </c>
      <c r="K64" s="391">
        <v>8.1490608074785226E-2</v>
      </c>
      <c r="L64" s="391">
        <v>8.7420859796944514E-2</v>
      </c>
      <c r="M64" s="391">
        <v>9.1914550162696035E-2</v>
      </c>
      <c r="N64" s="391">
        <v>9.6639229484060049E-2</v>
      </c>
      <c r="O64" s="28"/>
      <c r="Q64" s="28" t="s">
        <v>489</v>
      </c>
      <c r="R64" s="226">
        <v>274609.05100108671</v>
      </c>
      <c r="S64" s="226">
        <v>274609.05100108671</v>
      </c>
      <c r="T64" s="226">
        <v>273731.56118039403</v>
      </c>
      <c r="U64" s="226">
        <v>273731.56118039403</v>
      </c>
      <c r="V64" s="226">
        <v>273731.56118039403</v>
      </c>
      <c r="W64" s="28"/>
      <c r="Y64" s="28" t="s">
        <v>489</v>
      </c>
      <c r="Z64" s="226">
        <v>5290.8161630592167</v>
      </c>
      <c r="AA64" s="226">
        <v>5247.917653629007</v>
      </c>
      <c r="AB64" s="226">
        <v>5147.22047599903</v>
      </c>
      <c r="AC64" s="226">
        <v>5004.2421294435017</v>
      </c>
      <c r="AD64" s="226">
        <v>4861.2637828879733</v>
      </c>
      <c r="AE64" s="226"/>
      <c r="AG64" s="240" t="s">
        <v>489</v>
      </c>
      <c r="AH64" s="28"/>
      <c r="AI64" s="28"/>
      <c r="AJ64" s="28"/>
      <c r="AK64" s="28"/>
      <c r="AL64" s="28"/>
    </row>
    <row r="65" spans="3:38" x14ac:dyDescent="0.2">
      <c r="C65" s="28" t="s">
        <v>491</v>
      </c>
      <c r="D65" s="28" t="s">
        <v>492</v>
      </c>
      <c r="E65" s="28" t="s">
        <v>340</v>
      </c>
      <c r="F65" s="227" t="s">
        <v>627</v>
      </c>
      <c r="G65" s="227">
        <v>2015</v>
      </c>
      <c r="H65" s="227">
        <v>60</v>
      </c>
      <c r="I65" s="227">
        <v>15</v>
      </c>
      <c r="J65" s="391">
        <v>8.1661652256848988E-2</v>
      </c>
      <c r="K65" s="391">
        <v>8.4580825648230121E-2</v>
      </c>
      <c r="L65" s="391">
        <v>9.0735959335559599E-2</v>
      </c>
      <c r="M65" s="391">
        <v>9.5400055607782183E-2</v>
      </c>
      <c r="N65" s="391">
        <v>0.1003039002024544</v>
      </c>
      <c r="O65" s="28"/>
      <c r="Q65" s="28" t="s">
        <v>491</v>
      </c>
      <c r="R65" s="226">
        <v>264474.22572767537</v>
      </c>
      <c r="S65" s="226">
        <v>264474.22572767537</v>
      </c>
      <c r="T65" s="226">
        <v>261286.38485043441</v>
      </c>
      <c r="U65" s="226">
        <v>261286.38485043441</v>
      </c>
      <c r="V65" s="226">
        <v>261286.38485043441</v>
      </c>
      <c r="W65" s="28"/>
      <c r="Y65" s="28" t="s">
        <v>491</v>
      </c>
      <c r="Z65" s="226">
        <v>5467.8559831214898</v>
      </c>
      <c r="AA65" s="226">
        <v>5425.0268239847683</v>
      </c>
      <c r="AB65" s="226">
        <v>5322.7382604277245</v>
      </c>
      <c r="AC65" s="226">
        <v>5237.117805836393</v>
      </c>
      <c r="AD65" s="226">
        <v>5137.2272754798396</v>
      </c>
      <c r="AE65" s="226"/>
      <c r="AG65" s="240" t="s">
        <v>491</v>
      </c>
      <c r="AH65" s="28"/>
      <c r="AI65" s="28"/>
      <c r="AJ65" s="28"/>
      <c r="AK65" s="28"/>
      <c r="AL65" s="28"/>
    </row>
    <row r="66" spans="3:38" x14ac:dyDescent="0.2">
      <c r="C66" s="28" t="s">
        <v>493</v>
      </c>
      <c r="D66" s="28" t="s">
        <v>494</v>
      </c>
      <c r="E66" s="28" t="s">
        <v>339</v>
      </c>
      <c r="F66" s="227" t="s">
        <v>627</v>
      </c>
      <c r="G66" s="227">
        <v>2025</v>
      </c>
      <c r="H66" s="227">
        <v>60</v>
      </c>
      <c r="I66" s="227">
        <v>15</v>
      </c>
      <c r="J66" s="391">
        <v>0.10551982518721022</v>
      </c>
      <c r="K66" s="391">
        <v>0.10920364247757924</v>
      </c>
      <c r="L66" s="391">
        <v>0.12011645737642822</v>
      </c>
      <c r="M66" s="391">
        <v>0.12246454856266478</v>
      </c>
      <c r="N66" s="391">
        <v>0.12946418155866227</v>
      </c>
      <c r="O66" s="28"/>
      <c r="Q66" s="28" t="s">
        <v>493</v>
      </c>
      <c r="R66" s="226">
        <v>278896.53475034732</v>
      </c>
      <c r="S66" s="226">
        <v>278896.53475034732</v>
      </c>
      <c r="T66" s="226">
        <v>275852.55635893735</v>
      </c>
      <c r="U66" s="226">
        <v>275852.55635893735</v>
      </c>
      <c r="V66" s="226">
        <v>275852.55635893735</v>
      </c>
      <c r="W66" s="28"/>
      <c r="Y66" s="28" t="s">
        <v>493</v>
      </c>
      <c r="Z66" s="226">
        <v>5550.8885390920186</v>
      </c>
      <c r="AA66" s="226">
        <v>5507.4089943993922</v>
      </c>
      <c r="AB66" s="226">
        <v>5294.8938315352189</v>
      </c>
      <c r="AC66" s="226">
        <v>5209.7212766043576</v>
      </c>
      <c r="AD66" s="226">
        <v>5110.353295851688</v>
      </c>
      <c r="AE66" s="226"/>
      <c r="AG66" s="240" t="s">
        <v>493</v>
      </c>
      <c r="AH66" s="28"/>
      <c r="AI66" s="28"/>
      <c r="AJ66" s="28"/>
      <c r="AK66" s="28"/>
      <c r="AL66" s="28"/>
    </row>
    <row r="67" spans="3:38" x14ac:dyDescent="0.2">
      <c r="C67" s="28" t="s">
        <v>495</v>
      </c>
      <c r="D67" s="28" t="s">
        <v>496</v>
      </c>
      <c r="E67" s="28" t="s">
        <v>339</v>
      </c>
      <c r="F67" s="227" t="s">
        <v>627</v>
      </c>
      <c r="G67" s="227">
        <v>2035</v>
      </c>
      <c r="H67" s="227">
        <v>60</v>
      </c>
      <c r="I67" s="227">
        <v>15</v>
      </c>
      <c r="J67" s="391">
        <v>0.11030518511702095</v>
      </c>
      <c r="K67" s="391">
        <v>0.10918489879146195</v>
      </c>
      <c r="L67" s="391">
        <v>0.12390529290041755</v>
      </c>
      <c r="M67" s="391">
        <v>0.13632744236216263</v>
      </c>
      <c r="N67" s="391">
        <v>0.14847463073383388</v>
      </c>
      <c r="O67" s="391">
        <v>0.15764634267725697</v>
      </c>
      <c r="Q67" s="28" t="s">
        <v>495</v>
      </c>
      <c r="R67" s="226">
        <v>500615.20055615256</v>
      </c>
      <c r="S67" s="226">
        <v>419996.42582634243</v>
      </c>
      <c r="T67" s="226">
        <v>376259.29659924062</v>
      </c>
      <c r="U67" s="226">
        <v>354217.43300633784</v>
      </c>
      <c r="V67" s="226">
        <v>335849.08629656315</v>
      </c>
      <c r="W67" s="28"/>
      <c r="Y67" s="28" t="s">
        <v>495</v>
      </c>
      <c r="Z67" s="226">
        <v>5590.0466933710495</v>
      </c>
      <c r="AA67" s="226">
        <v>5425.7818437913438</v>
      </c>
      <c r="AB67" s="226">
        <v>5115.3693093270731</v>
      </c>
      <c r="AC67" s="226">
        <v>4996.6633606900368</v>
      </c>
      <c r="AD67" s="226">
        <v>4882.4036188976524</v>
      </c>
      <c r="AE67" s="226"/>
      <c r="AG67" s="240" t="s">
        <v>495</v>
      </c>
      <c r="AH67" s="28"/>
      <c r="AI67" s="28"/>
      <c r="AJ67" s="28"/>
      <c r="AK67" s="28"/>
      <c r="AL67" s="28"/>
    </row>
    <row r="68" spans="3:38" x14ac:dyDescent="0.2">
      <c r="C68" s="28" t="s">
        <v>497</v>
      </c>
      <c r="D68" s="28" t="s">
        <v>498</v>
      </c>
      <c r="E68" s="28" t="s">
        <v>998</v>
      </c>
      <c r="F68" s="227" t="s">
        <v>627</v>
      </c>
      <c r="G68" s="227">
        <v>2025</v>
      </c>
      <c r="H68" s="227">
        <v>60</v>
      </c>
      <c r="I68" s="227">
        <v>15</v>
      </c>
      <c r="J68" s="391">
        <v>0.1345155057026157</v>
      </c>
      <c r="K68" s="391">
        <v>0.13314933346461599</v>
      </c>
      <c r="L68" s="391">
        <v>0.15110063154373432</v>
      </c>
      <c r="M68" s="391">
        <v>0.16624925501947943</v>
      </c>
      <c r="N68" s="391">
        <v>0.18106256760262615</v>
      </c>
      <c r="O68" s="391">
        <v>0.1922473316635307</v>
      </c>
      <c r="Q68" s="28" t="s">
        <v>497</v>
      </c>
      <c r="R68" s="226">
        <v>500615.20055615256</v>
      </c>
      <c r="S68" s="226">
        <v>419996.42582634243</v>
      </c>
      <c r="T68" s="226">
        <v>376259.29659924062</v>
      </c>
      <c r="U68" s="226">
        <v>354217.43300633784</v>
      </c>
      <c r="V68" s="226">
        <v>335849.08629656315</v>
      </c>
      <c r="W68" s="28"/>
      <c r="Y68" s="28" t="s">
        <v>497</v>
      </c>
      <c r="Z68" s="226">
        <v>4877.5372860085872</v>
      </c>
      <c r="AA68" s="226">
        <v>4668.0501373218976</v>
      </c>
      <c r="AB68" s="226">
        <v>4335.3754950629609</v>
      </c>
      <c r="AC68" s="226">
        <v>4215.5428426410781</v>
      </c>
      <c r="AD68" s="226">
        <v>4113.0423795978222</v>
      </c>
      <c r="AE68" s="226"/>
      <c r="AG68" s="240" t="s">
        <v>497</v>
      </c>
      <c r="AH68" s="28"/>
      <c r="AI68" s="28"/>
      <c r="AJ68" s="28"/>
      <c r="AK68" s="28"/>
      <c r="AL68" s="28"/>
    </row>
    <row r="69" spans="3:38" x14ac:dyDescent="0.2">
      <c r="C69" s="90" t="s">
        <v>330</v>
      </c>
      <c r="D69" s="91" t="s">
        <v>660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31"/>
      <c r="Q69" s="411" t="s">
        <v>330</v>
      </c>
      <c r="R69" s="92"/>
      <c r="S69" s="92"/>
      <c r="T69" s="92"/>
      <c r="U69" s="92"/>
      <c r="V69" s="92"/>
      <c r="W69" s="92"/>
      <c r="X69" s="31"/>
      <c r="Y69" s="411" t="s">
        <v>330</v>
      </c>
      <c r="Z69" s="92"/>
      <c r="AA69" s="92"/>
      <c r="AB69" s="92"/>
      <c r="AC69" s="92"/>
      <c r="AD69" s="92"/>
      <c r="AE69" s="92"/>
      <c r="AF69" s="31"/>
      <c r="AG69" s="411" t="s">
        <v>330</v>
      </c>
      <c r="AH69" s="90"/>
      <c r="AI69" s="92"/>
      <c r="AJ69" s="92"/>
      <c r="AK69" s="92"/>
      <c r="AL69" s="92"/>
    </row>
    <row r="70" spans="3:38" x14ac:dyDescent="0.2">
      <c r="C70" s="28" t="s">
        <v>629</v>
      </c>
      <c r="D70" s="28" t="s">
        <v>260</v>
      </c>
      <c r="E70" s="28" t="s">
        <v>332</v>
      </c>
      <c r="F70" s="227" t="s">
        <v>628</v>
      </c>
      <c r="G70" s="227">
        <v>2015</v>
      </c>
      <c r="H70" s="227">
        <v>10</v>
      </c>
      <c r="I70" s="227">
        <v>10</v>
      </c>
      <c r="J70" s="28">
        <v>1.02</v>
      </c>
      <c r="K70" s="28">
        <v>1.1200000000000001</v>
      </c>
      <c r="L70" s="28">
        <v>1.21</v>
      </c>
      <c r="M70" s="28">
        <v>1.31</v>
      </c>
      <c r="N70" s="28">
        <v>1.41</v>
      </c>
      <c r="O70" s="28">
        <v>1.6</v>
      </c>
      <c r="Q70" s="240" t="str">
        <f t="shared" ref="Q70:Q78" si="0">$C70</f>
        <v>TRWMCG005</v>
      </c>
      <c r="R70" s="28">
        <v>3500</v>
      </c>
      <c r="S70" s="28"/>
      <c r="T70" s="28">
        <v>3500</v>
      </c>
      <c r="U70" s="28"/>
      <c r="V70" s="28">
        <v>3500</v>
      </c>
      <c r="W70" s="28"/>
      <c r="Y70" s="240" t="s">
        <v>629</v>
      </c>
      <c r="Z70" s="28">
        <v>30</v>
      </c>
      <c r="AA70" s="28"/>
      <c r="AB70" s="28"/>
      <c r="AC70" s="28"/>
      <c r="AD70" s="28"/>
      <c r="AE70" s="28"/>
      <c r="AG70" s="240"/>
      <c r="AH70" s="28"/>
      <c r="AI70" s="28"/>
      <c r="AJ70" s="28"/>
      <c r="AK70" s="28"/>
      <c r="AL70" s="28"/>
    </row>
    <row r="71" spans="3:38" x14ac:dyDescent="0.2">
      <c r="C71" s="28" t="s">
        <v>1326</v>
      </c>
      <c r="D71" s="28" t="s">
        <v>1327</v>
      </c>
      <c r="E71" s="28" t="s">
        <v>392</v>
      </c>
      <c r="F71" s="227" t="s">
        <v>628</v>
      </c>
      <c r="G71" s="227">
        <v>2020</v>
      </c>
      <c r="H71" s="227">
        <v>10</v>
      </c>
      <c r="I71" s="227">
        <v>10</v>
      </c>
      <c r="J71" s="159">
        <v>3</v>
      </c>
      <c r="K71" s="159">
        <v>3.2</v>
      </c>
      <c r="L71" s="159">
        <v>3.6</v>
      </c>
      <c r="M71" s="159">
        <v>4</v>
      </c>
      <c r="N71" s="159">
        <v>4.4000000000000004</v>
      </c>
      <c r="O71" s="28"/>
      <c r="Q71" s="240" t="str">
        <f t="shared" si="0"/>
        <v>TRWMCE005</v>
      </c>
      <c r="R71" s="28">
        <v>5000</v>
      </c>
      <c r="S71" s="28"/>
      <c r="T71" s="28">
        <v>4100</v>
      </c>
      <c r="U71" s="28"/>
      <c r="V71" s="28">
        <v>3900</v>
      </c>
      <c r="W71" s="28"/>
      <c r="Y71" s="240" t="s">
        <v>1326</v>
      </c>
      <c r="Z71" s="28">
        <v>20</v>
      </c>
      <c r="AA71" s="28"/>
      <c r="AB71" s="28"/>
      <c r="AC71" s="28"/>
      <c r="AD71" s="28"/>
      <c r="AE71" s="28"/>
      <c r="AG71" s="240"/>
      <c r="AH71" s="28"/>
      <c r="AI71" s="28"/>
      <c r="AJ71" s="28"/>
      <c r="AK71" s="28"/>
      <c r="AL71" s="28"/>
    </row>
    <row r="72" spans="3:38" x14ac:dyDescent="0.2">
      <c r="C72" s="28" t="s">
        <v>528</v>
      </c>
      <c r="D72" s="28" t="s">
        <v>529</v>
      </c>
      <c r="E72" s="28" t="s">
        <v>332</v>
      </c>
      <c r="F72" s="227" t="s">
        <v>530</v>
      </c>
      <c r="G72" s="227">
        <v>2010</v>
      </c>
      <c r="H72" s="227">
        <v>10</v>
      </c>
      <c r="I72" s="227">
        <v>10</v>
      </c>
      <c r="J72" s="392">
        <v>0.36</v>
      </c>
      <c r="K72" s="392">
        <v>0.4</v>
      </c>
      <c r="L72" s="392">
        <v>0.43</v>
      </c>
      <c r="M72" s="392">
        <v>0.47</v>
      </c>
      <c r="N72" s="392">
        <v>0.5</v>
      </c>
      <c r="O72" s="392">
        <v>0.57499999999999996</v>
      </c>
      <c r="Q72" s="240" t="str">
        <f t="shared" si="0"/>
        <v>TREGSL005</v>
      </c>
      <c r="R72" s="28">
        <v>10000</v>
      </c>
      <c r="S72" s="28"/>
      <c r="T72" s="28"/>
      <c r="U72" s="28"/>
      <c r="V72" s="28"/>
      <c r="W72" s="28"/>
      <c r="Y72" s="240" t="s">
        <v>528</v>
      </c>
      <c r="Z72" s="28">
        <v>40</v>
      </c>
      <c r="AA72" s="28"/>
      <c r="AB72" s="28"/>
      <c r="AC72" s="28"/>
      <c r="AD72" s="28"/>
      <c r="AE72" s="28"/>
      <c r="AG72" s="240"/>
      <c r="AH72" s="28"/>
      <c r="AI72" s="28"/>
      <c r="AJ72" s="28"/>
      <c r="AK72" s="28"/>
      <c r="AL72" s="28"/>
    </row>
    <row r="73" spans="3:38" x14ac:dyDescent="0.2">
      <c r="C73" s="28" t="s">
        <v>531</v>
      </c>
      <c r="D73" s="28" t="s">
        <v>1166</v>
      </c>
      <c r="E73" s="28" t="s">
        <v>336</v>
      </c>
      <c r="F73" s="227" t="s">
        <v>530</v>
      </c>
      <c r="G73" s="227">
        <v>2010</v>
      </c>
      <c r="H73" s="227">
        <v>10</v>
      </c>
      <c r="I73" s="227">
        <v>10</v>
      </c>
      <c r="J73" s="392">
        <v>0.28999999999999998</v>
      </c>
      <c r="K73" s="392">
        <v>0.32</v>
      </c>
      <c r="L73" s="392">
        <v>0.35</v>
      </c>
      <c r="M73" s="392">
        <v>0.37</v>
      </c>
      <c r="N73" s="392">
        <v>0.4</v>
      </c>
      <c r="O73" s="392">
        <v>0.44800000000000006</v>
      </c>
      <c r="Q73" s="240" t="str">
        <f t="shared" si="0"/>
        <v>TREDST005</v>
      </c>
      <c r="R73" s="28">
        <v>10000</v>
      </c>
      <c r="S73" s="28"/>
      <c r="T73" s="28"/>
      <c r="U73" s="28"/>
      <c r="V73" s="28"/>
      <c r="W73" s="28"/>
      <c r="Y73" s="240" t="s">
        <v>531</v>
      </c>
      <c r="Z73" s="28">
        <v>60</v>
      </c>
      <c r="AA73" s="28"/>
      <c r="AB73" s="28"/>
      <c r="AC73" s="28"/>
      <c r="AD73" s="28"/>
      <c r="AE73" s="28"/>
      <c r="AG73" s="240"/>
      <c r="AH73" s="28"/>
      <c r="AI73" s="28"/>
      <c r="AJ73" s="28"/>
      <c r="AK73" s="28"/>
      <c r="AL73" s="28"/>
    </row>
    <row r="74" spans="3:38" x14ac:dyDescent="0.2">
      <c r="C74" s="28" t="s">
        <v>1215</v>
      </c>
      <c r="D74" s="28" t="s">
        <v>499</v>
      </c>
      <c r="E74" s="28" t="s">
        <v>998</v>
      </c>
      <c r="F74" s="227" t="s">
        <v>1214</v>
      </c>
      <c r="G74" s="227">
        <v>2030</v>
      </c>
      <c r="H74" s="227">
        <v>1</v>
      </c>
      <c r="I74" s="227">
        <v>30</v>
      </c>
      <c r="J74" s="28"/>
      <c r="K74" s="28"/>
      <c r="L74" s="159">
        <v>1.75</v>
      </c>
      <c r="M74" s="159">
        <v>2.15</v>
      </c>
      <c r="N74" s="159">
        <v>2.4500000000000002</v>
      </c>
      <c r="O74" s="28">
        <v>2.7</v>
      </c>
      <c r="Q74" s="240" t="str">
        <f t="shared" si="0"/>
        <v>TPAI005</v>
      </c>
      <c r="R74" s="28"/>
      <c r="S74" s="28"/>
      <c r="T74" s="28"/>
      <c r="U74" s="28">
        <v>135</v>
      </c>
      <c r="V74" s="28"/>
      <c r="W74" s="28"/>
      <c r="Y74" s="240" t="str">
        <f t="shared" ref="Y74:Y81" si="1">$C74</f>
        <v>TPAI005</v>
      </c>
      <c r="Z74" s="415">
        <v>1.3</v>
      </c>
      <c r="AA74" s="28"/>
      <c r="AB74" s="28"/>
      <c r="AC74" s="227"/>
      <c r="AD74" s="28"/>
      <c r="AE74" s="28"/>
      <c r="AG74" s="240"/>
      <c r="AH74" s="28"/>
      <c r="AI74" s="28"/>
      <c r="AJ74" s="28"/>
      <c r="AK74" s="28"/>
      <c r="AL74" s="28"/>
    </row>
    <row r="75" spans="3:38" x14ac:dyDescent="0.2">
      <c r="C75" s="28" t="s">
        <v>1216</v>
      </c>
      <c r="D75" s="28" t="s">
        <v>1358</v>
      </c>
      <c r="E75" s="28" t="s">
        <v>998</v>
      </c>
      <c r="F75" s="227" t="s">
        <v>1213</v>
      </c>
      <c r="G75" s="227">
        <v>2030</v>
      </c>
      <c r="H75" s="227">
        <v>1</v>
      </c>
      <c r="I75" s="227">
        <v>30</v>
      </c>
      <c r="J75" s="28"/>
      <c r="K75" s="28"/>
      <c r="L75" s="159">
        <v>1.75</v>
      </c>
      <c r="M75" s="159">
        <v>2.15</v>
      </c>
      <c r="N75" s="159">
        <v>2.4500000000000002</v>
      </c>
      <c r="O75" s="28">
        <v>2.7</v>
      </c>
      <c r="Q75" s="240" t="str">
        <f t="shared" si="0"/>
        <v>TPAN005</v>
      </c>
      <c r="R75" s="28"/>
      <c r="S75" s="28"/>
      <c r="T75" s="28"/>
      <c r="U75" s="28">
        <v>150</v>
      </c>
      <c r="V75" s="28"/>
      <c r="W75" s="28"/>
      <c r="Y75" s="240" t="str">
        <f t="shared" si="1"/>
        <v>TPAN005</v>
      </c>
      <c r="Z75" s="415">
        <v>1.5</v>
      </c>
      <c r="AA75" s="28"/>
      <c r="AB75" s="28"/>
      <c r="AC75" s="227"/>
      <c r="AD75" s="28"/>
      <c r="AE75" s="28"/>
      <c r="AG75" s="240"/>
      <c r="AH75" s="28"/>
      <c r="AI75" s="28"/>
      <c r="AJ75" s="28"/>
      <c r="AK75" s="28"/>
      <c r="AL75" s="28"/>
    </row>
    <row r="76" spans="3:38" x14ac:dyDescent="0.2">
      <c r="C76" s="28" t="s">
        <v>1355</v>
      </c>
      <c r="D76" s="28" t="s">
        <v>1357</v>
      </c>
      <c r="E76" s="28" t="s">
        <v>1356</v>
      </c>
      <c r="F76" s="227" t="s">
        <v>1213</v>
      </c>
      <c r="G76" s="227">
        <v>2030</v>
      </c>
      <c r="H76" s="227">
        <v>1</v>
      </c>
      <c r="I76" s="227">
        <v>25</v>
      </c>
      <c r="J76" s="28"/>
      <c r="K76" s="28"/>
      <c r="L76" s="28">
        <v>2.65</v>
      </c>
      <c r="M76" s="28">
        <v>2.85</v>
      </c>
      <c r="N76" s="28">
        <v>3.05</v>
      </c>
      <c r="O76" s="28">
        <v>3.15</v>
      </c>
      <c r="Q76" s="240" t="str">
        <f t="shared" si="0"/>
        <v>TPAN009</v>
      </c>
      <c r="R76" s="28"/>
      <c r="S76" s="28"/>
      <c r="T76" s="28">
        <v>200</v>
      </c>
      <c r="U76" s="28">
        <v>190</v>
      </c>
      <c r="V76" s="28">
        <v>180</v>
      </c>
      <c r="W76" s="28"/>
      <c r="Y76" s="240" t="str">
        <f t="shared" si="1"/>
        <v>TPAN009</v>
      </c>
      <c r="Z76" s="415">
        <v>1.8</v>
      </c>
      <c r="AA76" s="28"/>
      <c r="AB76" s="28"/>
      <c r="AC76" s="227"/>
      <c r="AD76" s="28"/>
      <c r="AE76" s="28"/>
      <c r="AG76" s="240"/>
      <c r="AH76" s="28"/>
      <c r="AI76" s="28"/>
      <c r="AJ76" s="28"/>
      <c r="AK76" s="28"/>
      <c r="AL76" s="28"/>
    </row>
    <row r="77" spans="3:38" x14ac:dyDescent="0.2">
      <c r="C77" s="28" t="s">
        <v>1217</v>
      </c>
      <c r="D77" s="28" t="s">
        <v>940</v>
      </c>
      <c r="E77" s="28" t="s">
        <v>939</v>
      </c>
      <c r="F77" s="227" t="s">
        <v>1212</v>
      </c>
      <c r="G77" s="227">
        <v>2030</v>
      </c>
      <c r="H77" s="227">
        <v>1</v>
      </c>
      <c r="I77" s="227">
        <v>30</v>
      </c>
      <c r="J77" s="28"/>
      <c r="K77" s="28"/>
      <c r="L77" s="28">
        <v>2</v>
      </c>
      <c r="M77" s="28">
        <v>2.4</v>
      </c>
      <c r="N77" s="28">
        <v>2.64</v>
      </c>
      <c r="O77" s="28">
        <v>2.8</v>
      </c>
      <c r="Q77" s="240" t="str">
        <f t="shared" si="0"/>
        <v>TFSN005</v>
      </c>
      <c r="R77" s="28"/>
      <c r="S77" s="28"/>
      <c r="T77" s="28"/>
      <c r="U77" s="28">
        <v>90</v>
      </c>
      <c r="V77" s="28"/>
      <c r="W77" s="28"/>
      <c r="Y77" s="240" t="str">
        <f t="shared" si="1"/>
        <v>TFSN005</v>
      </c>
      <c r="Z77" s="415">
        <v>1</v>
      </c>
      <c r="AA77" s="28"/>
      <c r="AB77" s="28"/>
      <c r="AC77" s="227"/>
      <c r="AD77" s="28"/>
      <c r="AE77" s="28"/>
      <c r="AG77" s="240"/>
      <c r="AH77" s="28"/>
      <c r="AI77" s="28"/>
      <c r="AJ77" s="28"/>
      <c r="AK77" s="28"/>
      <c r="AL77" s="28"/>
    </row>
    <row r="78" spans="3:38" x14ac:dyDescent="0.2">
      <c r="C78" s="28" t="s">
        <v>1344</v>
      </c>
      <c r="D78" s="28" t="s">
        <v>1345</v>
      </c>
      <c r="E78" s="28" t="s">
        <v>339</v>
      </c>
      <c r="F78" s="227" t="s">
        <v>1212</v>
      </c>
      <c r="G78" s="227">
        <v>2030</v>
      </c>
      <c r="H78" s="227">
        <v>1</v>
      </c>
      <c r="I78" s="227">
        <v>30</v>
      </c>
      <c r="J78" s="28"/>
      <c r="K78" s="28"/>
      <c r="L78" s="28">
        <v>2</v>
      </c>
      <c r="M78" s="28">
        <v>2.4</v>
      </c>
      <c r="N78" s="28">
        <v>2.64</v>
      </c>
      <c r="O78" s="28">
        <v>2.8</v>
      </c>
      <c r="Q78" s="240" t="str">
        <f t="shared" si="0"/>
        <v>TFSN009</v>
      </c>
      <c r="R78" s="28"/>
      <c r="S78" s="28"/>
      <c r="T78" s="28"/>
      <c r="U78" s="28">
        <v>95</v>
      </c>
      <c r="V78" s="28"/>
      <c r="W78" s="28"/>
      <c r="Y78" s="240" t="str">
        <f t="shared" si="1"/>
        <v>TFSN009</v>
      </c>
      <c r="Z78" s="415">
        <v>1</v>
      </c>
      <c r="AA78" s="28"/>
      <c r="AB78" s="28"/>
      <c r="AC78" s="227"/>
      <c r="AD78" s="28"/>
      <c r="AE78" s="28"/>
      <c r="AG78" s="240"/>
      <c r="AH78" s="28"/>
      <c r="AI78" s="28"/>
      <c r="AJ78" s="28"/>
      <c r="AK78" s="28"/>
      <c r="AL78" s="28"/>
    </row>
    <row r="79" spans="3:38" x14ac:dyDescent="0.2">
      <c r="C79" s="28" t="s">
        <v>1218</v>
      </c>
      <c r="D79" s="28" t="s">
        <v>941</v>
      </c>
      <c r="E79" s="28" t="s">
        <v>970</v>
      </c>
      <c r="F79" s="227" t="s">
        <v>1211</v>
      </c>
      <c r="G79" s="227">
        <v>2030</v>
      </c>
      <c r="H79" s="227">
        <v>1</v>
      </c>
      <c r="I79" s="227">
        <v>30</v>
      </c>
      <c r="J79" s="28"/>
      <c r="K79" s="28"/>
      <c r="L79" s="28">
        <v>2</v>
      </c>
      <c r="M79" s="28">
        <v>2.4</v>
      </c>
      <c r="N79" s="28">
        <v>2.64</v>
      </c>
      <c r="O79" s="28">
        <v>2.8</v>
      </c>
      <c r="Q79" s="240" t="str">
        <f>$C79</f>
        <v>TFSI005</v>
      </c>
      <c r="R79" s="28"/>
      <c r="S79" s="28"/>
      <c r="T79" s="28"/>
      <c r="U79" s="28">
        <v>80</v>
      </c>
      <c r="V79" s="28"/>
      <c r="W79" s="28"/>
      <c r="Y79" s="240" t="str">
        <f t="shared" si="1"/>
        <v>TFSI005</v>
      </c>
      <c r="Z79" s="415">
        <v>1</v>
      </c>
      <c r="AA79" s="28"/>
      <c r="AB79" s="28"/>
      <c r="AC79" s="227"/>
      <c r="AD79" s="28"/>
      <c r="AE79" s="28"/>
      <c r="AG79" s="240"/>
      <c r="AH79" s="28"/>
      <c r="AI79" s="28"/>
      <c r="AJ79" s="28"/>
      <c r="AK79" s="28"/>
      <c r="AL79" s="28"/>
    </row>
    <row r="80" spans="3:38" x14ac:dyDescent="0.2">
      <c r="C80" s="28" t="s">
        <v>1219</v>
      </c>
      <c r="D80" s="28" t="s">
        <v>1341</v>
      </c>
      <c r="E80" s="28" t="s">
        <v>1343</v>
      </c>
      <c r="F80" s="227" t="s">
        <v>1211</v>
      </c>
      <c r="G80" s="227">
        <v>2030</v>
      </c>
      <c r="H80" s="227">
        <v>1</v>
      </c>
      <c r="I80" s="227">
        <v>30</v>
      </c>
      <c r="J80" s="28"/>
      <c r="K80" s="28"/>
      <c r="L80" s="28">
        <v>2</v>
      </c>
      <c r="M80" s="28">
        <v>2.4</v>
      </c>
      <c r="N80" s="28">
        <v>2.64</v>
      </c>
      <c r="O80" s="28">
        <v>2.8</v>
      </c>
      <c r="Q80" s="240" t="str">
        <f>$C80</f>
        <v>TFSI007</v>
      </c>
      <c r="R80" s="28"/>
      <c r="S80" s="28"/>
      <c r="T80" s="28"/>
      <c r="U80" s="28">
        <v>90</v>
      </c>
      <c r="V80" s="28"/>
      <c r="W80" s="28"/>
      <c r="Y80" s="240" t="str">
        <f t="shared" si="1"/>
        <v>TFSI007</v>
      </c>
      <c r="Z80" s="415">
        <v>1</v>
      </c>
      <c r="AA80" s="28"/>
      <c r="AB80" s="28"/>
      <c r="AC80" s="227"/>
      <c r="AD80" s="28"/>
      <c r="AE80" s="28"/>
      <c r="AG80" s="240"/>
      <c r="AH80" s="28"/>
      <c r="AI80" s="28"/>
      <c r="AJ80" s="28"/>
      <c r="AK80" s="28"/>
      <c r="AL80" s="28"/>
    </row>
    <row r="81" spans="2:38" x14ac:dyDescent="0.2">
      <c r="C81" s="28" t="s">
        <v>1340</v>
      </c>
      <c r="D81" s="28" t="s">
        <v>1342</v>
      </c>
      <c r="E81" s="28" t="s">
        <v>339</v>
      </c>
      <c r="F81" s="227" t="s">
        <v>1211</v>
      </c>
      <c r="G81" s="227">
        <v>2030</v>
      </c>
      <c r="H81" s="227">
        <v>1</v>
      </c>
      <c r="I81" s="227">
        <v>30</v>
      </c>
      <c r="J81" s="28"/>
      <c r="K81" s="28"/>
      <c r="L81" s="28">
        <v>2</v>
      </c>
      <c r="M81" s="28">
        <v>2.4</v>
      </c>
      <c r="N81" s="28">
        <v>2.64</v>
      </c>
      <c r="O81" s="28">
        <v>2.8</v>
      </c>
      <c r="Q81" s="240" t="str">
        <f>$C81</f>
        <v>TFSI009</v>
      </c>
      <c r="R81" s="28"/>
      <c r="S81" s="28"/>
      <c r="T81" s="28"/>
      <c r="U81" s="28">
        <v>85</v>
      </c>
      <c r="V81" s="28"/>
      <c r="W81" s="28"/>
      <c r="Y81" s="240" t="str">
        <f t="shared" si="1"/>
        <v>TFSI009</v>
      </c>
      <c r="Z81" s="415">
        <v>1</v>
      </c>
      <c r="AA81" s="28"/>
      <c r="AB81" s="28"/>
      <c r="AC81" s="227"/>
      <c r="AD81" s="28"/>
      <c r="AE81" s="28"/>
      <c r="AG81" s="240"/>
      <c r="AH81" s="28"/>
      <c r="AI81" s="28"/>
      <c r="AJ81" s="28"/>
      <c r="AK81" s="28"/>
      <c r="AL81" s="28"/>
    </row>
    <row r="85" spans="2:38" x14ac:dyDescent="0.2">
      <c r="G85" s="70" t="s">
        <v>1062</v>
      </c>
    </row>
    <row r="86" spans="2:38" ht="24.75" thickBot="1" x14ac:dyDescent="0.25">
      <c r="B86" s="42" t="s">
        <v>254</v>
      </c>
      <c r="C86" s="42" t="s">
        <v>1126</v>
      </c>
      <c r="D86" s="42" t="s">
        <v>1127</v>
      </c>
      <c r="E86" s="42" t="s">
        <v>1128</v>
      </c>
      <c r="F86" s="42" t="s">
        <v>289</v>
      </c>
      <c r="G86" s="42" t="s">
        <v>942</v>
      </c>
      <c r="H86" s="42">
        <v>2020</v>
      </c>
      <c r="I86" s="42">
        <v>2030</v>
      </c>
      <c r="J86" s="42">
        <v>2040</v>
      </c>
      <c r="K86" s="42">
        <v>2050</v>
      </c>
      <c r="L86" s="42" t="s">
        <v>1280</v>
      </c>
      <c r="M86" s="42" t="s">
        <v>1352</v>
      </c>
      <c r="N86" s="42" t="s">
        <v>317</v>
      </c>
    </row>
    <row r="87" spans="2:38" x14ac:dyDescent="0.2">
      <c r="B87" s="414"/>
      <c r="C87" s="28" t="s">
        <v>1347</v>
      </c>
      <c r="D87" s="28" t="s">
        <v>1349</v>
      </c>
      <c r="E87" s="28" t="s">
        <v>1346</v>
      </c>
      <c r="F87" s="28" t="s">
        <v>392</v>
      </c>
      <c r="G87" s="28" t="s">
        <v>1348</v>
      </c>
      <c r="H87" s="227">
        <v>0.3</v>
      </c>
      <c r="I87" s="227">
        <v>0.4</v>
      </c>
      <c r="J87" s="227">
        <v>0.5</v>
      </c>
      <c r="K87" s="227">
        <v>0.6</v>
      </c>
      <c r="L87" s="227"/>
      <c r="M87" s="227"/>
      <c r="N87" s="28">
        <f>3.6*8.76</f>
        <v>31.536000000000001</v>
      </c>
    </row>
    <row r="88" spans="2:38" x14ac:dyDescent="0.2">
      <c r="B88" s="414" t="s">
        <v>1180</v>
      </c>
      <c r="C88" s="28"/>
      <c r="D88" s="28"/>
      <c r="E88" s="28"/>
      <c r="F88" s="28" t="s">
        <v>392</v>
      </c>
      <c r="G88" s="28" t="s">
        <v>958</v>
      </c>
      <c r="H88" s="232">
        <v>0.2</v>
      </c>
      <c r="I88" s="232">
        <v>0.3</v>
      </c>
      <c r="J88" s="232">
        <v>0.33</v>
      </c>
      <c r="K88" s="232">
        <v>0.35</v>
      </c>
      <c r="L88" s="227"/>
      <c r="M88" s="227">
        <v>7.5</v>
      </c>
      <c r="N88" s="28"/>
    </row>
    <row r="89" spans="2:38" x14ac:dyDescent="0.2">
      <c r="B89" s="414" t="s">
        <v>1180</v>
      </c>
      <c r="C89" s="28"/>
      <c r="D89" s="28"/>
      <c r="E89" s="28" t="s">
        <v>1346</v>
      </c>
      <c r="F89" s="28"/>
      <c r="G89" s="28" t="s">
        <v>1351</v>
      </c>
      <c r="H89" s="239">
        <v>2</v>
      </c>
      <c r="I89" s="239">
        <v>1.5</v>
      </c>
      <c r="J89" s="239">
        <v>1.2</v>
      </c>
      <c r="K89" s="239">
        <v>1</v>
      </c>
      <c r="L89" s="227">
        <v>2</v>
      </c>
      <c r="M89" s="227"/>
      <c r="N89" s="28"/>
    </row>
    <row r="92" spans="2:38" x14ac:dyDescent="0.2">
      <c r="H92" s="7"/>
      <c r="I92" s="7"/>
      <c r="J92" s="26"/>
      <c r="K92" s="26"/>
    </row>
    <row r="93" spans="2:38" x14ac:dyDescent="0.2">
      <c r="B93" s="23" t="s">
        <v>269</v>
      </c>
      <c r="H93" s="7"/>
      <c r="I93" s="7"/>
      <c r="J93" s="26"/>
      <c r="K93" s="26"/>
    </row>
    <row r="94" spans="2:38" x14ac:dyDescent="0.2">
      <c r="B94" s="133" t="s">
        <v>270</v>
      </c>
      <c r="C94" s="133" t="s">
        <v>271</v>
      </c>
      <c r="D94" s="133" t="s">
        <v>272</v>
      </c>
      <c r="E94" s="133" t="s">
        <v>273</v>
      </c>
      <c r="F94" s="133" t="s">
        <v>1139</v>
      </c>
      <c r="G94" s="133" t="s">
        <v>1140</v>
      </c>
      <c r="H94" s="133" t="s">
        <v>1141</v>
      </c>
      <c r="I94" s="133" t="s">
        <v>1142</v>
      </c>
      <c r="J94" s="133"/>
      <c r="K94" s="26"/>
    </row>
    <row r="95" spans="2:38" x14ac:dyDescent="0.2">
      <c r="B95" s="41" t="s">
        <v>1153</v>
      </c>
      <c r="C95" s="41" t="s">
        <v>998</v>
      </c>
      <c r="D95" s="41" t="s">
        <v>576</v>
      </c>
      <c r="E95" s="41" t="s">
        <v>274</v>
      </c>
      <c r="F95" s="41"/>
      <c r="G95" s="41"/>
      <c r="H95" s="41"/>
      <c r="I95" s="41"/>
      <c r="J95" s="41"/>
      <c r="K95" s="26"/>
    </row>
    <row r="96" spans="2:38" x14ac:dyDescent="0.2">
      <c r="B96" s="41" t="s">
        <v>1153</v>
      </c>
      <c r="C96" s="41" t="s">
        <v>1343</v>
      </c>
      <c r="D96" s="41" t="s">
        <v>1350</v>
      </c>
      <c r="E96" s="41" t="s">
        <v>274</v>
      </c>
      <c r="F96" s="41"/>
      <c r="G96" s="41"/>
      <c r="H96" s="41"/>
      <c r="I96" s="41"/>
      <c r="J96" s="41"/>
      <c r="K96" s="26"/>
    </row>
    <row r="97" spans="2:11" x14ac:dyDescent="0.2">
      <c r="B97" s="41" t="s">
        <v>276</v>
      </c>
      <c r="C97" s="41" t="s">
        <v>1338</v>
      </c>
      <c r="D97" s="41" t="s">
        <v>1339</v>
      </c>
      <c r="E97" s="41" t="s">
        <v>961</v>
      </c>
      <c r="F97" s="41"/>
      <c r="G97" s="41"/>
      <c r="H97" s="41"/>
      <c r="I97" s="41"/>
      <c r="J97" s="41"/>
      <c r="K97" s="26"/>
    </row>
    <row r="100" spans="2:11" x14ac:dyDescent="0.2">
      <c r="B100" s="23" t="s">
        <v>1114</v>
      </c>
      <c r="I100" s="7"/>
    </row>
    <row r="101" spans="2:11" x14ac:dyDescent="0.2">
      <c r="B101" s="34" t="s">
        <v>316</v>
      </c>
      <c r="C101" s="35" t="s">
        <v>1126</v>
      </c>
      <c r="D101" s="35" t="s">
        <v>1127</v>
      </c>
      <c r="E101" s="35" t="s">
        <v>1115</v>
      </c>
      <c r="F101" s="35" t="s">
        <v>1116</v>
      </c>
      <c r="G101" s="35" t="s">
        <v>1117</v>
      </c>
      <c r="H101" s="35" t="s">
        <v>1118</v>
      </c>
      <c r="I101" s="36" t="s">
        <v>1119</v>
      </c>
    </row>
    <row r="102" spans="2:11" x14ac:dyDescent="0.2">
      <c r="B102" s="37" t="s">
        <v>1220</v>
      </c>
      <c r="C102" s="37" t="s">
        <v>380</v>
      </c>
      <c r="D102" s="37" t="s">
        <v>381</v>
      </c>
      <c r="E102" s="37" t="s">
        <v>954</v>
      </c>
      <c r="F102" s="37" t="s">
        <v>955</v>
      </c>
      <c r="G102" s="37"/>
      <c r="H102" s="37"/>
      <c r="I102" s="37" t="s">
        <v>501</v>
      </c>
    </row>
    <row r="103" spans="2:11" x14ac:dyDescent="0.2">
      <c r="B103" s="37" t="s">
        <v>1220</v>
      </c>
      <c r="C103" s="37" t="s">
        <v>383</v>
      </c>
      <c r="D103" s="37" t="s">
        <v>384</v>
      </c>
      <c r="E103" s="37" t="s">
        <v>954</v>
      </c>
      <c r="F103" s="37" t="s">
        <v>955</v>
      </c>
      <c r="G103" s="37"/>
      <c r="H103" s="37"/>
      <c r="I103" s="37" t="s">
        <v>501</v>
      </c>
    </row>
    <row r="104" spans="2:11" x14ac:dyDescent="0.2">
      <c r="B104" s="37" t="s">
        <v>1220</v>
      </c>
      <c r="C104" s="37" t="s">
        <v>388</v>
      </c>
      <c r="D104" s="37" t="s">
        <v>389</v>
      </c>
      <c r="E104" s="37" t="s">
        <v>954</v>
      </c>
      <c r="F104" s="37" t="s">
        <v>955</v>
      </c>
      <c r="G104" s="37"/>
      <c r="H104" s="37"/>
      <c r="I104" s="37" t="s">
        <v>501</v>
      </c>
    </row>
    <row r="105" spans="2:11" x14ac:dyDescent="0.2">
      <c r="B105" s="37" t="s">
        <v>1220</v>
      </c>
      <c r="C105" s="37" t="s">
        <v>390</v>
      </c>
      <c r="D105" s="37" t="s">
        <v>391</v>
      </c>
      <c r="E105" s="37" t="s">
        <v>954</v>
      </c>
      <c r="F105" s="37" t="s">
        <v>955</v>
      </c>
      <c r="G105" s="37"/>
      <c r="H105" s="37"/>
      <c r="I105" s="37" t="s">
        <v>501</v>
      </c>
    </row>
    <row r="106" spans="2:11" x14ac:dyDescent="0.2">
      <c r="B106" s="37" t="s">
        <v>1220</v>
      </c>
      <c r="C106" s="37" t="s">
        <v>393</v>
      </c>
      <c r="D106" s="37" t="s">
        <v>394</v>
      </c>
      <c r="E106" s="37" t="s">
        <v>954</v>
      </c>
      <c r="F106" s="37" t="s">
        <v>955</v>
      </c>
      <c r="G106" s="37"/>
      <c r="H106" s="37"/>
      <c r="I106" s="37" t="s">
        <v>501</v>
      </c>
    </row>
    <row r="107" spans="2:11" x14ac:dyDescent="0.2">
      <c r="B107" s="37" t="s">
        <v>1220</v>
      </c>
      <c r="C107" s="37" t="s">
        <v>395</v>
      </c>
      <c r="D107" s="37" t="s">
        <v>396</v>
      </c>
      <c r="E107" s="37" t="s">
        <v>954</v>
      </c>
      <c r="F107" s="37" t="s">
        <v>955</v>
      </c>
      <c r="G107" s="37"/>
      <c r="H107" s="37"/>
      <c r="I107" s="37" t="s">
        <v>501</v>
      </c>
    </row>
    <row r="108" spans="2:11" x14ac:dyDescent="0.2">
      <c r="B108" s="37" t="s">
        <v>1220</v>
      </c>
      <c r="C108" s="37" t="s">
        <v>397</v>
      </c>
      <c r="D108" s="37" t="s">
        <v>398</v>
      </c>
      <c r="E108" s="37" t="s">
        <v>954</v>
      </c>
      <c r="F108" s="37" t="s">
        <v>955</v>
      </c>
      <c r="G108" s="37"/>
      <c r="H108" s="37"/>
      <c r="I108" s="37" t="s">
        <v>501</v>
      </c>
    </row>
    <row r="109" spans="2:11" x14ac:dyDescent="0.2">
      <c r="B109" s="37" t="s">
        <v>1220</v>
      </c>
      <c r="C109" s="37" t="s">
        <v>399</v>
      </c>
      <c r="D109" s="37" t="s">
        <v>400</v>
      </c>
      <c r="E109" s="37" t="s">
        <v>954</v>
      </c>
      <c r="F109" s="37" t="s">
        <v>955</v>
      </c>
      <c r="G109" s="37"/>
      <c r="H109" s="37"/>
      <c r="I109" s="37" t="s">
        <v>501</v>
      </c>
    </row>
    <row r="110" spans="2:11" x14ac:dyDescent="0.2">
      <c r="B110" s="37" t="s">
        <v>1220</v>
      </c>
      <c r="C110" s="37" t="s">
        <v>401</v>
      </c>
      <c r="D110" s="37" t="s">
        <v>402</v>
      </c>
      <c r="E110" s="37" t="s">
        <v>954</v>
      </c>
      <c r="F110" s="37" t="s">
        <v>955</v>
      </c>
      <c r="G110" s="37"/>
      <c r="H110" s="37"/>
      <c r="I110" s="37" t="s">
        <v>501</v>
      </c>
    </row>
    <row r="111" spans="2:11" x14ac:dyDescent="0.2">
      <c r="B111" s="37" t="s">
        <v>1220</v>
      </c>
      <c r="C111" s="37" t="s">
        <v>403</v>
      </c>
      <c r="D111" s="37" t="s">
        <v>404</v>
      </c>
      <c r="E111" s="37" t="s">
        <v>954</v>
      </c>
      <c r="F111" s="37" t="s">
        <v>955</v>
      </c>
      <c r="G111" s="37"/>
      <c r="H111" s="37"/>
      <c r="I111" s="37" t="s">
        <v>501</v>
      </c>
    </row>
    <row r="112" spans="2:11" x14ac:dyDescent="0.2">
      <c r="B112" s="37" t="s">
        <v>1220</v>
      </c>
      <c r="C112" s="37" t="s">
        <v>405</v>
      </c>
      <c r="D112" s="37" t="s">
        <v>406</v>
      </c>
      <c r="E112" s="37" t="s">
        <v>954</v>
      </c>
      <c r="F112" s="37" t="s">
        <v>955</v>
      </c>
      <c r="G112" s="37"/>
      <c r="H112" s="37"/>
      <c r="I112" s="37" t="s">
        <v>501</v>
      </c>
    </row>
    <row r="113" spans="2:9" x14ac:dyDescent="0.2">
      <c r="B113" s="37" t="s">
        <v>1220</v>
      </c>
      <c r="C113" s="37" t="s">
        <v>1324</v>
      </c>
      <c r="D113" s="37" t="s">
        <v>1325</v>
      </c>
      <c r="E113" s="37" t="s">
        <v>954</v>
      </c>
      <c r="F113" s="37" t="s">
        <v>955</v>
      </c>
      <c r="G113" s="37"/>
      <c r="H113" s="37"/>
      <c r="I113" s="37" t="s">
        <v>501</v>
      </c>
    </row>
    <row r="114" spans="2:9" x14ac:dyDescent="0.2">
      <c r="B114" s="37" t="s">
        <v>1220</v>
      </c>
      <c r="C114" s="37" t="s">
        <v>407</v>
      </c>
      <c r="D114" s="37" t="s">
        <v>408</v>
      </c>
      <c r="E114" s="37" t="s">
        <v>954</v>
      </c>
      <c r="F114" s="37" t="s">
        <v>955</v>
      </c>
      <c r="G114" s="37"/>
      <c r="H114" s="37"/>
      <c r="I114" s="37" t="s">
        <v>501</v>
      </c>
    </row>
    <row r="115" spans="2:9" x14ac:dyDescent="0.2">
      <c r="B115" s="37" t="s">
        <v>1220</v>
      </c>
      <c r="C115" s="37" t="s">
        <v>409</v>
      </c>
      <c r="D115" s="37" t="s">
        <v>410</v>
      </c>
      <c r="E115" s="37" t="s">
        <v>954</v>
      </c>
      <c r="F115" s="37" t="s">
        <v>955</v>
      </c>
      <c r="G115" s="37"/>
      <c r="H115" s="37"/>
      <c r="I115" s="37" t="s">
        <v>501</v>
      </c>
    </row>
    <row r="116" spans="2:9" x14ac:dyDescent="0.2">
      <c r="B116" s="37" t="s">
        <v>1220</v>
      </c>
      <c r="C116" s="37" t="s">
        <v>411</v>
      </c>
      <c r="D116" s="37" t="s">
        <v>412</v>
      </c>
      <c r="E116" s="37" t="s">
        <v>954</v>
      </c>
      <c r="F116" s="37" t="s">
        <v>955</v>
      </c>
      <c r="G116" s="37"/>
      <c r="H116" s="37"/>
      <c r="I116" s="37" t="s">
        <v>501</v>
      </c>
    </row>
    <row r="117" spans="2:9" x14ac:dyDescent="0.2">
      <c r="B117" s="37" t="s">
        <v>1220</v>
      </c>
      <c r="C117" s="37" t="s">
        <v>413</v>
      </c>
      <c r="D117" s="37" t="s">
        <v>414</v>
      </c>
      <c r="E117" s="37" t="s">
        <v>954</v>
      </c>
      <c r="F117" s="37" t="s">
        <v>955</v>
      </c>
      <c r="G117" s="37"/>
      <c r="H117" s="37"/>
      <c r="I117" s="37" t="s">
        <v>501</v>
      </c>
    </row>
    <row r="118" spans="2:9" x14ac:dyDescent="0.2">
      <c r="B118" s="37" t="s">
        <v>1220</v>
      </c>
      <c r="C118" s="37" t="s">
        <v>416</v>
      </c>
      <c r="D118" s="37" t="s">
        <v>417</v>
      </c>
      <c r="E118" s="37" t="s">
        <v>954</v>
      </c>
      <c r="F118" s="37" t="s">
        <v>955</v>
      </c>
      <c r="G118" s="37"/>
      <c r="H118" s="37"/>
      <c r="I118" s="37" t="s">
        <v>501</v>
      </c>
    </row>
    <row r="119" spans="2:9" x14ac:dyDescent="0.2">
      <c r="B119" s="37" t="s">
        <v>1220</v>
      </c>
      <c r="C119" s="37" t="s">
        <v>418</v>
      </c>
      <c r="D119" s="37" t="s">
        <v>419</v>
      </c>
      <c r="E119" s="37" t="s">
        <v>954</v>
      </c>
      <c r="F119" s="37" t="s">
        <v>955</v>
      </c>
      <c r="G119" s="37"/>
      <c r="H119" s="37"/>
      <c r="I119" s="37" t="s">
        <v>501</v>
      </c>
    </row>
    <row r="120" spans="2:9" x14ac:dyDescent="0.2">
      <c r="B120" s="37" t="s">
        <v>1220</v>
      </c>
      <c r="C120" s="37" t="s">
        <v>420</v>
      </c>
      <c r="D120" s="37" t="s">
        <v>421</v>
      </c>
      <c r="E120" s="37" t="s">
        <v>954</v>
      </c>
      <c r="F120" s="37" t="s">
        <v>955</v>
      </c>
      <c r="G120" s="37"/>
      <c r="H120" s="37"/>
      <c r="I120" s="37" t="s">
        <v>501</v>
      </c>
    </row>
    <row r="121" spans="2:9" x14ac:dyDescent="0.2">
      <c r="B121" s="37" t="s">
        <v>1220</v>
      </c>
      <c r="C121" s="37" t="s">
        <v>422</v>
      </c>
      <c r="D121" s="37" t="s">
        <v>423</v>
      </c>
      <c r="E121" s="37" t="s">
        <v>954</v>
      </c>
      <c r="F121" s="37" t="s">
        <v>955</v>
      </c>
      <c r="G121" s="37"/>
      <c r="H121" s="37"/>
      <c r="I121" s="37" t="s">
        <v>501</v>
      </c>
    </row>
    <row r="122" spans="2:9" x14ac:dyDescent="0.2">
      <c r="B122" s="37" t="s">
        <v>1220</v>
      </c>
      <c r="C122" s="37" t="s">
        <v>424</v>
      </c>
      <c r="D122" s="37" t="s">
        <v>425</v>
      </c>
      <c r="E122" s="37" t="s">
        <v>954</v>
      </c>
      <c r="F122" s="37" t="s">
        <v>955</v>
      </c>
      <c r="G122" s="37"/>
      <c r="H122" s="37"/>
      <c r="I122" s="37" t="s">
        <v>501</v>
      </c>
    </row>
    <row r="123" spans="2:9" x14ac:dyDescent="0.2">
      <c r="B123" s="37" t="s">
        <v>1220</v>
      </c>
      <c r="C123" s="37" t="s">
        <v>426</v>
      </c>
      <c r="D123" s="37" t="s">
        <v>427</v>
      </c>
      <c r="E123" s="37" t="s">
        <v>954</v>
      </c>
      <c r="F123" s="37" t="s">
        <v>955</v>
      </c>
      <c r="G123" s="37"/>
      <c r="H123" s="37"/>
      <c r="I123" s="37" t="s">
        <v>501</v>
      </c>
    </row>
    <row r="124" spans="2:9" x14ac:dyDescent="0.2">
      <c r="B124" s="37" t="s">
        <v>1220</v>
      </c>
      <c r="C124" s="37" t="s">
        <v>428</v>
      </c>
      <c r="D124" s="37" t="s">
        <v>429</v>
      </c>
      <c r="E124" s="37" t="s">
        <v>954</v>
      </c>
      <c r="F124" s="37" t="s">
        <v>955</v>
      </c>
      <c r="G124" s="37"/>
      <c r="H124" s="37"/>
      <c r="I124" s="37" t="s">
        <v>501</v>
      </c>
    </row>
    <row r="125" spans="2:9" x14ac:dyDescent="0.2">
      <c r="B125" s="37" t="s">
        <v>1220</v>
      </c>
      <c r="C125" s="37" t="s">
        <v>430</v>
      </c>
      <c r="D125" s="37" t="s">
        <v>431</v>
      </c>
      <c r="E125" s="37" t="s">
        <v>954</v>
      </c>
      <c r="F125" s="37" t="s">
        <v>955</v>
      </c>
      <c r="G125" s="37"/>
      <c r="H125" s="37"/>
      <c r="I125" s="37" t="s">
        <v>501</v>
      </c>
    </row>
    <row r="126" spans="2:9" x14ac:dyDescent="0.2">
      <c r="B126" s="37" t="s">
        <v>1220</v>
      </c>
      <c r="C126" s="37" t="s">
        <v>432</v>
      </c>
      <c r="D126" s="37" t="s">
        <v>433</v>
      </c>
      <c r="E126" s="37" t="s">
        <v>954</v>
      </c>
      <c r="F126" s="37" t="s">
        <v>955</v>
      </c>
      <c r="G126" s="37"/>
      <c r="H126" s="37"/>
      <c r="I126" s="37" t="s">
        <v>501</v>
      </c>
    </row>
    <row r="127" spans="2:9" x14ac:dyDescent="0.2">
      <c r="B127" s="37" t="s">
        <v>1220</v>
      </c>
      <c r="C127" s="37" t="s">
        <v>434</v>
      </c>
      <c r="D127" s="37" t="s">
        <v>435</v>
      </c>
      <c r="E127" s="37" t="s">
        <v>954</v>
      </c>
      <c r="F127" s="37" t="s">
        <v>955</v>
      </c>
      <c r="G127" s="37"/>
      <c r="H127" s="37"/>
      <c r="I127" s="37" t="s">
        <v>501</v>
      </c>
    </row>
    <row r="128" spans="2:9" x14ac:dyDescent="0.2">
      <c r="B128" s="37" t="s">
        <v>1220</v>
      </c>
      <c r="C128" s="37" t="s">
        <v>436</v>
      </c>
      <c r="D128" s="37" t="s">
        <v>437</v>
      </c>
      <c r="E128" s="37" t="s">
        <v>954</v>
      </c>
      <c r="F128" s="37" t="s">
        <v>955</v>
      </c>
      <c r="G128" s="37"/>
      <c r="H128" s="37"/>
      <c r="I128" s="37" t="s">
        <v>501</v>
      </c>
    </row>
    <row r="129" spans="2:9" x14ac:dyDescent="0.2">
      <c r="B129" s="37" t="s">
        <v>1220</v>
      </c>
      <c r="C129" s="37" t="s">
        <v>438</v>
      </c>
      <c r="D129" s="37" t="s">
        <v>439</v>
      </c>
      <c r="E129" s="37" t="s">
        <v>954</v>
      </c>
      <c r="F129" s="37" t="s">
        <v>955</v>
      </c>
      <c r="G129" s="37"/>
      <c r="H129" s="37"/>
      <c r="I129" s="37" t="s">
        <v>501</v>
      </c>
    </row>
    <row r="130" spans="2:9" x14ac:dyDescent="0.2">
      <c r="B130" s="37" t="s">
        <v>1220</v>
      </c>
      <c r="C130" s="37" t="s">
        <v>440</v>
      </c>
      <c r="D130" s="37" t="s">
        <v>441</v>
      </c>
      <c r="E130" s="37" t="s">
        <v>954</v>
      </c>
      <c r="F130" s="37" t="s">
        <v>955</v>
      </c>
      <c r="G130" s="37"/>
      <c r="H130" s="37"/>
      <c r="I130" s="37" t="s">
        <v>501</v>
      </c>
    </row>
    <row r="131" spans="2:9" x14ac:dyDescent="0.2">
      <c r="B131" s="37" t="s">
        <v>1220</v>
      </c>
      <c r="C131" s="37" t="s">
        <v>443</v>
      </c>
      <c r="D131" s="37" t="s">
        <v>444</v>
      </c>
      <c r="E131" s="37" t="s">
        <v>954</v>
      </c>
      <c r="F131" s="37" t="s">
        <v>955</v>
      </c>
      <c r="G131" s="37"/>
      <c r="H131" s="37"/>
      <c r="I131" s="37" t="s">
        <v>501</v>
      </c>
    </row>
    <row r="132" spans="2:9" x14ac:dyDescent="0.2">
      <c r="B132" s="37" t="s">
        <v>1220</v>
      </c>
      <c r="C132" s="37" t="s">
        <v>445</v>
      </c>
      <c r="D132" s="37" t="s">
        <v>446</v>
      </c>
      <c r="E132" s="37" t="s">
        <v>954</v>
      </c>
      <c r="F132" s="37" t="s">
        <v>955</v>
      </c>
      <c r="G132" s="37"/>
      <c r="H132" s="37"/>
      <c r="I132" s="37" t="s">
        <v>501</v>
      </c>
    </row>
    <row r="133" spans="2:9" x14ac:dyDescent="0.2">
      <c r="B133" s="37" t="s">
        <v>1220</v>
      </c>
      <c r="C133" s="37" t="s">
        <v>447</v>
      </c>
      <c r="D133" s="37" t="s">
        <v>448</v>
      </c>
      <c r="E133" s="37" t="s">
        <v>954</v>
      </c>
      <c r="F133" s="37" t="s">
        <v>955</v>
      </c>
      <c r="G133" s="37"/>
      <c r="H133" s="37"/>
      <c r="I133" s="37" t="s">
        <v>501</v>
      </c>
    </row>
    <row r="134" spans="2:9" x14ac:dyDescent="0.2">
      <c r="B134" s="37" t="s">
        <v>1220</v>
      </c>
      <c r="C134" s="37" t="s">
        <v>449</v>
      </c>
      <c r="D134" s="37" t="s">
        <v>450</v>
      </c>
      <c r="E134" s="37" t="s">
        <v>954</v>
      </c>
      <c r="F134" s="37" t="s">
        <v>955</v>
      </c>
      <c r="G134" s="37"/>
      <c r="H134" s="37"/>
      <c r="I134" s="37" t="s">
        <v>501</v>
      </c>
    </row>
    <row r="135" spans="2:9" x14ac:dyDescent="0.2">
      <c r="B135" s="37" t="s">
        <v>1220</v>
      </c>
      <c r="C135" s="37" t="s">
        <v>451</v>
      </c>
      <c r="D135" s="37" t="s">
        <v>452</v>
      </c>
      <c r="E135" s="37" t="s">
        <v>954</v>
      </c>
      <c r="F135" s="37" t="s">
        <v>955</v>
      </c>
      <c r="G135" s="37"/>
      <c r="H135" s="37"/>
      <c r="I135" s="37" t="s">
        <v>501</v>
      </c>
    </row>
    <row r="136" spans="2:9" x14ac:dyDescent="0.2">
      <c r="B136" s="37" t="s">
        <v>1220</v>
      </c>
      <c r="C136" s="37" t="s">
        <v>453</v>
      </c>
      <c r="D136" s="37" t="s">
        <v>454</v>
      </c>
      <c r="E136" s="37" t="s">
        <v>954</v>
      </c>
      <c r="F136" s="37" t="s">
        <v>955</v>
      </c>
      <c r="G136" s="37"/>
      <c r="H136" s="37"/>
      <c r="I136" s="37" t="s">
        <v>501</v>
      </c>
    </row>
    <row r="137" spans="2:9" x14ac:dyDescent="0.2">
      <c r="B137" s="37" t="s">
        <v>1220</v>
      </c>
      <c r="C137" s="37" t="s">
        <v>455</v>
      </c>
      <c r="D137" s="37" t="s">
        <v>456</v>
      </c>
      <c r="E137" s="37" t="s">
        <v>954</v>
      </c>
      <c r="F137" s="37" t="s">
        <v>955</v>
      </c>
      <c r="G137" s="37"/>
      <c r="H137" s="37"/>
      <c r="I137" s="37" t="s">
        <v>501</v>
      </c>
    </row>
    <row r="138" spans="2:9" x14ac:dyDescent="0.2">
      <c r="B138" s="37" t="s">
        <v>1220</v>
      </c>
      <c r="C138" s="37" t="s">
        <v>457</v>
      </c>
      <c r="D138" s="37" t="s">
        <v>458</v>
      </c>
      <c r="E138" s="37" t="s">
        <v>954</v>
      </c>
      <c r="F138" s="37" t="s">
        <v>955</v>
      </c>
      <c r="G138" s="37"/>
      <c r="H138" s="37"/>
      <c r="I138" s="37" t="s">
        <v>501</v>
      </c>
    </row>
    <row r="139" spans="2:9" x14ac:dyDescent="0.2">
      <c r="B139" s="37" t="s">
        <v>1220</v>
      </c>
      <c r="C139" s="37" t="s">
        <v>459</v>
      </c>
      <c r="D139" s="37" t="s">
        <v>460</v>
      </c>
      <c r="E139" s="37" t="s">
        <v>954</v>
      </c>
      <c r="F139" s="37" t="s">
        <v>955</v>
      </c>
      <c r="G139" s="37"/>
      <c r="H139" s="37"/>
      <c r="I139" s="37" t="s">
        <v>501</v>
      </c>
    </row>
    <row r="140" spans="2:9" x14ac:dyDescent="0.2">
      <c r="B140" s="37" t="s">
        <v>1220</v>
      </c>
      <c r="C140" s="37" t="s">
        <v>462</v>
      </c>
      <c r="D140" s="37" t="s">
        <v>463</v>
      </c>
      <c r="E140" s="37" t="s">
        <v>954</v>
      </c>
      <c r="F140" s="37" t="s">
        <v>955</v>
      </c>
      <c r="G140" s="37"/>
      <c r="H140" s="37"/>
      <c r="I140" s="37" t="s">
        <v>501</v>
      </c>
    </row>
    <row r="141" spans="2:9" x14ac:dyDescent="0.2">
      <c r="B141" s="37" t="s">
        <v>1220</v>
      </c>
      <c r="C141" s="37" t="s">
        <v>464</v>
      </c>
      <c r="D141" s="37" t="s">
        <v>465</v>
      </c>
      <c r="E141" s="37" t="s">
        <v>954</v>
      </c>
      <c r="F141" s="37" t="s">
        <v>955</v>
      </c>
      <c r="G141" s="37"/>
      <c r="H141" s="37"/>
      <c r="I141" s="37" t="s">
        <v>501</v>
      </c>
    </row>
    <row r="142" spans="2:9" x14ac:dyDescent="0.2">
      <c r="B142" s="37" t="s">
        <v>1220</v>
      </c>
      <c r="C142" s="37" t="s">
        <v>466</v>
      </c>
      <c r="D142" s="37" t="s">
        <v>467</v>
      </c>
      <c r="E142" s="37" t="s">
        <v>954</v>
      </c>
      <c r="F142" s="37" t="s">
        <v>955</v>
      </c>
      <c r="G142" s="37"/>
      <c r="H142" s="37"/>
      <c r="I142" s="37" t="s">
        <v>501</v>
      </c>
    </row>
    <row r="143" spans="2:9" x14ac:dyDescent="0.2">
      <c r="B143" s="37" t="s">
        <v>1220</v>
      </c>
      <c r="C143" s="37" t="s">
        <v>468</v>
      </c>
      <c r="D143" s="37" t="s">
        <v>469</v>
      </c>
      <c r="E143" s="37" t="s">
        <v>954</v>
      </c>
      <c r="F143" s="37" t="s">
        <v>955</v>
      </c>
      <c r="G143" s="37"/>
      <c r="H143" s="37"/>
      <c r="I143" s="37" t="s">
        <v>501</v>
      </c>
    </row>
    <row r="144" spans="2:9" x14ac:dyDescent="0.2">
      <c r="B144" s="37" t="s">
        <v>1220</v>
      </c>
      <c r="C144" s="37" t="s">
        <v>470</v>
      </c>
      <c r="D144" s="37" t="s">
        <v>471</v>
      </c>
      <c r="E144" s="37" t="s">
        <v>954</v>
      </c>
      <c r="F144" s="37" t="s">
        <v>955</v>
      </c>
      <c r="G144" s="37"/>
      <c r="H144" s="37"/>
      <c r="I144" s="37" t="s">
        <v>501</v>
      </c>
    </row>
    <row r="145" spans="2:9" x14ac:dyDescent="0.2">
      <c r="B145" s="37" t="s">
        <v>1220</v>
      </c>
      <c r="C145" s="37" t="s">
        <v>472</v>
      </c>
      <c r="D145" s="37" t="s">
        <v>473</v>
      </c>
      <c r="E145" s="37" t="s">
        <v>954</v>
      </c>
      <c r="F145" s="37" t="s">
        <v>955</v>
      </c>
      <c r="G145" s="37"/>
      <c r="H145" s="37"/>
      <c r="I145" s="37" t="s">
        <v>501</v>
      </c>
    </row>
    <row r="146" spans="2:9" x14ac:dyDescent="0.2">
      <c r="B146" s="37" t="s">
        <v>1220</v>
      </c>
      <c r="C146" s="37" t="s">
        <v>474</v>
      </c>
      <c r="D146" s="37" t="s">
        <v>475</v>
      </c>
      <c r="E146" s="37" t="s">
        <v>954</v>
      </c>
      <c r="F146" s="37" t="s">
        <v>955</v>
      </c>
      <c r="G146" s="37"/>
      <c r="H146" s="37"/>
      <c r="I146" s="37" t="s">
        <v>501</v>
      </c>
    </row>
    <row r="147" spans="2:9" x14ac:dyDescent="0.2">
      <c r="B147" s="37" t="s">
        <v>1220</v>
      </c>
      <c r="C147" s="37" t="s">
        <v>476</v>
      </c>
      <c r="D147" s="37" t="s">
        <v>477</v>
      </c>
      <c r="E147" s="37" t="s">
        <v>954</v>
      </c>
      <c r="F147" s="37" t="s">
        <v>955</v>
      </c>
      <c r="G147" s="37"/>
      <c r="H147" s="37"/>
      <c r="I147" s="37" t="s">
        <v>501</v>
      </c>
    </row>
    <row r="148" spans="2:9" x14ac:dyDescent="0.2">
      <c r="B148" s="37" t="s">
        <v>1220</v>
      </c>
      <c r="C148" s="37" t="s">
        <v>478</v>
      </c>
      <c r="D148" s="37" t="s">
        <v>479</v>
      </c>
      <c r="E148" s="37" t="s">
        <v>954</v>
      </c>
      <c r="F148" s="37" t="s">
        <v>955</v>
      </c>
      <c r="G148" s="37"/>
      <c r="H148" s="37"/>
      <c r="I148" s="37" t="s">
        <v>501</v>
      </c>
    </row>
    <row r="149" spans="2:9" x14ac:dyDescent="0.2">
      <c r="B149" s="37" t="s">
        <v>1220</v>
      </c>
      <c r="C149" s="37" t="s">
        <v>481</v>
      </c>
      <c r="D149" s="37" t="s">
        <v>482</v>
      </c>
      <c r="E149" s="37" t="s">
        <v>954</v>
      </c>
      <c r="F149" s="37" t="s">
        <v>955</v>
      </c>
      <c r="G149" s="37"/>
      <c r="H149" s="37"/>
      <c r="I149" s="37" t="s">
        <v>501</v>
      </c>
    </row>
    <row r="150" spans="2:9" x14ac:dyDescent="0.2">
      <c r="B150" s="37" t="s">
        <v>1220</v>
      </c>
      <c r="C150" s="37" t="s">
        <v>483</v>
      </c>
      <c r="D150" s="37" t="s">
        <v>484</v>
      </c>
      <c r="E150" s="37" t="s">
        <v>954</v>
      </c>
      <c r="F150" s="37" t="s">
        <v>955</v>
      </c>
      <c r="G150" s="37"/>
      <c r="H150" s="37"/>
      <c r="I150" s="37" t="s">
        <v>501</v>
      </c>
    </row>
    <row r="151" spans="2:9" x14ac:dyDescent="0.2">
      <c r="B151" s="37" t="s">
        <v>1220</v>
      </c>
      <c r="C151" s="37" t="s">
        <v>485</v>
      </c>
      <c r="D151" s="37" t="s">
        <v>486</v>
      </c>
      <c r="E151" s="37" t="s">
        <v>954</v>
      </c>
      <c r="F151" s="37" t="s">
        <v>955</v>
      </c>
      <c r="G151" s="37"/>
      <c r="H151" s="37"/>
      <c r="I151" s="37" t="s">
        <v>501</v>
      </c>
    </row>
    <row r="152" spans="2:9" x14ac:dyDescent="0.2">
      <c r="B152" s="37" t="s">
        <v>1220</v>
      </c>
      <c r="C152" s="37" t="s">
        <v>487</v>
      </c>
      <c r="D152" s="37" t="s">
        <v>488</v>
      </c>
      <c r="E152" s="37" t="s">
        <v>954</v>
      </c>
      <c r="F152" s="37" t="s">
        <v>955</v>
      </c>
      <c r="G152" s="37"/>
      <c r="H152" s="37"/>
      <c r="I152" s="37" t="s">
        <v>501</v>
      </c>
    </row>
    <row r="153" spans="2:9" x14ac:dyDescent="0.2">
      <c r="B153" s="37" t="s">
        <v>1220</v>
      </c>
      <c r="C153" s="37" t="s">
        <v>489</v>
      </c>
      <c r="D153" s="37" t="s">
        <v>490</v>
      </c>
      <c r="E153" s="37" t="s">
        <v>954</v>
      </c>
      <c r="F153" s="37" t="s">
        <v>955</v>
      </c>
      <c r="G153" s="37"/>
      <c r="H153" s="37"/>
      <c r="I153" s="37" t="s">
        <v>501</v>
      </c>
    </row>
    <row r="154" spans="2:9" x14ac:dyDescent="0.2">
      <c r="B154" s="37" t="s">
        <v>1220</v>
      </c>
      <c r="C154" s="37" t="s">
        <v>491</v>
      </c>
      <c r="D154" s="37" t="s">
        <v>492</v>
      </c>
      <c r="E154" s="37" t="s">
        <v>954</v>
      </c>
      <c r="F154" s="37" t="s">
        <v>955</v>
      </c>
      <c r="G154" s="37"/>
      <c r="H154" s="37"/>
      <c r="I154" s="37" t="s">
        <v>501</v>
      </c>
    </row>
    <row r="155" spans="2:9" x14ac:dyDescent="0.2">
      <c r="B155" s="37" t="s">
        <v>1220</v>
      </c>
      <c r="C155" s="37" t="s">
        <v>493</v>
      </c>
      <c r="D155" s="37" t="s">
        <v>494</v>
      </c>
      <c r="E155" s="37" t="s">
        <v>954</v>
      </c>
      <c r="F155" s="37" t="s">
        <v>955</v>
      </c>
      <c r="G155" s="37"/>
      <c r="H155" s="37"/>
      <c r="I155" s="37" t="s">
        <v>501</v>
      </c>
    </row>
    <row r="156" spans="2:9" x14ac:dyDescent="0.2">
      <c r="B156" s="37" t="s">
        <v>1220</v>
      </c>
      <c r="C156" s="37" t="s">
        <v>495</v>
      </c>
      <c r="D156" s="37" t="s">
        <v>496</v>
      </c>
      <c r="E156" s="37" t="s">
        <v>954</v>
      </c>
      <c r="F156" s="37" t="s">
        <v>955</v>
      </c>
      <c r="G156" s="37"/>
      <c r="H156" s="37"/>
      <c r="I156" s="37" t="s">
        <v>501</v>
      </c>
    </row>
    <row r="157" spans="2:9" x14ac:dyDescent="0.2">
      <c r="B157" s="37" t="s">
        <v>1220</v>
      </c>
      <c r="C157" s="37" t="s">
        <v>497</v>
      </c>
      <c r="D157" s="37" t="s">
        <v>498</v>
      </c>
      <c r="E157" s="37" t="s">
        <v>954</v>
      </c>
      <c r="F157" s="37" t="s">
        <v>955</v>
      </c>
      <c r="G157" s="37"/>
      <c r="H157" s="37"/>
      <c r="I157" s="37" t="s">
        <v>501</v>
      </c>
    </row>
    <row r="158" spans="2:9" x14ac:dyDescent="0.2">
      <c r="B158" s="118" t="s">
        <v>1220</v>
      </c>
      <c r="C158" s="118" t="s">
        <v>1402</v>
      </c>
      <c r="D158" s="118" t="s">
        <v>1403</v>
      </c>
      <c r="E158" s="118" t="s">
        <v>954</v>
      </c>
      <c r="F158" s="118" t="s">
        <v>955</v>
      </c>
      <c r="G158" s="118"/>
      <c r="H158" s="118"/>
      <c r="I158" s="118" t="s">
        <v>501</v>
      </c>
    </row>
    <row r="159" spans="2:9" x14ac:dyDescent="0.2">
      <c r="B159" s="118" t="s">
        <v>1220</v>
      </c>
      <c r="C159" s="118" t="s">
        <v>1404</v>
      </c>
      <c r="D159" s="118" t="s">
        <v>1405</v>
      </c>
      <c r="E159" s="118" t="s">
        <v>954</v>
      </c>
      <c r="F159" s="118" t="s">
        <v>955</v>
      </c>
      <c r="G159" s="118"/>
      <c r="H159" s="118"/>
      <c r="I159" s="118" t="s">
        <v>501</v>
      </c>
    </row>
    <row r="160" spans="2:9" x14ac:dyDescent="0.2">
      <c r="B160" s="118" t="s">
        <v>1220</v>
      </c>
      <c r="C160" s="118" t="s">
        <v>1406</v>
      </c>
      <c r="D160" s="118" t="s">
        <v>1407</v>
      </c>
      <c r="E160" s="118" t="s">
        <v>954</v>
      </c>
      <c r="F160" s="118" t="s">
        <v>955</v>
      </c>
      <c r="G160" s="118"/>
      <c r="H160" s="118"/>
      <c r="I160" s="118" t="s">
        <v>501</v>
      </c>
    </row>
    <row r="161" spans="2:9" x14ac:dyDescent="0.2">
      <c r="B161" s="37" t="s">
        <v>1220</v>
      </c>
      <c r="C161" s="37" t="s">
        <v>629</v>
      </c>
      <c r="D161" s="37" t="s">
        <v>260</v>
      </c>
      <c r="E161" s="37" t="s">
        <v>954</v>
      </c>
      <c r="F161" s="37" t="s">
        <v>955</v>
      </c>
      <c r="G161" s="37"/>
      <c r="H161" s="37"/>
      <c r="I161" s="37" t="s">
        <v>1120</v>
      </c>
    </row>
    <row r="162" spans="2:9" x14ac:dyDescent="0.2">
      <c r="B162" s="37" t="s">
        <v>1220</v>
      </c>
      <c r="C162" s="37" t="s">
        <v>1326</v>
      </c>
      <c r="D162" s="37" t="s">
        <v>1327</v>
      </c>
      <c r="E162" s="37" t="s">
        <v>954</v>
      </c>
      <c r="F162" s="37" t="s">
        <v>955</v>
      </c>
      <c r="G162" s="37"/>
      <c r="H162" s="37"/>
      <c r="I162" s="37" t="s">
        <v>1120</v>
      </c>
    </row>
    <row r="163" spans="2:9" x14ac:dyDescent="0.2">
      <c r="B163" s="37" t="s">
        <v>1220</v>
      </c>
      <c r="C163" s="37" t="s">
        <v>528</v>
      </c>
      <c r="D163" s="37" t="s">
        <v>529</v>
      </c>
      <c r="E163" s="37" t="s">
        <v>954</v>
      </c>
      <c r="F163" s="37" t="s">
        <v>955</v>
      </c>
      <c r="G163" s="37"/>
      <c r="H163" s="37"/>
      <c r="I163" s="37" t="s">
        <v>1120</v>
      </c>
    </row>
    <row r="164" spans="2:9" x14ac:dyDescent="0.2">
      <c r="B164" s="37" t="s">
        <v>1220</v>
      </c>
      <c r="C164" s="37" t="s">
        <v>531</v>
      </c>
      <c r="D164" s="37" t="s">
        <v>1166</v>
      </c>
      <c r="E164" s="37" t="s">
        <v>954</v>
      </c>
      <c r="F164" s="37" t="s">
        <v>955</v>
      </c>
      <c r="G164" s="37"/>
      <c r="H164" s="37"/>
      <c r="I164" s="37" t="s">
        <v>1120</v>
      </c>
    </row>
    <row r="165" spans="2:9" x14ac:dyDescent="0.2">
      <c r="B165" s="37" t="s">
        <v>1220</v>
      </c>
      <c r="C165" s="37" t="s">
        <v>1215</v>
      </c>
      <c r="D165" s="37" t="s">
        <v>499</v>
      </c>
      <c r="E165" s="37" t="s">
        <v>274</v>
      </c>
      <c r="F165" s="37" t="s">
        <v>259</v>
      </c>
      <c r="G165" s="37"/>
      <c r="H165" s="37"/>
      <c r="I165" s="37" t="s">
        <v>1120</v>
      </c>
    </row>
    <row r="166" spans="2:9" x14ac:dyDescent="0.2">
      <c r="B166" s="37" t="s">
        <v>1220</v>
      </c>
      <c r="C166" s="37" t="s">
        <v>1216</v>
      </c>
      <c r="D166" s="37" t="s">
        <v>1358</v>
      </c>
      <c r="E166" s="37" t="s">
        <v>274</v>
      </c>
      <c r="F166" s="37" t="s">
        <v>259</v>
      </c>
      <c r="G166" s="37"/>
      <c r="H166" s="37"/>
      <c r="I166" s="37" t="s">
        <v>1120</v>
      </c>
    </row>
    <row r="167" spans="2:9" x14ac:dyDescent="0.2">
      <c r="B167" s="37" t="s">
        <v>1220</v>
      </c>
      <c r="C167" s="37" t="s">
        <v>1355</v>
      </c>
      <c r="D167" s="37" t="s">
        <v>1357</v>
      </c>
      <c r="E167" s="37" t="s">
        <v>274</v>
      </c>
      <c r="F167" s="37" t="s">
        <v>259</v>
      </c>
      <c r="G167" s="37"/>
      <c r="H167" s="37"/>
      <c r="I167" s="37" t="s">
        <v>1120</v>
      </c>
    </row>
    <row r="168" spans="2:9" x14ac:dyDescent="0.2">
      <c r="B168" s="37" t="s">
        <v>1220</v>
      </c>
      <c r="C168" s="37" t="s">
        <v>1217</v>
      </c>
      <c r="D168" s="37" t="s">
        <v>940</v>
      </c>
      <c r="E168" s="37" t="s">
        <v>274</v>
      </c>
      <c r="F168" s="37" t="s">
        <v>259</v>
      </c>
      <c r="G168" s="37"/>
      <c r="H168" s="37"/>
      <c r="I168" s="37" t="s">
        <v>1120</v>
      </c>
    </row>
    <row r="169" spans="2:9" x14ac:dyDescent="0.2">
      <c r="B169" s="37" t="s">
        <v>1220</v>
      </c>
      <c r="C169" s="37" t="s">
        <v>1344</v>
      </c>
      <c r="D169" s="37" t="s">
        <v>1345</v>
      </c>
      <c r="E169" s="37" t="s">
        <v>274</v>
      </c>
      <c r="F169" s="37" t="s">
        <v>259</v>
      </c>
      <c r="G169" s="37"/>
      <c r="H169" s="37"/>
      <c r="I169" s="37" t="s">
        <v>1120</v>
      </c>
    </row>
    <row r="170" spans="2:9" x14ac:dyDescent="0.2">
      <c r="B170" s="37" t="s">
        <v>1220</v>
      </c>
      <c r="C170" s="37" t="s">
        <v>1218</v>
      </c>
      <c r="D170" s="37" t="s">
        <v>941</v>
      </c>
      <c r="E170" s="37" t="s">
        <v>274</v>
      </c>
      <c r="F170" s="37" t="s">
        <v>259</v>
      </c>
      <c r="G170" s="37"/>
      <c r="H170" s="37"/>
      <c r="I170" s="37" t="s">
        <v>1120</v>
      </c>
    </row>
    <row r="171" spans="2:9" x14ac:dyDescent="0.2">
      <c r="B171" s="37" t="s">
        <v>1220</v>
      </c>
      <c r="C171" s="37" t="s">
        <v>1219</v>
      </c>
      <c r="D171" s="37" t="s">
        <v>1341</v>
      </c>
      <c r="E171" s="37" t="s">
        <v>274</v>
      </c>
      <c r="F171" s="37" t="s">
        <v>259</v>
      </c>
      <c r="G171" s="37"/>
      <c r="H171" s="37"/>
      <c r="I171" s="37" t="s">
        <v>1120</v>
      </c>
    </row>
    <row r="172" spans="2:9" x14ac:dyDescent="0.2">
      <c r="B172" s="37" t="s">
        <v>1220</v>
      </c>
      <c r="C172" s="37" t="s">
        <v>1340</v>
      </c>
      <c r="D172" s="37" t="s">
        <v>1342</v>
      </c>
      <c r="E172" s="37" t="s">
        <v>274</v>
      </c>
      <c r="F172" s="37" t="s">
        <v>259</v>
      </c>
      <c r="G172" s="37"/>
      <c r="H172" s="37"/>
      <c r="I172" s="37" t="s">
        <v>1120</v>
      </c>
    </row>
    <row r="173" spans="2:9" x14ac:dyDescent="0.2">
      <c r="B173" s="37" t="s">
        <v>1353</v>
      </c>
      <c r="C173" s="37" t="s">
        <v>1347</v>
      </c>
      <c r="D173" s="37" t="s">
        <v>1354</v>
      </c>
      <c r="E173" s="37" t="s">
        <v>274</v>
      </c>
      <c r="F173" s="37" t="s">
        <v>259</v>
      </c>
      <c r="G173" s="37" t="s">
        <v>1143</v>
      </c>
      <c r="H173" s="37" t="s">
        <v>1153</v>
      </c>
      <c r="I173" s="37" t="s">
        <v>1120</v>
      </c>
    </row>
  </sheetData>
  <phoneticPr fontId="19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</vt:lpstr>
      <vt:lpstr>IND_AUX</vt:lpstr>
      <vt:lpstr>RES</vt:lpstr>
      <vt:lpstr>TRA</vt:lpstr>
      <vt:lpstr>RES!BaseYear</vt:lpstr>
      <vt:lpstr>BaseYear</vt:lpstr>
    </vt:vector>
  </TitlesOfParts>
  <Company>DOE/EIA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</dc:creator>
  <cp:lastModifiedBy>Lindroos Tomi J</cp:lastModifiedBy>
  <dcterms:created xsi:type="dcterms:W3CDTF">2003-08-25T15:40:35Z</dcterms:created>
  <dcterms:modified xsi:type="dcterms:W3CDTF">2021-03-02T06:24:10Z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556923329830169</vt:r8>
  </property>
</Properties>
</file>