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265" yWindow="945" windowWidth="22845" windowHeight="12495"/>
  </bookViews>
  <sheets>
    <sheet name="UPS" sheetId="16" r:id="rId1"/>
    <sheet name="IND" sheetId="10" r:id="rId2"/>
    <sheet name="ELC" sheetId="18" r:id="rId3"/>
    <sheet name="RES" sheetId="8" r:id="rId4"/>
    <sheet name="RES_AGR" sheetId="21" r:id="rId5"/>
    <sheet name="RES_CH4R" sheetId="17" r:id="rId6"/>
    <sheet name="RES_N2OR" sheetId="13" r:id="rId7"/>
    <sheet name="Names" sheetId="19" r:id="rId8"/>
    <sheet name="CH4Techs" sheetId="20" r:id="rId9"/>
  </sheets>
  <externalReferences>
    <externalReference r:id="rId10"/>
    <externalReference r:id="rId11"/>
    <externalReference r:id="rId12"/>
  </externalReferences>
  <definedNames>
    <definedName name="BaseYear" localSheetId="4">RES_AGR!#REF!</definedName>
    <definedName name="BaseYear">CH4Techs!$K$8</definedName>
    <definedName name="ddddd">[3]AGR_Fuels!$A$2</definedName>
    <definedName name="DISCRATE">'[2]TechRep-Doc'!#REF!</definedName>
    <definedName name="FID_1">[1]AGR_Fuels!$A$2</definedName>
    <definedName name="GROWTH">'[2]TechRep-Doc'!#REF!</definedName>
    <definedName name="GROWTH_TID">'[2]TechRep-Doc'!#REF!</definedName>
    <definedName name="INVCOST">'[2]TechRep-Doc'!#REF!</definedName>
    <definedName name="LIFE">'[2]TechRep-Doc'!#REF!</definedName>
    <definedName name="NAs_CCAR">'[2]TechRep-Doc'!#REF!</definedName>
    <definedName name="_xlnm.Print_Area" localSheetId="6">RES_N2OR!$A$3:$O$35</definedName>
    <definedName name="Scenario">RES_AGR!#REF!</definedName>
    <definedName name="SETS">'[2]TechRep-Doc'!#REF!</definedName>
    <definedName name="Tiny">0.000000000001</definedName>
    <definedName name="TRTGAB005">'[2]TechRep-Doc'!#REF!</definedName>
    <definedName name="TRTGAC005">'[2]TechRep-Doc'!#REF!</definedName>
    <definedName name="Trucks_15">'[2]TechRep-Doc'!#REF!</definedName>
    <definedName name="TSUB_COST">'[2]TechRep-Doc'!#REF!</definedName>
    <definedName name="x">[2]AGR_Fuels!$A$2</definedName>
  </definedNames>
  <calcPr calcId="114210" calcMode="manual"/>
</workbook>
</file>

<file path=xl/calcChain.xml><?xml version="1.0" encoding="utf-8"?>
<calcChain xmlns="http://schemas.openxmlformats.org/spreadsheetml/2006/main">
  <c r="J9" i="19"/>
  <c r="J10"/>
  <c r="J11"/>
  <c r="J12"/>
  <c r="J13"/>
  <c r="J14"/>
  <c r="J15"/>
  <c r="J16"/>
  <c r="J17"/>
  <c r="L62" i="21"/>
  <c r="K62"/>
  <c r="H121"/>
  <c r="H122"/>
  <c r="H123"/>
  <c r="H133"/>
  <c r="C24" i="19"/>
  <c r="C34" i="17"/>
  <c r="T37"/>
  <c r="C7" i="20"/>
  <c r="C8"/>
  <c r="P39" i="17"/>
  <c r="O39"/>
  <c r="P36"/>
  <c r="C22" i="19"/>
  <c r="C24" i="17"/>
  <c r="T26"/>
  <c r="P28"/>
  <c r="O28"/>
  <c r="P25"/>
  <c r="T16"/>
  <c r="C20" i="19"/>
  <c r="C17" i="17"/>
  <c r="O17"/>
  <c r="T19"/>
  <c r="C23" i="19"/>
  <c r="C29" i="17"/>
  <c r="O30"/>
  <c r="T31"/>
  <c r="T33"/>
  <c r="C21" i="19"/>
  <c r="C20" i="17"/>
  <c r="O21"/>
  <c r="T23"/>
  <c r="C27" i="19"/>
  <c r="C50" i="17"/>
  <c r="T51"/>
  <c r="T53"/>
  <c r="L25" i="20"/>
  <c r="J101" i="19"/>
  <c r="C101"/>
  <c r="C31" i="10"/>
  <c r="J100" i="19"/>
  <c r="C100"/>
  <c r="C29" i="10"/>
  <c r="J99" i="19"/>
  <c r="C99"/>
  <c r="C27" i="10"/>
  <c r="J98" i="19"/>
  <c r="C98"/>
  <c r="C25" i="10"/>
  <c r="J97" i="19"/>
  <c r="C97"/>
  <c r="C23" i="10"/>
  <c r="J96" i="19"/>
  <c r="C96"/>
  <c r="C21" i="10"/>
  <c r="J95" i="19"/>
  <c r="C95"/>
  <c r="C19" i="10"/>
  <c r="C48"/>
  <c r="C46"/>
  <c r="C45"/>
  <c r="C44"/>
  <c r="B1" i="18"/>
  <c r="I31" i="10"/>
  <c r="I29"/>
  <c r="I27"/>
  <c r="I25"/>
  <c r="I23"/>
  <c r="I21"/>
  <c r="I19"/>
  <c r="A91" i="19"/>
  <c r="C92"/>
  <c r="D92"/>
  <c r="A94"/>
  <c r="D95"/>
  <c r="D96"/>
  <c r="D97"/>
  <c r="D98"/>
  <c r="D99"/>
  <c r="D100"/>
  <c r="D101"/>
  <c r="P68" i="17"/>
  <c r="P69"/>
  <c r="P72"/>
  <c r="F71" i="20"/>
  <c r="G71"/>
  <c r="N70" i="17"/>
  <c r="F72" i="20"/>
  <c r="G72"/>
  <c r="N71" i="17"/>
  <c r="F73" i="20"/>
  <c r="G73"/>
  <c r="N72" i="17"/>
  <c r="F74" i="20"/>
  <c r="G74"/>
  <c r="F75"/>
  <c r="G75"/>
  <c r="P73" i="17"/>
  <c r="F76" i="20"/>
  <c r="G76"/>
  <c r="N73" i="17"/>
  <c r="J73"/>
  <c r="P65"/>
  <c r="P66"/>
  <c r="P62"/>
  <c r="P63"/>
  <c r="P59"/>
  <c r="P60"/>
  <c r="P56"/>
  <c r="P57"/>
  <c r="C2" i="20"/>
  <c r="D4"/>
  <c r="D6"/>
  <c r="K66"/>
  <c r="K65"/>
  <c r="K64"/>
  <c r="K63"/>
  <c r="K62"/>
  <c r="J66"/>
  <c r="J65"/>
  <c r="J64"/>
  <c r="J63"/>
  <c r="J62"/>
  <c r="K24" i="17"/>
  <c r="J27" i="20"/>
  <c r="J25"/>
  <c r="L24" i="17"/>
  <c r="K27" i="20"/>
  <c r="K25"/>
  <c r="M24" i="17"/>
  <c r="C26" i="19"/>
  <c r="C45" i="17"/>
  <c r="T47"/>
  <c r="P49"/>
  <c r="C25" i="19"/>
  <c r="C40" i="17"/>
  <c r="T42"/>
  <c r="P44"/>
  <c r="J50" i="20"/>
  <c r="K50"/>
  <c r="J16" i="18"/>
  <c r="J13"/>
  <c r="J10"/>
  <c r="J7"/>
  <c r="E43" i="16"/>
  <c r="T7" i="18"/>
  <c r="T16"/>
  <c r="T17"/>
  <c r="T18"/>
  <c r="T14"/>
  <c r="T15"/>
  <c r="T8"/>
  <c r="T9"/>
  <c r="E7"/>
  <c r="T10"/>
  <c r="T11"/>
  <c r="T12"/>
  <c r="K64" i="17"/>
  <c r="E10" i="18"/>
  <c r="C17" i="19"/>
  <c r="C5" i="17"/>
  <c r="C18" i="19"/>
  <c r="C9" i="17"/>
  <c r="C19" i="19"/>
  <c r="C13" i="17"/>
  <c r="C9" i="19"/>
  <c r="C55" i="17"/>
  <c r="C10" i="19"/>
  <c r="C58" i="17"/>
  <c r="C11" i="19"/>
  <c r="C61" i="17"/>
  <c r="C12" i="19"/>
  <c r="C64" i="17"/>
  <c r="F5"/>
  <c r="F9"/>
  <c r="K58" i="20"/>
  <c r="J58"/>
  <c r="K57"/>
  <c r="J57"/>
  <c r="K56"/>
  <c r="J56"/>
  <c r="K55"/>
  <c r="J55"/>
  <c r="K54"/>
  <c r="J54"/>
  <c r="K53"/>
  <c r="J53"/>
  <c r="K52"/>
  <c r="J52"/>
  <c r="K51"/>
  <c r="J51"/>
  <c r="K49"/>
  <c r="J49"/>
  <c r="K48"/>
  <c r="J48"/>
  <c r="K47"/>
  <c r="J47"/>
  <c r="K46"/>
  <c r="J46"/>
  <c r="K45"/>
  <c r="J45"/>
  <c r="K41"/>
  <c r="J41"/>
  <c r="K40"/>
  <c r="J40"/>
  <c r="K39"/>
  <c r="J39"/>
  <c r="K38"/>
  <c r="J38"/>
  <c r="K37"/>
  <c r="J37"/>
  <c r="K36"/>
  <c r="J36"/>
  <c r="K35"/>
  <c r="J35"/>
  <c r="K34"/>
  <c r="J34"/>
  <c r="K30"/>
  <c r="J30"/>
  <c r="K29"/>
  <c r="J29"/>
  <c r="K28"/>
  <c r="J28"/>
  <c r="K26"/>
  <c r="J26"/>
  <c r="K24"/>
  <c r="J24"/>
  <c r="K23"/>
  <c r="J23"/>
  <c r="K22"/>
  <c r="J22"/>
  <c r="K21"/>
  <c r="J21"/>
  <c r="K20"/>
  <c r="J20"/>
  <c r="K16"/>
  <c r="J16"/>
  <c r="K15"/>
  <c r="J15"/>
  <c r="K14"/>
  <c r="J14"/>
  <c r="K13"/>
  <c r="J13"/>
  <c r="K68" i="17"/>
  <c r="M68"/>
  <c r="L68"/>
  <c r="M50" i="20"/>
  <c r="L50"/>
  <c r="F8"/>
  <c r="C3"/>
  <c r="D5"/>
  <c r="C28" i="19"/>
  <c r="C59"/>
  <c r="C61"/>
  <c r="C35"/>
  <c r="D20"/>
  <c r="D40"/>
  <c r="D12"/>
  <c r="D11"/>
  <c r="D10"/>
  <c r="D9"/>
  <c r="D48"/>
  <c r="D49"/>
  <c r="D50"/>
  <c r="D51"/>
  <c r="D52"/>
  <c r="D53"/>
  <c r="D54"/>
  <c r="D55"/>
  <c r="D56"/>
  <c r="D57"/>
  <c r="D58"/>
  <c r="D59"/>
  <c r="D60"/>
  <c r="D61"/>
  <c r="C60"/>
  <c r="C58"/>
  <c r="C57"/>
  <c r="C56"/>
  <c r="C55"/>
  <c r="C54"/>
  <c r="C53"/>
  <c r="C52"/>
  <c r="C51"/>
  <c r="C50"/>
  <c r="C49"/>
  <c r="C48"/>
  <c r="D38"/>
  <c r="D39"/>
  <c r="D41"/>
  <c r="D42"/>
  <c r="D43"/>
  <c r="D44"/>
  <c r="D45"/>
  <c r="C45"/>
  <c r="C44"/>
  <c r="C43"/>
  <c r="C42"/>
  <c r="C41"/>
  <c r="C40"/>
  <c r="C39"/>
  <c r="C38"/>
  <c r="D27"/>
  <c r="D26"/>
  <c r="D25"/>
  <c r="D24"/>
  <c r="D23"/>
  <c r="D22"/>
  <c r="D21"/>
  <c r="D19"/>
  <c r="D18"/>
  <c r="D17"/>
  <c r="D35"/>
  <c r="D34"/>
  <c r="D33"/>
  <c r="D32"/>
  <c r="C34"/>
  <c r="C33"/>
  <c r="C32"/>
  <c r="O6" i="17"/>
  <c r="P8"/>
  <c r="P12"/>
  <c r="K50"/>
  <c r="K45"/>
  <c r="K40"/>
  <c r="K34"/>
  <c r="K29"/>
  <c r="K20"/>
  <c r="K17"/>
  <c r="L50"/>
  <c r="M50"/>
  <c r="M45"/>
  <c r="L45"/>
  <c r="L40"/>
  <c r="M40"/>
  <c r="M34"/>
  <c r="L34"/>
  <c r="L29"/>
  <c r="M29"/>
  <c r="M20"/>
  <c r="L20"/>
  <c r="M17"/>
  <c r="L17"/>
  <c r="D29"/>
  <c r="F33"/>
  <c r="E46"/>
  <c r="E35"/>
  <c r="E41"/>
  <c r="E17"/>
  <c r="E10"/>
  <c r="E14"/>
  <c r="E21"/>
  <c r="K9"/>
  <c r="D17"/>
  <c r="P18"/>
  <c r="F18"/>
  <c r="F17"/>
  <c r="F50"/>
  <c r="F45"/>
  <c r="F40"/>
  <c r="F34"/>
  <c r="F29"/>
  <c r="F24"/>
  <c r="F20"/>
  <c r="F13"/>
  <c r="P52"/>
  <c r="F52"/>
  <c r="P22"/>
  <c r="F22"/>
  <c r="P15"/>
  <c r="F15"/>
  <c r="D87"/>
  <c r="C87"/>
  <c r="P48"/>
  <c r="F48"/>
  <c r="P43"/>
  <c r="F43"/>
  <c r="P38"/>
  <c r="F38"/>
  <c r="P32"/>
  <c r="F32"/>
  <c r="P11"/>
  <c r="F11"/>
  <c r="P27"/>
  <c r="F27"/>
  <c r="K61"/>
  <c r="M64"/>
  <c r="L64"/>
  <c r="M61"/>
  <c r="L61"/>
  <c r="M58"/>
  <c r="L58"/>
  <c r="K58"/>
  <c r="M55"/>
  <c r="L55"/>
  <c r="K55"/>
  <c r="D64"/>
  <c r="D61"/>
  <c r="D58"/>
  <c r="D55"/>
  <c r="D50"/>
  <c r="D45"/>
  <c r="D40"/>
  <c r="D34"/>
  <c r="D24"/>
  <c r="D20"/>
  <c r="M13"/>
  <c r="L13"/>
  <c r="K13"/>
  <c r="D13"/>
  <c r="M9"/>
  <c r="L9"/>
  <c r="D9"/>
  <c r="M5"/>
  <c r="L5"/>
  <c r="K5"/>
  <c r="D5"/>
  <c r="M32" i="16"/>
  <c r="L32"/>
  <c r="K32"/>
  <c r="M30"/>
  <c r="L30"/>
  <c r="K30"/>
  <c r="M7"/>
  <c r="L7"/>
  <c r="K8"/>
  <c r="C30"/>
  <c r="C32"/>
  <c r="C8"/>
  <c r="M31"/>
  <c r="L31"/>
  <c r="K31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K19"/>
  <c r="L19"/>
  <c r="D36"/>
  <c r="C31"/>
  <c r="C29"/>
  <c r="C28"/>
  <c r="C27"/>
  <c r="C26"/>
  <c r="C25"/>
  <c r="C24"/>
  <c r="C23"/>
  <c r="C22"/>
  <c r="C21"/>
  <c r="C20"/>
  <c r="D32"/>
  <c r="D31"/>
  <c r="D30"/>
  <c r="D29"/>
  <c r="D28"/>
  <c r="D27"/>
  <c r="D26"/>
  <c r="D25"/>
  <c r="D24"/>
  <c r="D23"/>
  <c r="D22"/>
  <c r="D21"/>
  <c r="D20"/>
  <c r="D19"/>
  <c r="C19"/>
  <c r="M17"/>
  <c r="M16"/>
  <c r="M15"/>
  <c r="M14"/>
  <c r="M13"/>
  <c r="M12"/>
  <c r="M11"/>
  <c r="M10"/>
  <c r="L17"/>
  <c r="L16"/>
  <c r="L15"/>
  <c r="L14"/>
  <c r="L13"/>
  <c r="L12"/>
  <c r="L11"/>
  <c r="L10"/>
  <c r="K17"/>
  <c r="K16"/>
  <c r="K15"/>
  <c r="K14"/>
  <c r="K13"/>
  <c r="K12"/>
  <c r="K11"/>
  <c r="K10"/>
  <c r="D17"/>
  <c r="C17"/>
  <c r="D16"/>
  <c r="C16"/>
  <c r="D15"/>
  <c r="C15"/>
  <c r="D14"/>
  <c r="C14"/>
  <c r="D13"/>
  <c r="C13"/>
  <c r="D12"/>
  <c r="C12"/>
  <c r="D11"/>
  <c r="C11"/>
  <c r="D10"/>
  <c r="C10"/>
  <c r="K7"/>
  <c r="K6"/>
  <c r="K5"/>
  <c r="D42"/>
  <c r="M8"/>
  <c r="M6"/>
  <c r="M5"/>
  <c r="L8"/>
  <c r="L6"/>
  <c r="L5"/>
  <c r="R8"/>
  <c r="R7"/>
  <c r="R6"/>
  <c r="I8"/>
  <c r="I7"/>
  <c r="I6"/>
  <c r="H8"/>
  <c r="H7"/>
  <c r="H6"/>
  <c r="D8"/>
  <c r="D7"/>
  <c r="D6"/>
  <c r="D5"/>
  <c r="C7"/>
  <c r="C6"/>
  <c r="C5"/>
  <c r="G8"/>
  <c r="G7"/>
  <c r="G6"/>
  <c r="D19" i="10"/>
  <c r="F19"/>
  <c r="D21"/>
  <c r="E21"/>
  <c r="F21"/>
  <c r="F22"/>
  <c r="D23"/>
  <c r="E23"/>
  <c r="F23"/>
  <c r="F24"/>
  <c r="D25"/>
  <c r="E25"/>
  <c r="F25"/>
  <c r="F26"/>
  <c r="D27"/>
  <c r="E27"/>
  <c r="F27"/>
  <c r="F28"/>
  <c r="D29"/>
  <c r="E29"/>
  <c r="F29"/>
  <c r="F30"/>
  <c r="D31"/>
  <c r="E31"/>
  <c r="F31"/>
  <c r="F32"/>
  <c r="K37" i="8"/>
  <c r="L30"/>
  <c r="L29"/>
  <c r="D68"/>
  <c r="K10"/>
  <c r="E26"/>
  <c r="C60"/>
  <c r="E15"/>
  <c r="E16"/>
  <c r="C52"/>
  <c r="C51"/>
  <c r="C50"/>
  <c r="C54"/>
  <c r="C53"/>
  <c r="C46"/>
  <c r="E17"/>
  <c r="E21"/>
  <c r="C59"/>
  <c r="C58"/>
  <c r="C57"/>
  <c r="C56"/>
  <c r="C55"/>
  <c r="C47"/>
  <c r="C45"/>
  <c r="C44"/>
  <c r="C43"/>
</calcChain>
</file>

<file path=xl/comments1.xml><?xml version="1.0" encoding="utf-8"?>
<comments xmlns="http://schemas.openxmlformats.org/spreadsheetml/2006/main">
  <authors>
    <author>Maryse Labriet</author>
  </authors>
  <commentList>
    <comment ref="L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M$/tCH4</t>
        </r>
      </text>
    </comment>
    <comment ref="M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M$/tCH4</t>
        </r>
      </text>
    </comment>
  </commentList>
</comments>
</file>

<file path=xl/comments2.xml><?xml version="1.0" encoding="utf-8"?>
<comments xmlns="http://schemas.openxmlformats.org/spreadsheetml/2006/main">
  <authors>
    <author>Maryse Labriet</author>
    <author>KanORS</author>
  </authors>
  <commentList>
    <comment ref="D31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Requires additional fuels and CO2 is emitted. But no details provided.</t>
        </r>
      </text>
    </comment>
    <comment ref="D71" authorId="1">
      <text>
        <r>
          <rPr>
            <b/>
            <sz val="8"/>
            <color indexed="81"/>
            <rFont val="Tahoma"/>
          </rPr>
          <t>KanORS:</t>
        </r>
        <r>
          <rPr>
            <sz val="8"/>
            <color indexed="81"/>
            <rFont val="Tahoma"/>
          </rPr>
          <t xml:space="preserve">
GWP on 100 years
All emissions are in kt except for SF6 and CXF which are in kg</t>
        </r>
      </text>
    </comment>
  </commentList>
</comments>
</file>

<file path=xl/comments3.xml><?xml version="1.0" encoding="utf-8"?>
<comments xmlns="http://schemas.openxmlformats.org/spreadsheetml/2006/main">
  <authors>
    <author>Maryse Labriet</author>
  </authors>
  <commentList>
    <comment ref="L7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M7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L10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M10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L1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M1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L16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  <comment ref="M16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included in technology above
</t>
        </r>
      </text>
    </comment>
  </commentList>
</comments>
</file>

<file path=xl/comments4.xml><?xml version="1.0" encoding="utf-8"?>
<comments xmlns="http://schemas.openxmlformats.org/spreadsheetml/2006/main">
  <authors>
    <author>Maryse Labriet</author>
  </authors>
  <commentList>
    <comment ref="P8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P12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T16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CH4 (unit= tCH4) burnt into CO2 (unit= ktCO2)</t>
        </r>
      </text>
    </comment>
    <comment ref="T19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CH4 (unit= tCH4) burnt into CO2 (unit= ktCO2)</t>
        </r>
      </text>
    </comment>
    <comment ref="T2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CH4 (unit= tCH4) burnt into CO2 (unit= ktCO2)</t>
        </r>
      </text>
    </comment>
    <comment ref="P28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T3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CH4 (unit= tCH4) burnt into CO2 (unit= ktCO2)</t>
        </r>
      </text>
    </comment>
    <comment ref="P39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P44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P49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T5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CH4 (unit= tCH4) burnt into CO2 (unit= ktCO2)</t>
        </r>
      </text>
    </comment>
    <comment ref="F57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Based on US-EPA. 
In EMF, this technology produces heat.</t>
        </r>
      </text>
    </comment>
    <comment ref="P57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F60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Based on US-EPA. 
In EMF, this technology produces heat.</t>
        </r>
      </text>
    </comment>
    <comment ref="P60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P63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P66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  <comment ref="F69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Based on US-EPA. 
In EMF, this technology produces heat.</t>
        </r>
      </text>
    </comment>
    <comment ref="P69" authorId="0">
      <text>
        <r>
          <rPr>
            <b/>
            <sz val="8"/>
            <color indexed="81"/>
            <rFont val="Tahoma"/>
          </rPr>
          <t>Maryse Labriet:</t>
        </r>
        <r>
          <rPr>
            <sz val="8"/>
            <color indexed="81"/>
            <rFont val="Tahoma"/>
          </rPr>
          <t xml:space="preserve">
PJ gas</t>
        </r>
      </text>
    </comment>
  </commentList>
</comments>
</file>

<file path=xl/comments5.xml><?xml version="1.0" encoding="utf-8"?>
<comments xmlns="http://schemas.openxmlformats.org/spreadsheetml/2006/main">
  <authors>
    <author>Maryse Labriet</author>
  </authors>
  <commentList>
    <comment ref="C7" author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</rPr>
          <t xml:space="preserve">
US-EPA uses 3.06 (based on energy)</t>
        </r>
      </text>
    </comment>
    <comment ref="C8" authorId="0">
      <text>
        <r>
          <rPr>
            <b/>
            <sz val="8"/>
            <color indexed="81"/>
            <rFont val="Tahoma"/>
          </rPr>
          <t>Antti-L:</t>
        </r>
        <r>
          <rPr>
            <sz val="8"/>
            <color indexed="81"/>
            <rFont val="Tahoma"/>
          </rPr>
          <t xml:space="preserve">
From CO2 factor of natural gas</t>
        </r>
      </text>
    </comment>
  </commentList>
</comments>
</file>

<file path=xl/sharedStrings.xml><?xml version="1.0" encoding="utf-8"?>
<sst xmlns="http://schemas.openxmlformats.org/spreadsheetml/2006/main" count="2582" uniqueCount="717">
  <si>
    <t>LIFE</t>
  </si>
  <si>
    <t>Comm-OUT</t>
  </si>
  <si>
    <t>~FI_T</t>
  </si>
  <si>
    <t>AGRMAN000</t>
  </si>
  <si>
    <t>EMF-21</t>
  </si>
  <si>
    <t>AGRCH4P</t>
  </si>
  <si>
    <t>RESCH4P</t>
  </si>
  <si>
    <t>Flow for MSW option 1</t>
  </si>
  <si>
    <t>Flow for MSW option 2</t>
  </si>
  <si>
    <t>Flow for MSW option 3</t>
  </si>
  <si>
    <t>Flow for MSW option 4</t>
  </si>
  <si>
    <t>Flow for MSW option 5</t>
  </si>
  <si>
    <t>Flow for MSW option 6</t>
  </si>
  <si>
    <t>Flow for MSW option 7</t>
  </si>
  <si>
    <t>Flow for MSW option 8</t>
  </si>
  <si>
    <t>CH4 (t CH4/PJ) - RES</t>
  </si>
  <si>
    <t>RESWLF000</t>
  </si>
  <si>
    <t>RESWLF2</t>
  </si>
  <si>
    <t>RESWLF3</t>
  </si>
  <si>
    <t>RESWLF4</t>
  </si>
  <si>
    <t>RESWLF5</t>
  </si>
  <si>
    <t>RESWLF6</t>
  </si>
  <si>
    <t>RESWLF7</t>
  </si>
  <si>
    <t>RESWLF8</t>
  </si>
  <si>
    <t>Comm-IN</t>
  </si>
  <si>
    <t>Source</t>
  </si>
  <si>
    <t>~FI_Comm</t>
  </si>
  <si>
    <t>CSet</t>
  </si>
  <si>
    <t>CommName</t>
  </si>
  <si>
    <t>CommDesc</t>
  </si>
  <si>
    <t>Unit</t>
  </si>
  <si>
    <t>ENV</t>
  </si>
  <si>
    <t>t</t>
  </si>
  <si>
    <t>Sets</t>
  </si>
  <si>
    <t>TechName</t>
  </si>
  <si>
    <t>TechDesc</t>
  </si>
  <si>
    <t>PJ</t>
  </si>
  <si>
    <t>INDNIT000</t>
  </si>
  <si>
    <t>Nitric Acid Industry</t>
  </si>
  <si>
    <t>Flow for Nitric Acid option 1</t>
  </si>
  <si>
    <t>INDNIT</t>
  </si>
  <si>
    <t>INDN2OP</t>
  </si>
  <si>
    <t>N2O (t N2O/PJ) - process IND</t>
  </si>
  <si>
    <t>Manure CH4 emissions</t>
  </si>
  <si>
    <t>RESOTH000</t>
  </si>
  <si>
    <t>Other CH4 - wastewater</t>
  </si>
  <si>
    <t>ACTFLO</t>
  </si>
  <si>
    <t>CommGrp</t>
  </si>
  <si>
    <t>Waste Landfills Supply</t>
  </si>
  <si>
    <t>LimType</t>
  </si>
  <si>
    <t>FX</t>
  </si>
  <si>
    <t>RESWFAST</t>
  </si>
  <si>
    <t>RESWSLOW</t>
  </si>
  <si>
    <t>RESWINRT</t>
  </si>
  <si>
    <t>Inert waste</t>
  </si>
  <si>
    <t>Slowly degradable waste</t>
  </si>
  <si>
    <t>Fastly degradable waste</t>
  </si>
  <si>
    <t>Waste for energy</t>
  </si>
  <si>
    <t>NRG</t>
  </si>
  <si>
    <t>ACT</t>
  </si>
  <si>
    <t>Waste landfill conversion</t>
  </si>
  <si>
    <t>RESMFAST</t>
  </si>
  <si>
    <t>MAT</t>
  </si>
  <si>
    <t>RESWLFAST</t>
  </si>
  <si>
    <t>RESMETG</t>
  </si>
  <si>
    <t>RESWLSLOW</t>
  </si>
  <si>
    <t>RESWLFGEN</t>
  </si>
  <si>
    <t>OUTPUT</t>
  </si>
  <si>
    <t>Methane generation</t>
  </si>
  <si>
    <t>N</t>
  </si>
  <si>
    <t>FLO_SHAR~UP</t>
  </si>
  <si>
    <t>RESWBIOT</t>
  </si>
  <si>
    <t>INPUT</t>
  </si>
  <si>
    <t>RESWGATE</t>
  </si>
  <si>
    <t>FLO_DELIV</t>
  </si>
  <si>
    <t>Inflow at landfill gate</t>
  </si>
  <si>
    <t>kt</t>
  </si>
  <si>
    <t>Methane from fast degrading waste</t>
  </si>
  <si>
    <t>\I: Where</t>
  </si>
  <si>
    <t>NonCO2-Waste</t>
  </si>
  <si>
    <t>NonCO2-Waste / Calculation</t>
  </si>
  <si>
    <t>NonCO2-Potents</t>
  </si>
  <si>
    <t>~COMAGG_R1C2</t>
  </si>
  <si>
    <t>UPNCH4N</t>
  </si>
  <si>
    <t>UPNCH4P</t>
  </si>
  <si>
    <t>UPXCH4X</t>
  </si>
  <si>
    <t>UPXCH4000</t>
  </si>
  <si>
    <t>Upstream CH4 calibration</t>
  </si>
  <si>
    <t>Upstream CH4 process emissions</t>
  </si>
  <si>
    <t>ACT_COST</t>
  </si>
  <si>
    <t>Waste landfill storage - fast</t>
  </si>
  <si>
    <t>Waste landfill storage - slow</t>
  </si>
  <si>
    <t>0</t>
  </si>
  <si>
    <t>RESWMETH</t>
  </si>
  <si>
    <t>Wastewater methane</t>
  </si>
  <si>
    <t>AGRMMETH</t>
  </si>
  <si>
    <t>AGRFMETH</t>
  </si>
  <si>
    <t>AGRRMETH</t>
  </si>
  <si>
    <t>Rice methane</t>
  </si>
  <si>
    <t>Fermentation methane</t>
  </si>
  <si>
    <t>Manure methane</t>
  </si>
  <si>
    <t>AGRFERM00</t>
  </si>
  <si>
    <t>AGRRICE00</t>
  </si>
  <si>
    <t>Enteric fermentation</t>
  </si>
  <si>
    <t>Rice cultivation</t>
  </si>
  <si>
    <t>AGRCROP00</t>
  </si>
  <si>
    <t>AGRFERT00</t>
  </si>
  <si>
    <t>AGRANIM00</t>
  </si>
  <si>
    <t>Animal excreta</t>
  </si>
  <si>
    <t>Fertilizer use</t>
  </si>
  <si>
    <t>Crop production</t>
  </si>
  <si>
    <t>AGRCNITR</t>
  </si>
  <si>
    <t>AGRFNITR</t>
  </si>
  <si>
    <t>AGRANITR</t>
  </si>
  <si>
    <t>ACH4NONAB</t>
  </si>
  <si>
    <t>AN2ONONAB</t>
  </si>
  <si>
    <t>RCH4NONAB</t>
  </si>
  <si>
    <t>Non-abated CH4 agriculture</t>
  </si>
  <si>
    <t>Non-abated CH4 residential</t>
  </si>
  <si>
    <t>Non-abated N2O agriculture</t>
  </si>
  <si>
    <t>AGRN2OP</t>
  </si>
  <si>
    <t>RESN2OP</t>
  </si>
  <si>
    <t>Crop production nitroxide</t>
  </si>
  <si>
    <t>Fertilizer use nitroxide</t>
  </si>
  <si>
    <t>Animal excreta nitroxide</t>
  </si>
  <si>
    <t>INDCOA</t>
  </si>
  <si>
    <t>INDELC</t>
  </si>
  <si>
    <t>INDCO2P</t>
  </si>
  <si>
    <t>INVCOST</t>
  </si>
  <si>
    <t>FIXOM</t>
  </si>
  <si>
    <t>VAROM</t>
  </si>
  <si>
    <t>DELIV</t>
  </si>
  <si>
    <t>AF</t>
  </si>
  <si>
    <t>ENV_ACT</t>
  </si>
  <si>
    <t>START</t>
  </si>
  <si>
    <t>Coal (IND)</t>
  </si>
  <si>
    <t>Upstream CH4 energy emissions</t>
  </si>
  <si>
    <t>INDBIO</t>
  </si>
  <si>
    <t>Biofuels (IND)</t>
  </si>
  <si>
    <t>CH4 (t CH4/PJ) - AGR</t>
  </si>
  <si>
    <t>N2O (t N2O/PJ) - AGR</t>
  </si>
  <si>
    <t>N2O (t N2O/PJ) - RES</t>
  </si>
  <si>
    <t>CTSLvl</t>
  </si>
  <si>
    <t>PeakTS</t>
  </si>
  <si>
    <t>Ctype</t>
  </si>
  <si>
    <t>Electricity (IND)</t>
  </si>
  <si>
    <t>DAYNITE</t>
  </si>
  <si>
    <t>ELC</t>
  </si>
  <si>
    <t>FIN</t>
  </si>
  <si>
    <t>~FI_Process</t>
  </si>
  <si>
    <t>Tact</t>
  </si>
  <si>
    <t>Tcap</t>
  </si>
  <si>
    <t>Tslvl</t>
  </si>
  <si>
    <t>PrimaryCG</t>
  </si>
  <si>
    <t>Vintage</t>
  </si>
  <si>
    <t>PJ_a</t>
  </si>
  <si>
    <t>NO</t>
  </si>
  <si>
    <t>ACH4NONAB_MATI</t>
  </si>
  <si>
    <t>AN2ONONAB_MATI</t>
  </si>
  <si>
    <t>RESWLF000_NRGO</t>
  </si>
  <si>
    <t>ELCCH4N</t>
  </si>
  <si>
    <t>INDCH4N</t>
  </si>
  <si>
    <t>RESCH4N</t>
  </si>
  <si>
    <t>TRACH4N</t>
  </si>
  <si>
    <t>BIOBMU</t>
  </si>
  <si>
    <t>COMCH4N</t>
  </si>
  <si>
    <t>Backstop for CH4 emissions</t>
  </si>
  <si>
    <t>TOTCH4</t>
  </si>
  <si>
    <t>Total CH4 Emission</t>
  </si>
  <si>
    <t>CH4BKSTP</t>
  </si>
  <si>
    <t>AGROGHG00</t>
  </si>
  <si>
    <t>Other agricultural GHG</t>
  </si>
  <si>
    <t>AGROMETH</t>
  </si>
  <si>
    <t>Other agricult CH4</t>
  </si>
  <si>
    <t>FLO_EFF</t>
  </si>
  <si>
    <t>CH4BKSTP2</t>
  </si>
  <si>
    <t>Backstop2 for CH4 emissions</t>
  </si>
  <si>
    <t>IN2ONONAB</t>
  </si>
  <si>
    <t>Industry N2O Non-abated emissions</t>
  </si>
  <si>
    <t>PRE</t>
  </si>
  <si>
    <t>AGRCH4N</t>
  </si>
  <si>
    <t>NONCO2T</t>
  </si>
  <si>
    <t>Non-ETS emissions</t>
  </si>
  <si>
    <t>MBUCO2</t>
  </si>
  <si>
    <t>Marine bunkers CO2</t>
  </si>
  <si>
    <t>YEAR</t>
  </si>
  <si>
    <t>CAPUNIT</t>
  </si>
  <si>
    <t>Output</t>
  </si>
  <si>
    <t>CF</t>
  </si>
  <si>
    <t>DISCRATE</t>
  </si>
  <si>
    <t>\I: ABATEMENT OPTIONS - NITRIC ACID</t>
  </si>
  <si>
    <t>IN2ONIT01</t>
  </si>
  <si>
    <t>N2O option - Grand Paroisse - High Temperature Catalytic Reduction Method</t>
  </si>
  <si>
    <t>IN2ONIT02</t>
  </si>
  <si>
    <t>N2O option - BASF - High Temperature Catalytic Reduction Method</t>
  </si>
  <si>
    <t>IN2ONIT03</t>
  </si>
  <si>
    <t>N2O option - Norsk Hydro - High Temperature Catalytic Reduction Method</t>
  </si>
  <si>
    <t>IN2ONIT04</t>
  </si>
  <si>
    <t>N2O option - HITK – High Temperature Catalytic Reduction Method</t>
  </si>
  <si>
    <t>IN2ONIT05</t>
  </si>
  <si>
    <t>N2O option - Krupp Uhde - Low Temperature Catalytic Reduction Method</t>
  </si>
  <si>
    <t>IN2ONIT06</t>
  </si>
  <si>
    <t>N2O option - ECN - Low temperature selective catalytic reduction with propane addition</t>
  </si>
  <si>
    <t>IN2ONIT07</t>
  </si>
  <si>
    <t>N2O option - Non-Selective Catalytic Reduction (NSCR)</t>
  </si>
  <si>
    <t>Input</t>
  </si>
  <si>
    <t>Output~2020</t>
  </si>
  <si>
    <t>Output~2050</t>
  </si>
  <si>
    <t>FLO_EMIS~DUM1</t>
  </si>
  <si>
    <t>PRC_MARK~UP~2020</t>
  </si>
  <si>
    <t>PRC_MARK~UP~2030</t>
  </si>
  <si>
    <t>PRC_MARK~UP~2050</t>
  </si>
  <si>
    <t>\I: ABATEMENT OPTIONS - N2O AGRIGULTURE</t>
  </si>
  <si>
    <t>AN2OCROP1</t>
  </si>
  <si>
    <t>N2O option - Crop production 1</t>
  </si>
  <si>
    <t>AN2OCROP2</t>
  </si>
  <si>
    <t>N2O option - Crop production 2: Backstop</t>
  </si>
  <si>
    <t>AN2OFERT1</t>
  </si>
  <si>
    <t>N2O option - Fertilizer use 1</t>
  </si>
  <si>
    <t>AN2OFERT2</t>
  </si>
  <si>
    <t>N2O option - Fertilizer use 2</t>
  </si>
  <si>
    <t>AN2OFERT3</t>
  </si>
  <si>
    <t>N2O option - Fertilizer use 3</t>
  </si>
  <si>
    <t>AN2OFERT4</t>
  </si>
  <si>
    <t>N2O option - Fertilizer use 4</t>
  </si>
  <si>
    <t>AN2OFERT5</t>
  </si>
  <si>
    <t>N2O option - Fertilizer use 5</t>
  </si>
  <si>
    <t>AN2OANIM1</t>
  </si>
  <si>
    <t>N2O option - Animal excreta 1</t>
  </si>
  <si>
    <t>AN2OANIM2</t>
  </si>
  <si>
    <t>N2O option - Animal excreta 2: Backstop</t>
  </si>
  <si>
    <t>AN2OMMM1</t>
  </si>
  <si>
    <t>N2O option - MMM1</t>
  </si>
  <si>
    <t>AN2OMMM2</t>
  </si>
  <si>
    <t>N2O option - MMM2</t>
  </si>
  <si>
    <t>AN2OMMM3</t>
  </si>
  <si>
    <t>N2O option - MMM3</t>
  </si>
  <si>
    <t>AN2OMMM4</t>
  </si>
  <si>
    <t>N2O option - MMM4</t>
  </si>
  <si>
    <t>\I: ABATEMENT OPTIONS - FGAS EMISSIONS</t>
  </si>
  <si>
    <t>FGRRECOV</t>
  </si>
  <si>
    <t>F-gas option - Refrigerant recovery</t>
  </si>
  <si>
    <t>TERC1-FG</t>
  </si>
  <si>
    <t>TRACR-FG</t>
  </si>
  <si>
    <t>TOTFGS</t>
  </si>
  <si>
    <t>FGRLEAKR</t>
  </si>
  <si>
    <t>F-gas option - Leak Repair</t>
  </si>
  <si>
    <t>COMC1-FG</t>
  </si>
  <si>
    <t>COMC2-FG</t>
  </si>
  <si>
    <t>FGRALOOP</t>
  </si>
  <si>
    <t>F-gas option - Ammonia secondary loop system</t>
  </si>
  <si>
    <t>COTELC</t>
  </si>
  <si>
    <t>FGRDISTR</t>
  </si>
  <si>
    <t>F-gas option - Distributed system</t>
  </si>
  <si>
    <t>FGRHLOOP</t>
  </si>
  <si>
    <t>F-gas option - HFC secondary loop system</t>
  </si>
  <si>
    <t>FGREH134</t>
  </si>
  <si>
    <t>F-gas option - Enhanced HFC-134 in MVACs</t>
  </si>
  <si>
    <t>FGREH152</t>
  </si>
  <si>
    <t>F-gas option - Enhanced HFC-152 in MVACs</t>
  </si>
  <si>
    <t>FGREHCO2</t>
  </si>
  <si>
    <t>F-gas option - CO2 IN MVACs</t>
  </si>
  <si>
    <t>F-gas option - OI Recovery</t>
  </si>
  <si>
    <t>IOIFGS</t>
  </si>
  <si>
    <t>OTHFGS</t>
  </si>
  <si>
    <t>F-Gas Emissions Not Abated</t>
  </si>
  <si>
    <t>DUM1</t>
  </si>
  <si>
    <t>\I: ABATEMENT OPTIONS - ENDD</t>
  </si>
  <si>
    <t>COMELC</t>
  </si>
  <si>
    <t>Electricity (COM)</t>
  </si>
  <si>
    <t>Electricity (COT)</t>
  </si>
  <si>
    <t>ANNUAL</t>
  </si>
  <si>
    <t>CRFDEM</t>
  </si>
  <si>
    <t>RRFDEM</t>
  </si>
  <si>
    <t>UP</t>
  </si>
  <si>
    <t>YES</t>
  </si>
  <si>
    <t>Conversion</t>
  </si>
  <si>
    <t>TIMES units</t>
  </si>
  <si>
    <t>ktCE</t>
  </si>
  <si>
    <t xml:space="preserve">1 kt CO2 = </t>
  </si>
  <si>
    <t>CO2</t>
  </si>
  <si>
    <t>ktCO2</t>
  </si>
  <si>
    <t>M$/ktCO2</t>
  </si>
  <si>
    <t>x</t>
  </si>
  <si>
    <t>1$/TCE =&gt; $/tCO2</t>
  </si>
  <si>
    <t xml:space="preserve">1 kt CH4 burned = </t>
  </si>
  <si>
    <t>kt CO2</t>
  </si>
  <si>
    <t xml:space="preserve">1 kt CH4 used = </t>
  </si>
  <si>
    <t>PJ natural gas</t>
  </si>
  <si>
    <t>BaseYear</t>
  </si>
  <si>
    <t>Sector</t>
  </si>
  <si>
    <t>Tech name start with:</t>
  </si>
  <si>
    <t>Description start with:</t>
  </si>
  <si>
    <t>Adipic Acid</t>
  </si>
  <si>
    <t>IN2OADI</t>
  </si>
  <si>
    <t xml:space="preserve">N2O option - </t>
  </si>
  <si>
    <t>Nitric Acid</t>
  </si>
  <si>
    <t>IN2ONIT</t>
  </si>
  <si>
    <t>Tech name</t>
  </si>
  <si>
    <t>Description</t>
  </si>
  <si>
    <t>Technology 1:</t>
  </si>
  <si>
    <t>Thermal Destruction</t>
  </si>
  <si>
    <t>Grand Paroisse - High Temperature Catalytic Reduction Method</t>
  </si>
  <si>
    <t>Technology 2:</t>
  </si>
  <si>
    <t>BASF - High Temperature Catalytic Reduction Method</t>
  </si>
  <si>
    <t>Technology 3:</t>
  </si>
  <si>
    <t>Norsk Hydro - High Temperature Catalytic Reduction Method</t>
  </si>
  <si>
    <t>Technology 4:</t>
  </si>
  <si>
    <t>HITK – High Temperature Catalytic Reduction Method</t>
  </si>
  <si>
    <t>Technology 5:</t>
  </si>
  <si>
    <t>Krupp Uhde - Low Temperature Catalytic Reduction Method</t>
  </si>
  <si>
    <t>Technology 6:</t>
  </si>
  <si>
    <t>ECN - Low temperature selective catalytic reduction with propane addition</t>
  </si>
  <si>
    <t>Technology 7:</t>
  </si>
  <si>
    <t>Non-Selective Catalytic Reduction (NSCR)</t>
  </si>
  <si>
    <t>Capital Costs  ($/TCE in 2000USD)</t>
  </si>
  <si>
    <t>O&amp;M Costs ($/TCE in 2000USD)</t>
  </si>
  <si>
    <t>Lifetime (years)</t>
  </si>
  <si>
    <t>Presence (yes/no)</t>
  </si>
  <si>
    <t>Abatement Potential (% of baseline)</t>
  </si>
  <si>
    <t>Presence in Region (yes/no)</t>
  </si>
  <si>
    <t>Reduction Efficiency</t>
  </si>
  <si>
    <t>invcost (M$/tCH4)</t>
  </si>
  <si>
    <t>fixom (M$/tCH4)</t>
  </si>
  <si>
    <t>$/t(CO2-eq)</t>
  </si>
  <si>
    <t>ENV_INV</t>
  </si>
  <si>
    <t>CHPR~FX</t>
  </si>
  <si>
    <t>UPNOIL01</t>
  </si>
  <si>
    <t>UPNCO2P</t>
  </si>
  <si>
    <t>GASDMY</t>
  </si>
  <si>
    <t>GANNGA</t>
  </si>
  <si>
    <t>UPNCOA01</t>
  </si>
  <si>
    <t>ELCNGN</t>
  </si>
  <si>
    <t>\I: ABATEMENT OPTIONS IN GAS SECTOR - Non-Opec</t>
  </si>
  <si>
    <t>UPNGAS01</t>
  </si>
  <si>
    <t xml:space="preserve"> </t>
  </si>
  <si>
    <t>Dmy CH4 for option OIL01 (t CH4/PJ) - Nopec</t>
  </si>
  <si>
    <t>Dmy CH4 for option COA01 (t CH4/PJ) - Nopec</t>
  </si>
  <si>
    <t>Dmy CH4 for option GAS01 (t CH4/PJ) - Nopec</t>
  </si>
  <si>
    <t>Fossil by-product gas Nopec</t>
  </si>
  <si>
    <t>UNCH4COA08</t>
  </si>
  <si>
    <t>CH4- Catalytic Oxidation (EU)</t>
  </si>
  <si>
    <t>GW</t>
  </si>
  <si>
    <t>UNCH4COA01</t>
  </si>
  <si>
    <t>CH4- Degasification and Pipeline Injection</t>
  </si>
  <si>
    <t>UNCH4COA02</t>
  </si>
  <si>
    <t>CH4- Enhanced Degasification_ Gas Enrichment_ and Pipeline Injection</t>
  </si>
  <si>
    <t>UNCH4COA03</t>
  </si>
  <si>
    <t>CH4- Catalytic Oxidation (US)</t>
  </si>
  <si>
    <t>UNCH4COA04</t>
  </si>
  <si>
    <t>CH4- Flaring</t>
  </si>
  <si>
    <t>UNCH4COA05</t>
  </si>
  <si>
    <t>CH4- Degasification and Power Production – A</t>
  </si>
  <si>
    <t>UNCH4COA06</t>
  </si>
  <si>
    <t xml:space="preserve">CH4- Degasification and Power Production – B </t>
  </si>
  <si>
    <t>UNCH4COA07</t>
  </si>
  <si>
    <t xml:space="preserve">CH4- Degasification and Power Production – C </t>
  </si>
  <si>
    <t>UNCH4GAS01</t>
  </si>
  <si>
    <t>CH4- P&amp;T - Use gas turbines instead of reciprocating engines</t>
  </si>
  <si>
    <t>UNCH4GAS02</t>
  </si>
  <si>
    <t>CH4- Prod-D I&amp;M (Pipeline Leaks)</t>
  </si>
  <si>
    <t>UNCH4GAS03</t>
  </si>
  <si>
    <t>CH4- Installation of Flash Tank Separators (Production)</t>
  </si>
  <si>
    <t>UNCH4GAS04</t>
  </si>
  <si>
    <t>CH4- Replace high-bleed pneumatic devices with compressed air systems (Production)</t>
  </si>
  <si>
    <t>UNCH4GAS05</t>
  </si>
  <si>
    <t>CH4- Replace high-bleed pneumatic devices with low-bleed pneumatic devices (Production)</t>
  </si>
  <si>
    <t>UNCH4GAS06</t>
  </si>
  <si>
    <t>CH4- Dry Seals on Centrifugal Compressors (P&amp;T)</t>
  </si>
  <si>
    <t>UNCH4GAS07</t>
  </si>
  <si>
    <t>CH4- Catalytic Converter (P&amp;T)</t>
  </si>
  <si>
    <t>UNCH4GAS08</t>
  </si>
  <si>
    <t>CH4- Portable Evacuation Compressor for Pipeline Venting (P&amp;T)</t>
  </si>
  <si>
    <t>UNCH4GAS09</t>
  </si>
  <si>
    <t>CH4- Replace High-bleed pneumatic devices with compressed air systems (P&amp;T)</t>
  </si>
  <si>
    <t>UNCH4GAS10</t>
  </si>
  <si>
    <t>CH4- Replace high-bleed pneumatic devices with low-bleed pneumatic devices (P&amp;T)</t>
  </si>
  <si>
    <t>UNCH4GAS11</t>
  </si>
  <si>
    <t>CH4- D-D I&amp;M (Distribution)</t>
  </si>
  <si>
    <t>UNCH4GAS12</t>
  </si>
  <si>
    <t>CH4- D-D I&amp;M (Enhanced: Distribution)</t>
  </si>
  <si>
    <t>UNCH4GAS13</t>
  </si>
  <si>
    <t>CH4- Electronic Monitoring at Large Surface Facilities (D)</t>
  </si>
  <si>
    <t>UNCH4GAS14</t>
  </si>
  <si>
    <t>CH4- Replacement of Cast Iron_Unprotected Steel Pipeline (D)</t>
  </si>
  <si>
    <t>UNCH4OIL01</t>
  </si>
  <si>
    <t>CH4- Flaring instead of Venting (Offshore)</t>
  </si>
  <si>
    <t>UNCH4OIL02</t>
  </si>
  <si>
    <t>CH4- Flaring instead of Venting (Onshore)</t>
  </si>
  <si>
    <t>UNCH4OIL03</t>
  </si>
  <si>
    <t>CH4- Associated Gas (vented) Mix with Other Options</t>
  </si>
  <si>
    <t>UNCH4OIL04</t>
  </si>
  <si>
    <t>CH4- Associated Gas (flared) Mix with Other Options</t>
  </si>
  <si>
    <t>EFF</t>
  </si>
  <si>
    <t>\I: ABATEMENT OPTIONS - LANDFILLS</t>
  </si>
  <si>
    <t>RESDMY</t>
  </si>
  <si>
    <t>BIOGAS</t>
  </si>
  <si>
    <t>ELCBGB</t>
  </si>
  <si>
    <t>RESCO2P</t>
  </si>
  <si>
    <t>RESNGA</t>
  </si>
  <si>
    <t>\I: ABATEMENT OPTIONS - MANURE</t>
  </si>
  <si>
    <t>\I: ABATEMENT OPTIONS - OTHER</t>
  </si>
  <si>
    <t>RCH4WWAT1</t>
  </si>
  <si>
    <t>CH4 option - Waste water emissions</t>
  </si>
  <si>
    <t>ACH4FERM1</t>
  </si>
  <si>
    <t>CH4 option - Enteric fermentation 1</t>
  </si>
  <si>
    <t>ACH4FERM2</t>
  </si>
  <si>
    <t>CH4 option - Enteric fermentation 2</t>
  </si>
  <si>
    <t>ACH4FERM3</t>
  </si>
  <si>
    <t>CH4 option - Enteric fermentation 3</t>
  </si>
  <si>
    <t>ACH4OTHR1</t>
  </si>
  <si>
    <t>CH4 option - Other agriculture</t>
  </si>
  <si>
    <t>CH4 (t CH4_PJ) - RES</t>
  </si>
  <si>
    <t>CH4 process (t CH4_PJ) - RES</t>
  </si>
  <si>
    <t>CH4 (t CH4_PJ) - AGR</t>
  </si>
  <si>
    <t>AGRCO2P</t>
  </si>
  <si>
    <t>CH4 process (t CH4_PJ) - AGR</t>
  </si>
  <si>
    <t>Biogas (landfill or digestion)</t>
  </si>
  <si>
    <t>ELCC</t>
  </si>
  <si>
    <t>Electricity (Centralized)</t>
  </si>
  <si>
    <t>AGRDMY</t>
  </si>
  <si>
    <t>Dmy</t>
  </si>
  <si>
    <t>Flow for Manure options</t>
  </si>
  <si>
    <t>Flow for Fermentation options</t>
  </si>
  <si>
    <t>Flow for residential methane options</t>
  </si>
  <si>
    <t>RESWLF1</t>
  </si>
  <si>
    <t>ACH4MAN01</t>
  </si>
  <si>
    <t>CH4- Farm Scale Digesters-A (cool climate)</t>
  </si>
  <si>
    <t>ACH4MAN02</t>
  </si>
  <si>
    <t>CH4- Farm Scale Digesters-A (warm climate)</t>
  </si>
  <si>
    <t>ACH4MAN03</t>
  </si>
  <si>
    <t>CH4- Farm Scale Digesters-B (cool climate)</t>
  </si>
  <si>
    <t>ACH4MAN04</t>
  </si>
  <si>
    <t>CH4- Farm Scale Digesters-B (warm climate)</t>
  </si>
  <si>
    <t>RCH4WLF01</t>
  </si>
  <si>
    <t>CH4- Anaerobic digestion 1 (AD1)</t>
  </si>
  <si>
    <t>RCH4WLF02</t>
  </si>
  <si>
    <t>CH4- Anaerobic digestion 2 (AD2)</t>
  </si>
  <si>
    <t>RCH4WLF03</t>
  </si>
  <si>
    <t>CH4- Composting (C1)</t>
  </si>
  <si>
    <t>RCH4WLF04</t>
  </si>
  <si>
    <t>CH4- Composting (C2)</t>
  </si>
  <si>
    <t>RCH4WLF05</t>
  </si>
  <si>
    <t>CH4- Mechanical Biological Treatment</t>
  </si>
  <si>
    <t>RCH4WLF06</t>
  </si>
  <si>
    <t>CH4- Heat Production</t>
  </si>
  <si>
    <t>RCH4WLF07</t>
  </si>
  <si>
    <t>CH4- Increased Oxidation</t>
  </si>
  <si>
    <t>RCH4WLF08</t>
  </si>
  <si>
    <t>CH4- Direct Gas Use (profitable at base price)</t>
  </si>
  <si>
    <t>RCH4WLF09</t>
  </si>
  <si>
    <t>CH4- Electricity Generation</t>
  </si>
  <si>
    <t>RCH4WLF10</t>
  </si>
  <si>
    <t xml:space="preserve">CH4- Direct Gas Use (profitable above base price) </t>
  </si>
  <si>
    <t>RCH4WLF11</t>
  </si>
  <si>
    <t>AFA~FX</t>
  </si>
  <si>
    <t>CHPR~UP</t>
  </si>
  <si>
    <t>CEH</t>
  </si>
  <si>
    <t>\I: ELECTRICITY AND CHP</t>
  </si>
  <si>
    <t>EBIOICE-B5</t>
  </si>
  <si>
    <t>CH4 option - Production of elec from biogas</t>
  </si>
  <si>
    <t>ELCMP</t>
  </si>
  <si>
    <t>DHPBIOICE-B5</t>
  </si>
  <si>
    <t>CH4 option - Production of elec and heat from biogas</t>
  </si>
  <si>
    <t>HET</t>
  </si>
  <si>
    <t>EGASICE-N5</t>
  </si>
  <si>
    <t>CH4 option - Production of elec from fosgas</t>
  </si>
  <si>
    <t>DHPGASICE-N5</t>
  </si>
  <si>
    <t>CH4 option - Production of elec and heat from fosgas</t>
  </si>
  <si>
    <t>Renewable biogas</t>
  </si>
  <si>
    <t>Electricity (Intermediate production)</t>
  </si>
  <si>
    <t>Heat</t>
  </si>
  <si>
    <t>UNCH4OIL</t>
  </si>
  <si>
    <t xml:space="preserve">CH4- </t>
  </si>
  <si>
    <t>UNCH4COA</t>
  </si>
  <si>
    <t>UNCH4GAS</t>
  </si>
  <si>
    <t>Manure</t>
  </si>
  <si>
    <t>ACH4MAN</t>
  </si>
  <si>
    <t>Waste LandFill</t>
  </si>
  <si>
    <t>RCH4WLF</t>
  </si>
  <si>
    <t>Farm Scale Digesters-A (cool climate)</t>
  </si>
  <si>
    <t>Farm Scale Digesters-A (warm climate)</t>
  </si>
  <si>
    <t>Farm Scale Digesters-B (cool climate)</t>
  </si>
  <si>
    <t>Farm Scale Digesters-B (warm climate)</t>
  </si>
  <si>
    <t>Not modeled:</t>
  </si>
  <si>
    <t>Centralized Digesters (cool climate)</t>
  </si>
  <si>
    <t>Anaerobic digestion 1 (AD1)</t>
  </si>
  <si>
    <t>Anaerobic digestion 2 (AD2)</t>
  </si>
  <si>
    <t>Composting (C1)</t>
  </si>
  <si>
    <t>Composting (C2)</t>
  </si>
  <si>
    <t>Mechanical Biological Treatment</t>
  </si>
  <si>
    <t>Heat Production</t>
  </si>
  <si>
    <t>Increased Oxidation</t>
  </si>
  <si>
    <t>Technology 8:</t>
  </si>
  <si>
    <t>Direct Gas Use (profitable at base price)</t>
  </si>
  <si>
    <t>Technology 9:</t>
  </si>
  <si>
    <t>Electricity Generation</t>
  </si>
  <si>
    <t>Technology 10:</t>
  </si>
  <si>
    <t xml:space="preserve">Direct Gas Use (profitable above base price) </t>
  </si>
  <si>
    <t>Technology 11:</t>
  </si>
  <si>
    <t>Flaring</t>
  </si>
  <si>
    <t>Technology 12:</t>
  </si>
  <si>
    <t>Waste Burning</t>
  </si>
  <si>
    <t>CH4- Waste burning</t>
  </si>
  <si>
    <t>Oil</t>
  </si>
  <si>
    <t>Flaring instead of Venting (Offshore)</t>
  </si>
  <si>
    <t>Flaring instead of Venting (Onshore)</t>
  </si>
  <si>
    <t>Associated Gas (vented) Mix with Other Options</t>
  </si>
  <si>
    <t>Associated Gas (flared) Mix with Other Options</t>
  </si>
  <si>
    <t>Coal</t>
  </si>
  <si>
    <t>Degasification and Pipeline Injection</t>
  </si>
  <si>
    <t>Enhanced Degasification, Gas Enrichment, and Pipeline Injection</t>
  </si>
  <si>
    <t>Catalytic Oxidation (US)</t>
  </si>
  <si>
    <t>Degasification and Power Production – A</t>
  </si>
  <si>
    <t xml:space="preserve">Degasification and Power Production – B </t>
  </si>
  <si>
    <t xml:space="preserve">Degasification and Power Production – C </t>
  </si>
  <si>
    <t>Catalytic Oxidation (EU)</t>
  </si>
  <si>
    <t>Gas</t>
  </si>
  <si>
    <t>P&amp;T - Use gas turbines instead of reciprocating engines</t>
  </si>
  <si>
    <t>Prod-D I&amp;M (Pipeline Leaks)</t>
  </si>
  <si>
    <t>Installation of Flash Tank Separators (Production)</t>
  </si>
  <si>
    <t>Technology 13:</t>
  </si>
  <si>
    <t>Replace high-bleed pneumatic devices with compressed air systems (Production)</t>
  </si>
  <si>
    <t>Technology 14:</t>
  </si>
  <si>
    <t>Replace high-bleed pneumatic devices with low-bleed pneumatic devices (Production)</t>
  </si>
  <si>
    <t>Technology 16:</t>
  </si>
  <si>
    <t>Dry Seals on Centrifugal Compressors (P&amp;T)</t>
  </si>
  <si>
    <t>Technology 19:</t>
  </si>
  <si>
    <t>Catalytic Converter (P&amp;T)</t>
  </si>
  <si>
    <t>Technology 28:</t>
  </si>
  <si>
    <t>Replace High-bleed pneumatic devices with compressed air systems (P&amp;T)</t>
  </si>
  <si>
    <t>Technology 29:</t>
  </si>
  <si>
    <t>Replace high-bleed pneumatic devices with low-bleed pneumatic devices (P&amp;T)</t>
  </si>
  <si>
    <t>Technology 31:</t>
  </si>
  <si>
    <t>D-D I&amp;M (Distribution)</t>
  </si>
  <si>
    <t>Technology 32:</t>
  </si>
  <si>
    <t>D-D I&amp;M (Enhanced: Distribution)</t>
  </si>
  <si>
    <t>Technology 33:</t>
  </si>
  <si>
    <t>Electronic Monitoring at Large Surface Facilities (D)</t>
  </si>
  <si>
    <t>Technology 34:</t>
  </si>
  <si>
    <t>Replacement of Cast Iron/Unprotected Steel Pipeline (D)</t>
  </si>
  <si>
    <t>Technology 35:</t>
  </si>
  <si>
    <t>Replacement of Unprotected Steel Services (D)</t>
  </si>
  <si>
    <t>P&amp;T - Compressors-Altering Start-Up Procedure during Maintenance</t>
  </si>
  <si>
    <t>Prod-D I&amp;M (Chemical Inspection Pumps)</t>
  </si>
  <si>
    <t>Prod-D I&amp;M (Enhanced)</t>
  </si>
  <si>
    <t>Prod-D I&amp;M (Offshore)</t>
  </si>
  <si>
    <t>Prod-D I&amp;M (Onshore)</t>
  </si>
  <si>
    <t>Installation of Electric Starters on Compressors (Production)</t>
  </si>
  <si>
    <t>Installing Plunger Lift Systems In Gas Wells</t>
  </si>
  <si>
    <t>Portable Evacuation Compressor for Pipeline Venting (Production)</t>
  </si>
  <si>
    <t>Reducing the Glycol Circulation Rates in Dehydrators (Production)</t>
  </si>
  <si>
    <t>Technology 15:</t>
  </si>
  <si>
    <t>Surge Vessels for Station/Well Venting (Production)</t>
  </si>
  <si>
    <t>Technology 17:</t>
  </si>
  <si>
    <t>Fuel Gas Retrofit for Blowdown Valve</t>
  </si>
  <si>
    <t>Technology 18:</t>
  </si>
  <si>
    <t>Reducing the Glycol Circulation Rates in Dehydrators (P&amp;T)</t>
  </si>
  <si>
    <t>Technology 20:</t>
  </si>
  <si>
    <t>P&amp;T-D I&amp;M (Compressor Stations)</t>
  </si>
  <si>
    <t>Technology 21:</t>
  </si>
  <si>
    <t>P&amp;T-D I&amp;M (Compressor Stations: Enhanced)</t>
  </si>
  <si>
    <t>Technology 22:</t>
  </si>
  <si>
    <t>P&amp;T-D I&amp;M (Enhanced: Storage Wells)</t>
  </si>
  <si>
    <t>Technology 23:</t>
  </si>
  <si>
    <t>P&amp;T-D I&amp;M (Pipeline: Transmission)</t>
  </si>
  <si>
    <t>Technology 24:</t>
  </si>
  <si>
    <t>P&amp;T-D I&amp;M (Wells: Storage)</t>
  </si>
  <si>
    <t>Technology 25:</t>
  </si>
  <si>
    <t>Installation of Flash Tank Separators (P&amp;T)</t>
  </si>
  <si>
    <t>Technology 26:</t>
  </si>
  <si>
    <t>Portable Evacuation Compressor for Pipeline Venting (P&amp;T)</t>
  </si>
  <si>
    <t>Technology 27:</t>
  </si>
  <si>
    <t>Static-Pacs on reciprocating compressors (P&amp;T)</t>
  </si>
  <si>
    <t>Technology 30:</t>
  </si>
  <si>
    <t>Surge Vessels for Station/Well Venting (P&amp;T)</t>
  </si>
  <si>
    <t xml:space="preserve">1 kt CH4 = </t>
  </si>
  <si>
    <t>CH4</t>
  </si>
  <si>
    <t>tCH4</t>
  </si>
  <si>
    <t>M$/tCH4</t>
  </si>
  <si>
    <t>Ratio of</t>
  </si>
  <si>
    <t>methane generation potential</t>
  </si>
  <si>
    <t>1$/TCE =&gt; $/tCH4</t>
  </si>
  <si>
    <t>to manure emissions</t>
  </si>
  <si>
    <t>1$/TCE =&gt; M$/tCH4</t>
  </si>
  <si>
    <t>OIL</t>
  </si>
  <si>
    <t>WASTE</t>
  </si>
  <si>
    <t>Multiplier</t>
  </si>
  <si>
    <t>COAL</t>
  </si>
  <si>
    <t>GAS</t>
  </si>
  <si>
    <t>MANURE</t>
  </si>
  <si>
    <t>invcost (M$/ktCH4)</t>
  </si>
  <si>
    <t>fixom (M$/ktCH4)</t>
  </si>
  <si>
    <t>OTHER</t>
  </si>
  <si>
    <t>$/t(CH4)</t>
  </si>
  <si>
    <t>M$/kt(CH4)</t>
  </si>
  <si>
    <t>CH4 option - Rice cultivation 1</t>
  </si>
  <si>
    <t>CH4 option - Rice cultivation 2</t>
  </si>
  <si>
    <t>CH4 option - Other agricultural CH4</t>
  </si>
  <si>
    <t>AF~FX</t>
  </si>
  <si>
    <t>ACT_BND~FX~0</t>
  </si>
  <si>
    <t>COMFGS000</t>
  </si>
  <si>
    <t>F-Gas Baseline emissions</t>
  </si>
  <si>
    <t>DUMMA</t>
  </si>
  <si>
    <t>COMFGAS</t>
  </si>
  <si>
    <t>ICHFGAS</t>
  </si>
  <si>
    <t>INFFGAS</t>
  </si>
  <si>
    <t>N2O Flow for Nitric and Adipic Acid</t>
  </si>
  <si>
    <t>F-Gas from ods substitutes</t>
  </si>
  <si>
    <t>Mt</t>
  </si>
  <si>
    <t>F-Gas from Chemical Industry</t>
  </si>
  <si>
    <t>F-Gas from Non-ferrous metals Industry</t>
  </si>
  <si>
    <t>Annual Dummy commodity</t>
  </si>
  <si>
    <t>CFGSNONAB</t>
  </si>
  <si>
    <t>Non-abated F-gas emissions</t>
  </si>
  <si>
    <t>FGRHCFC22</t>
  </si>
  <si>
    <t>LTHEAT</t>
  </si>
  <si>
    <t>PEAK</t>
  </si>
  <si>
    <t>\I: ABATEMENT OPTIONS IN OIL SECTOR</t>
  </si>
  <si>
    <t>\I: ABATEMENT OPTIONS IN COAL SECTOR</t>
  </si>
  <si>
    <t>ELE</t>
  </si>
  <si>
    <t>AGRMMM1</t>
  </si>
  <si>
    <t>AGRMMM2</t>
  </si>
  <si>
    <t>AGRMMM3</t>
  </si>
  <si>
    <t>AGRMMM4</t>
  </si>
  <si>
    <t>STK</t>
  </si>
  <si>
    <t>INDNGA</t>
  </si>
  <si>
    <t>INDBGS</t>
  </si>
  <si>
    <t>RESBGS</t>
  </si>
  <si>
    <t>Start</t>
  </si>
  <si>
    <t>ENV_ACT~AGRN2OP</t>
  </si>
  <si>
    <t>FLO_EMIS~AGRCH4P</t>
  </si>
  <si>
    <t>FLO_EMIS~AGRN2OP</t>
  </si>
  <si>
    <t>AGRDAIRY</t>
  </si>
  <si>
    <t>Dairy cattle</t>
  </si>
  <si>
    <t>AMAN-BGD</t>
  </si>
  <si>
    <t>AMAN-LMG</t>
  </si>
  <si>
    <t>AMAN-LCP</t>
  </si>
  <si>
    <t>AMAN-SMG</t>
  </si>
  <si>
    <t>AMAN-SCP</t>
  </si>
  <si>
    <t>PRC_ACTFLO</t>
  </si>
  <si>
    <t>DUM2</t>
  </si>
  <si>
    <t>G-AMANL</t>
  </si>
  <si>
    <t>G-AMANS</t>
  </si>
  <si>
    <t>AGRCATLE</t>
  </si>
  <si>
    <t>Other cattle</t>
  </si>
  <si>
    <t>AMAN-BGC</t>
  </si>
  <si>
    <t>AGRSWINE</t>
  </si>
  <si>
    <t>Swine piggery</t>
  </si>
  <si>
    <t>AMAN-BGS</t>
  </si>
  <si>
    <t>AGRSHEEP</t>
  </si>
  <si>
    <t>Sheep flock</t>
  </si>
  <si>
    <t>AGRHORSE</t>
  </si>
  <si>
    <t>Horse stock</t>
  </si>
  <si>
    <t>AGRPOULT</t>
  </si>
  <si>
    <t>Poultry flock</t>
  </si>
  <si>
    <t>AMANBGF</t>
  </si>
  <si>
    <t>Manure biogasification</t>
  </si>
  <si>
    <t>FLO_EMIS</t>
  </si>
  <si>
    <t>AMANLMG</t>
  </si>
  <si>
    <t>Liquid manure management</t>
  </si>
  <si>
    <t>AMANLCP</t>
  </si>
  <si>
    <t>Liquid manure composting</t>
  </si>
  <si>
    <t>AMANSMG</t>
  </si>
  <si>
    <t>Solid manure management</t>
  </si>
  <si>
    <t>AMANSCP</t>
  </si>
  <si>
    <t>Solid manure composting</t>
  </si>
  <si>
    <t>AFERTSUP</t>
  </si>
  <si>
    <t>Fertilizer supply</t>
  </si>
  <si>
    <t>AGRFERT</t>
  </si>
  <si>
    <t>ACULAND</t>
  </si>
  <si>
    <t>Land cultivation</t>
  </si>
  <si>
    <t>AFERTREQ</t>
  </si>
  <si>
    <t>AGRLAND</t>
  </si>
  <si>
    <t>AGRCROP</t>
  </si>
  <si>
    <t>ALANDUSE</t>
  </si>
  <si>
    <t>Agricultural land</t>
  </si>
  <si>
    <t>BIOCRP</t>
  </si>
  <si>
    <t>Energy crop</t>
  </si>
  <si>
    <t>Dairy Manure for gasification</t>
  </si>
  <si>
    <t>Cattle Manure for gasification</t>
  </si>
  <si>
    <t>Swine Manure for gasification</t>
  </si>
  <si>
    <t>Liquid Manure for management</t>
  </si>
  <si>
    <t>Liquid Manure for composting</t>
  </si>
  <si>
    <t>Solid Manure for management</t>
  </si>
  <si>
    <t>Solid Manure for composting</t>
  </si>
  <si>
    <t>Land for cultivation</t>
  </si>
  <si>
    <t>Fertilizers for agriculture</t>
  </si>
  <si>
    <t>Fertilizer requirements</t>
  </si>
  <si>
    <t>Dummy 1</t>
  </si>
  <si>
    <t>Dummy 2</t>
  </si>
  <si>
    <t>DUM3</t>
  </si>
  <si>
    <t>Dummy 3</t>
  </si>
  <si>
    <t>Mt_a</t>
  </si>
  <si>
    <t>MATI</t>
  </si>
  <si>
    <t>BD</t>
  </si>
  <si>
    <t>Attribute</t>
  </si>
  <si>
    <t>LO</t>
  </si>
  <si>
    <t>FLO_SHAR</t>
  </si>
  <si>
    <t>ACT_BND</t>
  </si>
  <si>
    <t>FLO_MARK</t>
  </si>
  <si>
    <t>OK</t>
  </si>
  <si>
    <t>STG_LOSS</t>
  </si>
  <si>
    <t>Curr</t>
  </si>
  <si>
    <t>~FI_T: EUR10</t>
  </si>
  <si>
    <t>FCOST</t>
  </si>
  <si>
    <t>EUR10</t>
  </si>
  <si>
    <t>Waste streams</t>
  </si>
  <si>
    <t>Agriculture</t>
  </si>
  <si>
    <t>ELE,PKNO</t>
  </si>
  <si>
    <t>CHP</t>
  </si>
  <si>
    <t>Process CO2 (UPS)</t>
  </si>
  <si>
    <t>BIOCO2</t>
  </si>
  <si>
    <t>Biogenic CO2</t>
  </si>
  <si>
    <t>\I: Source</t>
  </si>
  <si>
    <t>ELCCO2W</t>
  </si>
  <si>
    <t>CO2 Power Sector waste</t>
  </si>
</sst>
</file>

<file path=xl/styles.xml><?xml version="1.0" encoding="utf-8"?>
<styleSheet xmlns="http://schemas.openxmlformats.org/spreadsheetml/2006/main">
  <numFmts count="8">
    <numFmt numFmtId="165" formatCode="_(* #,##0.00_);_(* \(#,##0.00\);_(* &quot;-&quot;??_);_(@_)"/>
    <numFmt numFmtId="167" formatCode="_(&quot;$&quot;* #,##0.00_);_(&quot;$&quot;* \(#,##0.00\);_(&quot;$&quot;* &quot;-&quot;??_);_(@_)"/>
    <numFmt numFmtId="168" formatCode="0.000"/>
    <numFmt numFmtId="169" formatCode="0.0"/>
    <numFmt numFmtId="170" formatCode="0.0000"/>
    <numFmt numFmtId="171" formatCode="0.0000000"/>
    <numFmt numFmtId="172" formatCode="0.00000"/>
    <numFmt numFmtId="173" formatCode="0.000000"/>
  </numFmts>
  <fonts count="44">
    <font>
      <sz val="10"/>
      <name val="Arial"/>
    </font>
    <font>
      <sz val="10"/>
      <name val="Arial"/>
    </font>
    <font>
      <sz val="8"/>
      <color indexed="81"/>
      <name val="Tahoma"/>
    </font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b/>
      <sz val="9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8"/>
      <color indexed="12"/>
      <name val="Arial"/>
      <family val="2"/>
    </font>
    <font>
      <b/>
      <sz val="10"/>
      <color indexed="9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8"/>
      <name val="Arial"/>
    </font>
    <font>
      <b/>
      <sz val="14"/>
      <color indexed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color indexed="18"/>
      <name val="Arial"/>
      <family val="2"/>
    </font>
    <font>
      <b/>
      <sz val="8"/>
      <color indexed="81"/>
      <name val="Tahoma"/>
      <family val="2"/>
    </font>
    <font>
      <b/>
      <sz val="11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</font>
    <font>
      <sz val="9"/>
      <color indexed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8"/>
      <name val="Calibri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2"/>
      <color indexed="9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9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1" applyNumberFormat="0" applyAlignment="0" applyProtection="0"/>
    <xf numFmtId="0" fontId="14" fillId="21" borderId="2" applyNumberFormat="0" applyAlignment="0" applyProtection="0"/>
    <xf numFmtId="165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39" fillId="23" borderId="7" applyNumberFormat="0" applyFont="0" applyAlignment="0" applyProtection="0"/>
    <xf numFmtId="0" fontId="40" fillId="20" borderId="8" applyNumberFormat="0" applyAlignment="0" applyProtection="0"/>
    <xf numFmtId="9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24" borderId="0" xfId="0" applyFont="1" applyFill="1" applyBorder="1"/>
    <xf numFmtId="0" fontId="5" fillId="24" borderId="0" xfId="0" applyFont="1" applyFill="1"/>
    <xf numFmtId="2" fontId="5" fillId="24" borderId="0" xfId="0" applyNumberFormat="1" applyFont="1" applyFill="1" applyBorder="1" applyAlignment="1">
      <alignment horizontal="left"/>
    </xf>
    <xf numFmtId="0" fontId="3" fillId="25" borderId="0" xfId="0" applyFont="1" applyFill="1"/>
    <xf numFmtId="0" fontId="3" fillId="24" borderId="0" xfId="0" applyFont="1" applyFill="1" applyBorder="1"/>
    <xf numFmtId="0" fontId="9" fillId="25" borderId="0" xfId="0" applyFont="1" applyFill="1"/>
    <xf numFmtId="0" fontId="10" fillId="0" borderId="0" xfId="0" applyFont="1"/>
    <xf numFmtId="171" fontId="10" fillId="0" borderId="0" xfId="0" applyNumberFormat="1" applyFont="1"/>
    <xf numFmtId="0" fontId="3" fillId="26" borderId="0" xfId="0" applyFont="1" applyFill="1" applyBorder="1"/>
    <xf numFmtId="0" fontId="0" fillId="24" borderId="0" xfId="0" applyFill="1"/>
    <xf numFmtId="0" fontId="0" fillId="26" borderId="0" xfId="0" applyFill="1" applyBorder="1"/>
    <xf numFmtId="0" fontId="3" fillId="24" borderId="0" xfId="0" applyFont="1" applyFill="1"/>
    <xf numFmtId="0" fontId="6" fillId="0" borderId="0" xfId="0" applyFont="1" applyFill="1" applyAlignment="1">
      <alignment horizontal="left"/>
    </xf>
    <xf numFmtId="1" fontId="3" fillId="24" borderId="0" xfId="0" applyNumberFormat="1" applyFont="1" applyFill="1" applyBorder="1" applyAlignment="1">
      <alignment horizontal="left"/>
    </xf>
    <xf numFmtId="168" fontId="3" fillId="24" borderId="0" xfId="0" applyNumberFormat="1" applyFont="1" applyFill="1" applyBorder="1" applyAlignment="1">
      <alignment horizontal="right"/>
    </xf>
    <xf numFmtId="0" fontId="3" fillId="24" borderId="10" xfId="0" applyFont="1" applyFill="1" applyBorder="1" applyAlignment="1">
      <alignment horizontal="left" vertical="center" wrapText="1"/>
    </xf>
    <xf numFmtId="0" fontId="9" fillId="27" borderId="10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left" wrapText="1"/>
    </xf>
    <xf numFmtId="0" fontId="9" fillId="24" borderId="11" xfId="0" applyFont="1" applyFill="1" applyBorder="1" applyAlignment="1">
      <alignment horizontal="center" wrapText="1"/>
    </xf>
    <xf numFmtId="0" fontId="9" fillId="24" borderId="11" xfId="0" applyFont="1" applyFill="1" applyBorder="1"/>
    <xf numFmtId="0" fontId="6" fillId="24" borderId="0" xfId="0" applyFont="1" applyFill="1"/>
    <xf numFmtId="2" fontId="3" fillId="24" borderId="0" xfId="0" applyNumberFormat="1" applyFont="1" applyFill="1" applyBorder="1" applyAlignment="1">
      <alignment horizontal="left"/>
    </xf>
    <xf numFmtId="0" fontId="3" fillId="24" borderId="11" xfId="0" applyFont="1" applyFill="1" applyBorder="1" applyAlignment="1">
      <alignment horizontal="center" vertical="center" wrapText="1"/>
    </xf>
    <xf numFmtId="0" fontId="3" fillId="24" borderId="11" xfId="0" applyFont="1" applyFill="1" applyBorder="1" applyAlignment="1">
      <alignment horizontal="right" vertical="center" wrapText="1"/>
    </xf>
    <xf numFmtId="0" fontId="6" fillId="25" borderId="0" xfId="0" applyFont="1" applyFill="1" applyAlignment="1"/>
    <xf numFmtId="0" fontId="3" fillId="25" borderId="0" xfId="0" applyFont="1" applyFill="1" applyAlignment="1"/>
    <xf numFmtId="0" fontId="6" fillId="0" borderId="0" xfId="0" applyFont="1"/>
    <xf numFmtId="0" fontId="9" fillId="24" borderId="12" xfId="0" applyFont="1" applyFill="1" applyBorder="1"/>
    <xf numFmtId="0" fontId="9" fillId="24" borderId="10" xfId="0" applyFont="1" applyFill="1" applyBorder="1"/>
    <xf numFmtId="0" fontId="9" fillId="24" borderId="13" xfId="0" applyFont="1" applyFill="1" applyBorder="1"/>
    <xf numFmtId="0" fontId="3" fillId="27" borderId="0" xfId="0" applyFont="1" applyFill="1"/>
    <xf numFmtId="2" fontId="3" fillId="25" borderId="0" xfId="0" applyNumberFormat="1" applyFont="1" applyFill="1" applyAlignment="1">
      <alignment horizontal="center"/>
    </xf>
    <xf numFmtId="0" fontId="12" fillId="0" borderId="14" xfId="0" applyFont="1" applyBorder="1"/>
    <xf numFmtId="0" fontId="3" fillId="0" borderId="15" xfId="0" applyFont="1" applyBorder="1"/>
    <xf numFmtId="0" fontId="12" fillId="0" borderId="15" xfId="0" applyFont="1" applyBorder="1"/>
    <xf numFmtId="0" fontId="10" fillId="0" borderId="15" xfId="0" applyFont="1" applyBorder="1"/>
    <xf numFmtId="0" fontId="9" fillId="0" borderId="0" xfId="0" applyFont="1"/>
    <xf numFmtId="0" fontId="13" fillId="0" borderId="0" xfId="0" applyFont="1"/>
    <xf numFmtId="0" fontId="3" fillId="0" borderId="0" xfId="0" applyFont="1" applyFill="1" applyBorder="1"/>
    <xf numFmtId="0" fontId="3" fillId="24" borderId="11" xfId="0" applyFont="1" applyFill="1" applyBorder="1" applyAlignment="1">
      <alignment horizontal="center" wrapText="1"/>
    </xf>
    <xf numFmtId="0" fontId="3" fillId="24" borderId="11" xfId="0" applyFont="1" applyFill="1" applyBorder="1" applyAlignment="1">
      <alignment horizontal="right" wrapText="1"/>
    </xf>
    <xf numFmtId="168" fontId="3" fillId="24" borderId="11" xfId="0" applyNumberFormat="1" applyFont="1" applyFill="1" applyBorder="1" applyAlignment="1">
      <alignment horizontal="center" vertical="center" wrapText="1"/>
    </xf>
    <xf numFmtId="168" fontId="3" fillId="24" borderId="1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4" fillId="28" borderId="0" xfId="0" applyFont="1" applyFill="1" applyBorder="1" applyAlignment="1">
      <alignment horizontal="left" vertical="center"/>
    </xf>
    <xf numFmtId="0" fontId="3" fillId="28" borderId="0" xfId="0" applyFont="1" applyFill="1"/>
    <xf numFmtId="1" fontId="3" fillId="28" borderId="0" xfId="0" applyNumberFormat="1" applyFont="1" applyFill="1"/>
    <xf numFmtId="173" fontId="3" fillId="28" borderId="0" xfId="0" applyNumberFormat="1" applyFont="1" applyFill="1"/>
    <xf numFmtId="0" fontId="3" fillId="28" borderId="0" xfId="0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173" fontId="3" fillId="25" borderId="0" xfId="0" applyNumberFormat="1" applyFont="1" applyFill="1"/>
    <xf numFmtId="2" fontId="3" fillId="0" borderId="0" xfId="0" applyNumberFormat="1" applyFont="1"/>
    <xf numFmtId="168" fontId="3" fillId="25" borderId="0" xfId="0" applyNumberFormat="1" applyFont="1" applyFill="1"/>
    <xf numFmtId="169" fontId="3" fillId="25" borderId="0" xfId="0" applyNumberFormat="1" applyFont="1" applyFill="1"/>
    <xf numFmtId="1" fontId="3" fillId="25" borderId="0" xfId="0" applyNumberFormat="1" applyFont="1" applyFill="1"/>
    <xf numFmtId="173" fontId="3" fillId="0" borderId="0" xfId="0" applyNumberFormat="1" applyFont="1" applyFill="1"/>
    <xf numFmtId="0" fontId="4" fillId="0" borderId="0" xfId="0" applyFont="1" applyFill="1"/>
    <xf numFmtId="0" fontId="3" fillId="25" borderId="0" xfId="0" applyFont="1" applyFill="1" applyAlignment="1">
      <alignment horizontal="center"/>
    </xf>
    <xf numFmtId="2" fontId="3" fillId="25" borderId="0" xfId="0" applyNumberFormat="1" applyFont="1" applyFill="1"/>
    <xf numFmtId="170" fontId="3" fillId="25" borderId="0" xfId="0" applyNumberFormat="1" applyFont="1" applyFill="1"/>
    <xf numFmtId="0" fontId="9" fillId="24" borderId="0" xfId="0" applyFont="1" applyFill="1"/>
    <xf numFmtId="0" fontId="0" fillId="24" borderId="0" xfId="0" applyFill="1" applyAlignment="1">
      <alignment horizontal="right"/>
    </xf>
    <xf numFmtId="0" fontId="0" fillId="0" borderId="0" xfId="0" applyAlignment="1">
      <alignment horizontal="right"/>
    </xf>
    <xf numFmtId="0" fontId="9" fillId="24" borderId="0" xfId="0" applyFont="1" applyFill="1" applyAlignment="1">
      <alignment horizontal="left"/>
    </xf>
    <xf numFmtId="0" fontId="0" fillId="24" borderId="0" xfId="0" quotePrefix="1" applyFill="1" applyAlignment="1">
      <alignment horizontal="left"/>
    </xf>
    <xf numFmtId="0" fontId="0" fillId="24" borderId="0" xfId="0" applyFill="1" applyAlignment="1">
      <alignment horizontal="left"/>
    </xf>
    <xf numFmtId="170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170" fontId="0" fillId="24" borderId="0" xfId="0" applyNumberFormat="1" applyFill="1" applyAlignment="1">
      <alignment horizontal="left"/>
    </xf>
    <xf numFmtId="173" fontId="0" fillId="24" borderId="0" xfId="0" applyNumberFormat="1" applyFill="1" applyAlignment="1">
      <alignment horizontal="left"/>
    </xf>
    <xf numFmtId="11" fontId="0" fillId="24" borderId="0" xfId="0" applyNumberFormat="1" applyFill="1" applyAlignment="1">
      <alignment horizontal="left"/>
    </xf>
    <xf numFmtId="0" fontId="0" fillId="29" borderId="0" xfId="0" applyFill="1"/>
    <xf numFmtId="0" fontId="0" fillId="27" borderId="0" xfId="0" applyFill="1" applyAlignment="1">
      <alignment horizontal="center"/>
    </xf>
    <xf numFmtId="0" fontId="9" fillId="24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wrapText="1"/>
    </xf>
    <xf numFmtId="9" fontId="15" fillId="0" borderId="0" xfId="40" applyFon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24" borderId="11" xfId="0" applyFont="1" applyFill="1" applyBorder="1" applyAlignment="1">
      <alignment horizontal="center" vertical="center"/>
    </xf>
    <xf numFmtId="0" fontId="3" fillId="24" borderId="11" xfId="0" applyNumberFormat="1" applyFont="1" applyFill="1" applyBorder="1" applyAlignment="1">
      <alignment horizontal="center" vertical="center" wrapText="1"/>
    </xf>
    <xf numFmtId="172" fontId="3" fillId="25" borderId="0" xfId="0" applyNumberFormat="1" applyFont="1" applyFill="1"/>
    <xf numFmtId="0" fontId="3" fillId="25" borderId="0" xfId="0" applyFont="1" applyFill="1" applyAlignment="1">
      <alignment horizontal="right"/>
    </xf>
    <xf numFmtId="2" fontId="3" fillId="25" borderId="0" xfId="0" applyNumberFormat="1" applyFont="1" applyFill="1" applyBorder="1" applyAlignment="1">
      <alignment horizontal="left"/>
    </xf>
    <xf numFmtId="0" fontId="18" fillId="0" borderId="0" xfId="0" applyFont="1"/>
    <xf numFmtId="0" fontId="19" fillId="24" borderId="12" xfId="0" applyFont="1" applyFill="1" applyBorder="1"/>
    <xf numFmtId="0" fontId="19" fillId="24" borderId="10" xfId="0" applyFont="1" applyFill="1" applyBorder="1"/>
    <xf numFmtId="0" fontId="19" fillId="24" borderId="13" xfId="0" applyFont="1" applyFill="1" applyBorder="1"/>
    <xf numFmtId="0" fontId="11" fillId="27" borderId="0" xfId="0" applyFont="1" applyFill="1"/>
    <xf numFmtId="0" fontId="6" fillId="25" borderId="0" xfId="0" applyFont="1" applyFill="1"/>
    <xf numFmtId="0" fontId="21" fillId="0" borderId="0" xfId="0" applyFont="1"/>
    <xf numFmtId="0" fontId="0" fillId="30" borderId="16" xfId="0" applyFill="1" applyBorder="1" applyAlignment="1">
      <alignment horizontal="center"/>
    </xf>
    <xf numFmtId="2" fontId="0" fillId="24" borderId="0" xfId="0" applyNumberFormat="1" applyFill="1" applyAlignment="1">
      <alignment horizontal="center"/>
    </xf>
    <xf numFmtId="167" fontId="3" fillId="0" borderId="0" xfId="0" applyNumberFormat="1" applyFont="1" applyBorder="1"/>
    <xf numFmtId="9" fontId="0" fillId="0" borderId="0" xfId="0" applyNumberFormat="1"/>
    <xf numFmtId="0" fontId="0" fillId="0" borderId="0" xfId="0" applyAlignment="1"/>
    <xf numFmtId="2" fontId="16" fillId="0" borderId="0" xfId="0" applyNumberFormat="1" applyFont="1" applyAlignment="1"/>
    <xf numFmtId="0" fontId="4" fillId="25" borderId="0" xfId="0" applyFont="1" applyFill="1"/>
    <xf numFmtId="0" fontId="6" fillId="26" borderId="0" xfId="0" applyFont="1" applyFill="1" applyBorder="1"/>
    <xf numFmtId="0" fontId="3" fillId="26" borderId="0" xfId="0" applyFont="1" applyFill="1"/>
    <xf numFmtId="0" fontId="0" fillId="26" borderId="0" xfId="0" applyFill="1"/>
    <xf numFmtId="0" fontId="4" fillId="26" borderId="0" xfId="0" applyFont="1" applyFill="1"/>
    <xf numFmtId="0" fontId="23" fillId="0" borderId="0" xfId="0" applyFont="1"/>
    <xf numFmtId="0" fontId="3" fillId="25" borderId="0" xfId="0" applyFont="1" applyFill="1" applyBorder="1" applyAlignment="1">
      <alignment horizontal="center"/>
    </xf>
    <xf numFmtId="0" fontId="3" fillId="24" borderId="0" xfId="0" applyFont="1" applyFill="1" applyAlignment="1">
      <alignment horizontal="center"/>
    </xf>
    <xf numFmtId="0" fontId="4" fillId="24" borderId="0" xfId="0" applyFont="1" applyFill="1"/>
    <xf numFmtId="0" fontId="11" fillId="24" borderId="0" xfId="0" applyFont="1" applyFill="1"/>
    <xf numFmtId="168" fontId="16" fillId="25" borderId="0" xfId="0" applyNumberFormat="1" applyFont="1" applyFill="1"/>
    <xf numFmtId="0" fontId="9" fillId="26" borderId="0" xfId="0" applyFont="1" applyFill="1"/>
    <xf numFmtId="1" fontId="3" fillId="26" borderId="0" xfId="0" applyNumberFormat="1" applyFont="1" applyFill="1"/>
    <xf numFmtId="173" fontId="3" fillId="26" borderId="0" xfId="0" applyNumberFormat="1" applyFont="1" applyFill="1"/>
    <xf numFmtId="169" fontId="3" fillId="26" borderId="0" xfId="0" applyNumberFormat="1" applyFont="1" applyFill="1"/>
    <xf numFmtId="2" fontId="3" fillId="26" borderId="0" xfId="0" applyNumberFormat="1" applyFont="1" applyFill="1"/>
    <xf numFmtId="0" fontId="9" fillId="24" borderId="0" xfId="0" applyFont="1" applyFill="1" applyBorder="1"/>
    <xf numFmtId="0" fontId="24" fillId="24" borderId="0" xfId="0" applyFont="1" applyFill="1" applyBorder="1"/>
    <xf numFmtId="0" fontId="25" fillId="24" borderId="0" xfId="0" applyFont="1" applyFill="1"/>
    <xf numFmtId="0" fontId="24" fillId="24" borderId="0" xfId="0" applyFont="1" applyFill="1"/>
    <xf numFmtId="0" fontId="9" fillId="31" borderId="10" xfId="0" applyFont="1" applyFill="1" applyBorder="1"/>
    <xf numFmtId="168" fontId="3" fillId="25" borderId="0" xfId="0" applyNumberFormat="1" applyFont="1" applyFill="1" applyAlignment="1">
      <alignment horizontal="center"/>
    </xf>
    <xf numFmtId="0" fontId="0" fillId="26" borderId="17" xfId="0" applyFill="1" applyBorder="1" applyAlignment="1">
      <alignment horizontal="center"/>
    </xf>
    <xf numFmtId="0" fontId="3" fillId="26" borderId="18" xfId="0" applyFont="1" applyFill="1" applyBorder="1" applyAlignment="1">
      <alignment horizontal="center"/>
    </xf>
    <xf numFmtId="0" fontId="11" fillId="24" borderId="0" xfId="0" applyFont="1" applyFill="1" applyAlignment="1">
      <alignment horizontal="center"/>
    </xf>
    <xf numFmtId="0" fontId="26" fillId="24" borderId="0" xfId="0" applyFont="1" applyFill="1"/>
    <xf numFmtId="0" fontId="9" fillId="24" borderId="10" xfId="0" applyFont="1" applyFill="1" applyBorder="1" applyAlignment="1">
      <alignment horizontal="center"/>
    </xf>
    <xf numFmtId="0" fontId="9" fillId="24" borderId="16" xfId="0" quotePrefix="1" applyFont="1" applyFill="1" applyBorder="1" applyAlignment="1">
      <alignment horizontal="center"/>
    </xf>
    <xf numFmtId="0" fontId="9" fillId="24" borderId="12" xfId="0" applyFont="1" applyFill="1" applyBorder="1" applyAlignment="1">
      <alignment horizontal="center"/>
    </xf>
    <xf numFmtId="0" fontId="9" fillId="24" borderId="13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 wrapText="1"/>
    </xf>
    <xf numFmtId="0" fontId="5" fillId="24" borderId="19" xfId="0" applyFont="1" applyFill="1" applyBorder="1" applyAlignment="1">
      <alignment horizontal="center" wrapText="1"/>
    </xf>
    <xf numFmtId="0" fontId="0" fillId="27" borderId="0" xfId="0" applyFill="1"/>
    <xf numFmtId="0" fontId="0" fillId="24" borderId="18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20" xfId="0" applyFill="1" applyBorder="1"/>
    <xf numFmtId="168" fontId="0" fillId="24" borderId="0" xfId="0" applyNumberFormat="1" applyFill="1"/>
    <xf numFmtId="168" fontId="0" fillId="24" borderId="15" xfId="0" applyNumberFormat="1" applyFill="1" applyBorder="1"/>
    <xf numFmtId="170" fontId="0" fillId="24" borderId="15" xfId="0" applyNumberFormat="1" applyFill="1" applyBorder="1"/>
    <xf numFmtId="1" fontId="0" fillId="24" borderId="15" xfId="0" applyNumberFormat="1" applyFill="1" applyBorder="1"/>
    <xf numFmtId="169" fontId="0" fillId="24" borderId="0" xfId="0" applyNumberFormat="1" applyFill="1" applyBorder="1"/>
    <xf numFmtId="169" fontId="0" fillId="24" borderId="0" xfId="0" applyNumberFormat="1" applyFill="1"/>
    <xf numFmtId="169" fontId="0" fillId="24" borderId="20" xfId="0" applyNumberFormat="1" applyFill="1" applyBorder="1"/>
    <xf numFmtId="0" fontId="0" fillId="24" borderId="0" xfId="0" applyFill="1" applyBorder="1" applyAlignment="1">
      <alignment horizontal="center"/>
    </xf>
    <xf numFmtId="2" fontId="0" fillId="24" borderId="0" xfId="0" applyNumberFormat="1" applyFill="1"/>
    <xf numFmtId="2" fontId="0" fillId="24" borderId="15" xfId="0" applyNumberFormat="1" applyFill="1" applyBorder="1"/>
    <xf numFmtId="2" fontId="0" fillId="24" borderId="0" xfId="0" applyNumberFormat="1" applyFill="1" applyBorder="1"/>
    <xf numFmtId="2" fontId="0" fillId="24" borderId="20" xfId="0" applyNumberFormat="1" applyFill="1" applyBorder="1"/>
    <xf numFmtId="0" fontId="0" fillId="30" borderId="0" xfId="0" applyFill="1"/>
    <xf numFmtId="0" fontId="9" fillId="24" borderId="16" xfId="0" applyFont="1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31" borderId="12" xfId="0" applyFont="1" applyFill="1" applyBorder="1" applyAlignment="1">
      <alignment horizontal="center"/>
    </xf>
    <xf numFmtId="0" fontId="4" fillId="24" borderId="15" xfId="0" applyFont="1" applyFill="1" applyBorder="1"/>
    <xf numFmtId="0" fontId="3" fillId="24" borderId="15" xfId="0" applyFont="1" applyFill="1" applyBorder="1" applyAlignment="1">
      <alignment horizontal="center"/>
    </xf>
    <xf numFmtId="0" fontId="4" fillId="24" borderId="15" xfId="0" applyFont="1" applyFill="1" applyBorder="1" applyAlignment="1">
      <alignment horizontal="center"/>
    </xf>
    <xf numFmtId="0" fontId="3" fillId="30" borderId="0" xfId="0" applyFont="1" applyFill="1"/>
    <xf numFmtId="0" fontId="0" fillId="26" borderId="15" xfId="0" applyFill="1" applyBorder="1"/>
    <xf numFmtId="0" fontId="9" fillId="31" borderId="16" xfId="0" quotePrefix="1" applyFont="1" applyFill="1" applyBorder="1" applyAlignment="1">
      <alignment horizontal="center"/>
    </xf>
    <xf numFmtId="0" fontId="3" fillId="26" borderId="15" xfId="0" applyFont="1" applyFill="1" applyBorder="1"/>
    <xf numFmtId="0" fontId="6" fillId="31" borderId="10" xfId="0" applyFont="1" applyFill="1" applyBorder="1"/>
    <xf numFmtId="0" fontId="3" fillId="26" borderId="15" xfId="0" applyFont="1" applyFill="1" applyBorder="1" applyAlignment="1">
      <alignment horizontal="center"/>
    </xf>
    <xf numFmtId="168" fontId="3" fillId="0" borderId="0" xfId="0" applyNumberFormat="1" applyFont="1"/>
    <xf numFmtId="0" fontId="43" fillId="28" borderId="0" xfId="0" applyFont="1" applyFill="1" applyBorder="1" applyAlignment="1">
      <alignment horizontal="left" vertical="center"/>
    </xf>
    <xf numFmtId="0" fontId="9" fillId="31" borderId="11" xfId="0" applyFont="1" applyFill="1" applyBorder="1"/>
    <xf numFmtId="0" fontId="9" fillId="31" borderId="11" xfId="0" applyFont="1" applyFill="1" applyBorder="1" applyAlignment="1">
      <alignment horizontal="center"/>
    </xf>
    <xf numFmtId="0" fontId="0" fillId="25" borderId="0" xfId="0" applyFill="1"/>
    <xf numFmtId="0" fontId="20" fillId="25" borderId="0" xfId="0" applyFont="1" applyFill="1"/>
    <xf numFmtId="0" fontId="16" fillId="25" borderId="0" xfId="0" applyFont="1" applyFill="1"/>
    <xf numFmtId="0" fontId="21" fillId="25" borderId="0" xfId="0" applyFont="1" applyFill="1"/>
    <xf numFmtId="2" fontId="3" fillId="24" borderId="0" xfId="28" applyNumberFormat="1" applyFont="1" applyFill="1" applyAlignment="1">
      <alignment horizontal="right"/>
    </xf>
    <xf numFmtId="2" fontId="3" fillId="24" borderId="0" xfId="0" applyNumberFormat="1" applyFont="1" applyFill="1" applyAlignment="1">
      <alignment horizontal="right"/>
    </xf>
    <xf numFmtId="1" fontId="3" fillId="24" borderId="0" xfId="0" applyNumberFormat="1" applyFont="1" applyFill="1" applyAlignment="1">
      <alignment horizontal="right"/>
    </xf>
    <xf numFmtId="2" fontId="3" fillId="24" borderId="0" xfId="40" applyNumberFormat="1" applyFont="1" applyFill="1" applyAlignment="1" applyProtection="1">
      <alignment horizontal="right"/>
      <protection locked="0"/>
    </xf>
    <xf numFmtId="9" fontId="3" fillId="24" borderId="0" xfId="0" applyNumberFormat="1" applyFont="1" applyFill="1" applyAlignment="1">
      <alignment horizontal="right"/>
    </xf>
    <xf numFmtId="167" fontId="3" fillId="24" borderId="0" xfId="0" applyNumberFormat="1" applyFont="1" applyFill="1" applyBorder="1"/>
    <xf numFmtId="171" fontId="0" fillId="24" borderId="0" xfId="0" applyNumberFormat="1" applyFill="1" applyAlignment="1">
      <alignment horizontal="right"/>
    </xf>
    <xf numFmtId="2" fontId="3" fillId="24" borderId="0" xfId="28" applyNumberFormat="1" applyFont="1" applyFill="1"/>
    <xf numFmtId="2" fontId="3" fillId="24" borderId="0" xfId="0" applyNumberFormat="1" applyFont="1" applyFill="1"/>
    <xf numFmtId="1" fontId="3" fillId="24" borderId="0" xfId="0" applyNumberFormat="1" applyFont="1" applyFill="1"/>
    <xf numFmtId="2" fontId="3" fillId="24" borderId="0" xfId="0" applyNumberFormat="1" applyFont="1" applyFill="1" applyAlignment="1">
      <alignment horizontal="center"/>
    </xf>
    <xf numFmtId="9" fontId="3" fillId="24" borderId="0" xfId="0" applyNumberFormat="1" applyFont="1" applyFill="1"/>
    <xf numFmtId="173" fontId="0" fillId="24" borderId="0" xfId="0" applyNumberFormat="1" applyFill="1" applyAlignment="1">
      <alignment horizontal="right"/>
    </xf>
    <xf numFmtId="0" fontId="0" fillId="24" borderId="0" xfId="0" applyFill="1" applyAlignment="1"/>
    <xf numFmtId="2" fontId="3" fillId="24" borderId="0" xfId="28" applyNumberFormat="1" applyFont="1" applyFill="1" applyAlignment="1"/>
    <xf numFmtId="2" fontId="3" fillId="24" borderId="0" xfId="0" applyNumberFormat="1" applyFont="1" applyFill="1" applyAlignment="1"/>
    <xf numFmtId="1" fontId="3" fillId="24" borderId="0" xfId="0" applyNumberFormat="1" applyFont="1" applyFill="1" applyAlignment="1"/>
    <xf numFmtId="9" fontId="0" fillId="24" borderId="0" xfId="0" applyNumberFormat="1" applyFill="1" applyAlignment="1">
      <alignment horizontal="right"/>
    </xf>
    <xf numFmtId="9" fontId="3" fillId="24" borderId="0" xfId="0" applyNumberFormat="1" applyFont="1" applyFill="1" applyAlignment="1"/>
    <xf numFmtId="2" fontId="0" fillId="24" borderId="0" xfId="0" applyNumberFormat="1" applyFill="1" applyAlignment="1"/>
    <xf numFmtId="9" fontId="3" fillId="24" borderId="0" xfId="40" applyFont="1" applyFill="1" applyAlignment="1"/>
    <xf numFmtId="2" fontId="0" fillId="24" borderId="0" xfId="0" applyNumberFormat="1" applyFill="1" applyAlignment="1">
      <alignment horizontal="right"/>
    </xf>
    <xf numFmtId="1" fontId="0" fillId="24" borderId="0" xfId="0" applyNumberFormat="1" applyFill="1" applyAlignment="1">
      <alignment horizontal="right"/>
    </xf>
    <xf numFmtId="9" fontId="0" fillId="24" borderId="0" xfId="0" applyNumberFormat="1" applyFill="1"/>
    <xf numFmtId="169" fontId="0" fillId="24" borderId="0" xfId="0" applyNumberFormat="1" applyFill="1" applyAlignment="1">
      <alignment horizontal="right"/>
    </xf>
    <xf numFmtId="9" fontId="0" fillId="24" borderId="0" xfId="0" applyNumberFormat="1" applyFill="1" applyAlignment="1">
      <alignment horizontal="center"/>
    </xf>
    <xf numFmtId="9" fontId="1" fillId="24" borderId="0" xfId="40" applyFill="1" applyAlignment="1">
      <alignment horizontal="center"/>
    </xf>
    <xf numFmtId="0" fontId="9" fillId="30" borderId="10" xfId="0" applyFont="1" applyFill="1" applyBorder="1"/>
    <xf numFmtId="0" fontId="0" fillId="30" borderId="10" xfId="0" applyFill="1" applyBorder="1" applyAlignment="1">
      <alignment horizontal="right"/>
    </xf>
    <xf numFmtId="0" fontId="3" fillId="30" borderId="10" xfId="0" applyFont="1" applyFill="1" applyBorder="1" applyAlignment="1">
      <alignment horizontal="right" wrapText="1"/>
    </xf>
    <xf numFmtId="0" fontId="3" fillId="30" borderId="10" xfId="0" applyFont="1" applyFill="1" applyBorder="1" applyAlignment="1">
      <alignment wrapText="1"/>
    </xf>
    <xf numFmtId="0" fontId="0" fillId="30" borderId="10" xfId="0" applyFill="1" applyBorder="1"/>
    <xf numFmtId="0" fontId="0" fillId="30" borderId="10" xfId="0" applyFill="1" applyBorder="1" applyAlignment="1"/>
    <xf numFmtId="0" fontId="9" fillId="30" borderId="10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s\EFDA\TECHS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4"/>
  <sheetViews>
    <sheetView tabSelected="1" zoomScale="75" workbookViewId="0">
      <pane ySplit="3" topLeftCell="A4" activePane="bottomLeft" state="frozen"/>
      <selection activeCell="L84" sqref="L84"/>
      <selection pane="bottomLeft"/>
    </sheetView>
  </sheetViews>
  <sheetFormatPr defaultRowHeight="18"/>
  <cols>
    <col min="1" max="1" width="5.7109375" style="2" customWidth="1"/>
    <col min="2" max="2" width="12.140625" style="2" customWidth="1"/>
    <col min="3" max="3" width="16.42578125" style="2" customWidth="1"/>
    <col min="4" max="4" width="53.5703125" style="2" customWidth="1"/>
    <col min="5" max="5" width="13.7109375" style="2" bestFit="1" customWidth="1"/>
    <col min="6" max="6" width="12.85546875" style="2" customWidth="1"/>
    <col min="7" max="7" width="7.5703125" style="2" bestFit="1" customWidth="1"/>
    <col min="8" max="9" width="9.28515625" style="2" bestFit="1" customWidth="1"/>
    <col min="10" max="10" width="7.42578125" style="2" bestFit="1" customWidth="1"/>
    <col min="11" max="11" width="4.85546875" style="2" bestFit="1" customWidth="1"/>
    <col min="12" max="12" width="9.7109375" style="2" customWidth="1"/>
    <col min="13" max="13" width="11.7109375" style="2" bestFit="1" customWidth="1"/>
    <col min="14" max="14" width="8.140625" style="2" bestFit="1" customWidth="1"/>
    <col min="15" max="15" width="8.85546875" style="2" customWidth="1"/>
    <col min="16" max="16" width="10.85546875" style="2" bestFit="1" customWidth="1"/>
    <col min="17" max="17" width="3.7109375" style="2" bestFit="1" customWidth="1"/>
    <col min="18" max="18" width="5.140625" style="2" bestFit="1" customWidth="1"/>
    <col min="19" max="19" width="9.85546875" style="2" bestFit="1" customWidth="1"/>
    <col min="20" max="20" width="9.7109375" style="2" bestFit="1" customWidth="1"/>
    <col min="21" max="21" width="8.85546875" style="2" bestFit="1" customWidth="1"/>
    <col min="22" max="22" width="11.140625" style="2" bestFit="1" customWidth="1"/>
    <col min="23" max="23" width="10.42578125" style="2" customWidth="1"/>
    <col min="24" max="24" width="9.85546875" style="2" bestFit="1" customWidth="1"/>
    <col min="25" max="16384" width="9.140625" style="63"/>
  </cols>
  <sheetData>
    <row r="1" spans="1:28" s="56" customFormat="1" ht="12.75">
      <c r="A1" s="1"/>
      <c r="B1" s="1"/>
      <c r="C1" s="1"/>
      <c r="D1" s="1"/>
      <c r="E1" s="1"/>
      <c r="F1" s="1"/>
      <c r="G1" s="1"/>
      <c r="H1" s="1"/>
      <c r="I1" s="85"/>
      <c r="J1" s="85"/>
      <c r="K1" s="85"/>
      <c r="L1" s="85"/>
      <c r="M1" s="86"/>
      <c r="N1" s="85"/>
      <c r="O1" s="85"/>
      <c r="P1" s="85"/>
      <c r="Q1" s="85"/>
      <c r="R1" s="85"/>
      <c r="S1" s="85"/>
      <c r="T1" s="85"/>
      <c r="U1" s="87"/>
      <c r="V1" s="87"/>
      <c r="W1" s="87"/>
      <c r="X1" s="85"/>
      <c r="Y1" s="44"/>
      <c r="Z1" s="44"/>
      <c r="AA1" s="44"/>
      <c r="AB1" s="44"/>
    </row>
    <row r="2" spans="1:28" s="56" customFormat="1" ht="12.75">
      <c r="A2" s="1"/>
      <c r="B2" s="1"/>
      <c r="C2" s="1"/>
      <c r="D2" s="1"/>
      <c r="E2" s="1"/>
      <c r="F2" s="1"/>
      <c r="G2" s="1"/>
      <c r="H2" s="42" t="s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8" s="55" customFormat="1" ht="36" customHeight="1" thickBot="1">
      <c r="B3" s="88" t="s">
        <v>703</v>
      </c>
      <c r="C3" s="28" t="s">
        <v>34</v>
      </c>
      <c r="D3" s="28" t="s">
        <v>35</v>
      </c>
      <c r="E3" s="28" t="s">
        <v>24</v>
      </c>
      <c r="F3" s="28" t="s">
        <v>1</v>
      </c>
      <c r="G3" s="28" t="s">
        <v>25</v>
      </c>
      <c r="H3" s="28" t="s">
        <v>185</v>
      </c>
      <c r="I3" s="28" t="s">
        <v>186</v>
      </c>
      <c r="J3" s="28" t="s">
        <v>134</v>
      </c>
      <c r="K3" s="28" t="s">
        <v>0</v>
      </c>
      <c r="L3" s="28" t="s">
        <v>128</v>
      </c>
      <c r="M3" s="28" t="s">
        <v>129</v>
      </c>
      <c r="N3" s="28" t="s">
        <v>130</v>
      </c>
      <c r="O3" s="47" t="s">
        <v>205</v>
      </c>
      <c r="P3" s="48" t="s">
        <v>187</v>
      </c>
      <c r="Q3" s="28" t="s">
        <v>188</v>
      </c>
      <c r="R3" s="28" t="s">
        <v>132</v>
      </c>
      <c r="S3" s="28" t="s">
        <v>133</v>
      </c>
      <c r="T3" s="28" t="s">
        <v>325</v>
      </c>
      <c r="U3" s="28" t="s">
        <v>131</v>
      </c>
      <c r="V3" s="28" t="s">
        <v>189</v>
      </c>
      <c r="W3" s="89" t="s">
        <v>326</v>
      </c>
    </row>
    <row r="4" spans="1:28" s="55" customFormat="1" ht="12" customHeight="1">
      <c r="B4" s="50" t="s">
        <v>618</v>
      </c>
      <c r="C4" s="51"/>
      <c r="D4" s="51"/>
      <c r="E4" s="51"/>
      <c r="F4" s="51"/>
      <c r="G4" s="51"/>
      <c r="H4" s="51"/>
      <c r="I4" s="51"/>
      <c r="J4" s="51"/>
      <c r="K4" s="52"/>
      <c r="L4" s="53"/>
      <c r="M4" s="53"/>
      <c r="N4" s="51"/>
      <c r="O4" s="51"/>
      <c r="P4" s="54"/>
      <c r="Q4" s="51"/>
      <c r="R4" s="51"/>
      <c r="S4" s="51"/>
      <c r="T4" s="51"/>
      <c r="U4" s="51"/>
      <c r="V4" s="51"/>
      <c r="W4" s="51"/>
    </row>
    <row r="5" spans="1:28" s="56" customFormat="1" ht="12.75">
      <c r="B5" s="30" t="s">
        <v>706</v>
      </c>
      <c r="C5" s="9" t="str">
        <f ca="1">Names!C32</f>
        <v>UNCH4OIL01</v>
      </c>
      <c r="D5" s="9" t="str">
        <f ca="1">Names!D32</f>
        <v>CH4- Flaring instead of Venting (Offshore)</v>
      </c>
      <c r="E5" s="9" t="s">
        <v>327</v>
      </c>
      <c r="F5" s="9" t="s">
        <v>329</v>
      </c>
      <c r="G5" s="9" t="s">
        <v>4</v>
      </c>
      <c r="H5" s="9">
        <v>2000</v>
      </c>
      <c r="I5" s="9">
        <v>1</v>
      </c>
      <c r="J5" s="9">
        <v>2150</v>
      </c>
      <c r="K5" s="61">
        <f ca="1">CH4Techs!E13</f>
        <v>15</v>
      </c>
      <c r="L5" s="57">
        <f ca="1">CH4Techs!J13</f>
        <v>2.2275362252906983E-2</v>
      </c>
      <c r="M5" s="57">
        <f ca="1">CH4Techs!K13</f>
        <v>6.1534297388238387E-4</v>
      </c>
      <c r="N5" s="9"/>
      <c r="O5" s="60">
        <v>1</v>
      </c>
      <c r="P5" s="9"/>
      <c r="Q5" s="9"/>
      <c r="R5" s="9">
        <v>1</v>
      </c>
      <c r="S5" s="9"/>
      <c r="T5" s="9"/>
      <c r="U5" s="9"/>
      <c r="V5" s="9"/>
      <c r="W5" s="9"/>
    </row>
    <row r="6" spans="1:28" s="56" customFormat="1" ht="12.75">
      <c r="B6" s="30" t="s">
        <v>706</v>
      </c>
      <c r="C6" s="9" t="str">
        <f ca="1">Names!C33</f>
        <v>UNCH4OIL02</v>
      </c>
      <c r="D6" s="9" t="str">
        <f ca="1">Names!D33</f>
        <v>CH4- Flaring instead of Venting (Onshore)</v>
      </c>
      <c r="E6" s="9" t="s">
        <v>327</v>
      </c>
      <c r="F6" s="9" t="s">
        <v>329</v>
      </c>
      <c r="G6" s="9" t="str">
        <f>G5</f>
        <v>EMF-21</v>
      </c>
      <c r="H6" s="9">
        <f>H5</f>
        <v>2000</v>
      </c>
      <c r="I6" s="9">
        <f>I5</f>
        <v>1</v>
      </c>
      <c r="J6" s="9">
        <v>2150</v>
      </c>
      <c r="K6" s="61">
        <f ca="1">CH4Techs!E14</f>
        <v>15</v>
      </c>
      <c r="L6" s="57">
        <f ca="1">CH4Techs!J14</f>
        <v>8.9101449011627903E-4</v>
      </c>
      <c r="M6" s="57">
        <f ca="1">CH4Techs!K14</f>
        <v>2.4613718955295359E-5</v>
      </c>
      <c r="N6" s="9"/>
      <c r="O6" s="60">
        <v>1</v>
      </c>
      <c r="P6" s="9"/>
      <c r="Q6" s="9"/>
      <c r="R6" s="9">
        <f>R5</f>
        <v>1</v>
      </c>
      <c r="S6" s="9"/>
      <c r="T6" s="9"/>
      <c r="U6" s="9"/>
      <c r="V6" s="9"/>
      <c r="W6" s="9"/>
    </row>
    <row r="7" spans="1:28" s="56" customFormat="1" ht="12.75">
      <c r="B7" s="30" t="s">
        <v>706</v>
      </c>
      <c r="C7" s="9" t="str">
        <f ca="1">Names!C34</f>
        <v>UNCH4OIL03</v>
      </c>
      <c r="D7" s="9" t="str">
        <f ca="1">Names!D34</f>
        <v>CH4- Associated Gas (vented) Mix with Other Options</v>
      </c>
      <c r="E7" s="9" t="s">
        <v>327</v>
      </c>
      <c r="F7" s="9" t="s">
        <v>329</v>
      </c>
      <c r="G7" s="9" t="str">
        <f>G5</f>
        <v>EMF-21</v>
      </c>
      <c r="H7" s="9">
        <f>H5</f>
        <v>2000</v>
      </c>
      <c r="I7" s="9">
        <f>I5</f>
        <v>1</v>
      </c>
      <c r="J7" s="9">
        <v>2150</v>
      </c>
      <c r="K7" s="61">
        <f ca="1">CH4Techs!E15</f>
        <v>15</v>
      </c>
      <c r="L7" s="57">
        <f ca="1">CH4Techs!J15</f>
        <v>1.3637976889534884E-3</v>
      </c>
      <c r="M7" s="57">
        <f ca="1">CH4Techs!K15</f>
        <v>2.511603975030139E-5</v>
      </c>
      <c r="N7" s="9"/>
      <c r="O7" s="60">
        <v>1</v>
      </c>
      <c r="P7" s="9"/>
      <c r="Q7" s="9"/>
      <c r="R7" s="9">
        <f>R5</f>
        <v>1</v>
      </c>
      <c r="S7" s="9"/>
      <c r="T7" s="9"/>
      <c r="U7" s="9"/>
      <c r="V7" s="9"/>
      <c r="W7" s="9"/>
    </row>
    <row r="8" spans="1:28" s="56" customFormat="1" ht="12.75">
      <c r="B8" s="30" t="s">
        <v>706</v>
      </c>
      <c r="C8" s="9" t="str">
        <f ca="1">Names!C35</f>
        <v>UNCH4OIL04</v>
      </c>
      <c r="D8" s="9" t="str">
        <f ca="1">Names!D35</f>
        <v>CH4- Associated Gas (flared) Mix with Other Options</v>
      </c>
      <c r="E8" s="9" t="s">
        <v>327</v>
      </c>
      <c r="F8" s="9" t="s">
        <v>329</v>
      </c>
      <c r="G8" s="9" t="str">
        <f>G5</f>
        <v>EMF-21</v>
      </c>
      <c r="H8" s="9">
        <f>H5</f>
        <v>2000</v>
      </c>
      <c r="I8" s="9">
        <f>I5</f>
        <v>1</v>
      </c>
      <c r="J8" s="9">
        <v>2150</v>
      </c>
      <c r="K8" s="61">
        <f ca="1">CH4Techs!E16</f>
        <v>15</v>
      </c>
      <c r="L8" s="57">
        <f ca="1">CH4Techs!J16</f>
        <v>1.7274770726744184E-3</v>
      </c>
      <c r="M8" s="57">
        <f ca="1">CH4Techs!K16</f>
        <v>5.3022750583969593E-5</v>
      </c>
      <c r="N8" s="9"/>
      <c r="O8" s="60">
        <v>1</v>
      </c>
      <c r="P8" s="9"/>
      <c r="Q8" s="9"/>
      <c r="R8" s="9">
        <f>R5</f>
        <v>1</v>
      </c>
      <c r="S8" s="9"/>
      <c r="T8" s="9"/>
      <c r="U8" s="9"/>
      <c r="V8" s="9"/>
      <c r="W8" s="9"/>
    </row>
    <row r="9" spans="1:28" s="55" customFormat="1" ht="12.75">
      <c r="B9" s="50" t="s">
        <v>619</v>
      </c>
      <c r="C9" s="51"/>
      <c r="D9" s="51"/>
      <c r="E9" s="51"/>
      <c r="F9" s="51"/>
      <c r="G9" s="51"/>
      <c r="H9" s="51"/>
      <c r="I9" s="51"/>
      <c r="J9" s="51"/>
      <c r="K9" s="52"/>
      <c r="L9" s="53"/>
      <c r="M9" s="53"/>
      <c r="N9" s="51"/>
      <c r="O9" s="51"/>
      <c r="P9" s="54"/>
      <c r="Q9" s="51"/>
      <c r="R9" s="51"/>
      <c r="S9" s="51"/>
      <c r="T9" s="51"/>
      <c r="U9" s="51"/>
      <c r="V9" s="51"/>
      <c r="W9" s="51"/>
    </row>
    <row r="10" spans="1:28" s="56" customFormat="1" ht="12.75">
      <c r="B10" s="30" t="s">
        <v>706</v>
      </c>
      <c r="C10" s="9" t="str">
        <f ca="1">Names!C38</f>
        <v>UNCH4COA01</v>
      </c>
      <c r="D10" s="9" t="str">
        <f ca="1">Names!D38</f>
        <v>CH4- Degasification and Pipeline Injection</v>
      </c>
      <c r="E10" s="9" t="s">
        <v>331</v>
      </c>
      <c r="F10" s="9" t="s">
        <v>329</v>
      </c>
      <c r="G10" s="9" t="s">
        <v>4</v>
      </c>
      <c r="H10" s="9">
        <v>2000</v>
      </c>
      <c r="I10" s="9">
        <v>1</v>
      </c>
      <c r="J10" s="9">
        <v>2150</v>
      </c>
      <c r="K10" s="61">
        <f ca="1">CH4Techs!E34</f>
        <v>15</v>
      </c>
      <c r="L10" s="57">
        <f ca="1">CH4Techs!J34</f>
        <v>8.7909591014571729E-5</v>
      </c>
      <c r="M10" s="57">
        <f ca="1">CH4Techs!K34</f>
        <v>4.9921430696195876E-5</v>
      </c>
      <c r="N10" s="9"/>
      <c r="O10" s="9">
        <v>1</v>
      </c>
      <c r="P10" s="9"/>
      <c r="Q10" s="9"/>
      <c r="R10" s="9">
        <v>1</v>
      </c>
      <c r="S10" s="9"/>
      <c r="T10" s="9"/>
      <c r="U10" s="9"/>
      <c r="V10" s="9"/>
      <c r="W10" s="9"/>
    </row>
    <row r="11" spans="1:28" s="56" customFormat="1" ht="12.75">
      <c r="B11" s="30" t="s">
        <v>706</v>
      </c>
      <c r="C11" s="9" t="str">
        <f ca="1">Names!C39</f>
        <v>UNCH4COA02</v>
      </c>
      <c r="D11" s="9" t="str">
        <f ca="1">Names!D39</f>
        <v>CH4- Enhanced Degasification, Gas Enrichment, and Pipeline Injection</v>
      </c>
      <c r="E11" s="9" t="s">
        <v>331</v>
      </c>
      <c r="F11" s="9" t="s">
        <v>329</v>
      </c>
      <c r="G11" s="9" t="s">
        <v>4</v>
      </c>
      <c r="H11" s="9">
        <v>2000</v>
      </c>
      <c r="I11" s="9">
        <v>1</v>
      </c>
      <c r="J11" s="9">
        <v>2150</v>
      </c>
      <c r="K11" s="61">
        <f ca="1">CH4Techs!E35</f>
        <v>15</v>
      </c>
      <c r="L11" s="57">
        <f ca="1">CH4Techs!J35</f>
        <v>4.5234876359347934E-4</v>
      </c>
      <c r="M11" s="57">
        <f ca="1">CH4Techs!K35</f>
        <v>1.2106870159700783E-4</v>
      </c>
      <c r="N11" s="9"/>
      <c r="O11" s="9">
        <v>1</v>
      </c>
      <c r="P11" s="9"/>
      <c r="Q11" s="9"/>
      <c r="R11" s="9">
        <v>1</v>
      </c>
      <c r="S11" s="9"/>
      <c r="T11" s="9"/>
      <c r="U11" s="9"/>
      <c r="V11" s="9"/>
      <c r="W11" s="9"/>
    </row>
    <row r="12" spans="1:28" s="56" customFormat="1" ht="12.75">
      <c r="B12" s="30" t="s">
        <v>706</v>
      </c>
      <c r="C12" s="9" t="str">
        <f ca="1">Names!C40</f>
        <v>UNCH4COA03</v>
      </c>
      <c r="D12" s="9" t="str">
        <f ca="1">Names!D40</f>
        <v>CH4- Catalytic Oxidation (US)</v>
      </c>
      <c r="E12" s="9" t="s">
        <v>331</v>
      </c>
      <c r="F12" s="9" t="s">
        <v>329</v>
      </c>
      <c r="G12" s="9" t="s">
        <v>4</v>
      </c>
      <c r="H12" s="9">
        <v>2000</v>
      </c>
      <c r="I12" s="9">
        <v>1</v>
      </c>
      <c r="J12" s="9">
        <v>2150</v>
      </c>
      <c r="K12" s="61">
        <f ca="1">CH4Techs!E36</f>
        <v>16</v>
      </c>
      <c r="L12" s="57">
        <f ca="1">CH4Techs!J36</f>
        <v>1.2179440000000001E-3</v>
      </c>
      <c r="M12" s="57">
        <f ca="1">CH4Techs!K36</f>
        <v>7.2912000000000023E-5</v>
      </c>
      <c r="N12" s="9"/>
      <c r="O12" s="9">
        <v>1</v>
      </c>
      <c r="P12" s="9"/>
      <c r="Q12" s="9"/>
      <c r="R12" s="9">
        <v>1</v>
      </c>
      <c r="S12" s="9"/>
      <c r="T12" s="9"/>
      <c r="U12" s="9"/>
      <c r="V12" s="9"/>
      <c r="W12" s="9"/>
    </row>
    <row r="13" spans="1:28" s="56" customFormat="1" ht="12.75">
      <c r="B13" s="30" t="s">
        <v>706</v>
      </c>
      <c r="C13" s="9" t="str">
        <f ca="1">Names!C41</f>
        <v>UNCH4COA04</v>
      </c>
      <c r="D13" s="9" t="str">
        <f ca="1">Names!D41</f>
        <v>CH4- Flaring</v>
      </c>
      <c r="E13" s="9" t="s">
        <v>331</v>
      </c>
      <c r="F13" s="9" t="s">
        <v>329</v>
      </c>
      <c r="G13" s="9" t="s">
        <v>4</v>
      </c>
      <c r="H13" s="9">
        <v>2000</v>
      </c>
      <c r="I13" s="9">
        <v>1</v>
      </c>
      <c r="J13" s="9">
        <v>2150</v>
      </c>
      <c r="K13" s="61">
        <f ca="1">CH4Techs!E37</f>
        <v>10</v>
      </c>
      <c r="L13" s="57">
        <f ca="1">CH4Techs!J37</f>
        <v>8.4144706466575343E-5</v>
      </c>
      <c r="M13" s="57">
        <f ca="1">CH4Techs!K37</f>
        <v>3.4737181932392137E-6</v>
      </c>
      <c r="N13" s="9"/>
      <c r="O13" s="9">
        <v>1</v>
      </c>
      <c r="P13" s="9"/>
      <c r="Q13" s="9"/>
      <c r="R13" s="9">
        <v>1</v>
      </c>
      <c r="S13" s="9"/>
      <c r="T13" s="9"/>
      <c r="U13" s="9"/>
      <c r="V13" s="9"/>
      <c r="W13" s="9"/>
    </row>
    <row r="14" spans="1:28" s="56" customFormat="1" ht="12.75">
      <c r="B14" s="30" t="s">
        <v>706</v>
      </c>
      <c r="C14" s="9" t="str">
        <f ca="1">Names!C42</f>
        <v>UNCH4COA05</v>
      </c>
      <c r="D14" s="9" t="str">
        <f ca="1">Names!D42</f>
        <v>CH4- Degasification and Power Production – A</v>
      </c>
      <c r="E14" s="9" t="s">
        <v>331</v>
      </c>
      <c r="F14" s="9" t="s">
        <v>329</v>
      </c>
      <c r="G14" s="9" t="s">
        <v>4</v>
      </c>
      <c r="H14" s="9">
        <v>2000</v>
      </c>
      <c r="I14" s="9">
        <v>1</v>
      </c>
      <c r="J14" s="9">
        <v>2150</v>
      </c>
      <c r="K14" s="61">
        <f ca="1">CH4Techs!E38</f>
        <v>15</v>
      </c>
      <c r="L14" s="57">
        <f ca="1">CH4Techs!J38</f>
        <v>2.9730789619186049E-4</v>
      </c>
      <c r="M14" s="57">
        <f ca="1">CH4Techs!K38</f>
        <v>8.7906139126054835E-6</v>
      </c>
      <c r="N14" s="9"/>
      <c r="O14" s="9">
        <v>1</v>
      </c>
      <c r="P14" s="9"/>
      <c r="Q14" s="9"/>
      <c r="R14" s="9">
        <v>1</v>
      </c>
      <c r="S14" s="9"/>
      <c r="T14" s="9"/>
      <c r="U14" s="9"/>
      <c r="V14" s="9"/>
      <c r="W14" s="9"/>
    </row>
    <row r="15" spans="1:28" s="56" customFormat="1" ht="12.75">
      <c r="B15" s="30" t="s">
        <v>706</v>
      </c>
      <c r="C15" s="9" t="str">
        <f ca="1">Names!C43</f>
        <v>UNCH4COA06</v>
      </c>
      <c r="D15" s="9" t="str">
        <f ca="1">Names!D43</f>
        <v xml:space="preserve">CH4- Degasification and Power Production – B </v>
      </c>
      <c r="E15" s="9" t="s">
        <v>331</v>
      </c>
      <c r="F15" s="9" t="s">
        <v>329</v>
      </c>
      <c r="G15" s="9" t="s">
        <v>4</v>
      </c>
      <c r="H15" s="9">
        <v>2000</v>
      </c>
      <c r="I15" s="9">
        <v>1</v>
      </c>
      <c r="J15" s="9">
        <v>2150</v>
      </c>
      <c r="K15" s="61">
        <f ca="1">CH4Techs!E39</f>
        <v>15</v>
      </c>
      <c r="L15" s="57">
        <f ca="1">CH4Techs!J39</f>
        <v>6.3795425227713184E-4</v>
      </c>
      <c r="M15" s="57">
        <f ca="1">CH4Techs!K39</f>
        <v>2.0930033125251153E-5</v>
      </c>
      <c r="N15" s="9"/>
      <c r="O15" s="9">
        <v>1</v>
      </c>
      <c r="P15" s="9"/>
      <c r="Q15" s="9"/>
      <c r="R15" s="9">
        <v>1</v>
      </c>
      <c r="S15" s="9"/>
      <c r="T15" s="9"/>
      <c r="U15" s="9"/>
      <c r="V15" s="9"/>
      <c r="W15" s="9"/>
    </row>
    <row r="16" spans="1:28" s="56" customFormat="1" ht="12.75">
      <c r="B16" s="30" t="s">
        <v>706</v>
      </c>
      <c r="C16" s="9" t="str">
        <f ca="1">Names!C44</f>
        <v>UNCH4COA07</v>
      </c>
      <c r="D16" s="9" t="str">
        <f ca="1">Names!D44</f>
        <v xml:space="preserve">CH4- Degasification and Power Production – C </v>
      </c>
      <c r="E16" s="9" t="s">
        <v>331</v>
      </c>
      <c r="F16" s="9" t="s">
        <v>329</v>
      </c>
      <c r="G16" s="9" t="s">
        <v>4</v>
      </c>
      <c r="H16" s="9">
        <v>2000</v>
      </c>
      <c r="I16" s="9">
        <v>1</v>
      </c>
      <c r="J16" s="9">
        <v>2150</v>
      </c>
      <c r="K16" s="61">
        <f ca="1">CH4Techs!E40</f>
        <v>15</v>
      </c>
      <c r="L16" s="57">
        <f ca="1">CH4Techs!J40</f>
        <v>1.0564886097093023E-3</v>
      </c>
      <c r="M16" s="57">
        <f ca="1">CH4Techs!K40</f>
        <v>3.7115925408778713E-5</v>
      </c>
      <c r="N16" s="9"/>
      <c r="O16" s="9">
        <v>1</v>
      </c>
      <c r="P16" s="9"/>
      <c r="Q16" s="9"/>
      <c r="R16" s="9">
        <v>1</v>
      </c>
      <c r="S16" s="9"/>
      <c r="T16" s="9"/>
      <c r="U16" s="9"/>
      <c r="V16" s="9"/>
      <c r="W16" s="9"/>
    </row>
    <row r="17" spans="2:23" s="56" customFormat="1" ht="12.75">
      <c r="B17" s="30" t="s">
        <v>706</v>
      </c>
      <c r="C17" s="9" t="str">
        <f ca="1">Names!C45</f>
        <v>UNCH4COA08</v>
      </c>
      <c r="D17" s="9" t="str">
        <f ca="1">Names!D45</f>
        <v>CH4- Catalytic Oxidation (EU)</v>
      </c>
      <c r="E17" s="9" t="s">
        <v>331</v>
      </c>
      <c r="F17" s="9" t="s">
        <v>329</v>
      </c>
      <c r="G17" s="9" t="s">
        <v>4</v>
      </c>
      <c r="H17" s="9">
        <v>2000</v>
      </c>
      <c r="I17" s="9">
        <v>1</v>
      </c>
      <c r="J17" s="9">
        <v>2150</v>
      </c>
      <c r="K17" s="61">
        <f ca="1">CH4Techs!E41</f>
        <v>15</v>
      </c>
      <c r="L17" s="57">
        <f ca="1">CH4Techs!J41</f>
        <v>5.5688405632267428E-4</v>
      </c>
      <c r="M17" s="57">
        <f ca="1">CH4Techs!K41</f>
        <v>4.2390293756342004E-5</v>
      </c>
      <c r="N17" s="9"/>
      <c r="O17" s="9">
        <v>1</v>
      </c>
      <c r="P17" s="9"/>
      <c r="Q17" s="9"/>
      <c r="R17" s="9">
        <v>1</v>
      </c>
      <c r="S17" s="9"/>
      <c r="T17" s="9"/>
      <c r="U17" s="9"/>
      <c r="V17" s="9"/>
      <c r="W17" s="9"/>
    </row>
    <row r="18" spans="2:23" s="55" customFormat="1" ht="12.75">
      <c r="B18" s="50" t="s">
        <v>333</v>
      </c>
      <c r="C18" s="51"/>
      <c r="D18" s="51"/>
      <c r="E18" s="51"/>
      <c r="F18" s="51"/>
      <c r="G18" s="51"/>
      <c r="H18" s="51"/>
      <c r="I18" s="51"/>
      <c r="J18" s="51"/>
      <c r="K18" s="52"/>
      <c r="L18" s="53"/>
      <c r="M18" s="53"/>
      <c r="N18" s="51"/>
      <c r="O18" s="51"/>
      <c r="P18" s="54"/>
      <c r="Q18" s="51"/>
      <c r="R18" s="51"/>
      <c r="S18" s="51"/>
      <c r="T18" s="51"/>
      <c r="U18" s="51"/>
      <c r="V18" s="51"/>
      <c r="W18" s="51"/>
    </row>
    <row r="19" spans="2:23" s="56" customFormat="1" ht="12.75">
      <c r="B19" s="30" t="s">
        <v>706</v>
      </c>
      <c r="C19" s="9" t="str">
        <f ca="1">Names!C48</f>
        <v>UNCH4GAS01</v>
      </c>
      <c r="D19" s="9" t="str">
        <f ca="1">Names!D48</f>
        <v>CH4- P&amp;T - Use gas turbines instead of reciprocating engines</v>
      </c>
      <c r="E19" s="92" t="s">
        <v>334</v>
      </c>
      <c r="F19" s="9" t="s">
        <v>329</v>
      </c>
      <c r="G19" s="9" t="s">
        <v>4</v>
      </c>
      <c r="H19" s="9">
        <v>2000</v>
      </c>
      <c r="I19" s="9">
        <v>1</v>
      </c>
      <c r="J19" s="9">
        <v>2150</v>
      </c>
      <c r="K19" s="61">
        <f ca="1">CH4Techs!E45</f>
        <v>20</v>
      </c>
      <c r="L19" s="90">
        <f ca="1">CH4Techs!J45</f>
        <v>4.0913930668604647E-3</v>
      </c>
      <c r="M19" s="90">
        <f ca="1">CH4Techs!K45</f>
        <v>1.8837029812726036E-4</v>
      </c>
      <c r="N19" s="9"/>
      <c r="O19" s="9">
        <v>1</v>
      </c>
      <c r="P19" s="9"/>
      <c r="Q19" s="9"/>
      <c r="R19" s="9">
        <v>1</v>
      </c>
      <c r="S19" s="9"/>
      <c r="T19" s="9"/>
      <c r="U19" s="9"/>
      <c r="V19" s="9"/>
      <c r="W19" s="9"/>
    </row>
    <row r="20" spans="2:23" s="56" customFormat="1" ht="12.75">
      <c r="B20" s="30" t="s">
        <v>706</v>
      </c>
      <c r="C20" s="9" t="str">
        <f ca="1">Names!C49</f>
        <v>UNCH4GAS02</v>
      </c>
      <c r="D20" s="9" t="str">
        <f ca="1">Names!D49</f>
        <v>CH4- Prod-D I&amp;M (Pipeline Leaks)</v>
      </c>
      <c r="E20" s="92" t="s">
        <v>334</v>
      </c>
      <c r="F20" s="9" t="s">
        <v>329</v>
      </c>
      <c r="G20" s="9" t="s">
        <v>4</v>
      </c>
      <c r="H20" s="9">
        <v>2000</v>
      </c>
      <c r="I20" s="9">
        <v>1</v>
      </c>
      <c r="J20" s="9">
        <v>2150</v>
      </c>
      <c r="K20" s="61">
        <f ca="1">CH4Techs!E46</f>
        <v>5</v>
      </c>
      <c r="L20" s="90">
        <f ca="1">CH4Techs!J46</f>
        <v>3.7321608816561961E-4</v>
      </c>
      <c r="M20" s="90">
        <f ca="1">CH4Techs!K46</f>
        <v>5.1676073746008877E-4</v>
      </c>
      <c r="N20" s="9"/>
      <c r="O20" s="61">
        <v>1</v>
      </c>
      <c r="P20" s="91"/>
      <c r="Q20" s="9"/>
      <c r="R20" s="9">
        <v>1</v>
      </c>
      <c r="S20" s="9"/>
      <c r="T20" s="9"/>
      <c r="U20" s="9"/>
      <c r="V20" s="9"/>
      <c r="W20" s="9"/>
    </row>
    <row r="21" spans="2:23" s="56" customFormat="1" ht="12.75">
      <c r="B21" s="30" t="s">
        <v>706</v>
      </c>
      <c r="C21" s="9" t="str">
        <f ca="1">Names!C50</f>
        <v>UNCH4GAS03</v>
      </c>
      <c r="D21" s="9" t="str">
        <f ca="1">Names!D50</f>
        <v>CH4- Installation of Flash Tank Separators (Production)</v>
      </c>
      <c r="E21" s="92" t="s">
        <v>334</v>
      </c>
      <c r="F21" s="9" t="s">
        <v>329</v>
      </c>
      <c r="G21" s="9" t="s">
        <v>4</v>
      </c>
      <c r="H21" s="9">
        <v>2000</v>
      </c>
      <c r="I21" s="9">
        <v>1</v>
      </c>
      <c r="J21" s="9">
        <v>2150</v>
      </c>
      <c r="K21" s="61">
        <f ca="1">CH4Techs!E47</f>
        <v>5</v>
      </c>
      <c r="L21" s="90">
        <f ca="1">CH4Techs!J47</f>
        <v>1.4886805772101348E-3</v>
      </c>
      <c r="M21" s="90">
        <f ca="1">CH4Techs!K47</f>
        <v>0</v>
      </c>
      <c r="N21" s="9"/>
      <c r="O21" s="61">
        <v>1</v>
      </c>
      <c r="P21" s="91"/>
      <c r="Q21" s="9"/>
      <c r="R21" s="9">
        <v>1</v>
      </c>
      <c r="S21" s="9"/>
      <c r="T21" s="9"/>
      <c r="U21" s="9"/>
      <c r="V21" s="9"/>
      <c r="W21" s="9"/>
    </row>
    <row r="22" spans="2:23" s="56" customFormat="1" ht="12.75">
      <c r="B22" s="30" t="s">
        <v>706</v>
      </c>
      <c r="C22" s="9" t="str">
        <f ca="1">Names!C51</f>
        <v>UNCH4GAS04</v>
      </c>
      <c r="D22" s="9" t="str">
        <f ca="1">Names!D51</f>
        <v>CH4- Replace high-bleed pneumatic devices with compressed air systems (Production)</v>
      </c>
      <c r="E22" s="92" t="s">
        <v>334</v>
      </c>
      <c r="F22" s="9" t="s">
        <v>329</v>
      </c>
      <c r="G22" s="9" t="s">
        <v>4</v>
      </c>
      <c r="H22" s="9">
        <v>2000</v>
      </c>
      <c r="I22" s="9">
        <v>1</v>
      </c>
      <c r="J22" s="9">
        <v>2150</v>
      </c>
      <c r="K22" s="61">
        <f ca="1">CH4Techs!E48</f>
        <v>5</v>
      </c>
      <c r="L22" s="90">
        <f ca="1">CH4Techs!J48</f>
        <v>1.86250727E-4</v>
      </c>
      <c r="M22" s="90">
        <f ca="1">CH4Techs!K48</f>
        <v>1.5639603171238104E-3</v>
      </c>
      <c r="N22" s="9"/>
      <c r="O22" s="61">
        <v>1</v>
      </c>
      <c r="P22" s="91"/>
      <c r="Q22" s="9"/>
      <c r="R22" s="9">
        <v>1</v>
      </c>
      <c r="S22" s="9"/>
      <c r="T22" s="9"/>
      <c r="U22" s="9"/>
      <c r="V22" s="9"/>
      <c r="W22" s="9"/>
    </row>
    <row r="23" spans="2:23" s="56" customFormat="1" ht="12.75">
      <c r="B23" s="30" t="s">
        <v>706</v>
      </c>
      <c r="C23" s="9" t="str">
        <f ca="1">Names!C52</f>
        <v>UNCH4GAS05</v>
      </c>
      <c r="D23" s="9" t="str">
        <f ca="1">Names!D52</f>
        <v>CH4- Replace high-bleed pneumatic devices with low-bleed pneumatic devices (Production)</v>
      </c>
      <c r="E23" s="92" t="s">
        <v>334</v>
      </c>
      <c r="F23" s="9" t="s">
        <v>329</v>
      </c>
      <c r="G23" s="9" t="s">
        <v>4</v>
      </c>
      <c r="H23" s="9">
        <v>2000</v>
      </c>
      <c r="I23" s="9">
        <v>1</v>
      </c>
      <c r="J23" s="9">
        <v>2150</v>
      </c>
      <c r="K23" s="61">
        <f ca="1">CH4Techs!E49</f>
        <v>5</v>
      </c>
      <c r="L23" s="90">
        <f ca="1">CH4Techs!J49</f>
        <v>3.2884325585174842E-4</v>
      </c>
      <c r="M23" s="90">
        <f ca="1">CH4Techs!K49</f>
        <v>0</v>
      </c>
      <c r="N23" s="9"/>
      <c r="O23" s="61">
        <v>1</v>
      </c>
      <c r="P23" s="91"/>
      <c r="Q23" s="9"/>
      <c r="R23" s="9">
        <v>1</v>
      </c>
      <c r="S23" s="9"/>
      <c r="T23" s="9"/>
      <c r="U23" s="9"/>
      <c r="V23" s="9"/>
      <c r="W23" s="9"/>
    </row>
    <row r="24" spans="2:23" s="56" customFormat="1" ht="12.75">
      <c r="B24" s="30" t="s">
        <v>706</v>
      </c>
      <c r="C24" s="9" t="str">
        <f ca="1">Names!C53</f>
        <v>UNCH4GAS06</v>
      </c>
      <c r="D24" s="9" t="str">
        <f ca="1">Names!D53</f>
        <v>CH4- Dry Seals on Centrifugal Compressors (P&amp;T)</v>
      </c>
      <c r="E24" s="92" t="s">
        <v>334</v>
      </c>
      <c r="F24" s="9" t="s">
        <v>329</v>
      </c>
      <c r="G24" s="9" t="s">
        <v>4</v>
      </c>
      <c r="H24" s="9">
        <v>2000</v>
      </c>
      <c r="I24" s="9">
        <v>1</v>
      </c>
      <c r="J24" s="9">
        <v>2150</v>
      </c>
      <c r="K24" s="61">
        <f ca="1">CH4Techs!E50</f>
        <v>5</v>
      </c>
      <c r="L24" s="90">
        <f ca="1">CH4Techs!J50</f>
        <v>1.8211237667276664E-3</v>
      </c>
      <c r="M24" s="90">
        <f ca="1">CH4Techs!K50</f>
        <v>-3.035206277879444E-4</v>
      </c>
      <c r="N24" s="9"/>
      <c r="O24" s="61">
        <v>1</v>
      </c>
      <c r="P24" s="91"/>
      <c r="Q24" s="9"/>
      <c r="R24" s="9">
        <v>1</v>
      </c>
      <c r="S24" s="9"/>
      <c r="T24" s="9"/>
      <c r="U24" s="9"/>
      <c r="V24" s="9"/>
      <c r="W24" s="9"/>
    </row>
    <row r="25" spans="2:23" s="56" customFormat="1" ht="12.75">
      <c r="B25" s="30" t="s">
        <v>706</v>
      </c>
      <c r="C25" s="9" t="str">
        <f ca="1">Names!C54</f>
        <v>UNCH4GAS07</v>
      </c>
      <c r="D25" s="9" t="str">
        <f ca="1">Names!D54</f>
        <v>CH4- Catalytic Converter (P&amp;T)</v>
      </c>
      <c r="E25" s="92" t="s">
        <v>334</v>
      </c>
      <c r="F25" s="9" t="s">
        <v>329</v>
      </c>
      <c r="G25" s="9" t="s">
        <v>4</v>
      </c>
      <c r="H25" s="9">
        <v>2000</v>
      </c>
      <c r="I25" s="9">
        <v>1</v>
      </c>
      <c r="J25" s="9">
        <v>2150</v>
      </c>
      <c r="K25" s="61">
        <f ca="1">CH4Techs!E51</f>
        <v>10</v>
      </c>
      <c r="L25" s="90">
        <f ca="1">CH4Techs!J51</f>
        <v>1.3982284997160798E-3</v>
      </c>
      <c r="M25" s="90">
        <f ca="1">CH4Techs!K51</f>
        <v>6.7999371285453944E-5</v>
      </c>
      <c r="N25" s="9"/>
      <c r="O25" s="61">
        <v>1</v>
      </c>
      <c r="P25" s="91"/>
      <c r="Q25" s="9"/>
      <c r="R25" s="9">
        <v>1</v>
      </c>
      <c r="S25" s="9"/>
      <c r="T25" s="9"/>
      <c r="U25" s="9"/>
      <c r="V25" s="9"/>
      <c r="W25" s="9"/>
    </row>
    <row r="26" spans="2:23" s="56" customFormat="1" ht="12.75">
      <c r="B26" s="30" t="s">
        <v>706</v>
      </c>
      <c r="C26" s="9" t="str">
        <f ca="1">Names!C55</f>
        <v>UNCH4GAS08</v>
      </c>
      <c r="D26" s="9" t="str">
        <f ca="1">Names!D55</f>
        <v>CH4- Portable Evacuation Compressor for Pipeline Venting (P&amp;T)</v>
      </c>
      <c r="E26" s="92" t="s">
        <v>334</v>
      </c>
      <c r="F26" s="9" t="s">
        <v>329</v>
      </c>
      <c r="G26" s="9" t="s">
        <v>4</v>
      </c>
      <c r="H26" s="9">
        <v>2000</v>
      </c>
      <c r="I26" s="9">
        <v>1</v>
      </c>
      <c r="J26" s="9">
        <v>2150</v>
      </c>
      <c r="K26" s="61">
        <f ca="1">CH4Techs!E52</f>
        <v>5</v>
      </c>
      <c r="L26" s="90">
        <f ca="1">CH4Techs!J52</f>
        <v>1.9349783700000015E-4</v>
      </c>
      <c r="M26" s="90">
        <f ca="1">CH4Techs!K52</f>
        <v>1.6248148041714296E-3</v>
      </c>
      <c r="N26" s="9"/>
      <c r="O26" s="61">
        <v>1</v>
      </c>
      <c r="P26" s="91"/>
      <c r="Q26" s="9"/>
      <c r="R26" s="9">
        <v>1</v>
      </c>
      <c r="S26" s="9"/>
      <c r="T26" s="9"/>
      <c r="U26" s="9"/>
      <c r="V26" s="9"/>
      <c r="W26" s="9"/>
    </row>
    <row r="27" spans="2:23" s="56" customFormat="1" ht="12.75">
      <c r="B27" s="30" t="s">
        <v>706</v>
      </c>
      <c r="C27" s="9" t="str">
        <f ca="1">Names!C56</f>
        <v>UNCH4GAS09</v>
      </c>
      <c r="D27" s="9" t="str">
        <f ca="1">Names!D56</f>
        <v>CH4- Replace High-bleed pneumatic devices with compressed air systems (P&amp;T)</v>
      </c>
      <c r="E27" s="92" t="s">
        <v>334</v>
      </c>
      <c r="F27" s="9" t="s">
        <v>329</v>
      </c>
      <c r="G27" s="9" t="s">
        <v>4</v>
      </c>
      <c r="H27" s="9">
        <v>2000</v>
      </c>
      <c r="I27" s="9">
        <v>1</v>
      </c>
      <c r="J27" s="9">
        <v>2150</v>
      </c>
      <c r="K27" s="61">
        <f ca="1">CH4Techs!E53</f>
        <v>5</v>
      </c>
      <c r="L27" s="90">
        <f ca="1">CH4Techs!J53</f>
        <v>3.2884325585174842E-4</v>
      </c>
      <c r="M27" s="90">
        <f ca="1">CH4Techs!K53</f>
        <v>0</v>
      </c>
      <c r="N27" s="9"/>
      <c r="O27" s="61">
        <v>1</v>
      </c>
      <c r="P27" s="91"/>
      <c r="Q27" s="9"/>
      <c r="R27" s="9">
        <v>1</v>
      </c>
      <c r="S27" s="9"/>
      <c r="T27" s="9"/>
      <c r="U27" s="9"/>
      <c r="V27" s="9"/>
      <c r="W27" s="9"/>
    </row>
    <row r="28" spans="2:23" s="56" customFormat="1" ht="12.75">
      <c r="B28" s="30" t="s">
        <v>706</v>
      </c>
      <c r="C28" s="9" t="str">
        <f ca="1">Names!C57</f>
        <v>UNCH4GAS10</v>
      </c>
      <c r="D28" s="9" t="str">
        <f ca="1">Names!D57</f>
        <v>CH4- Replace high-bleed pneumatic devices with low-bleed pneumatic devices (P&amp;T)</v>
      </c>
      <c r="E28" s="92" t="s">
        <v>334</v>
      </c>
      <c r="F28" s="9" t="s">
        <v>329</v>
      </c>
      <c r="G28" s="9" t="s">
        <v>4</v>
      </c>
      <c r="H28" s="9">
        <v>2000</v>
      </c>
      <c r="I28" s="9">
        <v>1</v>
      </c>
      <c r="J28" s="9">
        <v>2150</v>
      </c>
      <c r="K28" s="61">
        <f ca="1">CH4Techs!E54</f>
        <v>5</v>
      </c>
      <c r="L28" s="90">
        <f ca="1">CH4Techs!J54</f>
        <v>3.4620658058010892E-5</v>
      </c>
      <c r="M28" s="90">
        <f ca="1">CH4Techs!K54</f>
        <v>3.7709886007802642E-5</v>
      </c>
      <c r="N28" s="9"/>
      <c r="O28" s="61">
        <v>1</v>
      </c>
      <c r="P28" s="91"/>
      <c r="Q28" s="9"/>
      <c r="R28" s="9">
        <v>1</v>
      </c>
      <c r="S28" s="9"/>
      <c r="T28" s="9"/>
      <c r="U28" s="9"/>
      <c r="V28" s="9"/>
      <c r="W28" s="9"/>
    </row>
    <row r="29" spans="2:23" s="56" customFormat="1" ht="12.75">
      <c r="B29" s="30" t="s">
        <v>706</v>
      </c>
      <c r="C29" s="9" t="str">
        <f ca="1">Names!C58</f>
        <v>UNCH4GAS11</v>
      </c>
      <c r="D29" s="9" t="str">
        <f ca="1">Names!D58</f>
        <v>CH4- D-D I&amp;M (Distribution)</v>
      </c>
      <c r="E29" s="92" t="s">
        <v>334</v>
      </c>
      <c r="F29" s="9" t="s">
        <v>329</v>
      </c>
      <c r="G29" s="9" t="s">
        <v>4</v>
      </c>
      <c r="H29" s="9">
        <v>2000</v>
      </c>
      <c r="I29" s="9">
        <v>1</v>
      </c>
      <c r="J29" s="9">
        <v>2150</v>
      </c>
      <c r="K29" s="61">
        <f ca="1">CH4Techs!E55</f>
        <v>5</v>
      </c>
      <c r="L29" s="90">
        <f ca="1">CH4Techs!J55</f>
        <v>3.8093732978732356E-4</v>
      </c>
      <c r="M29" s="90">
        <f ca="1">CH4Techs!K55</f>
        <v>3.5073253248617487E-4</v>
      </c>
      <c r="N29" s="9"/>
      <c r="O29" s="61">
        <v>1</v>
      </c>
      <c r="P29" s="91"/>
      <c r="Q29" s="9"/>
      <c r="R29" s="9">
        <v>1</v>
      </c>
      <c r="S29" s="9"/>
      <c r="T29" s="9"/>
      <c r="U29" s="9"/>
      <c r="V29" s="9"/>
      <c r="W29" s="9"/>
    </row>
    <row r="30" spans="2:23" s="56" customFormat="1" ht="12.75">
      <c r="B30" s="30" t="s">
        <v>706</v>
      </c>
      <c r="C30" s="9" t="str">
        <f ca="1">Names!C59</f>
        <v>UNCH4GAS12</v>
      </c>
      <c r="D30" s="9" t="str">
        <f ca="1">Names!D59</f>
        <v>CH4- D-D I&amp;M (Enhanced: Distribution)</v>
      </c>
      <c r="E30" s="92" t="s">
        <v>334</v>
      </c>
      <c r="F30" s="9" t="s">
        <v>329</v>
      </c>
      <c r="G30" s="9" t="s">
        <v>4</v>
      </c>
      <c r="H30" s="9">
        <v>2000</v>
      </c>
      <c r="I30" s="9">
        <v>1</v>
      </c>
      <c r="J30" s="9">
        <v>2150</v>
      </c>
      <c r="K30" s="61">
        <f ca="1">CH4Techs!E56</f>
        <v>5</v>
      </c>
      <c r="L30" s="90">
        <f ca="1">CH4Techs!J56</f>
        <v>7.2788170699201896E-4</v>
      </c>
      <c r="M30" s="90">
        <f ca="1">CH4Techs!K56</f>
        <v>1.1198180107569529E-4</v>
      </c>
      <c r="N30" s="9"/>
      <c r="O30" s="61">
        <v>1</v>
      </c>
      <c r="P30" s="91"/>
      <c r="Q30" s="9"/>
      <c r="R30" s="9">
        <v>1</v>
      </c>
      <c r="S30" s="9"/>
      <c r="T30" s="9"/>
      <c r="U30" s="9"/>
      <c r="V30" s="9"/>
      <c r="W30" s="9"/>
    </row>
    <row r="31" spans="2:23" s="56" customFormat="1" ht="12.75">
      <c r="B31" s="30" t="s">
        <v>706</v>
      </c>
      <c r="C31" s="9" t="str">
        <f ca="1">Names!C60</f>
        <v>UNCH4GAS13</v>
      </c>
      <c r="D31" s="9" t="str">
        <f ca="1">Names!D60</f>
        <v>CH4- Electronic Monitoring at Large Surface Facilities (D)</v>
      </c>
      <c r="E31" s="92" t="s">
        <v>334</v>
      </c>
      <c r="F31" s="9" t="s">
        <v>329</v>
      </c>
      <c r="G31" s="9" t="s">
        <v>4</v>
      </c>
      <c r="H31" s="9">
        <v>2000</v>
      </c>
      <c r="I31" s="9">
        <v>1</v>
      </c>
      <c r="J31" s="9">
        <v>2150</v>
      </c>
      <c r="K31" s="61">
        <f ca="1">CH4Techs!E57</f>
        <v>5</v>
      </c>
      <c r="L31" s="90">
        <f ca="1">CH4Techs!J57</f>
        <v>0.44763071703340745</v>
      </c>
      <c r="M31" s="90">
        <f ca="1">CH4Techs!K57</f>
        <v>2.0659879247695732E-5</v>
      </c>
      <c r="N31" s="9"/>
      <c r="O31" s="61">
        <v>1</v>
      </c>
      <c r="P31" s="91"/>
      <c r="Q31" s="9"/>
      <c r="R31" s="9">
        <v>1</v>
      </c>
      <c r="S31" s="9"/>
      <c r="T31" s="9"/>
      <c r="U31" s="9"/>
      <c r="V31" s="9"/>
      <c r="W31" s="9"/>
    </row>
    <row r="32" spans="2:23" s="56" customFormat="1" ht="12.75">
      <c r="B32" s="30" t="s">
        <v>706</v>
      </c>
      <c r="C32" s="9" t="str">
        <f ca="1">Names!C61</f>
        <v>UNCH4GAS14</v>
      </c>
      <c r="D32" s="9" t="str">
        <f ca="1">Names!D61</f>
        <v>CH4- Replacement of Cast Iron/Unprotected Steel Pipeline (D)</v>
      </c>
      <c r="E32" s="92" t="s">
        <v>334</v>
      </c>
      <c r="F32" s="9" t="s">
        <v>329</v>
      </c>
      <c r="G32" s="9" t="s">
        <v>4</v>
      </c>
      <c r="H32" s="9">
        <v>2000</v>
      </c>
      <c r="I32" s="9">
        <v>1</v>
      </c>
      <c r="J32" s="9">
        <v>2150</v>
      </c>
      <c r="K32" s="61">
        <f ca="1">CH4Techs!E58</f>
        <v>5</v>
      </c>
      <c r="L32" s="90">
        <f ca="1">CH4Techs!J58</f>
        <v>10.654813737140568</v>
      </c>
      <c r="M32" s="90">
        <f ca="1">CH4Techs!K58</f>
        <v>1.9670425360874891E-3</v>
      </c>
      <c r="N32" s="9"/>
      <c r="O32" s="61">
        <v>1</v>
      </c>
      <c r="P32" s="91"/>
      <c r="Q32" s="9"/>
      <c r="R32" s="9">
        <v>1</v>
      </c>
      <c r="S32" s="9"/>
      <c r="T32" s="9"/>
      <c r="U32" s="9"/>
      <c r="V32" s="9"/>
      <c r="W32" s="9"/>
    </row>
    <row r="34" spans="2:12">
      <c r="B34" s="111" t="s">
        <v>26</v>
      </c>
      <c r="C34" s="1"/>
      <c r="D34" s="1"/>
      <c r="E34" s="1"/>
    </row>
    <row r="35" spans="2:12">
      <c r="B35" s="126" t="s">
        <v>27</v>
      </c>
      <c r="C35" s="126" t="s">
        <v>28</v>
      </c>
      <c r="D35" s="126" t="s">
        <v>29</v>
      </c>
      <c r="E35" s="126" t="s">
        <v>30</v>
      </c>
      <c r="F35" s="126" t="s">
        <v>49</v>
      </c>
      <c r="G35" s="126" t="s">
        <v>142</v>
      </c>
      <c r="H35" s="126" t="s">
        <v>143</v>
      </c>
      <c r="I35" s="126" t="s">
        <v>144</v>
      </c>
    </row>
    <row r="36" spans="2:12" ht="15" customHeight="1">
      <c r="B36" s="107" t="s">
        <v>31</v>
      </c>
      <c r="C36" s="108" t="s">
        <v>84</v>
      </c>
      <c r="D36" s="108" t="str">
        <f>C36</f>
        <v>UPNCH4P</v>
      </c>
      <c r="E36" s="108" t="s">
        <v>32</v>
      </c>
      <c r="F36" s="109"/>
      <c r="G36" s="110"/>
      <c r="H36" s="110"/>
      <c r="I36" s="110"/>
    </row>
    <row r="37" spans="2:12" ht="15" customHeight="1">
      <c r="B37" s="107" t="s">
        <v>31</v>
      </c>
      <c r="C37" s="108" t="s">
        <v>328</v>
      </c>
      <c r="D37" s="108" t="s">
        <v>711</v>
      </c>
      <c r="E37" s="108" t="s">
        <v>76</v>
      </c>
      <c r="F37" s="109"/>
      <c r="G37" s="110"/>
      <c r="H37" s="110"/>
      <c r="I37" s="110"/>
    </row>
    <row r="38" spans="2:12" ht="15" customHeight="1">
      <c r="B38" s="107" t="s">
        <v>31</v>
      </c>
      <c r="C38" s="108" t="s">
        <v>712</v>
      </c>
      <c r="D38" s="108" t="s">
        <v>713</v>
      </c>
      <c r="E38" s="108" t="s">
        <v>76</v>
      </c>
      <c r="F38" s="109"/>
      <c r="G38" s="110"/>
      <c r="H38" s="110"/>
      <c r="I38" s="110"/>
    </row>
    <row r="39" spans="2:12" ht="15" customHeight="1">
      <c r="B39" s="107" t="s">
        <v>31</v>
      </c>
      <c r="C39" s="108" t="s">
        <v>327</v>
      </c>
      <c r="D39" s="108" t="s">
        <v>336</v>
      </c>
      <c r="E39" s="108" t="s">
        <v>32</v>
      </c>
      <c r="F39" s="109"/>
      <c r="G39" s="109"/>
      <c r="H39" s="109"/>
      <c r="I39" s="109"/>
    </row>
    <row r="40" spans="2:12" ht="15" customHeight="1">
      <c r="B40" s="107" t="s">
        <v>31</v>
      </c>
      <c r="C40" s="108" t="s">
        <v>331</v>
      </c>
      <c r="D40" s="108" t="s">
        <v>337</v>
      </c>
      <c r="E40" s="108" t="s">
        <v>32</v>
      </c>
      <c r="F40" s="109"/>
      <c r="G40" s="109"/>
      <c r="H40" s="109"/>
      <c r="I40" s="109"/>
    </row>
    <row r="41" spans="2:12" ht="15" customHeight="1">
      <c r="B41" s="107" t="s">
        <v>31</v>
      </c>
      <c r="C41" s="108" t="s">
        <v>334</v>
      </c>
      <c r="D41" s="108" t="s">
        <v>338</v>
      </c>
      <c r="E41" s="108" t="s">
        <v>32</v>
      </c>
      <c r="F41" s="109"/>
      <c r="G41" s="109"/>
      <c r="H41" s="109"/>
      <c r="I41" s="109"/>
    </row>
    <row r="42" spans="2:12" ht="15" customHeight="1">
      <c r="B42" s="107" t="s">
        <v>58</v>
      </c>
      <c r="C42" s="108" t="s">
        <v>330</v>
      </c>
      <c r="D42" s="108" t="str">
        <f>C42</f>
        <v>GANNGA</v>
      </c>
      <c r="E42" s="108" t="s">
        <v>36</v>
      </c>
      <c r="F42" s="110"/>
      <c r="G42" s="110"/>
      <c r="H42" s="110"/>
      <c r="I42" s="110"/>
    </row>
    <row r="43" spans="2:12" ht="15" customHeight="1">
      <c r="B43" s="107" t="s">
        <v>58</v>
      </c>
      <c r="C43" s="108" t="s">
        <v>332</v>
      </c>
      <c r="D43" s="108" t="s">
        <v>339</v>
      </c>
      <c r="E43" s="108" t="str">
        <f>E42</f>
        <v>PJ</v>
      </c>
      <c r="F43" s="110"/>
      <c r="G43" s="110"/>
      <c r="H43" s="110"/>
      <c r="I43" s="110"/>
    </row>
    <row r="44" spans="2:12" ht="15" customHeight="1">
      <c r="B44" s="107" t="s">
        <v>58</v>
      </c>
      <c r="C44" s="108" t="s">
        <v>329</v>
      </c>
      <c r="D44" s="108" t="s">
        <v>329</v>
      </c>
      <c r="E44" s="108" t="s">
        <v>36</v>
      </c>
      <c r="F44" s="110"/>
      <c r="G44" s="110"/>
      <c r="H44" s="110"/>
      <c r="I44" s="110"/>
    </row>
    <row r="45" spans="2:12">
      <c r="K45" s="63"/>
      <c r="L45" s="63"/>
    </row>
    <row r="47" spans="2:12">
      <c r="B47" s="93" t="s">
        <v>149</v>
      </c>
    </row>
    <row r="48" spans="2:12">
      <c r="B48" s="94" t="s">
        <v>33</v>
      </c>
      <c r="C48" s="95" t="s">
        <v>34</v>
      </c>
      <c r="D48" s="95" t="s">
        <v>35</v>
      </c>
      <c r="E48" s="95" t="s">
        <v>150</v>
      </c>
      <c r="F48" s="95" t="s">
        <v>151</v>
      </c>
      <c r="G48" s="95" t="s">
        <v>152</v>
      </c>
      <c r="H48" s="95" t="s">
        <v>153</v>
      </c>
      <c r="I48" s="96" t="s">
        <v>154</v>
      </c>
    </row>
    <row r="49" spans="2:9">
      <c r="B49" s="97" t="s">
        <v>620</v>
      </c>
      <c r="C49" s="97" t="s">
        <v>340</v>
      </c>
      <c r="D49" s="97" t="s">
        <v>341</v>
      </c>
      <c r="E49" s="97" t="s">
        <v>36</v>
      </c>
      <c r="F49" s="97" t="s">
        <v>342</v>
      </c>
      <c r="G49" s="97"/>
      <c r="H49" s="97" t="s">
        <v>329</v>
      </c>
      <c r="I49" s="97" t="s">
        <v>156</v>
      </c>
    </row>
    <row r="50" spans="2:9">
      <c r="B50" s="97" t="s">
        <v>179</v>
      </c>
      <c r="C50" s="97" t="s">
        <v>343</v>
      </c>
      <c r="D50" s="97" t="s">
        <v>344</v>
      </c>
      <c r="E50" s="97" t="s">
        <v>36</v>
      </c>
      <c r="F50" s="97" t="s">
        <v>155</v>
      </c>
      <c r="G50" s="97"/>
      <c r="H50" s="97" t="s">
        <v>329</v>
      </c>
      <c r="I50" s="97" t="s">
        <v>156</v>
      </c>
    </row>
    <row r="51" spans="2:9">
      <c r="B51" s="97" t="s">
        <v>179</v>
      </c>
      <c r="C51" s="97" t="s">
        <v>345</v>
      </c>
      <c r="D51" s="97" t="s">
        <v>346</v>
      </c>
      <c r="E51" s="97" t="s">
        <v>36</v>
      </c>
      <c r="F51" s="97" t="s">
        <v>155</v>
      </c>
      <c r="G51" s="97"/>
      <c r="H51" s="97" t="s">
        <v>329</v>
      </c>
      <c r="I51" s="97" t="s">
        <v>156</v>
      </c>
    </row>
    <row r="52" spans="2:9">
      <c r="B52" s="97" t="s">
        <v>179</v>
      </c>
      <c r="C52" s="97" t="s">
        <v>347</v>
      </c>
      <c r="D52" s="97" t="s">
        <v>348</v>
      </c>
      <c r="E52" s="97" t="s">
        <v>36</v>
      </c>
      <c r="F52" s="97" t="s">
        <v>155</v>
      </c>
      <c r="G52" s="97"/>
      <c r="H52" s="97" t="s">
        <v>329</v>
      </c>
      <c r="I52" s="97" t="s">
        <v>156</v>
      </c>
    </row>
    <row r="53" spans="2:9">
      <c r="B53" s="97" t="s">
        <v>179</v>
      </c>
      <c r="C53" s="97" t="s">
        <v>349</v>
      </c>
      <c r="D53" s="97" t="s">
        <v>350</v>
      </c>
      <c r="E53" s="97" t="s">
        <v>36</v>
      </c>
      <c r="F53" s="97" t="s">
        <v>155</v>
      </c>
      <c r="G53" s="97"/>
      <c r="H53" s="97" t="s">
        <v>329</v>
      </c>
      <c r="I53" s="97" t="s">
        <v>156</v>
      </c>
    </row>
    <row r="54" spans="2:9">
      <c r="B54" s="97" t="s">
        <v>179</v>
      </c>
      <c r="C54" s="97" t="s">
        <v>351</v>
      </c>
      <c r="D54" s="97" t="s">
        <v>352</v>
      </c>
      <c r="E54" s="97" t="s">
        <v>36</v>
      </c>
      <c r="F54" s="97" t="s">
        <v>155</v>
      </c>
      <c r="G54" s="97"/>
      <c r="H54" s="97" t="s">
        <v>329</v>
      </c>
      <c r="I54" s="97" t="s">
        <v>156</v>
      </c>
    </row>
    <row r="55" spans="2:9">
      <c r="B55" s="97" t="s">
        <v>179</v>
      </c>
      <c r="C55" s="97" t="s">
        <v>353</v>
      </c>
      <c r="D55" s="97" t="s">
        <v>354</v>
      </c>
      <c r="E55" s="97" t="s">
        <v>36</v>
      </c>
      <c r="F55" s="97" t="s">
        <v>155</v>
      </c>
      <c r="G55" s="97"/>
      <c r="H55" s="97" t="s">
        <v>329</v>
      </c>
      <c r="I55" s="97" t="s">
        <v>156</v>
      </c>
    </row>
    <row r="56" spans="2:9">
      <c r="B56" s="97" t="s">
        <v>179</v>
      </c>
      <c r="C56" s="97" t="s">
        <v>355</v>
      </c>
      <c r="D56" s="97" t="s">
        <v>356</v>
      </c>
      <c r="E56" s="97" t="s">
        <v>36</v>
      </c>
      <c r="F56" s="97" t="s">
        <v>155</v>
      </c>
      <c r="G56" s="97"/>
      <c r="H56" s="97" t="s">
        <v>329</v>
      </c>
      <c r="I56" s="97" t="s">
        <v>156</v>
      </c>
    </row>
    <row r="57" spans="2:9">
      <c r="B57" s="97" t="s">
        <v>179</v>
      </c>
      <c r="C57" s="97" t="s">
        <v>357</v>
      </c>
      <c r="D57" s="97" t="s">
        <v>358</v>
      </c>
      <c r="E57" s="97" t="s">
        <v>36</v>
      </c>
      <c r="F57" s="97" t="s">
        <v>155</v>
      </c>
      <c r="G57" s="97"/>
      <c r="H57" s="97" t="s">
        <v>329</v>
      </c>
      <c r="I57" s="97" t="s">
        <v>156</v>
      </c>
    </row>
    <row r="58" spans="2:9">
      <c r="B58" s="97" t="s">
        <v>179</v>
      </c>
      <c r="C58" s="97" t="s">
        <v>359</v>
      </c>
      <c r="D58" s="97" t="s">
        <v>360</v>
      </c>
      <c r="E58" s="97" t="s">
        <v>36</v>
      </c>
      <c r="F58" s="97" t="s">
        <v>155</v>
      </c>
      <c r="G58" s="97"/>
      <c r="H58" s="97" t="s">
        <v>329</v>
      </c>
      <c r="I58" s="97" t="s">
        <v>156</v>
      </c>
    </row>
    <row r="59" spans="2:9">
      <c r="B59" s="97" t="s">
        <v>179</v>
      </c>
      <c r="C59" s="97" t="s">
        <v>361</v>
      </c>
      <c r="D59" s="97" t="s">
        <v>362</v>
      </c>
      <c r="E59" s="97" t="s">
        <v>36</v>
      </c>
      <c r="F59" s="97" t="s">
        <v>155</v>
      </c>
      <c r="G59" s="97"/>
      <c r="H59" s="97" t="s">
        <v>329</v>
      </c>
      <c r="I59" s="97" t="s">
        <v>156</v>
      </c>
    </row>
    <row r="60" spans="2:9">
      <c r="B60" s="97" t="s">
        <v>179</v>
      </c>
      <c r="C60" s="97" t="s">
        <v>363</v>
      </c>
      <c r="D60" s="97" t="s">
        <v>364</v>
      </c>
      <c r="E60" s="97" t="s">
        <v>36</v>
      </c>
      <c r="F60" s="97" t="s">
        <v>155</v>
      </c>
      <c r="G60" s="97"/>
      <c r="H60" s="97" t="s">
        <v>329</v>
      </c>
      <c r="I60" s="97" t="s">
        <v>156</v>
      </c>
    </row>
    <row r="61" spans="2:9">
      <c r="B61" s="97" t="s">
        <v>179</v>
      </c>
      <c r="C61" s="97" t="s">
        <v>365</v>
      </c>
      <c r="D61" s="97" t="s">
        <v>366</v>
      </c>
      <c r="E61" s="97" t="s">
        <v>36</v>
      </c>
      <c r="F61" s="97" t="s">
        <v>155</v>
      </c>
      <c r="G61" s="97"/>
      <c r="H61" s="97" t="s">
        <v>329</v>
      </c>
      <c r="I61" s="97" t="s">
        <v>156</v>
      </c>
    </row>
    <row r="62" spans="2:9">
      <c r="B62" s="97" t="s">
        <v>179</v>
      </c>
      <c r="C62" s="97" t="s">
        <v>367</v>
      </c>
      <c r="D62" s="97" t="s">
        <v>368</v>
      </c>
      <c r="E62" s="97" t="s">
        <v>36</v>
      </c>
      <c r="F62" s="97" t="s">
        <v>155</v>
      </c>
      <c r="G62" s="97"/>
      <c r="H62" s="97" t="s">
        <v>329</v>
      </c>
      <c r="I62" s="97" t="s">
        <v>156</v>
      </c>
    </row>
    <row r="63" spans="2:9">
      <c r="B63" s="97" t="s">
        <v>179</v>
      </c>
      <c r="C63" s="97" t="s">
        <v>369</v>
      </c>
      <c r="D63" s="97" t="s">
        <v>370</v>
      </c>
      <c r="E63" s="97" t="s">
        <v>36</v>
      </c>
      <c r="F63" s="97" t="s">
        <v>155</v>
      </c>
      <c r="G63" s="97"/>
      <c r="H63" s="97" t="s">
        <v>329</v>
      </c>
      <c r="I63" s="97" t="s">
        <v>156</v>
      </c>
    </row>
    <row r="64" spans="2:9">
      <c r="B64" s="97" t="s">
        <v>179</v>
      </c>
      <c r="C64" s="97" t="s">
        <v>371</v>
      </c>
      <c r="D64" s="97" t="s">
        <v>372</v>
      </c>
      <c r="E64" s="97" t="s">
        <v>36</v>
      </c>
      <c r="F64" s="97" t="s">
        <v>155</v>
      </c>
      <c r="G64" s="97"/>
      <c r="H64" s="97" t="s">
        <v>329</v>
      </c>
      <c r="I64" s="97" t="s">
        <v>156</v>
      </c>
    </row>
    <row r="65" spans="2:9">
      <c r="B65" s="97" t="s">
        <v>179</v>
      </c>
      <c r="C65" s="97" t="s">
        <v>373</v>
      </c>
      <c r="D65" s="97" t="s">
        <v>374</v>
      </c>
      <c r="E65" s="97" t="s">
        <v>36</v>
      </c>
      <c r="F65" s="97" t="s">
        <v>155</v>
      </c>
      <c r="G65" s="97"/>
      <c r="H65" s="97" t="s">
        <v>329</v>
      </c>
      <c r="I65" s="97" t="s">
        <v>156</v>
      </c>
    </row>
    <row r="66" spans="2:9">
      <c r="B66" s="97" t="s">
        <v>179</v>
      </c>
      <c r="C66" s="97" t="s">
        <v>375</v>
      </c>
      <c r="D66" s="97" t="s">
        <v>376</v>
      </c>
      <c r="E66" s="97" t="s">
        <v>36</v>
      </c>
      <c r="F66" s="97" t="s">
        <v>155</v>
      </c>
      <c r="G66" s="97"/>
      <c r="H66" s="97" t="s">
        <v>329</v>
      </c>
      <c r="I66" s="97" t="s">
        <v>156</v>
      </c>
    </row>
    <row r="67" spans="2:9">
      <c r="B67" s="97" t="s">
        <v>179</v>
      </c>
      <c r="C67" s="97" t="s">
        <v>377</v>
      </c>
      <c r="D67" s="97" t="s">
        <v>378</v>
      </c>
      <c r="E67" s="97" t="s">
        <v>36</v>
      </c>
      <c r="F67" s="97" t="s">
        <v>155</v>
      </c>
      <c r="G67" s="97"/>
      <c r="H67" s="97" t="s">
        <v>329</v>
      </c>
      <c r="I67" s="97" t="s">
        <v>156</v>
      </c>
    </row>
    <row r="68" spans="2:9">
      <c r="B68" s="97" t="s">
        <v>179</v>
      </c>
      <c r="C68" s="97" t="s">
        <v>379</v>
      </c>
      <c r="D68" s="97" t="s">
        <v>380</v>
      </c>
      <c r="E68" s="97" t="s">
        <v>36</v>
      </c>
      <c r="F68" s="97" t="s">
        <v>155</v>
      </c>
      <c r="G68" s="97"/>
      <c r="H68" s="97" t="s">
        <v>329</v>
      </c>
      <c r="I68" s="97" t="s">
        <v>156</v>
      </c>
    </row>
    <row r="69" spans="2:9">
      <c r="B69" s="97" t="s">
        <v>179</v>
      </c>
      <c r="C69" s="97" t="s">
        <v>381</v>
      </c>
      <c r="D69" s="97" t="s">
        <v>382</v>
      </c>
      <c r="E69" s="97" t="s">
        <v>36</v>
      </c>
      <c r="F69" s="97" t="s">
        <v>155</v>
      </c>
      <c r="G69" s="97"/>
      <c r="H69" s="97" t="s">
        <v>329</v>
      </c>
      <c r="I69" s="97" t="s">
        <v>156</v>
      </c>
    </row>
    <row r="70" spans="2:9">
      <c r="B70" s="97" t="s">
        <v>179</v>
      </c>
      <c r="C70" s="97" t="s">
        <v>383</v>
      </c>
      <c r="D70" s="97" t="s">
        <v>384</v>
      </c>
      <c r="E70" s="97" t="s">
        <v>36</v>
      </c>
      <c r="F70" s="97" t="s">
        <v>155</v>
      </c>
      <c r="G70" s="97"/>
      <c r="H70" s="97" t="s">
        <v>329</v>
      </c>
      <c r="I70" s="97" t="s">
        <v>156</v>
      </c>
    </row>
    <row r="71" spans="2:9">
      <c r="B71" s="97" t="s">
        <v>179</v>
      </c>
      <c r="C71" s="97" t="s">
        <v>385</v>
      </c>
      <c r="D71" s="97" t="s">
        <v>386</v>
      </c>
      <c r="E71" s="97" t="s">
        <v>36</v>
      </c>
      <c r="F71" s="97" t="s">
        <v>155</v>
      </c>
      <c r="G71" s="97"/>
      <c r="H71" s="97" t="s">
        <v>329</v>
      </c>
      <c r="I71" s="97" t="s">
        <v>156</v>
      </c>
    </row>
    <row r="72" spans="2:9">
      <c r="B72" s="97" t="s">
        <v>179</v>
      </c>
      <c r="C72" s="97" t="s">
        <v>387</v>
      </c>
      <c r="D72" s="97" t="s">
        <v>388</v>
      </c>
      <c r="E72" s="97" t="s">
        <v>36</v>
      </c>
      <c r="F72" s="97" t="s">
        <v>155</v>
      </c>
      <c r="G72" s="97"/>
      <c r="H72" s="97" t="s">
        <v>329</v>
      </c>
      <c r="I72" s="97" t="s">
        <v>156</v>
      </c>
    </row>
    <row r="73" spans="2:9">
      <c r="B73" s="97" t="s">
        <v>179</v>
      </c>
      <c r="C73" s="97" t="s">
        <v>389</v>
      </c>
      <c r="D73" s="97" t="s">
        <v>390</v>
      </c>
      <c r="E73" s="97" t="s">
        <v>36</v>
      </c>
      <c r="F73" s="97" t="s">
        <v>155</v>
      </c>
      <c r="G73" s="97"/>
      <c r="H73" s="97" t="s">
        <v>329</v>
      </c>
      <c r="I73" s="97" t="s">
        <v>156</v>
      </c>
    </row>
    <row r="74" spans="2:9">
      <c r="B74" s="97" t="s">
        <v>179</v>
      </c>
      <c r="C74" s="97" t="s">
        <v>391</v>
      </c>
      <c r="D74" s="97" t="s">
        <v>392</v>
      </c>
      <c r="E74" s="97" t="s">
        <v>36</v>
      </c>
      <c r="F74" s="97" t="s">
        <v>155</v>
      </c>
      <c r="G74" s="97"/>
      <c r="H74" s="97" t="s">
        <v>329</v>
      </c>
      <c r="I74" s="97" t="s">
        <v>156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1:W79"/>
  <sheetViews>
    <sheetView zoomScale="75" workbookViewId="0">
      <pane ySplit="5" topLeftCell="A6" activePane="bottomLeft" state="frozen"/>
      <selection pane="bottomLeft" activeCell="C43" sqref="C43"/>
    </sheetView>
  </sheetViews>
  <sheetFormatPr defaultRowHeight="18"/>
  <cols>
    <col min="1" max="1" width="9.140625" style="2"/>
    <col min="2" max="2" width="8.5703125" style="2" customWidth="1"/>
    <col min="3" max="3" width="15" style="2" customWidth="1"/>
    <col min="4" max="4" width="31.42578125" style="2" customWidth="1"/>
    <col min="5" max="5" width="11.85546875" style="2" customWidth="1"/>
    <col min="6" max="6" width="13.85546875" style="2" customWidth="1"/>
    <col min="7" max="7" width="12.5703125" style="2" customWidth="1"/>
    <col min="8" max="8" width="12" style="2" customWidth="1"/>
    <col min="9" max="9" width="14.28515625" style="2" customWidth="1"/>
    <col min="10" max="10" width="9" style="2" customWidth="1"/>
    <col min="11" max="11" width="8.7109375" style="2" customWidth="1"/>
    <col min="12" max="12" width="9.85546875" style="2" customWidth="1"/>
    <col min="13" max="13" width="9.28515625" style="2" customWidth="1"/>
    <col min="14" max="14" width="10.42578125" style="2" customWidth="1"/>
    <col min="15" max="16" width="9.28515625" style="2" customWidth="1"/>
    <col min="17" max="17" width="7" style="2" bestFit="1" customWidth="1"/>
    <col min="18" max="19" width="10" style="2" customWidth="1"/>
    <col min="20" max="20" width="10.85546875" style="2" customWidth="1"/>
    <col min="21" max="24" width="9" style="2" customWidth="1"/>
    <col min="25" max="25" width="10.28515625" style="2" customWidth="1"/>
    <col min="26" max="32" width="9" style="2" customWidth="1"/>
    <col min="33" max="16384" width="9.140625" style="2"/>
  </cols>
  <sheetData>
    <row r="1" spans="2:22" s="1" customFormat="1" ht="12.75">
      <c r="C1" s="4"/>
    </row>
    <row r="2" spans="2:22" s="1" customFormat="1" ht="12.75">
      <c r="C2" s="4"/>
    </row>
    <row r="3" spans="2:22" s="1" customFormat="1" ht="12.75">
      <c r="C3" s="4"/>
    </row>
    <row r="4" spans="2:22" s="1" customFormat="1" ht="12.75">
      <c r="C4" s="4"/>
      <c r="G4" s="4" t="s">
        <v>2</v>
      </c>
      <c r="I4" s="4"/>
      <c r="J4" s="4"/>
      <c r="K4"/>
      <c r="L4"/>
    </row>
    <row r="5" spans="2:22" s="1" customFormat="1" ht="27" customHeight="1" thickBot="1">
      <c r="B5" s="25" t="s">
        <v>703</v>
      </c>
      <c r="C5" s="24" t="s">
        <v>34</v>
      </c>
      <c r="D5" s="24" t="s">
        <v>35</v>
      </c>
      <c r="E5" s="23" t="s">
        <v>24</v>
      </c>
      <c r="F5" s="23" t="s">
        <v>1</v>
      </c>
      <c r="G5" s="23" t="s">
        <v>47</v>
      </c>
      <c r="H5" s="24" t="s">
        <v>205</v>
      </c>
      <c r="I5" s="24" t="s">
        <v>187</v>
      </c>
      <c r="J5" s="28" t="s">
        <v>134</v>
      </c>
      <c r="K5" s="28" t="s">
        <v>0</v>
      </c>
      <c r="L5" s="28" t="s">
        <v>46</v>
      </c>
      <c r="M5" s="28" t="s">
        <v>128</v>
      </c>
      <c r="N5" s="28" t="s">
        <v>129</v>
      </c>
      <c r="O5" s="28" t="s">
        <v>130</v>
      </c>
      <c r="P5" s="28" t="s">
        <v>131</v>
      </c>
      <c r="Q5" s="28" t="s">
        <v>599</v>
      </c>
      <c r="R5" s="29" t="s">
        <v>133</v>
      </c>
      <c r="S5" s="29" t="s">
        <v>600</v>
      </c>
    </row>
    <row r="6" spans="2:22" s="1" customFormat="1" ht="12.75">
      <c r="B6" s="31"/>
      <c r="C6" s="31" t="s">
        <v>37</v>
      </c>
      <c r="D6" s="31" t="s">
        <v>38</v>
      </c>
      <c r="E6" s="31"/>
      <c r="F6" s="31" t="s">
        <v>40</v>
      </c>
      <c r="G6" s="31"/>
      <c r="H6" s="64"/>
      <c r="I6" s="31"/>
      <c r="J6" s="9"/>
      <c r="K6" s="64">
        <v>1</v>
      </c>
      <c r="L6" s="9"/>
      <c r="M6" s="64"/>
      <c r="N6" s="64"/>
      <c r="O6" s="9"/>
      <c r="P6" s="9"/>
      <c r="Q6" s="64">
        <v>1</v>
      </c>
      <c r="R6" s="9"/>
      <c r="S6" s="64">
        <v>3</v>
      </c>
    </row>
    <row r="7" spans="2:22" s="1" customFormat="1" ht="12.75">
      <c r="B7" s="30"/>
      <c r="C7" s="31" t="s">
        <v>177</v>
      </c>
      <c r="D7" s="31" t="s">
        <v>178</v>
      </c>
      <c r="E7" s="31" t="s">
        <v>40</v>
      </c>
      <c r="F7" s="31" t="s">
        <v>41</v>
      </c>
      <c r="G7" s="31"/>
      <c r="H7" s="64"/>
      <c r="I7" s="64">
        <v>1000</v>
      </c>
      <c r="J7" s="9"/>
      <c r="K7" s="9"/>
      <c r="L7" s="9"/>
      <c r="M7" s="9"/>
      <c r="N7" s="9"/>
      <c r="O7" s="9"/>
      <c r="P7" s="9"/>
      <c r="Q7" s="9"/>
      <c r="R7" s="9"/>
      <c r="S7" s="9"/>
    </row>
    <row r="8" spans="2:22" s="1" customFormat="1" ht="12.75">
      <c r="B8" s="30" t="s">
        <v>706</v>
      </c>
      <c r="C8" s="31" t="s">
        <v>86</v>
      </c>
      <c r="D8" s="31" t="s">
        <v>87</v>
      </c>
      <c r="E8" s="31" t="s">
        <v>85</v>
      </c>
      <c r="F8" s="31"/>
      <c r="G8" s="31"/>
      <c r="H8" s="31"/>
      <c r="I8" s="31"/>
      <c r="J8" s="9"/>
      <c r="K8" s="64">
        <v>110</v>
      </c>
      <c r="L8" s="9"/>
      <c r="M8" s="9"/>
      <c r="N8" s="9"/>
      <c r="O8" s="37">
        <v>0.25</v>
      </c>
      <c r="P8" s="9"/>
      <c r="Q8" s="112"/>
      <c r="R8" s="9"/>
      <c r="S8" s="9"/>
    </row>
    <row r="9" spans="2:22" s="1" customFormat="1" ht="12.75">
      <c r="B9" s="30"/>
      <c r="C9" s="31"/>
      <c r="D9" s="31"/>
      <c r="E9" s="31"/>
      <c r="F9" s="31" t="s">
        <v>84</v>
      </c>
      <c r="G9" s="31"/>
      <c r="H9" s="31"/>
      <c r="I9" s="31"/>
      <c r="J9" s="9"/>
      <c r="K9" s="64"/>
      <c r="L9" s="64">
        <v>1000</v>
      </c>
      <c r="M9" s="9"/>
      <c r="N9" s="9"/>
      <c r="O9" s="9"/>
      <c r="P9" s="9"/>
      <c r="Q9" s="9"/>
      <c r="R9" s="9"/>
      <c r="S9" s="9"/>
    </row>
    <row r="10" spans="2:22" s="1" customFormat="1" ht="12.75">
      <c r="B10" s="30"/>
      <c r="C10" s="31" t="s">
        <v>601</v>
      </c>
      <c r="D10" s="31" t="s">
        <v>602</v>
      </c>
      <c r="E10" s="31" t="s">
        <v>603</v>
      </c>
      <c r="F10" s="31" t="s">
        <v>604</v>
      </c>
      <c r="G10" s="31"/>
      <c r="H10" s="64"/>
      <c r="I10" s="64"/>
      <c r="J10" s="9"/>
      <c r="K10" s="64">
        <v>1</v>
      </c>
      <c r="L10" s="9"/>
      <c r="M10" s="9"/>
      <c r="N10" s="9"/>
      <c r="O10" s="9"/>
      <c r="P10" s="9"/>
      <c r="Q10" s="9"/>
      <c r="R10" s="9"/>
      <c r="S10" s="64">
        <v>3</v>
      </c>
    </row>
    <row r="11" spans="2:22" s="1" customFormat="1" ht="12.75">
      <c r="B11" s="30"/>
      <c r="C11" s="31"/>
      <c r="D11" s="31"/>
      <c r="E11" s="31"/>
      <c r="F11" s="31" t="s">
        <v>605</v>
      </c>
      <c r="G11" s="31"/>
      <c r="H11" s="64"/>
      <c r="I11" s="64">
        <v>0.1</v>
      </c>
      <c r="J11" s="9"/>
      <c r="K11" s="64"/>
      <c r="L11" s="9"/>
      <c r="M11" s="9"/>
      <c r="N11" s="9"/>
      <c r="O11" s="9"/>
      <c r="P11" s="9"/>
      <c r="Q11" s="9"/>
      <c r="R11" s="9"/>
      <c r="S11" s="9"/>
    </row>
    <row r="12" spans="2:22" s="1" customFormat="1" ht="12.75">
      <c r="B12" s="30"/>
      <c r="C12" s="31"/>
      <c r="D12" s="31"/>
      <c r="E12" s="31"/>
      <c r="F12" s="31" t="s">
        <v>606</v>
      </c>
      <c r="G12" s="31"/>
      <c r="H12" s="64"/>
      <c r="I12" s="64">
        <v>0.1</v>
      </c>
      <c r="J12" s="9"/>
      <c r="K12" s="64"/>
      <c r="L12" s="9"/>
      <c r="M12" s="9"/>
      <c r="N12" s="9"/>
      <c r="O12" s="9"/>
      <c r="P12" s="9"/>
      <c r="Q12" s="9"/>
      <c r="R12" s="9"/>
      <c r="S12" s="9"/>
    </row>
    <row r="13" spans="2:22" s="1" customFormat="1" ht="12.75">
      <c r="B13" s="30"/>
      <c r="C13" s="31"/>
      <c r="D13" s="31"/>
      <c r="E13" s="31"/>
      <c r="F13" s="31" t="s">
        <v>244</v>
      </c>
      <c r="G13" s="31"/>
      <c r="H13" s="31"/>
      <c r="I13" s="64">
        <v>1</v>
      </c>
      <c r="J13" s="9"/>
      <c r="K13" s="64"/>
      <c r="L13" s="9"/>
      <c r="M13" s="9"/>
      <c r="N13" s="9"/>
      <c r="O13" s="9"/>
      <c r="P13" s="9"/>
      <c r="Q13" s="9"/>
      <c r="R13" s="9"/>
      <c r="S13" s="9"/>
    </row>
    <row r="14" spans="2:22" s="1" customFormat="1" ht="12.75"/>
    <row r="15" spans="2:22" s="1" customFormat="1" ht="12.75"/>
    <row r="16" spans="2:22" s="1" customFormat="1" ht="12.75">
      <c r="B16" s="43"/>
      <c r="C16" s="4"/>
      <c r="D16" s="4"/>
      <c r="E16" s="4"/>
      <c r="G16" s="4" t="s">
        <v>2</v>
      </c>
      <c r="H16"/>
      <c r="I16"/>
      <c r="J16"/>
      <c r="K16"/>
      <c r="L16"/>
      <c r="M16"/>
      <c r="N16"/>
      <c r="O16"/>
      <c r="P16"/>
      <c r="Q16"/>
      <c r="R16"/>
      <c r="S16"/>
      <c r="V16" s="44"/>
    </row>
    <row r="17" spans="2:23" s="1" customFormat="1" ht="26.25" thickBot="1">
      <c r="B17" s="25" t="s">
        <v>703</v>
      </c>
      <c r="C17" s="45" t="s">
        <v>34</v>
      </c>
      <c r="D17" s="45" t="s">
        <v>35</v>
      </c>
      <c r="E17" s="28" t="s">
        <v>24</v>
      </c>
      <c r="F17" s="28" t="s">
        <v>1</v>
      </c>
      <c r="G17" s="45" t="s">
        <v>185</v>
      </c>
      <c r="H17" s="45" t="s">
        <v>186</v>
      </c>
      <c r="I17" s="46" t="s">
        <v>134</v>
      </c>
      <c r="J17" s="45" t="s">
        <v>0</v>
      </c>
      <c r="K17" s="45" t="s">
        <v>128</v>
      </c>
      <c r="L17" s="45" t="s">
        <v>129</v>
      </c>
      <c r="M17" s="28" t="s">
        <v>130</v>
      </c>
      <c r="N17" s="47" t="s">
        <v>187</v>
      </c>
      <c r="O17" s="48" t="s">
        <v>207</v>
      </c>
      <c r="P17" s="28" t="s">
        <v>188</v>
      </c>
      <c r="Q17" s="28" t="s">
        <v>132</v>
      </c>
      <c r="R17" s="45" t="s">
        <v>133</v>
      </c>
      <c r="S17" s="45" t="s">
        <v>189</v>
      </c>
      <c r="V17" s="49"/>
      <c r="W17" s="49"/>
    </row>
    <row r="18" spans="2:23" s="1" customFormat="1" ht="12.75">
      <c r="B18" s="50" t="s">
        <v>190</v>
      </c>
      <c r="C18" s="51"/>
      <c r="D18" s="51"/>
      <c r="E18" s="51"/>
      <c r="F18" s="51"/>
      <c r="G18" s="51"/>
      <c r="H18" s="51"/>
      <c r="I18" s="51"/>
      <c r="J18" s="52"/>
      <c r="K18" s="53"/>
      <c r="L18" s="53"/>
      <c r="M18" s="51"/>
      <c r="N18" s="51"/>
      <c r="O18" s="54"/>
      <c r="P18" s="51"/>
      <c r="Q18" s="51"/>
      <c r="R18" s="51"/>
      <c r="S18" s="51"/>
      <c r="V18" s="49"/>
    </row>
    <row r="19" spans="2:23" s="1" customFormat="1" ht="12.75">
      <c r="B19" s="30" t="s">
        <v>706</v>
      </c>
      <c r="C19" s="9" t="str">
        <f ca="1">Names!C95</f>
        <v>IN2ONIT01</v>
      </c>
      <c r="D19" s="9" t="str">
        <f ca="1">Names!D95</f>
        <v>N2O option - Grand Paroisse - High Temperature Catalytic Reduction Method</v>
      </c>
      <c r="E19" s="9" t="s">
        <v>40</v>
      </c>
      <c r="F19" s="11" t="str">
        <f>""</f>
        <v/>
      </c>
      <c r="G19" s="9">
        <v>2010</v>
      </c>
      <c r="H19" s="9">
        <v>1</v>
      </c>
      <c r="I19" s="9">
        <f ca="1">BaseYear+5</f>
        <v>2015</v>
      </c>
      <c r="J19" s="61">
        <v>20</v>
      </c>
      <c r="K19" s="59">
        <v>1.3918213687621077</v>
      </c>
      <c r="L19" s="59">
        <v>7.0263162681114724E-2</v>
      </c>
      <c r="M19" s="59">
        <v>5.150589872448251E-2</v>
      </c>
      <c r="N19" s="60"/>
      <c r="O19" s="9"/>
      <c r="P19" s="9"/>
      <c r="Q19" s="9">
        <v>0.9</v>
      </c>
      <c r="R19" s="9"/>
      <c r="S19" s="9">
        <v>0.2</v>
      </c>
      <c r="U19" s="169"/>
      <c r="V19" s="169"/>
      <c r="W19" s="169"/>
    </row>
    <row r="20" spans="2:23" s="1" customFormat="1" ht="12.75">
      <c r="B20" s="11"/>
      <c r="C20" s="9"/>
      <c r="D20" s="9"/>
      <c r="E20" s="9"/>
      <c r="F20" s="9" t="s">
        <v>41</v>
      </c>
      <c r="G20" s="9"/>
      <c r="H20" s="9"/>
      <c r="I20" s="9"/>
      <c r="J20" s="9"/>
      <c r="K20" s="59"/>
      <c r="L20" s="59"/>
      <c r="M20" s="59"/>
      <c r="N20" s="61">
        <v>612</v>
      </c>
      <c r="O20" s="61">
        <v>224</v>
      </c>
      <c r="P20" s="9"/>
      <c r="Q20" s="9"/>
      <c r="R20" s="9"/>
      <c r="S20" s="9"/>
      <c r="U20" s="169"/>
      <c r="V20" s="169"/>
      <c r="W20" s="169"/>
    </row>
    <row r="21" spans="2:23" s="1" customFormat="1" ht="12.75">
      <c r="B21" s="30" t="s">
        <v>706</v>
      </c>
      <c r="C21" s="9" t="str">
        <f ca="1">Names!C96</f>
        <v>IN2ONIT02</v>
      </c>
      <c r="D21" s="9" t="str">
        <f ca="1">Names!D96</f>
        <v>N2O option - BASF - High Temperature Catalytic Reduction Method</v>
      </c>
      <c r="E21" s="9" t="str">
        <f>$E$19</f>
        <v>INDNIT</v>
      </c>
      <c r="F21" s="11" t="str">
        <f>$F$19</f>
        <v/>
      </c>
      <c r="G21" s="9">
        <v>2010</v>
      </c>
      <c r="H21" s="9">
        <v>1</v>
      </c>
      <c r="I21" s="9">
        <f ca="1">BaseYear+5</f>
        <v>2015</v>
      </c>
      <c r="J21" s="61">
        <v>20</v>
      </c>
      <c r="K21" s="59">
        <v>1.285030798093554</v>
      </c>
      <c r="L21" s="59">
        <v>7.6316427405427975E-2</v>
      </c>
      <c r="M21" s="59">
        <v>4.7553994808481978E-2</v>
      </c>
      <c r="N21" s="60"/>
      <c r="O21" s="9"/>
      <c r="P21" s="9"/>
      <c r="Q21" s="9">
        <v>0.9</v>
      </c>
      <c r="R21" s="9"/>
      <c r="S21" s="9">
        <v>0.2</v>
      </c>
      <c r="U21" s="169"/>
      <c r="V21" s="169"/>
      <c r="W21" s="169"/>
    </row>
    <row r="22" spans="2:23" s="1" customFormat="1" ht="12.75">
      <c r="B22" s="11"/>
      <c r="C22" s="9"/>
      <c r="D22" s="9"/>
      <c r="E22" s="9"/>
      <c r="F22" s="9" t="str">
        <f>$F$20</f>
        <v>INDN2OP</v>
      </c>
      <c r="G22" s="9"/>
      <c r="H22" s="9"/>
      <c r="I22" s="9"/>
      <c r="J22" s="61"/>
      <c r="K22" s="59"/>
      <c r="L22" s="59"/>
      <c r="M22" s="59"/>
      <c r="N22" s="9">
        <v>600</v>
      </c>
      <c r="O22" s="9">
        <v>200</v>
      </c>
      <c r="P22" s="9"/>
      <c r="Q22" s="9"/>
      <c r="R22" s="9"/>
      <c r="S22" s="9"/>
      <c r="U22" s="169"/>
      <c r="V22" s="169"/>
      <c r="W22" s="169"/>
    </row>
    <row r="23" spans="2:23" s="1" customFormat="1" ht="12.75">
      <c r="B23" s="30" t="s">
        <v>706</v>
      </c>
      <c r="C23" s="9" t="str">
        <f ca="1">Names!C97</f>
        <v>IN2ONIT03</v>
      </c>
      <c r="D23" s="9" t="str">
        <f ca="1">Names!D97</f>
        <v>N2O option - Norsk Hydro - High Temperature Catalytic Reduction Method</v>
      </c>
      <c r="E23" s="9" t="str">
        <f>$E$19</f>
        <v>INDNIT</v>
      </c>
      <c r="F23" s="11" t="str">
        <f>$F$19</f>
        <v/>
      </c>
      <c r="G23" s="9">
        <v>2010</v>
      </c>
      <c r="H23" s="9">
        <v>1</v>
      </c>
      <c r="I23" s="9">
        <f ca="1">BaseYear+5</f>
        <v>2015</v>
      </c>
      <c r="J23" s="61">
        <v>20</v>
      </c>
      <c r="K23" s="59">
        <v>1.2146539873166924</v>
      </c>
      <c r="L23" s="59">
        <v>7.3650745356349578E-2</v>
      </c>
      <c r="M23" s="59">
        <v>4.494962260255092E-2</v>
      </c>
      <c r="N23" s="60"/>
      <c r="O23" s="9"/>
      <c r="P23" s="9"/>
      <c r="Q23" s="9">
        <v>0.9</v>
      </c>
      <c r="R23" s="9"/>
      <c r="S23" s="9">
        <v>0.2</v>
      </c>
      <c r="U23" s="169"/>
      <c r="V23" s="169"/>
      <c r="W23" s="169"/>
    </row>
    <row r="24" spans="2:23" s="1" customFormat="1" ht="12.75">
      <c r="B24" s="11"/>
      <c r="C24" s="9"/>
      <c r="D24" s="9"/>
      <c r="E24" s="9"/>
      <c r="F24" s="9" t="str">
        <f>$F$20</f>
        <v>INDN2OP</v>
      </c>
      <c r="G24" s="9"/>
      <c r="H24" s="9"/>
      <c r="I24" s="9"/>
      <c r="J24" s="61"/>
      <c r="K24" s="59"/>
      <c r="L24" s="59"/>
      <c r="M24" s="59"/>
      <c r="N24" s="61">
        <v>550</v>
      </c>
      <c r="O24" s="61">
        <v>100</v>
      </c>
      <c r="P24" s="9"/>
      <c r="Q24" s="9"/>
      <c r="R24" s="9"/>
      <c r="S24" s="9"/>
      <c r="U24" s="169"/>
      <c r="V24" s="169"/>
      <c r="W24" s="169"/>
    </row>
    <row r="25" spans="2:23" s="1" customFormat="1" ht="12.75">
      <c r="B25" s="30" t="s">
        <v>706</v>
      </c>
      <c r="C25" s="9" t="str">
        <f ca="1">Names!C98</f>
        <v>IN2ONIT04</v>
      </c>
      <c r="D25" s="9" t="str">
        <f ca="1">Names!D98</f>
        <v>N2O option - HITK – High Temperature Catalytic Reduction Method</v>
      </c>
      <c r="E25" s="9" t="str">
        <f>$E$19</f>
        <v>INDNIT</v>
      </c>
      <c r="F25" s="11" t="str">
        <f>$F$19</f>
        <v/>
      </c>
      <c r="G25" s="9">
        <v>2010</v>
      </c>
      <c r="H25" s="9">
        <v>1</v>
      </c>
      <c r="I25" s="9">
        <f ca="1">BaseYear+5</f>
        <v>2015</v>
      </c>
      <c r="J25" s="61">
        <v>20</v>
      </c>
      <c r="K25" s="59">
        <v>1.8118442896106282</v>
      </c>
      <c r="L25" s="59">
        <v>0.11848786507861388</v>
      </c>
      <c r="M25" s="59">
        <v>6.7049314358650025E-2</v>
      </c>
      <c r="N25" s="60"/>
      <c r="O25" s="9"/>
      <c r="P25" s="9"/>
      <c r="Q25" s="9">
        <v>0.9</v>
      </c>
      <c r="R25" s="9"/>
      <c r="S25" s="9">
        <v>0.2</v>
      </c>
      <c r="U25" s="169"/>
      <c r="V25" s="169"/>
      <c r="W25" s="169"/>
    </row>
    <row r="26" spans="2:23" s="1" customFormat="1" ht="12.75">
      <c r="B26" s="11"/>
      <c r="C26" s="9"/>
      <c r="D26" s="9"/>
      <c r="E26" s="9"/>
      <c r="F26" s="9" t="str">
        <f>$F$20</f>
        <v>INDN2OP</v>
      </c>
      <c r="G26" s="9"/>
      <c r="H26" s="9"/>
      <c r="I26" s="9"/>
      <c r="J26" s="61"/>
      <c r="K26" s="59"/>
      <c r="L26" s="59"/>
      <c r="M26" s="59"/>
      <c r="N26" s="9">
        <v>510</v>
      </c>
      <c r="O26" s="9">
        <v>20</v>
      </c>
      <c r="P26" s="9"/>
      <c r="Q26" s="9"/>
      <c r="R26" s="9"/>
      <c r="S26" s="9"/>
      <c r="U26" s="169"/>
      <c r="V26" s="169"/>
      <c r="W26" s="169"/>
    </row>
    <row r="27" spans="2:23" s="1" customFormat="1" ht="12.75">
      <c r="B27" s="30" t="s">
        <v>706</v>
      </c>
      <c r="C27" s="9" t="str">
        <f ca="1">Names!C99</f>
        <v>IN2ONIT05</v>
      </c>
      <c r="D27" s="9" t="str">
        <f ca="1">Names!D99</f>
        <v>N2O option - Krupp Uhde - Low Temperature Catalytic Reduction Method</v>
      </c>
      <c r="E27" s="9" t="str">
        <f>$E$19</f>
        <v>INDNIT</v>
      </c>
      <c r="F27" s="11" t="str">
        <f>$F$19</f>
        <v/>
      </c>
      <c r="G27" s="9">
        <v>2010</v>
      </c>
      <c r="H27" s="9">
        <v>1</v>
      </c>
      <c r="I27" s="9">
        <f ca="1">BaseYear+5</f>
        <v>2015</v>
      </c>
      <c r="J27" s="61">
        <v>20</v>
      </c>
      <c r="K27" s="59">
        <v>1.902828015805144</v>
      </c>
      <c r="L27" s="59">
        <v>0.10590625694261648</v>
      </c>
      <c r="M27" s="59">
        <v>7.0416268403276111E-2</v>
      </c>
      <c r="N27" s="60"/>
      <c r="O27" s="9"/>
      <c r="P27" s="9"/>
      <c r="Q27" s="9">
        <v>0.9</v>
      </c>
      <c r="R27" s="9"/>
      <c r="S27" s="9">
        <v>0.2</v>
      </c>
      <c r="U27" s="169"/>
      <c r="V27" s="169"/>
      <c r="W27" s="169"/>
    </row>
    <row r="28" spans="2:23" s="1" customFormat="1" ht="12.75">
      <c r="B28" s="11"/>
      <c r="C28" s="9"/>
      <c r="D28" s="9"/>
      <c r="E28" s="9"/>
      <c r="F28" s="9" t="str">
        <f>$F$20</f>
        <v>INDN2OP</v>
      </c>
      <c r="G28" s="9"/>
      <c r="H28" s="9"/>
      <c r="I28" s="9"/>
      <c r="J28" s="61"/>
      <c r="K28" s="59"/>
      <c r="L28" s="59"/>
      <c r="M28" s="59"/>
      <c r="N28" s="61">
        <v>525</v>
      </c>
      <c r="O28" s="61">
        <v>50</v>
      </c>
      <c r="P28" s="9"/>
      <c r="Q28" s="9"/>
      <c r="R28" s="9"/>
      <c r="S28" s="9"/>
      <c r="U28" s="169"/>
      <c r="V28" s="169"/>
      <c r="W28" s="169"/>
    </row>
    <row r="29" spans="2:23" s="1" customFormat="1" ht="12.75">
      <c r="B29" s="30" t="s">
        <v>706</v>
      </c>
      <c r="C29" s="9" t="str">
        <f ca="1">Names!C100</f>
        <v>IN2ONIT06</v>
      </c>
      <c r="D29" s="9" t="str">
        <f ca="1">Names!D100</f>
        <v>N2O option - ECN - Low temperature selective catalytic reduction with propane addition</v>
      </c>
      <c r="E29" s="9" t="str">
        <f>$E$19</f>
        <v>INDNIT</v>
      </c>
      <c r="F29" s="11" t="str">
        <f>$F$19</f>
        <v/>
      </c>
      <c r="G29" s="9">
        <v>2010</v>
      </c>
      <c r="H29" s="9">
        <v>1</v>
      </c>
      <c r="I29" s="9">
        <f ca="1">BaseYear+5</f>
        <v>2015</v>
      </c>
      <c r="J29" s="61">
        <v>20</v>
      </c>
      <c r="K29" s="59">
        <v>2.0091920919682749</v>
      </c>
      <c r="L29" s="59">
        <v>0.95943632704987558</v>
      </c>
      <c r="M29" s="59">
        <v>7.4352389415453093E-2</v>
      </c>
      <c r="N29" s="60"/>
      <c r="O29" s="9"/>
      <c r="P29" s="9"/>
      <c r="Q29" s="9">
        <v>0.9</v>
      </c>
      <c r="R29" s="9"/>
      <c r="S29" s="9">
        <v>0.2</v>
      </c>
      <c r="U29" s="169"/>
      <c r="V29" s="169"/>
      <c r="W29" s="169"/>
    </row>
    <row r="30" spans="2:23" s="1" customFormat="1" ht="12.75">
      <c r="B30" s="11"/>
      <c r="C30" s="9"/>
      <c r="D30" s="9"/>
      <c r="E30" s="9"/>
      <c r="F30" s="9" t="str">
        <f>$F$20</f>
        <v>INDN2OP</v>
      </c>
      <c r="G30" s="9"/>
      <c r="H30" s="9"/>
      <c r="I30" s="9"/>
      <c r="J30" s="61"/>
      <c r="K30" s="59"/>
      <c r="L30" s="59"/>
      <c r="M30" s="59"/>
      <c r="N30" s="9">
        <v>525</v>
      </c>
      <c r="O30" s="9">
        <v>50</v>
      </c>
      <c r="P30" s="9"/>
      <c r="Q30" s="9"/>
      <c r="R30" s="9"/>
      <c r="S30" s="9"/>
      <c r="U30" s="169"/>
      <c r="V30" s="169"/>
      <c r="W30" s="169"/>
    </row>
    <row r="31" spans="2:23" s="1" customFormat="1" ht="12.75">
      <c r="B31" s="30" t="s">
        <v>706</v>
      </c>
      <c r="C31" s="9" t="str">
        <f ca="1">Names!C101</f>
        <v>IN2ONIT07</v>
      </c>
      <c r="D31" s="9" t="str">
        <f ca="1">Names!D101</f>
        <v>N2O option - Non-Selective Catalytic Reduction (NSCR)</v>
      </c>
      <c r="E31" s="9" t="str">
        <f>$E$19</f>
        <v>INDNIT</v>
      </c>
      <c r="F31" s="11" t="str">
        <f>$F$19</f>
        <v/>
      </c>
      <c r="G31" s="9">
        <v>2010</v>
      </c>
      <c r="H31" s="9">
        <v>1</v>
      </c>
      <c r="I31" s="9">
        <f ca="1">BaseYear+5</f>
        <v>2015</v>
      </c>
      <c r="J31" s="61">
        <v>20</v>
      </c>
      <c r="K31" s="59">
        <v>3.1102236952804811</v>
      </c>
      <c r="L31" s="59">
        <v>7.7962168730739217E-2</v>
      </c>
      <c r="M31" s="59">
        <v>0.11509728924630636</v>
      </c>
      <c r="N31" s="60"/>
      <c r="O31" s="9"/>
      <c r="P31" s="9"/>
      <c r="Q31" s="9">
        <v>0.9</v>
      </c>
      <c r="R31" s="9"/>
      <c r="S31" s="9">
        <v>0.2</v>
      </c>
      <c r="U31" s="169"/>
      <c r="V31" s="169"/>
      <c r="W31" s="169"/>
    </row>
    <row r="32" spans="2:23" s="1" customFormat="1" ht="12.75">
      <c r="B32" s="11"/>
      <c r="C32" s="9"/>
      <c r="D32" s="9"/>
      <c r="E32" s="9"/>
      <c r="F32" s="9" t="str">
        <f>$F$20</f>
        <v>INDN2OP</v>
      </c>
      <c r="G32" s="9"/>
      <c r="H32" s="9"/>
      <c r="I32" s="9"/>
      <c r="J32" s="61"/>
      <c r="K32" s="57"/>
      <c r="L32" s="57"/>
      <c r="M32" s="9"/>
      <c r="N32" s="61">
        <v>575</v>
      </c>
      <c r="O32" s="61">
        <v>150</v>
      </c>
      <c r="P32" s="9"/>
      <c r="Q32" s="9"/>
      <c r="R32" s="9"/>
      <c r="S32" s="9"/>
    </row>
    <row r="33" spans="2:9" s="1" customFormat="1" ht="12.75"/>
    <row r="34" spans="2:9" s="1" customFormat="1" ht="12.75"/>
    <row r="35" spans="2:9" s="1" customFormat="1" ht="12.75"/>
    <row r="36" spans="2:9" s="1" customFormat="1" ht="12.75"/>
    <row r="37" spans="2:9" s="1" customFormat="1" ht="12.75"/>
    <row r="38" spans="2:9">
      <c r="B38" s="4" t="s">
        <v>26</v>
      </c>
      <c r="C38" s="4"/>
      <c r="D38" s="1"/>
      <c r="E38" s="1"/>
      <c r="F38" s="1"/>
      <c r="G38" s="1"/>
      <c r="H38" s="1"/>
    </row>
    <row r="39" spans="2:9" ht="18.75" thickBot="1">
      <c r="B39" s="171" t="s">
        <v>27</v>
      </c>
      <c r="C39" s="171" t="s">
        <v>28</v>
      </c>
      <c r="D39" s="171" t="s">
        <v>29</v>
      </c>
      <c r="E39" s="171" t="s">
        <v>30</v>
      </c>
      <c r="F39" s="171" t="s">
        <v>49</v>
      </c>
      <c r="G39" s="172" t="s">
        <v>142</v>
      </c>
      <c r="H39" s="172" t="s">
        <v>143</v>
      </c>
      <c r="I39" s="172" t="s">
        <v>144</v>
      </c>
    </row>
    <row r="40" spans="2:9" ht="12.95" customHeight="1">
      <c r="B40" s="26" t="s">
        <v>58</v>
      </c>
      <c r="C40" s="10" t="s">
        <v>137</v>
      </c>
      <c r="D40" s="10" t="s">
        <v>138</v>
      </c>
      <c r="E40" s="10" t="s">
        <v>36</v>
      </c>
      <c r="F40" s="10"/>
      <c r="G40" s="17"/>
      <c r="H40" s="17"/>
      <c r="I40" s="114"/>
    </row>
    <row r="41" spans="2:9" ht="12.95" customHeight="1">
      <c r="B41" s="10"/>
      <c r="C41" s="10" t="s">
        <v>125</v>
      </c>
      <c r="D41" s="10" t="s">
        <v>135</v>
      </c>
      <c r="E41" s="10" t="s">
        <v>36</v>
      </c>
      <c r="F41" s="10"/>
      <c r="G41" s="17"/>
      <c r="H41" s="17"/>
      <c r="I41" s="114"/>
    </row>
    <row r="42" spans="2:9" ht="12.95" customHeight="1">
      <c r="B42" s="26"/>
      <c r="C42" s="10" t="s">
        <v>126</v>
      </c>
      <c r="D42" s="10" t="s">
        <v>145</v>
      </c>
      <c r="E42" s="10" t="s">
        <v>36</v>
      </c>
      <c r="F42" s="10"/>
      <c r="G42" s="17" t="s">
        <v>146</v>
      </c>
      <c r="H42" s="17"/>
      <c r="I42" s="17" t="s">
        <v>147</v>
      </c>
    </row>
    <row r="43" spans="2:9" ht="12.95" customHeight="1">
      <c r="B43" s="26" t="s">
        <v>62</v>
      </c>
      <c r="C43" s="10" t="s">
        <v>40</v>
      </c>
      <c r="D43" s="10" t="s">
        <v>607</v>
      </c>
      <c r="E43" s="17" t="s">
        <v>76</v>
      </c>
      <c r="F43" s="113" t="s">
        <v>50</v>
      </c>
      <c r="G43" s="17"/>
      <c r="H43" s="17"/>
      <c r="I43" s="17"/>
    </row>
    <row r="44" spans="2:9" ht="12.95" customHeight="1">
      <c r="B44" s="26"/>
      <c r="C44" s="10" t="str">
        <f>$F$10</f>
        <v>COMFGAS</v>
      </c>
      <c r="D44" s="10" t="s">
        <v>608</v>
      </c>
      <c r="E44" s="17" t="s">
        <v>609</v>
      </c>
      <c r="F44" s="113" t="s">
        <v>50</v>
      </c>
      <c r="G44" s="17"/>
      <c r="H44" s="17"/>
      <c r="I44" s="17"/>
    </row>
    <row r="45" spans="2:9" ht="12.95" customHeight="1">
      <c r="B45" s="26"/>
      <c r="C45" s="10" t="str">
        <f>$F$11</f>
        <v>ICHFGAS</v>
      </c>
      <c r="D45" s="10" t="s">
        <v>610</v>
      </c>
      <c r="E45" s="17" t="s">
        <v>609</v>
      </c>
      <c r="F45" s="113" t="s">
        <v>50</v>
      </c>
      <c r="G45" s="17"/>
      <c r="H45" s="17"/>
      <c r="I45" s="17"/>
    </row>
    <row r="46" spans="2:9" ht="12.95" customHeight="1">
      <c r="B46" s="26"/>
      <c r="C46" s="10" t="str">
        <f>$F$12</f>
        <v>INFFGAS</v>
      </c>
      <c r="D46" s="10" t="s">
        <v>611</v>
      </c>
      <c r="E46" s="17" t="s">
        <v>609</v>
      </c>
      <c r="F46" s="113" t="s">
        <v>50</v>
      </c>
      <c r="G46" s="17"/>
      <c r="H46" s="17"/>
      <c r="I46" s="17"/>
    </row>
    <row r="47" spans="2:9" ht="12.95" customHeight="1">
      <c r="B47" s="26" t="s">
        <v>31</v>
      </c>
      <c r="C47" s="10" t="s">
        <v>127</v>
      </c>
      <c r="D47" s="10" t="s">
        <v>127</v>
      </c>
      <c r="E47" s="10" t="s">
        <v>76</v>
      </c>
      <c r="F47" s="10"/>
      <c r="G47" s="17"/>
      <c r="H47" s="17"/>
      <c r="I47" s="114"/>
    </row>
    <row r="48" spans="2:9" ht="12.95" customHeight="1">
      <c r="B48" s="10"/>
      <c r="C48" s="10" t="str">
        <f>$F$7</f>
        <v>INDN2OP</v>
      </c>
      <c r="D48" s="27" t="s">
        <v>42</v>
      </c>
      <c r="E48" s="17" t="s">
        <v>32</v>
      </c>
      <c r="F48" s="17"/>
      <c r="G48" s="17"/>
      <c r="H48" s="17"/>
      <c r="I48" s="114"/>
    </row>
    <row r="49" spans="2:9" ht="12.95" customHeight="1">
      <c r="B49" s="26"/>
      <c r="C49" s="10" t="s">
        <v>181</v>
      </c>
      <c r="D49" s="10" t="s">
        <v>182</v>
      </c>
      <c r="E49" s="17" t="s">
        <v>76</v>
      </c>
      <c r="F49" s="17"/>
      <c r="G49" s="17"/>
      <c r="H49" s="17"/>
      <c r="I49" s="114"/>
    </row>
    <row r="50" spans="2:9" ht="12.95" customHeight="1">
      <c r="B50" s="26"/>
      <c r="C50" s="10" t="s">
        <v>85</v>
      </c>
      <c r="D50" s="10" t="s">
        <v>88</v>
      </c>
      <c r="E50" s="17" t="s">
        <v>76</v>
      </c>
      <c r="F50" s="113" t="s">
        <v>50</v>
      </c>
      <c r="G50" s="17"/>
      <c r="H50" s="17"/>
      <c r="I50" s="114"/>
    </row>
    <row r="51" spans="2:9" ht="12.95" customHeight="1">
      <c r="B51" s="26"/>
      <c r="C51" s="19" t="s">
        <v>83</v>
      </c>
      <c r="D51" s="10" t="s">
        <v>136</v>
      </c>
      <c r="E51" s="17" t="s">
        <v>32</v>
      </c>
      <c r="F51" s="17"/>
      <c r="G51" s="17"/>
      <c r="H51" s="17"/>
      <c r="I51" s="114"/>
    </row>
    <row r="52" spans="2:9" ht="12.95" customHeight="1">
      <c r="B52" s="26"/>
      <c r="C52" s="19" t="s">
        <v>84</v>
      </c>
      <c r="D52" s="10" t="s">
        <v>88</v>
      </c>
      <c r="E52" s="17" t="s">
        <v>32</v>
      </c>
      <c r="F52" s="17"/>
      <c r="G52" s="17"/>
      <c r="H52" s="17"/>
      <c r="I52" s="114"/>
    </row>
    <row r="53" spans="2:9" ht="12.95" customHeight="1">
      <c r="B53" s="26" t="s">
        <v>148</v>
      </c>
      <c r="C53" s="19" t="s">
        <v>603</v>
      </c>
      <c r="D53" s="10" t="s">
        <v>612</v>
      </c>
      <c r="E53" s="17" t="s">
        <v>32</v>
      </c>
      <c r="F53" s="113" t="s">
        <v>69</v>
      </c>
      <c r="G53" s="113"/>
      <c r="H53" s="113"/>
      <c r="I53" s="113"/>
    </row>
    <row r="55" spans="2:9" s="1" customFormat="1" ht="12.75"/>
    <row r="56" spans="2:9" s="1" customFormat="1" ht="12.75">
      <c r="B56" s="32" t="s">
        <v>149</v>
      </c>
      <c r="C56"/>
      <c r="D56"/>
      <c r="E56"/>
      <c r="F56"/>
      <c r="G56"/>
      <c r="H56"/>
    </row>
    <row r="57" spans="2:9" s="1" customFormat="1" ht="12.75">
      <c r="B57" s="33" t="s">
        <v>33</v>
      </c>
      <c r="C57" s="34" t="s">
        <v>34</v>
      </c>
      <c r="D57" s="34" t="s">
        <v>35</v>
      </c>
      <c r="E57" s="34" t="s">
        <v>150</v>
      </c>
      <c r="F57" s="34" t="s">
        <v>151</v>
      </c>
      <c r="G57" s="34" t="s">
        <v>152</v>
      </c>
      <c r="H57" s="34" t="s">
        <v>153</v>
      </c>
      <c r="I57" s="35" t="s">
        <v>154</v>
      </c>
    </row>
    <row r="58" spans="2:9" s="1" customFormat="1" ht="12.75">
      <c r="B58" s="36" t="s">
        <v>179</v>
      </c>
      <c r="C58" s="36" t="s">
        <v>37</v>
      </c>
      <c r="D58" s="36" t="s">
        <v>38</v>
      </c>
      <c r="E58" s="36" t="s">
        <v>36</v>
      </c>
      <c r="F58" s="36" t="s">
        <v>155</v>
      </c>
      <c r="G58" s="36"/>
      <c r="H58" s="36" t="s">
        <v>40</v>
      </c>
      <c r="I58" s="36" t="s">
        <v>156</v>
      </c>
    </row>
    <row r="59" spans="2:9" s="1" customFormat="1" ht="12.75">
      <c r="B59" s="36" t="s">
        <v>179</v>
      </c>
      <c r="C59" s="36" t="s">
        <v>177</v>
      </c>
      <c r="D59" s="36" t="s">
        <v>178</v>
      </c>
      <c r="E59" s="36" t="s">
        <v>36</v>
      </c>
      <c r="F59" s="36" t="s">
        <v>155</v>
      </c>
      <c r="G59" s="36"/>
      <c r="H59" s="36" t="s">
        <v>40</v>
      </c>
      <c r="I59" s="36" t="s">
        <v>156</v>
      </c>
    </row>
    <row r="60" spans="2:9" s="1" customFormat="1" ht="12.75">
      <c r="B60" s="36" t="s">
        <v>179</v>
      </c>
      <c r="C60" s="36" t="s">
        <v>601</v>
      </c>
      <c r="D60" s="36" t="s">
        <v>602</v>
      </c>
      <c r="E60" s="36" t="s">
        <v>609</v>
      </c>
      <c r="F60" s="36" t="s">
        <v>155</v>
      </c>
      <c r="G60" s="36"/>
      <c r="H60" s="36" t="s">
        <v>603</v>
      </c>
      <c r="I60" s="36" t="s">
        <v>156</v>
      </c>
    </row>
    <row r="61" spans="2:9" s="1" customFormat="1" ht="12.75">
      <c r="B61" s="36" t="s">
        <v>179</v>
      </c>
      <c r="C61" s="36" t="s">
        <v>86</v>
      </c>
      <c r="D61" s="36" t="s">
        <v>87</v>
      </c>
      <c r="E61" s="36" t="s">
        <v>36</v>
      </c>
      <c r="F61" s="36" t="s">
        <v>155</v>
      </c>
      <c r="G61" s="36"/>
      <c r="H61" s="36"/>
      <c r="I61" s="36" t="s">
        <v>156</v>
      </c>
    </row>
    <row r="62" spans="2:9" s="1" customFormat="1" ht="12.75">
      <c r="B62" s="36" t="s">
        <v>179</v>
      </c>
      <c r="C62" s="36" t="s">
        <v>191</v>
      </c>
      <c r="D62" s="36" t="s">
        <v>192</v>
      </c>
      <c r="E62" s="36" t="s">
        <v>36</v>
      </c>
      <c r="F62" s="36" t="s">
        <v>155</v>
      </c>
      <c r="G62" s="36"/>
      <c r="H62" s="36" t="s">
        <v>40</v>
      </c>
      <c r="I62" s="36" t="s">
        <v>156</v>
      </c>
    </row>
    <row r="63" spans="2:9" s="1" customFormat="1" ht="12.75">
      <c r="B63" s="36" t="s">
        <v>179</v>
      </c>
      <c r="C63" s="36" t="s">
        <v>193</v>
      </c>
      <c r="D63" s="36" t="s">
        <v>194</v>
      </c>
      <c r="E63" s="36" t="s">
        <v>36</v>
      </c>
      <c r="F63" s="36" t="s">
        <v>155</v>
      </c>
      <c r="G63" s="36"/>
      <c r="H63" s="36" t="s">
        <v>40</v>
      </c>
      <c r="I63" s="36" t="s">
        <v>156</v>
      </c>
    </row>
    <row r="64" spans="2:9" s="1" customFormat="1" ht="12.75">
      <c r="B64" s="36" t="s">
        <v>179</v>
      </c>
      <c r="C64" s="36" t="s">
        <v>195</v>
      </c>
      <c r="D64" s="36" t="s">
        <v>196</v>
      </c>
      <c r="E64" s="36" t="s">
        <v>36</v>
      </c>
      <c r="F64" s="36" t="s">
        <v>155</v>
      </c>
      <c r="G64" s="36"/>
      <c r="H64" s="36" t="s">
        <v>40</v>
      </c>
      <c r="I64" s="36" t="s">
        <v>156</v>
      </c>
    </row>
    <row r="65" spans="2:9" s="1" customFormat="1" ht="12.75">
      <c r="B65" s="36" t="s">
        <v>179</v>
      </c>
      <c r="C65" s="36" t="s">
        <v>197</v>
      </c>
      <c r="D65" s="36" t="s">
        <v>198</v>
      </c>
      <c r="E65" s="36" t="s">
        <v>36</v>
      </c>
      <c r="F65" s="36" t="s">
        <v>155</v>
      </c>
      <c r="G65" s="36"/>
      <c r="H65" s="36" t="s">
        <v>40</v>
      </c>
      <c r="I65" s="36" t="s">
        <v>156</v>
      </c>
    </row>
    <row r="66" spans="2:9" s="1" customFormat="1" ht="12.75">
      <c r="B66" s="36" t="s">
        <v>179</v>
      </c>
      <c r="C66" s="36" t="s">
        <v>199</v>
      </c>
      <c r="D66" s="36" t="s">
        <v>200</v>
      </c>
      <c r="E66" s="36" t="s">
        <v>36</v>
      </c>
      <c r="F66" s="36" t="s">
        <v>155</v>
      </c>
      <c r="G66" s="36"/>
      <c r="H66" s="36" t="s">
        <v>40</v>
      </c>
      <c r="I66" s="36" t="s">
        <v>156</v>
      </c>
    </row>
    <row r="67" spans="2:9" s="1" customFormat="1" ht="12.75">
      <c r="B67" s="36" t="s">
        <v>179</v>
      </c>
      <c r="C67" s="36" t="s">
        <v>201</v>
      </c>
      <c r="D67" s="36" t="s">
        <v>202</v>
      </c>
      <c r="E67" s="36" t="s">
        <v>36</v>
      </c>
      <c r="F67" s="36" t="s">
        <v>155</v>
      </c>
      <c r="G67" s="36"/>
      <c r="H67" s="36" t="s">
        <v>40</v>
      </c>
      <c r="I67" s="36" t="s">
        <v>156</v>
      </c>
    </row>
    <row r="68" spans="2:9" s="1" customFormat="1" ht="12.75">
      <c r="B68" s="36" t="s">
        <v>179</v>
      </c>
      <c r="C68" s="36" t="s">
        <v>203</v>
      </c>
      <c r="D68" s="36" t="s">
        <v>204</v>
      </c>
      <c r="E68" s="36" t="s">
        <v>36</v>
      </c>
      <c r="F68" s="36" t="s">
        <v>155</v>
      </c>
      <c r="G68" s="36"/>
      <c r="H68" s="36" t="s">
        <v>40</v>
      </c>
      <c r="I68" s="36" t="s">
        <v>156</v>
      </c>
    </row>
    <row r="70" spans="2:9">
      <c r="C70" s="18" t="s">
        <v>82</v>
      </c>
      <c r="D70"/>
    </row>
    <row r="71" spans="2:9">
      <c r="C71" s="21" t="s">
        <v>28</v>
      </c>
      <c r="D71" s="22" t="s">
        <v>85</v>
      </c>
    </row>
    <row r="72" spans="2:9">
      <c r="C72" s="19" t="s">
        <v>83</v>
      </c>
      <c r="D72" s="20">
        <v>1E-3</v>
      </c>
    </row>
    <row r="73" spans="2:9">
      <c r="C73" s="19" t="s">
        <v>84</v>
      </c>
      <c r="D73" s="20">
        <v>1E-3</v>
      </c>
    </row>
    <row r="74" spans="2:9">
      <c r="C74" s="19" t="s">
        <v>160</v>
      </c>
      <c r="D74" s="20">
        <v>1E-3</v>
      </c>
    </row>
    <row r="75" spans="2:9">
      <c r="C75" s="19" t="s">
        <v>161</v>
      </c>
      <c r="D75" s="20">
        <v>1E-3</v>
      </c>
    </row>
    <row r="76" spans="2:9">
      <c r="C76" s="19" t="s">
        <v>162</v>
      </c>
      <c r="D76" s="20">
        <v>1E-3</v>
      </c>
    </row>
    <row r="77" spans="2:9">
      <c r="C77" s="19" t="s">
        <v>165</v>
      </c>
      <c r="D77" s="20">
        <v>1E-3</v>
      </c>
    </row>
    <row r="78" spans="2:9">
      <c r="C78" s="19" t="s">
        <v>163</v>
      </c>
      <c r="D78" s="20">
        <v>1E-3</v>
      </c>
    </row>
    <row r="79" spans="2:9">
      <c r="C79" s="19" t="s">
        <v>180</v>
      </c>
      <c r="D79" s="20">
        <v>1E-3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W40"/>
  <sheetViews>
    <sheetView zoomScale="75" workbookViewId="0"/>
  </sheetViews>
  <sheetFormatPr defaultRowHeight="12.75"/>
  <cols>
    <col min="3" max="3" width="14.28515625" customWidth="1"/>
    <col min="4" max="4" width="25.140625" customWidth="1"/>
  </cols>
  <sheetData>
    <row r="1" spans="1:23">
      <c r="A1" s="42" t="s">
        <v>289</v>
      </c>
      <c r="B1" s="42">
        <f ca="1">BaseYear</f>
        <v>2010</v>
      </c>
    </row>
    <row r="4" spans="1:23">
      <c r="H4" s="4" t="s">
        <v>2</v>
      </c>
    </row>
    <row r="5" spans="1:23" ht="26.25" thickBot="1">
      <c r="B5" s="45" t="s">
        <v>703</v>
      </c>
      <c r="C5" s="45" t="s">
        <v>34</v>
      </c>
      <c r="D5" s="45" t="s">
        <v>35</v>
      </c>
      <c r="E5" s="28" t="s">
        <v>24</v>
      </c>
      <c r="F5" s="28" t="s">
        <v>1</v>
      </c>
      <c r="G5" s="28" t="s">
        <v>25</v>
      </c>
      <c r="H5" s="45" t="s">
        <v>185</v>
      </c>
      <c r="I5" s="45" t="s">
        <v>186</v>
      </c>
      <c r="J5" s="46" t="s">
        <v>134</v>
      </c>
      <c r="K5" s="45" t="s">
        <v>0</v>
      </c>
      <c r="L5" s="45" t="s">
        <v>128</v>
      </c>
      <c r="M5" s="45" t="s">
        <v>129</v>
      </c>
      <c r="N5" s="28" t="s">
        <v>130</v>
      </c>
      <c r="O5" s="47" t="s">
        <v>205</v>
      </c>
      <c r="P5" s="48" t="s">
        <v>187</v>
      </c>
      <c r="Q5" s="28" t="s">
        <v>132</v>
      </c>
      <c r="R5" s="28" t="s">
        <v>455</v>
      </c>
      <c r="S5" s="45" t="s">
        <v>133</v>
      </c>
      <c r="T5" s="45" t="s">
        <v>393</v>
      </c>
      <c r="U5" s="89" t="s">
        <v>456</v>
      </c>
      <c r="V5" s="28" t="s">
        <v>457</v>
      </c>
      <c r="W5" s="28" t="s">
        <v>617</v>
      </c>
    </row>
    <row r="6" spans="1:23">
      <c r="B6" s="50" t="s">
        <v>458</v>
      </c>
      <c r="C6" s="51"/>
      <c r="D6" s="51"/>
      <c r="E6" s="51"/>
      <c r="F6" s="51"/>
      <c r="G6" s="51"/>
      <c r="H6" s="51"/>
      <c r="I6" s="51"/>
      <c r="J6" s="51"/>
      <c r="K6" s="52"/>
      <c r="L6" s="53"/>
      <c r="M6" s="53"/>
      <c r="N6" s="51"/>
      <c r="O6" s="51"/>
      <c r="P6" s="54"/>
      <c r="Q6" s="51"/>
      <c r="R6" s="51"/>
      <c r="S6" s="51"/>
      <c r="T6" s="51"/>
      <c r="U6" s="51"/>
      <c r="V6" s="51"/>
      <c r="W6" s="51"/>
    </row>
    <row r="7" spans="1:23">
      <c r="B7" s="11"/>
      <c r="C7" s="9" t="s">
        <v>459</v>
      </c>
      <c r="D7" s="9" t="s">
        <v>460</v>
      </c>
      <c r="E7" s="9" t="str">
        <f ca="1">RES_CH4R!F63</f>
        <v>ELCBGB</v>
      </c>
      <c r="F7" s="9"/>
      <c r="G7" s="9"/>
      <c r="H7" s="9">
        <v>2010</v>
      </c>
      <c r="I7" s="66">
        <v>3.1536000000000002E-2</v>
      </c>
      <c r="J7" s="9">
        <f ca="1">BaseYear+1</f>
        <v>2011</v>
      </c>
      <c r="K7" s="61"/>
      <c r="L7" s="57"/>
      <c r="M7" s="57"/>
      <c r="N7" s="9"/>
      <c r="O7" s="9"/>
      <c r="P7" s="9"/>
      <c r="Q7" s="9">
        <v>0.9</v>
      </c>
      <c r="R7" s="9">
        <v>0.75</v>
      </c>
      <c r="S7" s="9"/>
      <c r="T7" s="116">
        <f>1/1.55*0.6</f>
        <v>0.38709677419354838</v>
      </c>
      <c r="U7" s="9"/>
      <c r="V7" s="9"/>
      <c r="W7" s="9">
        <v>1</v>
      </c>
    </row>
    <row r="8" spans="1:23">
      <c r="B8" s="11"/>
      <c r="C8" s="9"/>
      <c r="D8" s="9"/>
      <c r="E8" s="9"/>
      <c r="F8" s="9" t="s">
        <v>461</v>
      </c>
      <c r="G8" s="9"/>
      <c r="H8" s="9">
        <v>2030</v>
      </c>
      <c r="I8" s="9"/>
      <c r="J8" s="9"/>
      <c r="K8" s="61"/>
      <c r="L8" s="57"/>
      <c r="M8" s="57"/>
      <c r="N8" s="9"/>
      <c r="O8" s="9"/>
      <c r="P8" s="91"/>
      <c r="Q8" s="9"/>
      <c r="R8" s="9"/>
      <c r="S8" s="9"/>
      <c r="T8" s="116">
        <f>T7*1.05</f>
        <v>0.40645161290322579</v>
      </c>
      <c r="U8" s="9"/>
      <c r="V8" s="9"/>
      <c r="W8" s="9"/>
    </row>
    <row r="9" spans="1:23">
      <c r="B9" s="11"/>
      <c r="C9" s="9"/>
      <c r="D9" s="9"/>
      <c r="E9" s="9"/>
      <c r="F9" s="9"/>
      <c r="G9" s="9"/>
      <c r="H9" s="9">
        <v>2050</v>
      </c>
      <c r="I9" s="9"/>
      <c r="J9" s="9"/>
      <c r="K9" s="61"/>
      <c r="L9" s="57"/>
      <c r="M9" s="57"/>
      <c r="N9" s="9"/>
      <c r="O9" s="9"/>
      <c r="P9" s="91"/>
      <c r="Q9" s="9"/>
      <c r="R9" s="9"/>
      <c r="S9" s="9"/>
      <c r="T9" s="116">
        <f>T8*1.05</f>
        <v>0.42677419354838708</v>
      </c>
      <c r="U9" s="9"/>
      <c r="V9" s="9"/>
      <c r="W9" s="9"/>
    </row>
    <row r="10" spans="1:23">
      <c r="B10" s="11"/>
      <c r="C10" s="9" t="s">
        <v>462</v>
      </c>
      <c r="D10" s="9" t="s">
        <v>463</v>
      </c>
      <c r="E10" s="9" t="str">
        <f ca="1">RES_CH4R!F66</f>
        <v>ELCBGB</v>
      </c>
      <c r="F10" s="9"/>
      <c r="G10" s="9"/>
      <c r="H10" s="9">
        <v>2010</v>
      </c>
      <c r="I10" s="66">
        <v>3.1536000000000002E-2</v>
      </c>
      <c r="J10" s="9">
        <f ca="1">BaseYear+1</f>
        <v>2011</v>
      </c>
      <c r="K10" s="61"/>
      <c r="L10" s="57"/>
      <c r="M10" s="57"/>
      <c r="N10" s="9"/>
      <c r="O10" s="9"/>
      <c r="P10" s="9"/>
      <c r="Q10" s="9">
        <v>0.9</v>
      </c>
      <c r="R10" s="9">
        <v>0.7</v>
      </c>
      <c r="S10" s="9"/>
      <c r="T10" s="116">
        <f>1/1.75*0.6</f>
        <v>0.3428571428571428</v>
      </c>
      <c r="U10" s="9">
        <v>1.5</v>
      </c>
      <c r="V10" s="9">
        <v>0.1</v>
      </c>
      <c r="W10" s="9">
        <v>1</v>
      </c>
    </row>
    <row r="11" spans="1:23">
      <c r="B11" s="11"/>
      <c r="C11" s="9"/>
      <c r="D11" s="9"/>
      <c r="E11" s="9"/>
      <c r="F11" s="9" t="s">
        <v>461</v>
      </c>
      <c r="G11" s="9"/>
      <c r="H11" s="9">
        <v>2030</v>
      </c>
      <c r="I11" s="9"/>
      <c r="J11" s="9"/>
      <c r="K11" s="61"/>
      <c r="L11" s="57"/>
      <c r="M11" s="57"/>
      <c r="N11" s="9"/>
      <c r="O11" s="9"/>
      <c r="P11" s="91"/>
      <c r="Q11" s="9"/>
      <c r="R11" s="9"/>
      <c r="S11" s="9"/>
      <c r="T11" s="116">
        <f>T10*1.05</f>
        <v>0.36</v>
      </c>
      <c r="U11" s="9"/>
      <c r="V11" s="9"/>
      <c r="W11" s="9"/>
    </row>
    <row r="12" spans="1:23">
      <c r="B12" s="11"/>
      <c r="C12" s="9"/>
      <c r="D12" s="9"/>
      <c r="E12" s="9"/>
      <c r="F12" s="9" t="s">
        <v>464</v>
      </c>
      <c r="G12" s="9"/>
      <c r="H12" s="9">
        <v>2050</v>
      </c>
      <c r="I12" s="9"/>
      <c r="J12" s="9"/>
      <c r="K12" s="61"/>
      <c r="L12" s="57"/>
      <c r="M12" s="57"/>
      <c r="N12" s="9"/>
      <c r="O12" s="9"/>
      <c r="P12" s="91"/>
      <c r="Q12" s="9"/>
      <c r="R12" s="9"/>
      <c r="S12" s="9"/>
      <c r="T12" s="116">
        <f>T11*1.05</f>
        <v>0.378</v>
      </c>
      <c r="U12" s="9"/>
      <c r="V12" s="9"/>
      <c r="W12" s="9"/>
    </row>
    <row r="13" spans="1:23">
      <c r="B13" s="11"/>
      <c r="C13" s="9" t="s">
        <v>465</v>
      </c>
      <c r="D13" s="9" t="s">
        <v>466</v>
      </c>
      <c r="E13" s="9" t="s">
        <v>332</v>
      </c>
      <c r="F13" s="9"/>
      <c r="G13" s="9"/>
      <c r="H13" s="9">
        <v>2010</v>
      </c>
      <c r="I13" s="66">
        <v>3.1536000000000002E-2</v>
      </c>
      <c r="J13" s="9">
        <f ca="1">BaseYear+1</f>
        <v>2011</v>
      </c>
      <c r="K13" s="61"/>
      <c r="L13" s="57"/>
      <c r="M13" s="57"/>
      <c r="N13" s="9"/>
      <c r="O13" s="9"/>
      <c r="P13" s="9"/>
      <c r="Q13" s="9">
        <v>0.9</v>
      </c>
      <c r="R13" s="9">
        <v>0.75</v>
      </c>
      <c r="S13" s="9"/>
      <c r="T13" s="116">
        <v>0.4</v>
      </c>
      <c r="U13" s="9"/>
      <c r="V13" s="9"/>
      <c r="W13" s="9">
        <v>1</v>
      </c>
    </row>
    <row r="14" spans="1:23">
      <c r="B14" s="11"/>
      <c r="C14" s="9"/>
      <c r="D14" s="9"/>
      <c r="E14" s="9"/>
      <c r="F14" s="9" t="s">
        <v>418</v>
      </c>
      <c r="G14" s="9"/>
      <c r="H14" s="9">
        <v>2030</v>
      </c>
      <c r="I14" s="9"/>
      <c r="J14" s="9"/>
      <c r="K14" s="61"/>
      <c r="L14" s="57"/>
      <c r="M14" s="57"/>
      <c r="N14" s="9"/>
      <c r="O14" s="9"/>
      <c r="P14" s="91"/>
      <c r="Q14" s="9"/>
      <c r="R14" s="9"/>
      <c r="S14" s="9"/>
      <c r="T14" s="116">
        <f>T13*1.05</f>
        <v>0.42000000000000004</v>
      </c>
      <c r="U14" s="9"/>
      <c r="V14" s="9"/>
      <c r="W14" s="9"/>
    </row>
    <row r="15" spans="1:23">
      <c r="B15" s="11"/>
      <c r="C15" s="9"/>
      <c r="D15" s="9"/>
      <c r="E15" s="9"/>
      <c r="F15" s="9"/>
      <c r="G15" s="9"/>
      <c r="H15" s="9">
        <v>2050</v>
      </c>
      <c r="I15" s="9"/>
      <c r="J15" s="9"/>
      <c r="K15" s="61"/>
      <c r="L15" s="57"/>
      <c r="M15" s="57"/>
      <c r="N15" s="9"/>
      <c r="O15" s="9"/>
      <c r="P15" s="91"/>
      <c r="Q15" s="9"/>
      <c r="R15" s="9"/>
      <c r="S15" s="9"/>
      <c r="T15" s="116">
        <f>T14*1.05</f>
        <v>0.44100000000000006</v>
      </c>
      <c r="U15" s="9"/>
      <c r="V15" s="9"/>
      <c r="W15" s="9"/>
    </row>
    <row r="16" spans="1:23">
      <c r="B16" s="11"/>
      <c r="C16" s="9" t="s">
        <v>467</v>
      </c>
      <c r="D16" s="9" t="s">
        <v>468</v>
      </c>
      <c r="E16" s="9" t="s">
        <v>332</v>
      </c>
      <c r="F16" s="9"/>
      <c r="G16" s="9"/>
      <c r="H16" s="9">
        <v>2010</v>
      </c>
      <c r="I16" s="66">
        <v>3.1536000000000002E-2</v>
      </c>
      <c r="J16" s="9">
        <f ca="1">BaseYear+1</f>
        <v>2011</v>
      </c>
      <c r="K16" s="61"/>
      <c r="L16" s="57"/>
      <c r="M16" s="57"/>
      <c r="N16" s="9"/>
      <c r="O16" s="9"/>
      <c r="P16" s="9"/>
      <c r="Q16" s="9">
        <v>0.9</v>
      </c>
      <c r="R16" s="9">
        <v>0.7</v>
      </c>
      <c r="S16" s="9"/>
      <c r="T16" s="116">
        <f>1/1.6*0.6</f>
        <v>0.375</v>
      </c>
      <c r="U16" s="9">
        <v>1.5</v>
      </c>
      <c r="V16" s="9">
        <v>0.1</v>
      </c>
      <c r="W16" s="9">
        <v>1</v>
      </c>
    </row>
    <row r="17" spans="2:23">
      <c r="B17" s="11"/>
      <c r="C17" s="9"/>
      <c r="D17" s="9"/>
      <c r="E17" s="9"/>
      <c r="F17" s="9" t="s">
        <v>418</v>
      </c>
      <c r="G17" s="9"/>
      <c r="H17" s="9">
        <v>2030</v>
      </c>
      <c r="I17" s="9"/>
      <c r="J17" s="9"/>
      <c r="K17" s="61"/>
      <c r="L17" s="57"/>
      <c r="M17" s="57"/>
      <c r="N17" s="9"/>
      <c r="O17" s="9"/>
      <c r="P17" s="91"/>
      <c r="Q17" s="9"/>
      <c r="R17" s="9"/>
      <c r="S17" s="9"/>
      <c r="T17" s="116">
        <f>T16*1.05</f>
        <v>0.39375000000000004</v>
      </c>
      <c r="U17" s="9"/>
      <c r="V17" s="9"/>
      <c r="W17" s="9"/>
    </row>
    <row r="18" spans="2:23">
      <c r="B18" s="11"/>
      <c r="C18" s="9"/>
      <c r="D18" s="9"/>
      <c r="E18" s="9"/>
      <c r="F18" s="9" t="s">
        <v>464</v>
      </c>
      <c r="G18" s="9"/>
      <c r="H18" s="9">
        <v>2050</v>
      </c>
      <c r="I18" s="9"/>
      <c r="J18" s="9"/>
      <c r="K18" s="61"/>
      <c r="L18" s="57"/>
      <c r="M18" s="57"/>
      <c r="N18" s="9"/>
      <c r="O18" s="9"/>
      <c r="P18" s="91"/>
      <c r="Q18" s="9"/>
      <c r="R18" s="9"/>
      <c r="S18" s="9"/>
      <c r="T18" s="116">
        <f>T17*1.05</f>
        <v>0.41343750000000007</v>
      </c>
      <c r="U18" s="9"/>
      <c r="V18" s="9"/>
      <c r="W18" s="9"/>
    </row>
    <row r="23" spans="2:23" ht="18">
      <c r="B23" s="32" t="s">
        <v>26</v>
      </c>
      <c r="C23" s="1"/>
      <c r="D23" s="1"/>
      <c r="E23" s="1"/>
      <c r="F23" s="2"/>
      <c r="G23" s="2"/>
      <c r="H23" s="2"/>
      <c r="I23" s="2"/>
    </row>
    <row r="24" spans="2:23">
      <c r="B24" s="126" t="s">
        <v>27</v>
      </c>
      <c r="C24" s="126" t="s">
        <v>28</v>
      </c>
      <c r="D24" s="126" t="s">
        <v>29</v>
      </c>
      <c r="E24" s="126" t="s">
        <v>30</v>
      </c>
      <c r="F24" s="126" t="s">
        <v>49</v>
      </c>
      <c r="G24" s="126" t="s">
        <v>142</v>
      </c>
      <c r="H24" s="126" t="s">
        <v>143</v>
      </c>
      <c r="I24" s="126" t="s">
        <v>144</v>
      </c>
    </row>
    <row r="25" spans="2:23" ht="15" customHeight="1">
      <c r="B25" s="124" t="s">
        <v>58</v>
      </c>
      <c r="C25" s="15" t="s">
        <v>396</v>
      </c>
      <c r="D25" s="15" t="s">
        <v>417</v>
      </c>
      <c r="E25" s="15" t="s">
        <v>36</v>
      </c>
      <c r="F25" s="15"/>
      <c r="G25" s="15"/>
      <c r="H25" s="15"/>
      <c r="I25" s="15"/>
    </row>
    <row r="26" spans="2:23" ht="15" customHeight="1">
      <c r="B26" s="124" t="s">
        <v>58</v>
      </c>
      <c r="C26" s="17" t="s">
        <v>397</v>
      </c>
      <c r="D26" s="17" t="s">
        <v>469</v>
      </c>
      <c r="E26" s="17" t="s">
        <v>36</v>
      </c>
      <c r="F26" s="15"/>
      <c r="G26" s="15"/>
      <c r="H26" s="15"/>
      <c r="I26" s="15"/>
    </row>
    <row r="27" spans="2:23" ht="15" customHeight="1">
      <c r="B27" s="124" t="s">
        <v>58</v>
      </c>
      <c r="C27" s="17" t="s">
        <v>332</v>
      </c>
      <c r="D27" s="17" t="s">
        <v>339</v>
      </c>
      <c r="E27" s="17" t="s">
        <v>36</v>
      </c>
      <c r="F27" s="15"/>
      <c r="G27" s="15"/>
      <c r="H27" s="15"/>
      <c r="I27" s="15"/>
    </row>
    <row r="28" spans="2:23" ht="15" customHeight="1">
      <c r="B28" s="17"/>
      <c r="C28" s="15" t="s">
        <v>418</v>
      </c>
      <c r="D28" s="15" t="s">
        <v>419</v>
      </c>
      <c r="E28" s="15" t="s">
        <v>36</v>
      </c>
      <c r="F28" s="114"/>
      <c r="G28" s="15" t="s">
        <v>146</v>
      </c>
      <c r="H28" s="15"/>
      <c r="I28" s="15" t="s">
        <v>147</v>
      </c>
    </row>
    <row r="29" spans="2:23" ht="15" customHeight="1">
      <c r="B29" s="17"/>
      <c r="C29" s="15" t="s">
        <v>461</v>
      </c>
      <c r="D29" s="15" t="s">
        <v>470</v>
      </c>
      <c r="E29" s="15" t="s">
        <v>36</v>
      </c>
      <c r="F29" s="115" t="s">
        <v>50</v>
      </c>
      <c r="G29" s="15" t="s">
        <v>146</v>
      </c>
      <c r="H29" s="15"/>
      <c r="I29" s="15" t="s">
        <v>147</v>
      </c>
    </row>
    <row r="30" spans="2:23" ht="15" customHeight="1">
      <c r="B30" s="17"/>
      <c r="C30" s="15" t="s">
        <v>464</v>
      </c>
      <c r="D30" s="15" t="s">
        <v>471</v>
      </c>
      <c r="E30" s="15" t="s">
        <v>36</v>
      </c>
      <c r="F30" s="114"/>
      <c r="G30" s="15" t="s">
        <v>146</v>
      </c>
      <c r="H30" s="15"/>
      <c r="I30" s="15" t="s">
        <v>616</v>
      </c>
    </row>
    <row r="31" spans="2:23" ht="15" customHeight="1">
      <c r="F31" s="1"/>
      <c r="G31" s="1"/>
      <c r="H31" s="1"/>
      <c r="I31" s="1"/>
    </row>
    <row r="35" spans="2:9">
      <c r="B35" s="32" t="s">
        <v>149</v>
      </c>
      <c r="C35" s="1"/>
      <c r="D35" s="1"/>
      <c r="E35" s="1"/>
      <c r="F35" s="1"/>
      <c r="G35" s="1"/>
      <c r="H35" s="1"/>
      <c r="I35" s="1"/>
    </row>
    <row r="36" spans="2:9">
      <c r="B36" s="33" t="s">
        <v>33</v>
      </c>
      <c r="C36" s="34" t="s">
        <v>34</v>
      </c>
      <c r="D36" s="34" t="s">
        <v>35</v>
      </c>
      <c r="E36" s="34" t="s">
        <v>150</v>
      </c>
      <c r="F36" s="34" t="s">
        <v>151</v>
      </c>
      <c r="G36" s="34" t="s">
        <v>152</v>
      </c>
      <c r="H36" s="34" t="s">
        <v>153</v>
      </c>
      <c r="I36" s="35" t="s">
        <v>154</v>
      </c>
    </row>
    <row r="37" spans="2:9">
      <c r="B37" s="36" t="s">
        <v>709</v>
      </c>
      <c r="C37" s="36" t="s">
        <v>459</v>
      </c>
      <c r="D37" s="36" t="s">
        <v>460</v>
      </c>
      <c r="E37" s="36" t="s">
        <v>36</v>
      </c>
      <c r="F37" s="36" t="s">
        <v>342</v>
      </c>
      <c r="G37" s="36"/>
      <c r="H37" s="36"/>
      <c r="I37" s="36" t="s">
        <v>156</v>
      </c>
    </row>
    <row r="38" spans="2:9">
      <c r="B38" s="36" t="s">
        <v>710</v>
      </c>
      <c r="C38" s="36" t="s">
        <v>462</v>
      </c>
      <c r="D38" s="36" t="s">
        <v>463</v>
      </c>
      <c r="E38" s="36" t="s">
        <v>36</v>
      </c>
      <c r="F38" s="36" t="s">
        <v>342</v>
      </c>
      <c r="G38" s="36"/>
      <c r="H38" s="36"/>
      <c r="I38" s="36" t="s">
        <v>156</v>
      </c>
    </row>
    <row r="39" spans="2:9">
      <c r="B39" s="36" t="s">
        <v>709</v>
      </c>
      <c r="C39" s="36" t="s">
        <v>465</v>
      </c>
      <c r="D39" s="36" t="s">
        <v>466</v>
      </c>
      <c r="E39" s="36" t="s">
        <v>36</v>
      </c>
      <c r="F39" s="36" t="s">
        <v>342</v>
      </c>
      <c r="G39" s="36"/>
      <c r="H39" s="36"/>
      <c r="I39" s="36" t="s">
        <v>156</v>
      </c>
    </row>
    <row r="40" spans="2:9">
      <c r="B40" s="36" t="s">
        <v>710</v>
      </c>
      <c r="C40" s="36" t="s">
        <v>467</v>
      </c>
      <c r="D40" s="36" t="s">
        <v>468</v>
      </c>
      <c r="E40" s="36" t="s">
        <v>36</v>
      </c>
      <c r="F40" s="36" t="s">
        <v>342</v>
      </c>
      <c r="G40" s="36"/>
      <c r="H40" s="36"/>
      <c r="I40" s="36" t="s">
        <v>156</v>
      </c>
    </row>
  </sheetData>
  <phoneticPr fontId="17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B1:X95"/>
  <sheetViews>
    <sheetView zoomScale="75" workbookViewId="0"/>
  </sheetViews>
  <sheetFormatPr defaultRowHeight="18"/>
  <cols>
    <col min="1" max="1" width="8.7109375" style="2" customWidth="1"/>
    <col min="2" max="2" width="10.42578125" style="2" customWidth="1"/>
    <col min="3" max="3" width="16.7109375" style="2" customWidth="1"/>
    <col min="4" max="4" width="24.7109375" style="2" customWidth="1"/>
    <col min="5" max="5" width="14.5703125" style="2" customWidth="1"/>
    <col min="6" max="6" width="13.28515625" style="2" customWidth="1"/>
    <col min="7" max="7" width="11.7109375" style="2" customWidth="1"/>
    <col min="8" max="8" width="16" style="2" customWidth="1"/>
    <col min="9" max="9" width="6.28515625" style="2" customWidth="1"/>
    <col min="10" max="10" width="7.42578125" style="2" customWidth="1"/>
    <col min="11" max="16" width="9" style="2" customWidth="1"/>
    <col min="17" max="17" width="12.42578125" style="2" customWidth="1"/>
    <col min="18" max="45" width="9" style="2" customWidth="1"/>
    <col min="46" max="16384" width="9.140625" style="2"/>
  </cols>
  <sheetData>
    <row r="1" spans="2:17">
      <c r="B1"/>
      <c r="C1" s="4"/>
      <c r="D1"/>
      <c r="E1"/>
      <c r="F1"/>
      <c r="G1"/>
      <c r="H1"/>
      <c r="I1"/>
      <c r="J1"/>
      <c r="K1"/>
      <c r="L1"/>
      <c r="M1"/>
      <c r="N1"/>
      <c r="O1"/>
    </row>
    <row r="2" spans="2:17">
      <c r="B2"/>
      <c r="C2" s="4"/>
      <c r="D2"/>
      <c r="E2"/>
      <c r="F2"/>
      <c r="G2"/>
      <c r="H2"/>
      <c r="I2"/>
      <c r="J2"/>
      <c r="K2"/>
      <c r="L2"/>
      <c r="M2"/>
      <c r="N2"/>
      <c r="O2"/>
    </row>
    <row r="3" spans="2:17">
      <c r="B3"/>
      <c r="C3" s="4"/>
      <c r="D3"/>
      <c r="E3"/>
      <c r="F3"/>
      <c r="G3"/>
      <c r="H3"/>
      <c r="I3"/>
      <c r="J3"/>
      <c r="K3"/>
      <c r="L3"/>
      <c r="M3"/>
      <c r="N3"/>
      <c r="O3"/>
    </row>
    <row r="4" spans="2:17">
      <c r="B4" s="170" t="s">
        <v>707</v>
      </c>
      <c r="C4" s="170"/>
      <c r="D4"/>
      <c r="E4"/>
      <c r="F4"/>
      <c r="G4"/>
      <c r="I4" s="4" t="s">
        <v>704</v>
      </c>
      <c r="J4" s="4"/>
      <c r="K4"/>
      <c r="L4"/>
      <c r="M4"/>
      <c r="N4"/>
      <c r="O4"/>
      <c r="P4"/>
    </row>
    <row r="5" spans="2:17">
      <c r="B5" s="167" t="s">
        <v>703</v>
      </c>
      <c r="C5" s="126" t="s">
        <v>34</v>
      </c>
      <c r="D5" s="126" t="s">
        <v>35</v>
      </c>
      <c r="E5" s="126" t="s">
        <v>24</v>
      </c>
      <c r="F5" s="126" t="s">
        <v>1</v>
      </c>
      <c r="G5" s="126" t="s">
        <v>47</v>
      </c>
      <c r="H5" s="126" t="s">
        <v>696</v>
      </c>
      <c r="I5" s="159" t="s">
        <v>695</v>
      </c>
      <c r="J5" s="165" t="s">
        <v>92</v>
      </c>
      <c r="K5" s="126">
        <v>2010</v>
      </c>
      <c r="L5" s="126">
        <v>2020</v>
      </c>
      <c r="M5" s="126">
        <v>2030</v>
      </c>
      <c r="N5" s="126">
        <v>2040</v>
      </c>
      <c r="O5" s="126">
        <v>2050</v>
      </c>
      <c r="P5" s="126">
        <v>2060</v>
      </c>
      <c r="Q5" s="126" t="s">
        <v>78</v>
      </c>
    </row>
    <row r="6" spans="2:17">
      <c r="B6" s="15"/>
      <c r="C6" s="15" t="s">
        <v>16</v>
      </c>
      <c r="D6" s="15" t="s">
        <v>48</v>
      </c>
      <c r="E6" s="15"/>
      <c r="F6" s="15" t="s">
        <v>164</v>
      </c>
      <c r="G6" s="15"/>
      <c r="H6" s="15" t="s">
        <v>46</v>
      </c>
      <c r="I6" s="160"/>
      <c r="J6" s="128"/>
      <c r="K6" s="16">
        <v>10</v>
      </c>
      <c r="L6" s="16"/>
      <c r="M6" s="16"/>
      <c r="N6" s="16"/>
      <c r="O6" s="16"/>
      <c r="P6" s="16"/>
      <c r="Q6" s="38" t="s">
        <v>701</v>
      </c>
    </row>
    <row r="7" spans="2:17" s="1" customFormat="1" ht="12.75">
      <c r="B7" s="17"/>
      <c r="C7" s="17"/>
      <c r="D7" s="17"/>
      <c r="E7" s="17"/>
      <c r="F7" s="17" t="s">
        <v>51</v>
      </c>
      <c r="G7" s="17" t="s">
        <v>52</v>
      </c>
      <c r="H7" s="17" t="s">
        <v>698</v>
      </c>
      <c r="I7" s="161" t="s">
        <v>50</v>
      </c>
      <c r="J7" s="129">
        <v>3</v>
      </c>
      <c r="K7" s="14">
        <v>1</v>
      </c>
      <c r="L7" s="14"/>
      <c r="M7" s="14"/>
      <c r="N7" s="14"/>
      <c r="O7" s="14"/>
      <c r="P7" s="14"/>
      <c r="Q7" s="39" t="s">
        <v>79</v>
      </c>
    </row>
    <row r="8" spans="2:17" s="1" customFormat="1" ht="12.75">
      <c r="B8" s="17"/>
      <c r="C8" s="17"/>
      <c r="D8" s="17"/>
      <c r="E8" s="17"/>
      <c r="F8" s="17" t="s">
        <v>52</v>
      </c>
      <c r="G8" s="17"/>
      <c r="H8" s="17" t="s">
        <v>699</v>
      </c>
      <c r="I8" s="161" t="s">
        <v>50</v>
      </c>
      <c r="J8" s="129">
        <v>3</v>
      </c>
      <c r="K8" s="14">
        <v>1</v>
      </c>
      <c r="L8" s="14"/>
      <c r="M8" s="14"/>
      <c r="N8" s="14"/>
      <c r="O8" s="14"/>
      <c r="P8" s="14"/>
      <c r="Q8" s="39" t="s">
        <v>80</v>
      </c>
    </row>
    <row r="9" spans="2:17" s="1" customFormat="1" ht="12.75">
      <c r="B9" s="17"/>
      <c r="C9" s="17"/>
      <c r="D9" s="17"/>
      <c r="E9" s="17"/>
      <c r="F9" s="17" t="s">
        <v>53</v>
      </c>
      <c r="G9" s="17" t="s">
        <v>59</v>
      </c>
      <c r="H9" s="17" t="s">
        <v>698</v>
      </c>
      <c r="I9" s="161" t="s">
        <v>50</v>
      </c>
      <c r="J9" s="129">
        <v>3</v>
      </c>
      <c r="K9" s="14">
        <v>1</v>
      </c>
      <c r="L9" s="14"/>
      <c r="M9" s="14"/>
      <c r="N9" s="14"/>
      <c r="O9" s="14"/>
      <c r="P9" s="14"/>
      <c r="Q9" s="39" t="s">
        <v>79</v>
      </c>
    </row>
    <row r="10" spans="2:17" s="1" customFormat="1" ht="12.75">
      <c r="B10" s="17"/>
      <c r="C10" s="17"/>
      <c r="D10" s="17"/>
      <c r="E10" s="17"/>
      <c r="F10" s="17" t="s">
        <v>164</v>
      </c>
      <c r="G10" s="17" t="s">
        <v>59</v>
      </c>
      <c r="H10" s="17" t="s">
        <v>698</v>
      </c>
      <c r="I10" s="161" t="s">
        <v>274</v>
      </c>
      <c r="J10" s="129">
        <v>3</v>
      </c>
      <c r="K10" s="14">
        <f>0.7*10*0.85</f>
        <v>5.95</v>
      </c>
      <c r="L10" s="14"/>
      <c r="M10" s="14"/>
      <c r="N10" s="14"/>
      <c r="O10" s="14"/>
      <c r="P10" s="14"/>
      <c r="Q10" s="38" t="s">
        <v>701</v>
      </c>
    </row>
    <row r="11" spans="2:17" s="1" customFormat="1" ht="12.75">
      <c r="B11" s="17"/>
      <c r="C11" s="17"/>
      <c r="D11" s="17"/>
      <c r="E11" s="17"/>
      <c r="F11" s="17" t="s">
        <v>17</v>
      </c>
      <c r="G11" s="17"/>
      <c r="H11" s="17" t="s">
        <v>67</v>
      </c>
      <c r="I11" s="161"/>
      <c r="J11" s="129"/>
      <c r="K11" s="14">
        <v>1</v>
      </c>
      <c r="L11" s="14"/>
      <c r="M11" s="14"/>
      <c r="N11" s="14"/>
      <c r="O11" s="14"/>
      <c r="P11" s="14"/>
      <c r="Q11" s="39" t="s">
        <v>81</v>
      </c>
    </row>
    <row r="12" spans="2:17" s="1" customFormat="1" ht="12.75">
      <c r="B12" s="17"/>
      <c r="C12" s="17"/>
      <c r="D12" s="17"/>
      <c r="E12" s="17"/>
      <c r="F12" s="17" t="s">
        <v>18</v>
      </c>
      <c r="G12" s="17"/>
      <c r="H12" s="17" t="s">
        <v>67</v>
      </c>
      <c r="I12" s="161"/>
      <c r="J12" s="129"/>
      <c r="K12" s="14">
        <v>1</v>
      </c>
      <c r="L12" s="14"/>
      <c r="M12" s="14"/>
      <c r="N12" s="14"/>
      <c r="O12" s="14"/>
      <c r="P12" s="14"/>
      <c r="Q12" s="39" t="s">
        <v>81</v>
      </c>
    </row>
    <row r="13" spans="2:17" s="1" customFormat="1" ht="12.75">
      <c r="B13" s="17"/>
      <c r="C13" s="17"/>
      <c r="D13" s="17"/>
      <c r="E13" s="17"/>
      <c r="F13" s="17" t="s">
        <v>19</v>
      </c>
      <c r="G13" s="17"/>
      <c r="H13" s="17" t="s">
        <v>67</v>
      </c>
      <c r="I13" s="161"/>
      <c r="J13" s="129"/>
      <c r="K13" s="14">
        <v>1</v>
      </c>
      <c r="L13" s="14"/>
      <c r="M13" s="14"/>
      <c r="N13" s="14"/>
      <c r="O13" s="14"/>
      <c r="P13" s="14"/>
      <c r="Q13" s="39" t="s">
        <v>81</v>
      </c>
    </row>
    <row r="14" spans="2:17" s="1" customFormat="1" ht="12.75">
      <c r="B14" s="17"/>
      <c r="C14" s="17" t="s">
        <v>71</v>
      </c>
      <c r="D14" s="17" t="s">
        <v>60</v>
      </c>
      <c r="E14" s="17"/>
      <c r="F14" s="17" t="s">
        <v>61</v>
      </c>
      <c r="G14" s="17" t="s">
        <v>61</v>
      </c>
      <c r="H14" s="17" t="s">
        <v>46</v>
      </c>
      <c r="I14" s="161"/>
      <c r="J14" s="129"/>
      <c r="K14" s="14">
        <v>1</v>
      </c>
      <c r="L14" s="14"/>
      <c r="M14" s="14"/>
      <c r="N14" s="14"/>
      <c r="O14" s="14"/>
      <c r="P14" s="14"/>
      <c r="Q14" s="39" t="s">
        <v>81</v>
      </c>
    </row>
    <row r="15" spans="2:17" s="1" customFormat="1" ht="12.75">
      <c r="B15" s="17"/>
      <c r="C15" s="17"/>
      <c r="D15" s="17"/>
      <c r="E15" s="17" t="str">
        <f>F7</f>
        <v>RESWFAST</v>
      </c>
      <c r="F15" s="17"/>
      <c r="G15" s="17"/>
      <c r="H15" s="17" t="s">
        <v>72</v>
      </c>
      <c r="I15" s="161"/>
      <c r="J15" s="129"/>
      <c r="K15" s="14">
        <v>1</v>
      </c>
      <c r="L15" s="14"/>
      <c r="M15" s="14"/>
      <c r="N15" s="14"/>
      <c r="O15" s="14"/>
      <c r="P15" s="14"/>
      <c r="Q15" s="38" t="s">
        <v>701</v>
      </c>
    </row>
    <row r="16" spans="2:17" s="1" customFormat="1" ht="12.75">
      <c r="B16" s="17"/>
      <c r="C16" s="17"/>
      <c r="D16" s="17"/>
      <c r="E16" s="17" t="str">
        <f>E15</f>
        <v>RESWFAST</v>
      </c>
      <c r="F16" s="17"/>
      <c r="G16" s="17"/>
      <c r="H16" s="17" t="s">
        <v>700</v>
      </c>
      <c r="I16" s="161" t="s">
        <v>274</v>
      </c>
      <c r="J16" s="129"/>
      <c r="K16" s="14">
        <v>0.8</v>
      </c>
      <c r="L16" s="14"/>
      <c r="M16" s="14"/>
      <c r="N16" s="14"/>
      <c r="O16" s="14"/>
      <c r="P16" s="14"/>
      <c r="Q16" s="38" t="s">
        <v>701</v>
      </c>
    </row>
    <row r="17" spans="2:17" s="1" customFormat="1" ht="12.75">
      <c r="B17" s="17"/>
      <c r="C17" s="17" t="s">
        <v>63</v>
      </c>
      <c r="D17" s="17" t="s">
        <v>90</v>
      </c>
      <c r="E17" s="17" t="str">
        <f>F7</f>
        <v>RESWFAST</v>
      </c>
      <c r="F17" s="17"/>
      <c r="G17" s="17"/>
      <c r="H17" s="17" t="s">
        <v>702</v>
      </c>
      <c r="I17" s="161"/>
      <c r="J17" s="129"/>
      <c r="K17" s="14">
        <v>7.0000000000000007E-2</v>
      </c>
      <c r="L17" s="14"/>
      <c r="M17" s="14"/>
      <c r="N17" s="14"/>
      <c r="O17" s="14"/>
      <c r="P17" s="14"/>
      <c r="Q17" s="39" t="s">
        <v>79</v>
      </c>
    </row>
    <row r="18" spans="2:17" s="1" customFormat="1" ht="12.75">
      <c r="B18" s="17"/>
      <c r="C18" s="17"/>
      <c r="D18" s="17"/>
      <c r="E18" s="17"/>
      <c r="F18" s="17" t="s">
        <v>73</v>
      </c>
      <c r="G18" s="17"/>
      <c r="H18" s="17" t="s">
        <v>67</v>
      </c>
      <c r="I18" s="161"/>
      <c r="J18" s="129"/>
      <c r="K18" s="14">
        <v>1</v>
      </c>
      <c r="L18" s="14"/>
      <c r="M18" s="14"/>
      <c r="N18" s="14"/>
      <c r="O18" s="14"/>
      <c r="P18" s="14"/>
      <c r="Q18" s="38" t="s">
        <v>701</v>
      </c>
    </row>
    <row r="19" spans="2:17" s="1" customFormat="1" ht="12.75">
      <c r="B19" s="17"/>
      <c r="C19" s="17"/>
      <c r="D19" s="17"/>
      <c r="E19" s="17"/>
      <c r="F19" s="17" t="s">
        <v>73</v>
      </c>
      <c r="G19" s="17"/>
      <c r="H19" s="17" t="s">
        <v>74</v>
      </c>
      <c r="I19" s="161"/>
      <c r="J19" s="129"/>
      <c r="K19" s="14">
        <v>15</v>
      </c>
      <c r="L19" s="14"/>
      <c r="M19" s="14"/>
      <c r="N19" s="14"/>
      <c r="O19" s="14"/>
      <c r="P19" s="14"/>
      <c r="Q19" s="39" t="s">
        <v>79</v>
      </c>
    </row>
    <row r="20" spans="2:17" s="1" customFormat="1" ht="12.75">
      <c r="B20" s="17"/>
      <c r="C20" s="17"/>
      <c r="D20" s="17"/>
      <c r="E20" s="17"/>
      <c r="F20" s="17" t="s">
        <v>64</v>
      </c>
      <c r="G20" s="17" t="s">
        <v>64</v>
      </c>
      <c r="H20" s="17" t="s">
        <v>46</v>
      </c>
      <c r="I20" s="161"/>
      <c r="J20" s="129"/>
      <c r="K20" s="14">
        <v>1</v>
      </c>
      <c r="L20" s="14"/>
      <c r="M20" s="14"/>
      <c r="N20" s="14"/>
      <c r="O20" s="14"/>
      <c r="P20" s="14"/>
      <c r="Q20" s="39" t="s">
        <v>79</v>
      </c>
    </row>
    <row r="21" spans="2:17" s="1" customFormat="1" ht="12.75">
      <c r="B21" s="17"/>
      <c r="C21" s="17" t="s">
        <v>65</v>
      </c>
      <c r="D21" s="17" t="s">
        <v>91</v>
      </c>
      <c r="E21" s="17" t="str">
        <f>F8</f>
        <v>RESWSLOW</v>
      </c>
      <c r="F21" s="17"/>
      <c r="G21" s="17"/>
      <c r="H21" s="17" t="s">
        <v>702</v>
      </c>
      <c r="I21" s="161"/>
      <c r="J21" s="129"/>
      <c r="K21" s="14">
        <v>0.05</v>
      </c>
      <c r="L21" s="14"/>
      <c r="M21" s="14"/>
      <c r="N21" s="14"/>
      <c r="O21" s="14"/>
      <c r="P21" s="14"/>
      <c r="Q21" s="39" t="s">
        <v>79</v>
      </c>
    </row>
    <row r="22" spans="2:17" s="1" customFormat="1" ht="12.75">
      <c r="B22" s="17"/>
      <c r="C22" s="17"/>
      <c r="D22" s="17"/>
      <c r="E22" s="17"/>
      <c r="F22" s="17" t="s">
        <v>73</v>
      </c>
      <c r="G22" s="17"/>
      <c r="H22" s="17" t="s">
        <v>67</v>
      </c>
      <c r="I22" s="161"/>
      <c r="J22" s="129"/>
      <c r="K22" s="14">
        <v>1</v>
      </c>
      <c r="L22" s="14"/>
      <c r="M22" s="14"/>
      <c r="N22" s="14"/>
      <c r="O22" s="14"/>
      <c r="P22" s="14"/>
      <c r="Q22" s="38" t="s">
        <v>701</v>
      </c>
    </row>
    <row r="23" spans="2:17" s="1" customFormat="1" ht="12.75">
      <c r="B23" s="17"/>
      <c r="C23" s="17"/>
      <c r="D23" s="17"/>
      <c r="E23" s="17"/>
      <c r="F23" s="17" t="s">
        <v>73</v>
      </c>
      <c r="G23" s="17"/>
      <c r="H23" s="17" t="s">
        <v>74</v>
      </c>
      <c r="I23" s="161"/>
      <c r="J23" s="129"/>
      <c r="K23" s="14">
        <v>15</v>
      </c>
      <c r="L23" s="14"/>
      <c r="M23" s="14"/>
      <c r="N23" s="14"/>
      <c r="O23" s="14"/>
      <c r="P23" s="14"/>
      <c r="Q23" s="39" t="s">
        <v>79</v>
      </c>
    </row>
    <row r="24" spans="2:17" s="1" customFormat="1" ht="12.75">
      <c r="B24" s="17"/>
      <c r="C24" s="17"/>
      <c r="D24" s="17"/>
      <c r="E24" s="17"/>
      <c r="F24" s="17" t="s">
        <v>64</v>
      </c>
      <c r="G24" s="17" t="s">
        <v>64</v>
      </c>
      <c r="H24" s="17" t="s">
        <v>46</v>
      </c>
      <c r="I24" s="161"/>
      <c r="J24" s="129"/>
      <c r="K24" s="14">
        <v>1</v>
      </c>
      <c r="L24" s="14"/>
      <c r="M24" s="14"/>
      <c r="N24" s="14"/>
      <c r="O24" s="14"/>
      <c r="P24" s="14"/>
      <c r="Q24" s="39" t="s">
        <v>79</v>
      </c>
    </row>
    <row r="25" spans="2:17" s="1" customFormat="1" ht="12.75">
      <c r="B25" s="17"/>
      <c r="C25" s="17" t="s">
        <v>66</v>
      </c>
      <c r="D25" s="17" t="s">
        <v>60</v>
      </c>
      <c r="E25" s="17" t="s">
        <v>64</v>
      </c>
      <c r="F25" s="17"/>
      <c r="G25" s="17"/>
      <c r="H25" s="17" t="s">
        <v>0</v>
      </c>
      <c r="I25" s="161"/>
      <c r="J25" s="129"/>
      <c r="K25" s="14">
        <v>50</v>
      </c>
      <c r="L25" s="14"/>
      <c r="M25" s="14"/>
      <c r="N25" s="14"/>
      <c r="O25" s="14"/>
      <c r="P25" s="14"/>
      <c r="Q25" s="38" t="s">
        <v>701</v>
      </c>
    </row>
    <row r="26" spans="2:17" s="1" customFormat="1" ht="12.75">
      <c r="B26" s="17"/>
      <c r="C26" s="17"/>
      <c r="D26" s="17"/>
      <c r="E26" s="17" t="str">
        <f>F14</f>
        <v>RESMFAST</v>
      </c>
      <c r="F26" s="17"/>
      <c r="G26" s="17"/>
      <c r="H26" s="17" t="s">
        <v>698</v>
      </c>
      <c r="I26" s="161" t="s">
        <v>50</v>
      </c>
      <c r="J26" s="129">
        <v>3</v>
      </c>
      <c r="K26" s="14">
        <v>0</v>
      </c>
      <c r="L26" s="14"/>
      <c r="M26" s="14"/>
      <c r="N26" s="14"/>
      <c r="O26" s="14"/>
      <c r="P26" s="14"/>
      <c r="Q26" s="40"/>
    </row>
    <row r="27" spans="2:17" s="1" customFormat="1" ht="12.75">
      <c r="B27" s="17"/>
      <c r="C27" s="17"/>
      <c r="D27" s="17"/>
      <c r="E27" s="17"/>
      <c r="F27" s="7" t="s">
        <v>6</v>
      </c>
      <c r="G27" s="17"/>
      <c r="H27" s="17" t="s">
        <v>67</v>
      </c>
      <c r="I27" s="161"/>
      <c r="J27" s="129"/>
      <c r="K27" s="14">
        <v>1000</v>
      </c>
      <c r="L27" s="14"/>
      <c r="M27" s="14"/>
      <c r="N27" s="14"/>
      <c r="O27" s="14"/>
      <c r="P27" s="14"/>
      <c r="Q27" s="38" t="s">
        <v>701</v>
      </c>
    </row>
    <row r="28" spans="2:17" s="1" customFormat="1" ht="12.75">
      <c r="B28" s="17"/>
      <c r="C28" s="17"/>
      <c r="D28" s="17"/>
      <c r="E28" s="17"/>
      <c r="F28" s="17" t="s">
        <v>20</v>
      </c>
      <c r="G28" s="17"/>
      <c r="H28" s="17" t="s">
        <v>67</v>
      </c>
      <c r="I28" s="161"/>
      <c r="J28" s="129"/>
      <c r="K28" s="14">
        <v>200</v>
      </c>
      <c r="L28" s="14"/>
      <c r="M28" s="14">
        <v>500</v>
      </c>
      <c r="N28" s="14"/>
      <c r="O28" s="14"/>
      <c r="P28" s="14">
        <v>500</v>
      </c>
      <c r="Q28" s="39" t="s">
        <v>81</v>
      </c>
    </row>
    <row r="29" spans="2:17" s="1" customFormat="1" ht="12.75">
      <c r="B29" s="17"/>
      <c r="C29" s="17"/>
      <c r="D29" s="17"/>
      <c r="E29" s="17"/>
      <c r="F29" s="17" t="s">
        <v>21</v>
      </c>
      <c r="G29" s="17"/>
      <c r="H29" s="17" t="s">
        <v>67</v>
      </c>
      <c r="I29" s="161"/>
      <c r="J29" s="129"/>
      <c r="K29" s="14">
        <v>200</v>
      </c>
      <c r="L29" s="14">
        <f>K29</f>
        <v>200</v>
      </c>
      <c r="M29" s="14"/>
      <c r="N29" s="14"/>
      <c r="O29" s="14"/>
      <c r="P29" s="14"/>
      <c r="Q29" s="39" t="s">
        <v>81</v>
      </c>
    </row>
    <row r="30" spans="2:17" s="1" customFormat="1" ht="12.75">
      <c r="B30" s="17"/>
      <c r="C30" s="17"/>
      <c r="D30" s="17"/>
      <c r="E30" s="17"/>
      <c r="F30" s="17" t="s">
        <v>22</v>
      </c>
      <c r="G30" s="17"/>
      <c r="H30" s="17" t="s">
        <v>67</v>
      </c>
      <c r="I30" s="161"/>
      <c r="J30" s="129"/>
      <c r="K30" s="14">
        <v>100</v>
      </c>
      <c r="L30" s="14">
        <f>K30</f>
        <v>100</v>
      </c>
      <c r="M30" s="14"/>
      <c r="N30" s="14"/>
      <c r="O30" s="14"/>
      <c r="P30" s="14"/>
      <c r="Q30" s="39" t="s">
        <v>81</v>
      </c>
    </row>
    <row r="31" spans="2:17" s="1" customFormat="1" ht="12.75">
      <c r="B31" s="17"/>
      <c r="C31" s="17"/>
      <c r="D31" s="17"/>
      <c r="E31" s="17"/>
      <c r="F31" s="17" t="s">
        <v>23</v>
      </c>
      <c r="G31" s="17"/>
      <c r="H31" s="17" t="s">
        <v>67</v>
      </c>
      <c r="I31" s="161"/>
      <c r="J31" s="129"/>
      <c r="K31" s="14">
        <v>1000</v>
      </c>
      <c r="L31" s="14"/>
      <c r="M31" s="14"/>
      <c r="N31" s="14"/>
      <c r="O31" s="14"/>
      <c r="P31" s="14"/>
      <c r="Q31" s="38" t="s">
        <v>701</v>
      </c>
    </row>
    <row r="32" spans="2:17" s="1" customFormat="1" ht="12.75">
      <c r="B32" s="9"/>
      <c r="C32" s="9" t="s">
        <v>44</v>
      </c>
      <c r="D32" s="9" t="s">
        <v>45</v>
      </c>
      <c r="E32" s="11"/>
      <c r="F32" s="9" t="s">
        <v>93</v>
      </c>
      <c r="G32" s="9"/>
      <c r="H32" s="9" t="s">
        <v>699</v>
      </c>
      <c r="I32" s="161" t="s">
        <v>50</v>
      </c>
      <c r="J32" s="129">
        <v>3</v>
      </c>
      <c r="K32" s="14">
        <v>0</v>
      </c>
      <c r="L32" s="14"/>
      <c r="M32" s="14"/>
      <c r="N32" s="14"/>
      <c r="O32" s="14"/>
      <c r="P32" s="14"/>
      <c r="Q32" s="39"/>
    </row>
    <row r="33" spans="2:24" s="1" customFormat="1" ht="12.75">
      <c r="B33" s="9"/>
      <c r="C33" s="9" t="s">
        <v>116</v>
      </c>
      <c r="D33" s="9" t="s">
        <v>118</v>
      </c>
      <c r="E33" s="9" t="s">
        <v>93</v>
      </c>
      <c r="F33" s="9"/>
      <c r="G33" s="9"/>
      <c r="H33" s="9" t="s">
        <v>46</v>
      </c>
      <c r="I33" s="161"/>
      <c r="J33" s="129"/>
      <c r="K33" s="14">
        <v>1</v>
      </c>
      <c r="L33" s="14"/>
      <c r="M33" s="14"/>
      <c r="N33" s="14"/>
      <c r="O33" s="14"/>
      <c r="P33" s="14">
        <v>1</v>
      </c>
      <c r="Q33" s="39"/>
    </row>
    <row r="34" spans="2:24" s="1" customFormat="1" ht="12.75">
      <c r="B34" s="9"/>
      <c r="C34" s="9"/>
      <c r="D34" s="9"/>
      <c r="E34" s="9"/>
      <c r="F34" s="9" t="s">
        <v>6</v>
      </c>
      <c r="G34" s="9"/>
      <c r="H34" s="9" t="s">
        <v>67</v>
      </c>
      <c r="I34" s="161"/>
      <c r="J34" s="129"/>
      <c r="K34" s="14">
        <v>1000</v>
      </c>
      <c r="L34" s="14"/>
      <c r="M34" s="14"/>
      <c r="N34" s="14"/>
      <c r="O34" s="14"/>
      <c r="P34" s="14"/>
      <c r="Q34" s="39"/>
    </row>
    <row r="35" spans="2:24" s="1" customFormat="1" ht="12.75">
      <c r="B35" s="9"/>
      <c r="C35" s="9"/>
      <c r="D35" s="9"/>
      <c r="E35" s="9"/>
      <c r="F35" s="9" t="s">
        <v>121</v>
      </c>
      <c r="G35" s="9"/>
      <c r="H35" s="9" t="s">
        <v>67</v>
      </c>
      <c r="I35" s="161"/>
      <c r="J35" s="129">
        <v>3</v>
      </c>
      <c r="K35" s="14">
        <v>1</v>
      </c>
      <c r="L35" s="14"/>
      <c r="M35" s="14"/>
      <c r="N35" s="14"/>
      <c r="O35" s="14"/>
      <c r="P35" s="14"/>
      <c r="Q35" s="39"/>
    </row>
    <row r="36" spans="2:24">
      <c r="B36" s="9"/>
      <c r="C36" s="9" t="s">
        <v>169</v>
      </c>
      <c r="D36" s="9" t="s">
        <v>166</v>
      </c>
      <c r="E36" s="9" t="s">
        <v>167</v>
      </c>
      <c r="F36" s="9"/>
      <c r="G36" s="106"/>
      <c r="H36" s="9" t="s">
        <v>89</v>
      </c>
      <c r="I36" s="162"/>
      <c r="J36" s="129"/>
      <c r="K36" s="14">
        <v>25</v>
      </c>
      <c r="L36" s="14"/>
      <c r="M36" s="14"/>
      <c r="N36" s="14"/>
      <c r="O36" s="14"/>
      <c r="P36" s="14"/>
      <c r="Q36" s="41"/>
      <c r="S36" s="12"/>
      <c r="T36" s="12"/>
      <c r="U36" s="12"/>
      <c r="V36" s="12"/>
      <c r="W36" s="12"/>
      <c r="X36" s="12"/>
    </row>
    <row r="37" spans="2:24" ht="15.75" customHeight="1">
      <c r="B37" s="9"/>
      <c r="C37" s="9" t="s">
        <v>175</v>
      </c>
      <c r="D37" s="9" t="s">
        <v>166</v>
      </c>
      <c r="E37" s="9" t="s">
        <v>167</v>
      </c>
      <c r="F37" s="9"/>
      <c r="G37" s="106"/>
      <c r="H37" s="9" t="s">
        <v>89</v>
      </c>
      <c r="I37" s="162"/>
      <c r="J37" s="129"/>
      <c r="K37" s="14">
        <f>K36*50/21</f>
        <v>59.523809523809526</v>
      </c>
      <c r="L37" s="14"/>
      <c r="M37" s="14"/>
      <c r="N37" s="14"/>
      <c r="O37" s="14"/>
      <c r="P37" s="14"/>
      <c r="Q37" s="41"/>
      <c r="S37" s="12"/>
      <c r="T37" s="12"/>
      <c r="U37" s="12"/>
      <c r="V37" s="12"/>
      <c r="W37" s="12"/>
      <c r="X37" s="12"/>
    </row>
    <row r="38" spans="2:24"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2:24"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2:24">
      <c r="B40" s="5" t="s">
        <v>26</v>
      </c>
      <c r="C40" s="5"/>
      <c r="D40" s="3"/>
      <c r="E40" s="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2:24" ht="18.75" thickBot="1">
      <c r="B41" s="171" t="s">
        <v>27</v>
      </c>
      <c r="C41" s="171" t="s">
        <v>28</v>
      </c>
      <c r="D41" s="171" t="s">
        <v>29</v>
      </c>
      <c r="E41" s="171" t="s">
        <v>30</v>
      </c>
      <c r="F41" s="171" t="s">
        <v>49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2:24" ht="12.95" customHeight="1">
      <c r="B42" s="131" t="s">
        <v>58</v>
      </c>
      <c r="C42" s="6" t="s">
        <v>164</v>
      </c>
      <c r="D42" s="10" t="s">
        <v>57</v>
      </c>
      <c r="E42" s="10" t="s">
        <v>36</v>
      </c>
      <c r="F42" s="130" t="s">
        <v>50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2:24" ht="12.95" customHeight="1">
      <c r="B43" s="131" t="s">
        <v>58</v>
      </c>
      <c r="C43" s="6" t="str">
        <f>F7</f>
        <v>RESWFAST</v>
      </c>
      <c r="D43" s="10" t="s">
        <v>56</v>
      </c>
      <c r="E43" s="10" t="s">
        <v>36</v>
      </c>
      <c r="F43" s="130" t="s">
        <v>50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2:24" ht="12.95" customHeight="1">
      <c r="B44" s="131" t="s">
        <v>58</v>
      </c>
      <c r="C44" s="6" t="str">
        <f>F8</f>
        <v>RESWSLOW</v>
      </c>
      <c r="D44" s="10" t="s">
        <v>55</v>
      </c>
      <c r="E44" s="10" t="s">
        <v>36</v>
      </c>
      <c r="F44" s="130" t="s">
        <v>50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2:24" ht="12.95" customHeight="1">
      <c r="B45" s="131" t="s">
        <v>58</v>
      </c>
      <c r="C45" s="6" t="str">
        <f>F9</f>
        <v>RESWINRT</v>
      </c>
      <c r="D45" s="10" t="s">
        <v>54</v>
      </c>
      <c r="E45" s="10" t="s">
        <v>36</v>
      </c>
      <c r="F45" s="130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2:24" ht="12.95" customHeight="1">
      <c r="B46" s="131" t="s">
        <v>62</v>
      </c>
      <c r="C46" s="6" t="str">
        <f>$F$14</f>
        <v>RESMFAST</v>
      </c>
      <c r="D46" s="10" t="s">
        <v>77</v>
      </c>
      <c r="E46" s="7" t="s">
        <v>76</v>
      </c>
      <c r="F46" s="130" t="s">
        <v>50</v>
      </c>
      <c r="J46" s="12"/>
      <c r="K46" s="12"/>
      <c r="L46" s="12"/>
      <c r="M46" s="12"/>
      <c r="N46" s="12"/>
      <c r="O46" s="12"/>
      <c r="P46" s="12"/>
      <c r="Q46" s="13"/>
      <c r="R46" s="13"/>
      <c r="S46" s="12"/>
      <c r="T46" s="12"/>
      <c r="U46" s="12"/>
      <c r="V46" s="12"/>
      <c r="W46" s="12"/>
      <c r="X46" s="12"/>
    </row>
    <row r="47" spans="2:24" ht="12.95" customHeight="1">
      <c r="B47" s="131" t="s">
        <v>62</v>
      </c>
      <c r="C47" s="6" t="str">
        <f>F20</f>
        <v>RESMETG</v>
      </c>
      <c r="D47" s="10" t="s">
        <v>68</v>
      </c>
      <c r="E47" s="7" t="s">
        <v>76</v>
      </c>
      <c r="F47" s="130" t="s">
        <v>50</v>
      </c>
      <c r="J47" s="12"/>
      <c r="K47" s="12"/>
      <c r="L47" s="12"/>
      <c r="M47" s="12"/>
      <c r="N47" s="12"/>
      <c r="O47" s="12"/>
      <c r="P47" s="12"/>
      <c r="Q47" s="13"/>
      <c r="R47" s="13"/>
      <c r="S47" s="12"/>
      <c r="T47" s="12"/>
      <c r="U47" s="12"/>
      <c r="V47" s="12"/>
      <c r="W47" s="12"/>
      <c r="X47" s="12"/>
    </row>
    <row r="48" spans="2:24" ht="12.95" customHeight="1">
      <c r="B48" s="131" t="s">
        <v>62</v>
      </c>
      <c r="C48" s="6" t="s">
        <v>93</v>
      </c>
      <c r="D48" s="10" t="s">
        <v>94</v>
      </c>
      <c r="E48" s="7" t="s">
        <v>76</v>
      </c>
      <c r="F48" s="130" t="s">
        <v>50</v>
      </c>
      <c r="J48" s="12"/>
      <c r="K48" s="12"/>
      <c r="L48" s="12"/>
      <c r="M48" s="12"/>
      <c r="N48" s="12"/>
      <c r="O48" s="12"/>
      <c r="P48" s="12"/>
      <c r="Q48" s="13"/>
      <c r="R48" s="13"/>
      <c r="S48" s="12"/>
      <c r="T48" s="12"/>
      <c r="U48" s="12"/>
      <c r="V48" s="12"/>
      <c r="W48" s="12"/>
      <c r="X48" s="12"/>
    </row>
    <row r="49" spans="2:24" ht="12.95" customHeight="1">
      <c r="B49" s="131" t="s">
        <v>148</v>
      </c>
      <c r="C49" s="6" t="s">
        <v>59</v>
      </c>
      <c r="D49" s="6" t="s">
        <v>59</v>
      </c>
      <c r="E49" s="7" t="s">
        <v>36</v>
      </c>
      <c r="F49" s="130" t="s">
        <v>69</v>
      </c>
      <c r="J49" s="12"/>
      <c r="K49" s="12"/>
      <c r="L49" s="12"/>
      <c r="M49" s="12"/>
      <c r="N49" s="12"/>
      <c r="O49" s="12"/>
      <c r="P49" s="12"/>
      <c r="Q49" s="13"/>
      <c r="R49" s="13"/>
      <c r="S49" s="12"/>
      <c r="T49" s="12"/>
      <c r="U49" s="12"/>
      <c r="V49" s="12"/>
      <c r="W49" s="12"/>
      <c r="X49" s="12"/>
    </row>
    <row r="50" spans="2:24" ht="12.95" customHeight="1">
      <c r="B50" s="131" t="s">
        <v>31</v>
      </c>
      <c r="C50" s="6" t="str">
        <f>F18</f>
        <v>RESWGATE</v>
      </c>
      <c r="D50" s="6" t="s">
        <v>75</v>
      </c>
      <c r="E50" s="7" t="s">
        <v>76</v>
      </c>
      <c r="F50" s="115"/>
      <c r="J50" s="12"/>
      <c r="K50" s="12"/>
      <c r="L50" s="12"/>
      <c r="M50" s="12"/>
      <c r="N50" s="12"/>
      <c r="O50" s="12"/>
      <c r="P50" s="12"/>
      <c r="Q50" s="13"/>
      <c r="R50" s="13"/>
      <c r="S50" s="12"/>
      <c r="T50" s="12"/>
      <c r="U50" s="12"/>
      <c r="V50" s="12"/>
      <c r="W50" s="12"/>
      <c r="X50" s="12"/>
    </row>
    <row r="51" spans="2:24" ht="12.95" customHeight="1">
      <c r="B51" s="131" t="s">
        <v>31</v>
      </c>
      <c r="C51" s="6" t="str">
        <f>LEFT(C52,6)&amp;1</f>
        <v>RESWLF1</v>
      </c>
      <c r="D51" s="6" t="s">
        <v>7</v>
      </c>
      <c r="E51" s="7" t="s">
        <v>32</v>
      </c>
      <c r="F51" s="114"/>
      <c r="J51" s="12"/>
      <c r="K51" s="12"/>
      <c r="L51" s="12"/>
      <c r="M51" s="12"/>
      <c r="N51" s="12"/>
      <c r="O51" s="12"/>
      <c r="P51" s="12"/>
      <c r="Q51" s="13"/>
      <c r="R51" s="13"/>
      <c r="S51" s="12"/>
      <c r="T51" s="12"/>
      <c r="U51" s="12"/>
      <c r="V51" s="12"/>
      <c r="W51" s="12"/>
      <c r="X51" s="12"/>
    </row>
    <row r="52" spans="2:24" ht="12.95" customHeight="1">
      <c r="B52" s="131" t="s">
        <v>31</v>
      </c>
      <c r="C52" s="6" t="str">
        <f>F11</f>
        <v>RESWLF2</v>
      </c>
      <c r="D52" s="6" t="s">
        <v>8</v>
      </c>
      <c r="E52" s="7" t="s">
        <v>32</v>
      </c>
      <c r="F52" s="114"/>
      <c r="J52" s="12"/>
      <c r="K52" s="12"/>
      <c r="L52" s="12"/>
      <c r="M52" s="12"/>
      <c r="N52" s="12"/>
      <c r="O52" s="12"/>
      <c r="P52" s="12"/>
      <c r="Q52" s="13"/>
      <c r="R52" s="13"/>
      <c r="S52" s="12"/>
      <c r="T52" s="12"/>
      <c r="U52" s="12"/>
      <c r="V52" s="12"/>
      <c r="W52" s="12"/>
      <c r="X52" s="12"/>
    </row>
    <row r="53" spans="2:24" ht="12.95" customHeight="1">
      <c r="B53" s="131" t="s">
        <v>31</v>
      </c>
      <c r="C53" s="6" t="str">
        <f>F12</f>
        <v>RESWLF3</v>
      </c>
      <c r="D53" s="6" t="s">
        <v>9</v>
      </c>
      <c r="E53" s="7" t="s">
        <v>32</v>
      </c>
      <c r="F53" s="114"/>
      <c r="J53" s="12"/>
      <c r="K53" s="12"/>
      <c r="L53" s="12"/>
      <c r="M53" s="12"/>
      <c r="N53" s="12"/>
      <c r="O53" s="12"/>
      <c r="P53" s="12"/>
      <c r="Q53" s="13"/>
      <c r="R53" s="13"/>
      <c r="S53" s="12"/>
      <c r="T53" s="12"/>
      <c r="U53" s="12"/>
      <c r="V53" s="12"/>
      <c r="W53" s="12"/>
      <c r="X53" s="12"/>
    </row>
    <row r="54" spans="2:24" ht="12.95" customHeight="1">
      <c r="B54" s="131" t="s">
        <v>31</v>
      </c>
      <c r="C54" s="6" t="str">
        <f>F13</f>
        <v>RESWLF4</v>
      </c>
      <c r="D54" s="6" t="s">
        <v>10</v>
      </c>
      <c r="E54" s="7" t="s">
        <v>32</v>
      </c>
      <c r="F54" s="114"/>
      <c r="J54" s="12"/>
      <c r="K54" s="12"/>
      <c r="L54" s="12"/>
      <c r="M54" s="12"/>
      <c r="N54" s="12"/>
      <c r="O54" s="12"/>
      <c r="P54" s="12"/>
      <c r="Q54" s="13"/>
      <c r="R54" s="13"/>
      <c r="S54" s="12"/>
      <c r="T54" s="12"/>
      <c r="U54" s="12"/>
      <c r="V54" s="12"/>
      <c r="W54" s="12"/>
      <c r="X54" s="12"/>
    </row>
    <row r="55" spans="2:24" ht="12.95" customHeight="1">
      <c r="B55" s="131" t="s">
        <v>31</v>
      </c>
      <c r="C55" s="6" t="str">
        <f>F28</f>
        <v>RESWLF5</v>
      </c>
      <c r="D55" s="6" t="s">
        <v>11</v>
      </c>
      <c r="E55" s="7" t="s">
        <v>32</v>
      </c>
      <c r="F55" s="114"/>
      <c r="J55" s="12"/>
      <c r="K55" s="12"/>
      <c r="L55" s="12"/>
      <c r="M55" s="12"/>
      <c r="N55" s="12"/>
      <c r="O55" s="12"/>
      <c r="P55" s="12"/>
      <c r="Q55" s="13"/>
      <c r="R55" s="13"/>
      <c r="S55" s="12"/>
      <c r="T55" s="12"/>
      <c r="U55" s="12"/>
      <c r="V55" s="12"/>
      <c r="W55" s="12"/>
      <c r="X55" s="12"/>
    </row>
    <row r="56" spans="2:24" ht="12.95" customHeight="1">
      <c r="B56" s="131" t="s">
        <v>31</v>
      </c>
      <c r="C56" s="6" t="str">
        <f>F29</f>
        <v>RESWLF6</v>
      </c>
      <c r="D56" s="6" t="s">
        <v>12</v>
      </c>
      <c r="E56" s="7" t="s">
        <v>32</v>
      </c>
      <c r="F56" s="114"/>
      <c r="J56" s="12"/>
      <c r="K56" s="12"/>
      <c r="L56" s="12"/>
      <c r="M56" s="12"/>
      <c r="N56" s="12"/>
      <c r="O56" s="12"/>
      <c r="P56" s="12"/>
      <c r="Q56" s="13"/>
      <c r="R56" s="13"/>
      <c r="S56" s="12"/>
      <c r="T56" s="12"/>
      <c r="U56" s="12"/>
      <c r="V56" s="12"/>
      <c r="W56" s="12"/>
      <c r="X56" s="12"/>
    </row>
    <row r="57" spans="2:24" ht="12.95" customHeight="1">
      <c r="B57" s="131" t="s">
        <v>31</v>
      </c>
      <c r="C57" s="6" t="str">
        <f>F30</f>
        <v>RESWLF7</v>
      </c>
      <c r="D57" s="6" t="s">
        <v>13</v>
      </c>
      <c r="E57" s="7" t="s">
        <v>32</v>
      </c>
      <c r="F57" s="114"/>
      <c r="J57" s="12"/>
      <c r="K57" s="12"/>
      <c r="L57" s="12"/>
      <c r="M57" s="12"/>
      <c r="N57" s="12"/>
      <c r="O57" s="12"/>
      <c r="P57" s="12"/>
      <c r="Q57" s="13"/>
      <c r="R57" s="13"/>
      <c r="S57" s="12"/>
      <c r="T57" s="12"/>
      <c r="U57" s="12"/>
      <c r="V57" s="12"/>
      <c r="W57" s="12"/>
      <c r="X57" s="12"/>
    </row>
    <row r="58" spans="2:24" ht="12.95" customHeight="1">
      <c r="B58" s="131" t="s">
        <v>31</v>
      </c>
      <c r="C58" s="6" t="str">
        <f>F31</f>
        <v>RESWLF8</v>
      </c>
      <c r="D58" s="6" t="s">
        <v>14</v>
      </c>
      <c r="E58" s="7" t="s">
        <v>32</v>
      </c>
      <c r="F58" s="114"/>
      <c r="J58" s="12"/>
      <c r="K58" s="12"/>
      <c r="L58" s="12"/>
      <c r="M58" s="12"/>
      <c r="N58" s="12"/>
      <c r="O58" s="12"/>
      <c r="P58" s="12"/>
      <c r="Q58" s="13"/>
      <c r="R58" s="13"/>
      <c r="S58" s="12"/>
      <c r="T58" s="12"/>
      <c r="U58" s="12"/>
      <c r="V58" s="12"/>
      <c r="W58" s="12"/>
      <c r="X58" s="12"/>
    </row>
    <row r="59" spans="2:24" ht="12.95" customHeight="1">
      <c r="B59" s="131" t="s">
        <v>31</v>
      </c>
      <c r="C59" s="6" t="str">
        <f>F27</f>
        <v>RESCH4P</v>
      </c>
      <c r="D59" s="8" t="s">
        <v>15</v>
      </c>
      <c r="E59" s="7" t="s">
        <v>32</v>
      </c>
      <c r="F59" s="114"/>
    </row>
    <row r="60" spans="2:24" ht="12.95" customHeight="1">
      <c r="B60" s="131" t="s">
        <v>31</v>
      </c>
      <c r="C60" s="6" t="str">
        <f>F$35</f>
        <v>RESN2OP</v>
      </c>
      <c r="D60" s="8" t="s">
        <v>141</v>
      </c>
      <c r="E60" s="7" t="s">
        <v>32</v>
      </c>
      <c r="F60" s="114"/>
    </row>
    <row r="61" spans="2:24" ht="12.95" customHeight="1">
      <c r="B61" s="131" t="s">
        <v>31</v>
      </c>
      <c r="C61" s="6" t="s">
        <v>167</v>
      </c>
      <c r="D61" s="8" t="s">
        <v>168</v>
      </c>
      <c r="E61" s="7" t="s">
        <v>76</v>
      </c>
      <c r="F61" s="114"/>
    </row>
    <row r="62" spans="2:24" ht="12.95" customHeight="1">
      <c r="B62" s="131" t="s">
        <v>31</v>
      </c>
      <c r="C62" s="6" t="s">
        <v>715</v>
      </c>
      <c r="D62" s="8" t="s">
        <v>716</v>
      </c>
      <c r="E62" s="7" t="s">
        <v>76</v>
      </c>
      <c r="F62" s="114"/>
    </row>
    <row r="63" spans="2:24" ht="12.95" customHeight="1">
      <c r="B63" s="131" t="s">
        <v>31</v>
      </c>
      <c r="C63" s="6" t="s">
        <v>183</v>
      </c>
      <c r="D63" s="8" t="s">
        <v>184</v>
      </c>
      <c r="E63" s="7" t="s">
        <v>76</v>
      </c>
      <c r="F63" s="114"/>
    </row>
    <row r="66" spans="2:9">
      <c r="B66" s="32" t="s">
        <v>149</v>
      </c>
      <c r="C66"/>
      <c r="D66"/>
      <c r="E66"/>
      <c r="F66"/>
      <c r="G66"/>
      <c r="H66"/>
      <c r="I66" s="1"/>
    </row>
    <row r="67" spans="2:9">
      <c r="B67" s="33" t="s">
        <v>33</v>
      </c>
      <c r="C67" s="34" t="s">
        <v>34</v>
      </c>
      <c r="D67" s="34" t="s">
        <v>35</v>
      </c>
      <c r="E67" s="34" t="s">
        <v>150</v>
      </c>
      <c r="F67" s="34" t="s">
        <v>151</v>
      </c>
      <c r="G67" s="34" t="s">
        <v>152</v>
      </c>
      <c r="H67" s="34" t="s">
        <v>153</v>
      </c>
      <c r="I67" s="35" t="s">
        <v>154</v>
      </c>
    </row>
    <row r="68" spans="2:9" ht="12.95" customHeight="1">
      <c r="B68" s="36" t="s">
        <v>179</v>
      </c>
      <c r="C68" s="36" t="s">
        <v>16</v>
      </c>
      <c r="D68" s="36" t="str">
        <f>VLOOKUP(C68,$C$6:$D$35,2,0)</f>
        <v>Waste Landfills Supply</v>
      </c>
      <c r="E68" s="36" t="s">
        <v>36</v>
      </c>
      <c r="F68" s="36" t="s">
        <v>155</v>
      </c>
      <c r="G68" s="36"/>
      <c r="H68" s="36" t="s">
        <v>159</v>
      </c>
      <c r="I68" s="36" t="s">
        <v>156</v>
      </c>
    </row>
    <row r="69" spans="2:9" ht="12.95" customHeight="1">
      <c r="B69" s="36" t="s">
        <v>179</v>
      </c>
      <c r="C69" s="36" t="s">
        <v>71</v>
      </c>
      <c r="D69" s="36" t="s">
        <v>60</v>
      </c>
      <c r="E69" s="36" t="s">
        <v>36</v>
      </c>
      <c r="F69" s="36" t="s">
        <v>155</v>
      </c>
      <c r="G69" s="36"/>
      <c r="H69" s="36"/>
      <c r="I69" s="36" t="s">
        <v>156</v>
      </c>
    </row>
    <row r="70" spans="2:9" ht="12.95" customHeight="1">
      <c r="B70" s="36" t="s">
        <v>625</v>
      </c>
      <c r="C70" s="36" t="s">
        <v>63</v>
      </c>
      <c r="D70" s="36" t="s">
        <v>90</v>
      </c>
      <c r="E70" s="36" t="s">
        <v>36</v>
      </c>
      <c r="F70" s="36" t="s">
        <v>155</v>
      </c>
      <c r="G70" s="36"/>
      <c r="H70" s="36" t="s">
        <v>51</v>
      </c>
      <c r="I70" s="36" t="s">
        <v>156</v>
      </c>
    </row>
    <row r="71" spans="2:9" ht="12.95" customHeight="1">
      <c r="B71" s="36" t="s">
        <v>625</v>
      </c>
      <c r="C71" s="36" t="s">
        <v>65</v>
      </c>
      <c r="D71" s="36" t="s">
        <v>91</v>
      </c>
      <c r="E71" s="36" t="s">
        <v>36</v>
      </c>
      <c r="F71" s="36" t="s">
        <v>155</v>
      </c>
      <c r="G71" s="36"/>
      <c r="H71" s="36" t="s">
        <v>52</v>
      </c>
      <c r="I71" s="36" t="s">
        <v>156</v>
      </c>
    </row>
    <row r="72" spans="2:9" ht="12.95" customHeight="1">
      <c r="B72" s="36" t="s">
        <v>179</v>
      </c>
      <c r="C72" s="36" t="s">
        <v>66</v>
      </c>
      <c r="D72" s="36" t="s">
        <v>60</v>
      </c>
      <c r="E72" s="36" t="s">
        <v>36</v>
      </c>
      <c r="F72" s="36" t="s">
        <v>155</v>
      </c>
      <c r="G72" s="36"/>
      <c r="H72" s="36" t="s">
        <v>64</v>
      </c>
      <c r="I72" s="36" t="s">
        <v>156</v>
      </c>
    </row>
    <row r="73" spans="2:9" ht="12.95" customHeight="1">
      <c r="B73" s="36" t="s">
        <v>179</v>
      </c>
      <c r="C73" s="36" t="s">
        <v>44</v>
      </c>
      <c r="D73" s="36" t="s">
        <v>45</v>
      </c>
      <c r="E73" s="36" t="s">
        <v>36</v>
      </c>
      <c r="F73" s="36" t="s">
        <v>155</v>
      </c>
      <c r="G73" s="36"/>
      <c r="H73" s="36" t="s">
        <v>93</v>
      </c>
      <c r="I73" s="36" t="s">
        <v>156</v>
      </c>
    </row>
    <row r="74" spans="2:9" ht="12.95" customHeight="1">
      <c r="B74" s="36" t="s">
        <v>179</v>
      </c>
      <c r="C74" s="36" t="s">
        <v>116</v>
      </c>
      <c r="D74" s="36" t="s">
        <v>118</v>
      </c>
      <c r="E74" s="36" t="s">
        <v>36</v>
      </c>
      <c r="F74" s="36" t="s">
        <v>155</v>
      </c>
      <c r="G74" s="36"/>
      <c r="H74" s="36" t="s">
        <v>93</v>
      </c>
      <c r="I74" s="36" t="s">
        <v>156</v>
      </c>
    </row>
    <row r="75" spans="2:9" ht="12.95" customHeight="1">
      <c r="B75" s="36" t="s">
        <v>179</v>
      </c>
      <c r="C75" s="36" t="s">
        <v>169</v>
      </c>
      <c r="D75" s="36" t="s">
        <v>166</v>
      </c>
      <c r="E75" s="36" t="s">
        <v>36</v>
      </c>
      <c r="F75" s="36" t="s">
        <v>155</v>
      </c>
      <c r="G75" s="36"/>
      <c r="H75" s="36" t="s">
        <v>167</v>
      </c>
      <c r="I75" s="36" t="s">
        <v>156</v>
      </c>
    </row>
    <row r="76" spans="2:9" ht="12.95" customHeight="1">
      <c r="B76" s="36" t="s">
        <v>179</v>
      </c>
      <c r="C76" s="36" t="s">
        <v>175</v>
      </c>
      <c r="D76" s="36" t="s">
        <v>176</v>
      </c>
      <c r="E76" s="36" t="s">
        <v>36</v>
      </c>
      <c r="F76" s="36" t="s">
        <v>155</v>
      </c>
      <c r="G76" s="36"/>
      <c r="H76" s="36" t="s">
        <v>167</v>
      </c>
      <c r="I76" s="36" t="s">
        <v>156</v>
      </c>
    </row>
    <row r="77" spans="2:9" ht="12.95" customHeight="1"/>
    <row r="78" spans="2:9" ht="12.95" customHeight="1"/>
    <row r="79" spans="2:9" ht="12.95" customHeight="1"/>
    <row r="80" spans="2:9" ht="12.95" customHeight="1"/>
    <row r="81" spans="2:9" ht="12.95" customHeight="1"/>
    <row r="82" spans="2:9" ht="12.95" customHeight="1"/>
    <row r="83" spans="2:9" ht="12.95" customHeight="1"/>
    <row r="84" spans="2:9" ht="12.95" customHeight="1"/>
    <row r="85" spans="2:9" ht="12.95" customHeight="1"/>
    <row r="86" spans="2:9" ht="12.95" customHeight="1">
      <c r="B86" s="1"/>
      <c r="C86" s="1"/>
      <c r="D86" s="1"/>
      <c r="E86" s="1"/>
      <c r="F86" s="1"/>
      <c r="G86" s="1"/>
      <c r="H86" s="1"/>
      <c r="I86" s="1"/>
    </row>
    <row r="87" spans="2:9" ht="12.95" customHeight="1">
      <c r="B87" s="1"/>
      <c r="C87" s="1"/>
      <c r="D87" s="1"/>
      <c r="E87" s="1"/>
      <c r="F87" s="1"/>
      <c r="G87" s="1"/>
      <c r="H87" s="1"/>
      <c r="I87" s="1"/>
    </row>
    <row r="88" spans="2:9" ht="12.95" customHeight="1">
      <c r="B88" s="1"/>
      <c r="C88" s="1"/>
      <c r="D88" s="1"/>
      <c r="E88" s="1"/>
      <c r="F88" s="1"/>
      <c r="G88" s="1"/>
      <c r="H88" s="1"/>
      <c r="I88" s="1"/>
    </row>
    <row r="89" spans="2:9" ht="12.95" customHeight="1">
      <c r="B89" s="1"/>
      <c r="C89" s="1"/>
      <c r="D89" s="1"/>
      <c r="E89" s="1"/>
      <c r="F89" s="1"/>
      <c r="G89" s="1"/>
      <c r="H89" s="1"/>
      <c r="I89" s="1"/>
    </row>
    <row r="90" spans="2:9" ht="12.95" customHeight="1">
      <c r="B90" s="1"/>
      <c r="C90" s="1"/>
      <c r="D90" s="1"/>
      <c r="E90" s="1"/>
      <c r="F90" s="1"/>
      <c r="G90" s="1"/>
      <c r="H90" s="1"/>
      <c r="I90" s="1"/>
    </row>
    <row r="91" spans="2:9" ht="12.95" customHeight="1">
      <c r="B91" s="1"/>
      <c r="C91" s="1"/>
      <c r="D91" s="1"/>
      <c r="E91" s="1"/>
      <c r="F91" s="1"/>
      <c r="G91" s="1"/>
      <c r="H91" s="1"/>
      <c r="I91" s="1"/>
    </row>
    <row r="92" spans="2:9" ht="12.95" customHeight="1">
      <c r="B92" s="1"/>
      <c r="C92" s="1"/>
      <c r="D92" s="1"/>
      <c r="E92" s="1"/>
      <c r="F92" s="1"/>
      <c r="G92" s="1"/>
      <c r="H92" s="1"/>
      <c r="I92" s="1"/>
    </row>
    <row r="93" spans="2:9" ht="12.95" customHeight="1">
      <c r="B93" s="1"/>
      <c r="C93" s="1"/>
      <c r="D93" s="1"/>
      <c r="E93" s="1"/>
      <c r="F93" s="1"/>
      <c r="G93" s="1"/>
      <c r="H93" s="1"/>
      <c r="I93" s="1"/>
    </row>
    <row r="94" spans="2:9" ht="12.95" customHeight="1">
      <c r="B94" s="1"/>
      <c r="C94" s="1"/>
      <c r="D94" s="1"/>
      <c r="E94" s="1"/>
      <c r="F94" s="1"/>
      <c r="G94" s="1"/>
      <c r="H94" s="1"/>
      <c r="I94" s="1"/>
    </row>
    <row r="95" spans="2:9" ht="12.95" customHeight="1">
      <c r="B95" s="1"/>
      <c r="C95" s="1"/>
      <c r="D95" s="1"/>
      <c r="E95" s="1"/>
      <c r="F95" s="1"/>
      <c r="G95" s="1"/>
      <c r="H95" s="1"/>
      <c r="I95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3:Y143"/>
  <sheetViews>
    <sheetView zoomScale="75" workbookViewId="0">
      <selection activeCell="Q47" sqref="Q47"/>
    </sheetView>
  </sheetViews>
  <sheetFormatPr defaultRowHeight="12.75"/>
  <cols>
    <col min="1" max="1" width="5.42578125" customWidth="1"/>
    <col min="2" max="2" width="9.5703125" customWidth="1"/>
    <col min="3" max="3" width="13.85546875" customWidth="1"/>
    <col min="4" max="4" width="27.28515625" customWidth="1"/>
    <col min="5" max="5" width="12.5703125" customWidth="1"/>
    <col min="6" max="6" width="11.42578125" customWidth="1"/>
    <col min="7" max="7" width="12.5703125" customWidth="1"/>
    <col min="8" max="8" width="14" customWidth="1"/>
    <col min="9" max="9" width="4.85546875" customWidth="1"/>
    <col min="10" max="10" width="6.140625" customWidth="1"/>
    <col min="11" max="11" width="9.28515625" bestFit="1" customWidth="1"/>
    <col min="16" max="16" width="7.5703125" customWidth="1"/>
  </cols>
  <sheetData>
    <row r="3" spans="3:25" ht="15.75">
      <c r="C3" s="170" t="s">
        <v>708</v>
      </c>
      <c r="D3" s="170"/>
      <c r="I3" s="158" t="s">
        <v>704</v>
      </c>
    </row>
    <row r="4" spans="3:25" ht="36.75" thickBot="1">
      <c r="C4" s="34" t="s">
        <v>34</v>
      </c>
      <c r="D4" s="34" t="s">
        <v>35</v>
      </c>
      <c r="E4" s="34" t="s">
        <v>24</v>
      </c>
      <c r="F4" s="34" t="s">
        <v>1</v>
      </c>
      <c r="G4" s="34" t="s">
        <v>47</v>
      </c>
      <c r="H4" s="132" t="s">
        <v>696</v>
      </c>
      <c r="I4" s="156" t="s">
        <v>695</v>
      </c>
      <c r="J4" s="133" t="s">
        <v>92</v>
      </c>
      <c r="K4" s="134">
        <v>2005</v>
      </c>
      <c r="L4" s="132">
        <v>2010</v>
      </c>
      <c r="M4" s="132">
        <v>2020</v>
      </c>
      <c r="N4" s="132">
        <v>2030</v>
      </c>
      <c r="O4" s="135">
        <v>2050</v>
      </c>
      <c r="P4" s="136" t="s">
        <v>129</v>
      </c>
      <c r="Q4" s="136" t="s">
        <v>705</v>
      </c>
      <c r="R4" s="136" t="s">
        <v>186</v>
      </c>
      <c r="S4" s="136" t="s">
        <v>0</v>
      </c>
      <c r="T4" s="136" t="s">
        <v>629</v>
      </c>
      <c r="U4" s="136" t="s">
        <v>130</v>
      </c>
      <c r="V4" s="136" t="s">
        <v>72</v>
      </c>
      <c r="W4" s="137" t="s">
        <v>630</v>
      </c>
      <c r="X4" s="136" t="s">
        <v>631</v>
      </c>
      <c r="Y4" s="136" t="s">
        <v>632</v>
      </c>
    </row>
    <row r="5" spans="3:25">
      <c r="C5" s="155" t="s">
        <v>633</v>
      </c>
      <c r="D5" s="155" t="s">
        <v>634</v>
      </c>
      <c r="E5" s="15"/>
      <c r="F5" s="15" t="s">
        <v>635</v>
      </c>
      <c r="G5" s="15" t="s">
        <v>635</v>
      </c>
      <c r="H5" s="15"/>
      <c r="I5" s="157"/>
      <c r="J5" s="139"/>
      <c r="K5" s="140"/>
      <c r="L5" s="141"/>
      <c r="M5" s="15"/>
      <c r="N5" s="141"/>
      <c r="O5" s="142"/>
      <c r="P5" s="15"/>
      <c r="Q5" s="15"/>
      <c r="R5" s="15"/>
      <c r="S5" s="141"/>
      <c r="T5" s="15"/>
      <c r="U5" s="15"/>
      <c r="V5" s="141"/>
      <c r="W5" s="140"/>
      <c r="X5" s="143">
        <v>0.22900763358778622</v>
      </c>
      <c r="Y5" s="143">
        <v>1.1515812431842963E-3</v>
      </c>
    </row>
    <row r="6" spans="3:25">
      <c r="C6" s="15"/>
      <c r="D6" s="15"/>
      <c r="E6" s="15"/>
      <c r="F6" s="15" t="s">
        <v>636</v>
      </c>
      <c r="G6" s="15" t="s">
        <v>636</v>
      </c>
      <c r="H6" s="15"/>
      <c r="I6" s="157"/>
      <c r="J6" s="139"/>
      <c r="K6" s="15"/>
      <c r="L6" s="141"/>
      <c r="M6" s="15"/>
      <c r="N6" s="141"/>
      <c r="O6" s="142"/>
      <c r="P6" s="15"/>
      <c r="Q6" s="15"/>
      <c r="R6" s="15"/>
      <c r="S6" s="141"/>
      <c r="T6" s="15"/>
      <c r="U6" s="15"/>
      <c r="V6" s="141"/>
      <c r="W6" s="144">
        <v>0.65223529411764714</v>
      </c>
      <c r="X6" s="143">
        <v>2.2900763358778629</v>
      </c>
      <c r="Y6" s="143">
        <v>1.1515812431842966E-2</v>
      </c>
    </row>
    <row r="7" spans="3:25">
      <c r="C7" s="15"/>
      <c r="D7" s="15"/>
      <c r="E7" s="15"/>
      <c r="F7" s="15" t="s">
        <v>637</v>
      </c>
      <c r="G7" s="15" t="s">
        <v>637</v>
      </c>
      <c r="H7" s="15"/>
      <c r="I7" s="157"/>
      <c r="J7" s="139"/>
      <c r="K7" s="15"/>
      <c r="L7" s="141"/>
      <c r="M7" s="15"/>
      <c r="N7" s="141"/>
      <c r="O7" s="142"/>
      <c r="P7" s="15"/>
      <c r="Q7" s="143">
        <v>1.9E-3</v>
      </c>
      <c r="R7" s="15"/>
      <c r="S7" s="141"/>
      <c r="T7" s="15"/>
      <c r="U7" s="15"/>
      <c r="V7" s="141"/>
      <c r="W7" s="140"/>
      <c r="X7" s="143">
        <v>0.68702290076335892</v>
      </c>
      <c r="Y7" s="143">
        <v>1.1515812431842966E-2</v>
      </c>
    </row>
    <row r="8" spans="3:25">
      <c r="C8" s="15"/>
      <c r="D8" s="15"/>
      <c r="E8" s="15"/>
      <c r="F8" s="15" t="s">
        <v>638</v>
      </c>
      <c r="G8" s="15" t="s">
        <v>638</v>
      </c>
      <c r="H8" s="15"/>
      <c r="I8" s="157"/>
      <c r="J8" s="139"/>
      <c r="K8" s="15"/>
      <c r="L8" s="141"/>
      <c r="M8" s="15"/>
      <c r="N8" s="141"/>
      <c r="O8" s="142"/>
      <c r="P8" s="15"/>
      <c r="Q8" s="15"/>
      <c r="R8" s="15"/>
      <c r="S8" s="141"/>
      <c r="T8" s="15"/>
      <c r="U8" s="15"/>
      <c r="V8" s="141"/>
      <c r="W8" s="140"/>
      <c r="X8" s="143">
        <v>1.1450381679389314</v>
      </c>
      <c r="Y8" s="143">
        <v>0.26717557251908397</v>
      </c>
    </row>
    <row r="9" spans="3:25">
      <c r="C9" s="15"/>
      <c r="D9" s="15"/>
      <c r="E9" s="15"/>
      <c r="F9" s="15" t="s">
        <v>639</v>
      </c>
      <c r="G9" s="15" t="s">
        <v>639</v>
      </c>
      <c r="H9" s="15"/>
      <c r="I9" s="157"/>
      <c r="J9" s="139"/>
      <c r="K9" s="15"/>
      <c r="L9" s="141"/>
      <c r="M9" s="15"/>
      <c r="N9" s="141"/>
      <c r="O9" s="142"/>
      <c r="P9" s="15"/>
      <c r="Q9" s="15">
        <v>6.0000000000000001E-3</v>
      </c>
      <c r="R9" s="15"/>
      <c r="S9" s="141"/>
      <c r="T9" s="15"/>
      <c r="U9" s="15"/>
      <c r="V9" s="141"/>
      <c r="W9" s="140"/>
      <c r="X9" s="143">
        <v>0.34351145038167946</v>
      </c>
      <c r="Y9" s="143">
        <v>0.26717557251908397</v>
      </c>
    </row>
    <row r="10" spans="3:25">
      <c r="C10" s="15"/>
      <c r="D10" s="15"/>
      <c r="E10" s="15" t="s">
        <v>266</v>
      </c>
      <c r="F10" s="15"/>
      <c r="G10" s="15"/>
      <c r="H10" s="15" t="s">
        <v>640</v>
      </c>
      <c r="I10" s="157"/>
      <c r="J10" s="139"/>
      <c r="K10" s="140">
        <v>13.1</v>
      </c>
      <c r="L10" s="141"/>
      <c r="M10" s="15"/>
      <c r="N10" s="141"/>
      <c r="O10" s="142"/>
      <c r="P10" s="15"/>
      <c r="Q10" s="15"/>
      <c r="R10" s="15"/>
      <c r="S10" s="141"/>
      <c r="T10" s="15"/>
      <c r="U10" s="15"/>
      <c r="V10" s="141"/>
      <c r="W10" s="140"/>
      <c r="X10" s="143"/>
      <c r="Y10" s="143"/>
    </row>
    <row r="11" spans="3:25">
      <c r="C11" s="15"/>
      <c r="D11" s="15"/>
      <c r="E11" s="15" t="s">
        <v>641</v>
      </c>
      <c r="F11" s="15"/>
      <c r="G11" s="15"/>
      <c r="H11" s="15" t="s">
        <v>640</v>
      </c>
      <c r="I11" s="157"/>
      <c r="J11" s="139"/>
      <c r="K11" s="140">
        <v>13.1</v>
      </c>
      <c r="L11" s="141"/>
      <c r="M11" s="15"/>
      <c r="N11" s="141"/>
      <c r="O11" s="142"/>
      <c r="P11" s="15"/>
      <c r="Q11" s="15"/>
      <c r="R11" s="15"/>
      <c r="S11" s="141"/>
      <c r="T11" s="15"/>
      <c r="U11" s="15"/>
      <c r="V11" s="141"/>
      <c r="W11" s="140"/>
      <c r="X11" s="143"/>
      <c r="Y11" s="143"/>
    </row>
    <row r="12" spans="3:25">
      <c r="C12" s="15"/>
      <c r="D12" s="15"/>
      <c r="E12" s="15"/>
      <c r="F12" s="15" t="s">
        <v>637</v>
      </c>
      <c r="G12" s="15" t="s">
        <v>642</v>
      </c>
      <c r="H12" s="15" t="s">
        <v>698</v>
      </c>
      <c r="I12" s="157" t="s">
        <v>274</v>
      </c>
      <c r="J12" s="139"/>
      <c r="K12" s="140">
        <v>0.01</v>
      </c>
      <c r="L12" s="141">
        <v>0.5</v>
      </c>
      <c r="M12" s="15">
        <v>0.8</v>
      </c>
      <c r="N12" s="141">
        <v>0.9</v>
      </c>
      <c r="O12" s="142">
        <v>0.95</v>
      </c>
      <c r="P12" s="15"/>
      <c r="Q12" s="15"/>
      <c r="R12" s="15"/>
      <c r="S12" s="141"/>
      <c r="T12" s="15"/>
      <c r="U12" s="15"/>
      <c r="V12" s="141"/>
      <c r="W12" s="140"/>
      <c r="X12" s="143"/>
      <c r="Y12" s="143"/>
    </row>
    <row r="13" spans="3:25">
      <c r="C13" s="15"/>
      <c r="D13" s="15"/>
      <c r="E13" s="15"/>
      <c r="F13" s="15" t="s">
        <v>639</v>
      </c>
      <c r="G13" s="15" t="s">
        <v>643</v>
      </c>
      <c r="H13" s="15" t="s">
        <v>698</v>
      </c>
      <c r="I13" s="157" t="s">
        <v>274</v>
      </c>
      <c r="J13" s="139"/>
      <c r="K13" s="140">
        <v>0.01</v>
      </c>
      <c r="L13" s="141">
        <v>0.5</v>
      </c>
      <c r="M13" s="15">
        <v>0.8</v>
      </c>
      <c r="N13" s="141">
        <v>0.9</v>
      </c>
      <c r="O13" s="142">
        <v>0.95</v>
      </c>
      <c r="P13" s="15"/>
      <c r="Q13" s="15"/>
      <c r="R13" s="15"/>
      <c r="S13" s="141"/>
      <c r="T13" s="15"/>
      <c r="U13" s="15"/>
      <c r="V13" s="141"/>
      <c r="W13" s="140"/>
      <c r="X13" s="143"/>
      <c r="Y13" s="143"/>
    </row>
    <row r="14" spans="3:25">
      <c r="C14" s="15"/>
      <c r="D14" s="15"/>
      <c r="E14" s="15"/>
      <c r="F14" s="17" t="s">
        <v>96</v>
      </c>
      <c r="G14" s="15"/>
      <c r="H14" s="15"/>
      <c r="I14" s="157"/>
      <c r="J14" s="139"/>
      <c r="K14" s="140"/>
      <c r="L14" s="141"/>
      <c r="M14" s="15"/>
      <c r="N14" s="141"/>
      <c r="O14" s="142"/>
      <c r="P14" s="15"/>
      <c r="Q14" s="15"/>
      <c r="R14" s="15"/>
      <c r="S14" s="141"/>
      <c r="T14" s="15"/>
      <c r="U14" s="15"/>
      <c r="V14" s="141"/>
      <c r="W14" s="140"/>
      <c r="X14" s="143"/>
      <c r="Y14" s="143"/>
    </row>
    <row r="15" spans="3:25">
      <c r="C15" s="155" t="s">
        <v>644</v>
      </c>
      <c r="D15" s="155" t="s">
        <v>645</v>
      </c>
      <c r="E15" s="15"/>
      <c r="F15" s="15" t="s">
        <v>646</v>
      </c>
      <c r="G15" s="15" t="s">
        <v>646</v>
      </c>
      <c r="H15" s="15"/>
      <c r="I15" s="157"/>
      <c r="J15" s="139"/>
      <c r="K15" s="140"/>
      <c r="L15" s="141"/>
      <c r="M15" s="15"/>
      <c r="N15" s="141"/>
      <c r="O15" s="142"/>
      <c r="P15" s="15"/>
      <c r="Q15" s="15"/>
      <c r="R15" s="15"/>
      <c r="S15" s="141"/>
      <c r="T15" s="15"/>
      <c r="U15" s="15"/>
      <c r="V15" s="141"/>
      <c r="W15" s="140"/>
      <c r="X15" s="143">
        <v>0.1443396226415094</v>
      </c>
      <c r="Y15" s="143">
        <v>1.0403780278695144E-3</v>
      </c>
    </row>
    <row r="16" spans="3:25">
      <c r="C16" s="15"/>
      <c r="D16" s="15"/>
      <c r="E16" s="15"/>
      <c r="F16" s="15" t="s">
        <v>636</v>
      </c>
      <c r="G16" s="15" t="s">
        <v>636</v>
      </c>
      <c r="H16" s="15"/>
      <c r="I16" s="157"/>
      <c r="J16" s="139"/>
      <c r="K16" s="15"/>
      <c r="L16" s="141"/>
      <c r="M16" s="15"/>
      <c r="N16" s="141"/>
      <c r="O16" s="142"/>
      <c r="P16" s="15"/>
      <c r="Q16" s="15"/>
      <c r="R16" s="15"/>
      <c r="S16" s="141"/>
      <c r="T16" s="15"/>
      <c r="U16" s="15"/>
      <c r="V16" s="141"/>
      <c r="W16" s="144">
        <v>0.23811764705882357</v>
      </c>
      <c r="X16" s="143">
        <v>1.4433962264150944</v>
      </c>
      <c r="Y16" s="143">
        <v>1.0403780278695146E-2</v>
      </c>
    </row>
    <row r="17" spans="3:25">
      <c r="C17" s="15"/>
      <c r="D17" s="15"/>
      <c r="E17" s="15"/>
      <c r="F17" s="15" t="s">
        <v>637</v>
      </c>
      <c r="G17" s="15" t="s">
        <v>637</v>
      </c>
      <c r="H17" s="15"/>
      <c r="I17" s="157"/>
      <c r="J17" s="139"/>
      <c r="K17" s="15"/>
      <c r="L17" s="141"/>
      <c r="M17" s="15"/>
      <c r="N17" s="141"/>
      <c r="O17" s="142"/>
      <c r="P17" s="15"/>
      <c r="Q17" s="143">
        <v>1.9E-3</v>
      </c>
      <c r="R17" s="15"/>
      <c r="S17" s="141"/>
      <c r="T17" s="15"/>
      <c r="U17" s="15"/>
      <c r="V17" s="141"/>
      <c r="W17" s="140"/>
      <c r="X17" s="143">
        <v>0.43301886792452837</v>
      </c>
      <c r="Y17" s="143">
        <v>1.0403780278695146E-2</v>
      </c>
    </row>
    <row r="18" spans="3:25">
      <c r="C18" s="15"/>
      <c r="D18" s="15"/>
      <c r="E18" s="15"/>
      <c r="F18" s="15" t="s">
        <v>638</v>
      </c>
      <c r="G18" s="15" t="s">
        <v>638</v>
      </c>
      <c r="H18" s="15"/>
      <c r="I18" s="157"/>
      <c r="J18" s="139"/>
      <c r="K18" s="15"/>
      <c r="L18" s="141"/>
      <c r="M18" s="15"/>
      <c r="N18" s="141"/>
      <c r="O18" s="142"/>
      <c r="P18" s="15"/>
      <c r="Q18" s="15"/>
      <c r="R18" s="15"/>
      <c r="S18" s="141"/>
      <c r="T18" s="15"/>
      <c r="U18" s="15"/>
      <c r="V18" s="141"/>
      <c r="W18" s="140"/>
      <c r="X18" s="143">
        <v>0.56603773584905659</v>
      </c>
      <c r="Y18" s="143">
        <v>0.26415094339622641</v>
      </c>
    </row>
    <row r="19" spans="3:25">
      <c r="C19" s="15"/>
      <c r="D19" s="15"/>
      <c r="E19" s="15"/>
      <c r="F19" s="15" t="s">
        <v>639</v>
      </c>
      <c r="G19" s="15" t="s">
        <v>639</v>
      </c>
      <c r="H19" s="15"/>
      <c r="I19" s="157"/>
      <c r="J19" s="139"/>
      <c r="K19" s="15"/>
      <c r="L19" s="141"/>
      <c r="M19" s="15"/>
      <c r="N19" s="141"/>
      <c r="O19" s="142"/>
      <c r="P19" s="15"/>
      <c r="Q19" s="15">
        <v>6.0000000000000001E-3</v>
      </c>
      <c r="R19" s="15"/>
      <c r="S19" s="141"/>
      <c r="T19" s="15"/>
      <c r="U19" s="15"/>
      <c r="V19" s="141"/>
      <c r="W19" s="140"/>
      <c r="X19" s="143">
        <v>0.169811320754717</v>
      </c>
      <c r="Y19" s="143">
        <v>0.26415094339622641</v>
      </c>
    </row>
    <row r="20" spans="3:25">
      <c r="C20" s="15"/>
      <c r="D20" s="15"/>
      <c r="E20" s="15" t="s">
        <v>266</v>
      </c>
      <c r="F20" s="15"/>
      <c r="G20" s="15"/>
      <c r="H20" s="15" t="s">
        <v>640</v>
      </c>
      <c r="I20" s="157"/>
      <c r="J20" s="139"/>
      <c r="K20" s="140">
        <v>5.3</v>
      </c>
      <c r="L20" s="141"/>
      <c r="M20" s="15"/>
      <c r="N20" s="141"/>
      <c r="O20" s="142"/>
      <c r="P20" s="15"/>
      <c r="Q20" s="15"/>
      <c r="R20" s="15"/>
      <c r="S20" s="141"/>
      <c r="T20" s="15"/>
      <c r="U20" s="15"/>
      <c r="V20" s="141"/>
      <c r="W20" s="140"/>
      <c r="X20" s="143"/>
      <c r="Y20" s="143"/>
    </row>
    <row r="21" spans="3:25">
      <c r="C21" s="15"/>
      <c r="D21" s="15"/>
      <c r="E21" s="15" t="s">
        <v>641</v>
      </c>
      <c r="F21" s="15"/>
      <c r="G21" s="15"/>
      <c r="H21" s="15" t="s">
        <v>640</v>
      </c>
      <c r="I21" s="157"/>
      <c r="J21" s="139"/>
      <c r="K21" s="140">
        <v>5.3</v>
      </c>
      <c r="L21" s="141"/>
      <c r="M21" s="15"/>
      <c r="N21" s="141"/>
      <c r="O21" s="142"/>
      <c r="P21" s="15"/>
      <c r="Q21" s="15"/>
      <c r="R21" s="15"/>
      <c r="S21" s="141"/>
      <c r="T21" s="15"/>
      <c r="U21" s="15"/>
      <c r="V21" s="141"/>
      <c r="W21" s="140"/>
      <c r="X21" s="143"/>
      <c r="Y21" s="143"/>
    </row>
    <row r="22" spans="3:25">
      <c r="C22" s="15"/>
      <c r="D22" s="15"/>
      <c r="E22" s="15"/>
      <c r="F22" s="15" t="s">
        <v>637</v>
      </c>
      <c r="G22" s="15" t="s">
        <v>642</v>
      </c>
      <c r="H22" s="15" t="s">
        <v>698</v>
      </c>
      <c r="I22" s="157" t="s">
        <v>274</v>
      </c>
      <c r="J22" s="139"/>
      <c r="K22" s="140">
        <v>0.01</v>
      </c>
      <c r="L22" s="141">
        <v>0.5</v>
      </c>
      <c r="M22" s="15">
        <v>0.8</v>
      </c>
      <c r="N22" s="141">
        <v>0.9</v>
      </c>
      <c r="O22" s="142">
        <v>0.95</v>
      </c>
      <c r="P22" s="15"/>
      <c r="Q22" s="15"/>
      <c r="R22" s="15"/>
      <c r="S22" s="141"/>
      <c r="T22" s="15"/>
      <c r="U22" s="15"/>
      <c r="V22" s="141"/>
      <c r="W22" s="140"/>
      <c r="X22" s="143"/>
      <c r="Y22" s="143"/>
    </row>
    <row r="23" spans="3:25">
      <c r="C23" s="15"/>
      <c r="D23" s="15"/>
      <c r="E23" s="15"/>
      <c r="F23" s="15" t="s">
        <v>639</v>
      </c>
      <c r="G23" s="15" t="s">
        <v>643</v>
      </c>
      <c r="H23" s="15" t="s">
        <v>698</v>
      </c>
      <c r="I23" s="157" t="s">
        <v>274</v>
      </c>
      <c r="J23" s="139"/>
      <c r="K23" s="140">
        <v>0.01</v>
      </c>
      <c r="L23" s="141">
        <v>0.5</v>
      </c>
      <c r="M23" s="15">
        <v>0.8</v>
      </c>
      <c r="N23" s="141">
        <v>0.9</v>
      </c>
      <c r="O23" s="142">
        <v>0.95</v>
      </c>
      <c r="P23" s="15"/>
      <c r="Q23" s="15"/>
      <c r="R23" s="15"/>
      <c r="S23" s="141"/>
      <c r="T23" s="15"/>
      <c r="U23" s="15"/>
      <c r="V23" s="141"/>
      <c r="W23" s="140"/>
      <c r="X23" s="143"/>
      <c r="Y23" s="143"/>
    </row>
    <row r="24" spans="3:25">
      <c r="C24" s="15"/>
      <c r="D24" s="15"/>
      <c r="E24" s="15"/>
      <c r="F24" s="17" t="s">
        <v>96</v>
      </c>
      <c r="G24" s="15"/>
      <c r="H24" s="15"/>
      <c r="I24" s="157"/>
      <c r="J24" s="139"/>
      <c r="K24" s="140"/>
      <c r="L24" s="141"/>
      <c r="M24" s="15"/>
      <c r="N24" s="141"/>
      <c r="O24" s="142"/>
      <c r="P24" s="15"/>
      <c r="Q24" s="15"/>
      <c r="R24" s="15"/>
      <c r="S24" s="141"/>
      <c r="T24" s="15"/>
      <c r="U24" s="15"/>
      <c r="V24" s="141"/>
      <c r="W24" s="140"/>
      <c r="X24" s="143"/>
      <c r="Y24" s="143"/>
    </row>
    <row r="25" spans="3:25">
      <c r="C25" s="155" t="s">
        <v>647</v>
      </c>
      <c r="D25" s="155" t="s">
        <v>648</v>
      </c>
      <c r="E25" s="15"/>
      <c r="F25" s="15" t="s">
        <v>649</v>
      </c>
      <c r="G25" s="15" t="s">
        <v>649</v>
      </c>
      <c r="H25" s="15"/>
      <c r="I25" s="157"/>
      <c r="J25" s="139"/>
      <c r="K25" s="140"/>
      <c r="L25" s="141"/>
      <c r="M25" s="15"/>
      <c r="N25" s="141"/>
      <c r="O25" s="142"/>
      <c r="P25" s="15"/>
      <c r="Q25" s="15"/>
      <c r="R25" s="15"/>
      <c r="S25" s="141"/>
      <c r="T25" s="15"/>
      <c r="U25" s="15"/>
      <c r="V25" s="141"/>
      <c r="W25" s="140"/>
      <c r="X25" s="143">
        <v>0.27511874999999997</v>
      </c>
      <c r="Y25" s="143">
        <v>7.5466285714285704E-4</v>
      </c>
    </row>
    <row r="26" spans="3:25">
      <c r="C26" s="15"/>
      <c r="D26" s="15"/>
      <c r="E26" s="15"/>
      <c r="F26" s="15" t="s">
        <v>636</v>
      </c>
      <c r="G26" s="15" t="s">
        <v>636</v>
      </c>
      <c r="H26" s="15"/>
      <c r="I26" s="157"/>
      <c r="J26" s="139"/>
      <c r="K26" s="15"/>
      <c r="L26" s="141"/>
      <c r="M26" s="15"/>
      <c r="N26" s="141"/>
      <c r="O26" s="142"/>
      <c r="P26" s="15"/>
      <c r="Q26" s="15"/>
      <c r="R26" s="15"/>
      <c r="S26" s="141"/>
      <c r="T26" s="15"/>
      <c r="U26" s="15"/>
      <c r="V26" s="141"/>
      <c r="W26" s="144">
        <v>7.2470588235294134E-2</v>
      </c>
      <c r="X26" s="143">
        <v>2.7511875000000003</v>
      </c>
      <c r="Y26" s="143">
        <v>7.5466285714285725E-3</v>
      </c>
    </row>
    <row r="27" spans="3:25">
      <c r="C27" s="15"/>
      <c r="D27" s="15"/>
      <c r="E27" s="15"/>
      <c r="F27" s="15" t="s">
        <v>637</v>
      </c>
      <c r="G27" s="15" t="s">
        <v>637</v>
      </c>
      <c r="H27" s="15"/>
      <c r="I27" s="157"/>
      <c r="J27" s="139"/>
      <c r="K27" s="15"/>
      <c r="L27" s="141"/>
      <c r="M27" s="15"/>
      <c r="N27" s="141"/>
      <c r="O27" s="142"/>
      <c r="P27" s="15"/>
      <c r="Q27" s="15"/>
      <c r="R27" s="15"/>
      <c r="S27" s="141"/>
      <c r="T27" s="15"/>
      <c r="U27" s="15"/>
      <c r="V27" s="141"/>
      <c r="W27" s="140"/>
      <c r="X27" s="143">
        <v>0.82535625000000024</v>
      </c>
      <c r="Y27" s="143">
        <v>7.5466285714285725E-3</v>
      </c>
    </row>
    <row r="28" spans="3:25">
      <c r="C28" s="15"/>
      <c r="D28" s="15"/>
      <c r="E28" s="15"/>
      <c r="F28" s="15" t="s">
        <v>638</v>
      </c>
      <c r="G28" s="15" t="s">
        <v>638</v>
      </c>
      <c r="H28" s="15"/>
      <c r="I28" s="157"/>
      <c r="J28" s="139"/>
      <c r="K28" s="15"/>
      <c r="L28" s="141"/>
      <c r="M28" s="15"/>
      <c r="N28" s="141"/>
      <c r="O28" s="142"/>
      <c r="P28" s="15"/>
      <c r="Q28" s="15"/>
      <c r="R28" s="15"/>
      <c r="S28" s="141"/>
      <c r="T28" s="15"/>
      <c r="U28" s="15"/>
      <c r="V28" s="141"/>
      <c r="W28" s="140"/>
      <c r="X28" s="143">
        <v>0.27511875000000002</v>
      </c>
      <c r="Y28" s="143">
        <v>0.25</v>
      </c>
    </row>
    <row r="29" spans="3:25">
      <c r="C29" s="15"/>
      <c r="D29" s="15"/>
      <c r="E29" s="15"/>
      <c r="F29" s="15" t="s">
        <v>639</v>
      </c>
      <c r="G29" s="15" t="s">
        <v>639</v>
      </c>
      <c r="H29" s="15"/>
      <c r="I29" s="157"/>
      <c r="J29" s="139"/>
      <c r="K29" s="15"/>
      <c r="L29" s="141"/>
      <c r="M29" s="15"/>
      <c r="N29" s="141"/>
      <c r="O29" s="142"/>
      <c r="P29" s="15"/>
      <c r="Q29" s="143">
        <v>4.2000000000000006E-3</v>
      </c>
      <c r="R29" s="15"/>
      <c r="S29" s="141"/>
      <c r="T29" s="15"/>
      <c r="U29" s="15"/>
      <c r="V29" s="141"/>
      <c r="W29" s="140"/>
      <c r="X29" s="143">
        <v>8.2535625000000015E-2</v>
      </c>
      <c r="Y29" s="143">
        <v>0.25</v>
      </c>
    </row>
    <row r="30" spans="3:25">
      <c r="C30" s="15"/>
      <c r="D30" s="15"/>
      <c r="E30" s="15" t="s">
        <v>266</v>
      </c>
      <c r="F30" s="15"/>
      <c r="G30" s="15"/>
      <c r="H30" s="15" t="s">
        <v>640</v>
      </c>
      <c r="I30" s="157"/>
      <c r="J30" s="139"/>
      <c r="K30" s="140">
        <v>2</v>
      </c>
      <c r="L30" s="141"/>
      <c r="M30" s="15"/>
      <c r="N30" s="141"/>
      <c r="O30" s="142"/>
      <c r="P30" s="15"/>
      <c r="Q30" s="15"/>
      <c r="R30" s="15"/>
      <c r="S30" s="141"/>
      <c r="T30" s="15"/>
      <c r="U30" s="15"/>
      <c r="V30" s="141"/>
      <c r="W30" s="140"/>
      <c r="X30" s="143"/>
      <c r="Y30" s="143"/>
    </row>
    <row r="31" spans="3:25">
      <c r="C31" s="15"/>
      <c r="D31" s="15"/>
      <c r="E31" s="15" t="s">
        <v>641</v>
      </c>
      <c r="F31" s="15"/>
      <c r="G31" s="15"/>
      <c r="H31" s="15" t="s">
        <v>640</v>
      </c>
      <c r="I31" s="157"/>
      <c r="J31" s="139"/>
      <c r="K31" s="140">
        <v>2</v>
      </c>
      <c r="L31" s="141"/>
      <c r="M31" s="15"/>
      <c r="N31" s="141"/>
      <c r="O31" s="142"/>
      <c r="P31" s="15"/>
      <c r="Q31" s="15"/>
      <c r="R31" s="15"/>
      <c r="S31" s="141"/>
      <c r="T31" s="15"/>
      <c r="U31" s="15"/>
      <c r="V31" s="141"/>
      <c r="W31" s="140"/>
      <c r="X31" s="143"/>
      <c r="Y31" s="143"/>
    </row>
    <row r="32" spans="3:25">
      <c r="C32" s="15"/>
      <c r="D32" s="15"/>
      <c r="E32" s="15"/>
      <c r="F32" s="15" t="s">
        <v>637</v>
      </c>
      <c r="G32" s="15" t="s">
        <v>642</v>
      </c>
      <c r="H32" s="15" t="s">
        <v>698</v>
      </c>
      <c r="I32" s="157" t="s">
        <v>274</v>
      </c>
      <c r="J32" s="139"/>
      <c r="K32" s="140">
        <v>0.01</v>
      </c>
      <c r="L32" s="141">
        <v>0.5</v>
      </c>
      <c r="M32" s="15">
        <v>0.8</v>
      </c>
      <c r="N32" s="141">
        <v>0.9</v>
      </c>
      <c r="O32" s="142">
        <v>0.95</v>
      </c>
      <c r="P32" s="15"/>
      <c r="Q32" s="15"/>
      <c r="R32" s="15"/>
      <c r="S32" s="141"/>
      <c r="T32" s="15"/>
      <c r="U32" s="15"/>
      <c r="V32" s="141"/>
      <c r="W32" s="140"/>
      <c r="X32" s="143"/>
      <c r="Y32" s="143"/>
    </row>
    <row r="33" spans="3:25">
      <c r="C33" s="15"/>
      <c r="D33" s="15"/>
      <c r="E33" s="15"/>
      <c r="F33" s="15" t="s">
        <v>639</v>
      </c>
      <c r="G33" s="15" t="s">
        <v>643</v>
      </c>
      <c r="H33" s="15" t="s">
        <v>698</v>
      </c>
      <c r="I33" s="157" t="s">
        <v>274</v>
      </c>
      <c r="J33" s="139"/>
      <c r="K33" s="140">
        <v>0.01</v>
      </c>
      <c r="L33" s="141">
        <v>0.5</v>
      </c>
      <c r="M33" s="15">
        <v>0.8</v>
      </c>
      <c r="N33" s="141">
        <v>0.9</v>
      </c>
      <c r="O33" s="142">
        <v>0.95</v>
      </c>
      <c r="P33" s="15"/>
      <c r="Q33" s="15"/>
      <c r="R33" s="15"/>
      <c r="S33" s="141"/>
      <c r="T33" s="15"/>
      <c r="U33" s="15"/>
      <c r="V33" s="141"/>
      <c r="W33" s="140"/>
      <c r="X33" s="143"/>
      <c r="Y33" s="143"/>
    </row>
    <row r="34" spans="3:25">
      <c r="C34" s="15"/>
      <c r="D34" s="15"/>
      <c r="E34" s="15"/>
      <c r="F34" s="17" t="s">
        <v>96</v>
      </c>
      <c r="G34" s="15"/>
      <c r="H34" s="15"/>
      <c r="I34" s="157"/>
      <c r="J34" s="139"/>
      <c r="K34" s="140"/>
      <c r="L34" s="141"/>
      <c r="M34" s="15"/>
      <c r="N34" s="141"/>
      <c r="O34" s="142"/>
      <c r="P34" s="15"/>
      <c r="Q34" s="15"/>
      <c r="R34" s="15"/>
      <c r="S34" s="141"/>
      <c r="T34" s="15"/>
      <c r="U34" s="15"/>
      <c r="V34" s="141"/>
      <c r="W34" s="140"/>
      <c r="X34" s="143"/>
      <c r="Y34" s="143"/>
    </row>
    <row r="35" spans="3:25">
      <c r="C35" s="155" t="s">
        <v>650</v>
      </c>
      <c r="D35" s="155" t="s">
        <v>651</v>
      </c>
      <c r="E35" s="15"/>
      <c r="F35" s="15" t="s">
        <v>638</v>
      </c>
      <c r="G35" s="15" t="s">
        <v>638</v>
      </c>
      <c r="H35" s="15" t="s">
        <v>640</v>
      </c>
      <c r="I35" s="157"/>
      <c r="J35" s="139"/>
      <c r="K35" s="140">
        <v>1</v>
      </c>
      <c r="L35" s="141"/>
      <c r="M35" s="15"/>
      <c r="N35" s="141"/>
      <c r="O35" s="142"/>
      <c r="P35" s="15"/>
      <c r="Q35" s="15"/>
      <c r="R35" s="15"/>
      <c r="S35" s="141"/>
      <c r="T35" s="15"/>
      <c r="U35" s="15"/>
      <c r="V35" s="141"/>
      <c r="W35" s="144">
        <v>0.55348235294117654</v>
      </c>
      <c r="X35" s="143">
        <v>0.3</v>
      </c>
      <c r="Y35" s="143"/>
    </row>
    <row r="36" spans="3:25">
      <c r="C36" s="15"/>
      <c r="D36" s="15"/>
      <c r="E36" s="15"/>
      <c r="F36" s="15" t="s">
        <v>639</v>
      </c>
      <c r="G36" s="15" t="s">
        <v>639</v>
      </c>
      <c r="H36" s="15" t="s">
        <v>640</v>
      </c>
      <c r="I36" s="157"/>
      <c r="J36" s="139"/>
      <c r="K36" s="15">
        <v>1</v>
      </c>
      <c r="L36" s="141"/>
      <c r="M36" s="15"/>
      <c r="N36" s="141"/>
      <c r="O36" s="142"/>
      <c r="P36" s="15"/>
      <c r="Q36" s="143">
        <v>4.8999999999999998E-3</v>
      </c>
      <c r="R36" s="15"/>
      <c r="S36" s="141"/>
      <c r="T36" s="15"/>
      <c r="U36" s="15"/>
      <c r="V36" s="141"/>
      <c r="W36" s="140"/>
      <c r="X36" s="143">
        <v>0.09</v>
      </c>
      <c r="Y36" s="143"/>
    </row>
    <row r="37" spans="3:25">
      <c r="C37" s="15"/>
      <c r="D37" s="15"/>
      <c r="E37" s="15"/>
      <c r="F37" s="15" t="s">
        <v>639</v>
      </c>
      <c r="G37" s="15" t="s">
        <v>643</v>
      </c>
      <c r="H37" s="15" t="s">
        <v>698</v>
      </c>
      <c r="I37" s="157" t="s">
        <v>274</v>
      </c>
      <c r="J37" s="139"/>
      <c r="K37" s="140">
        <v>0.01</v>
      </c>
      <c r="L37" s="141">
        <v>0.5</v>
      </c>
      <c r="M37" s="15">
        <v>0.8</v>
      </c>
      <c r="N37" s="141">
        <v>0.9</v>
      </c>
      <c r="O37" s="142">
        <v>0.95</v>
      </c>
      <c r="P37" s="15"/>
      <c r="Q37" s="143"/>
      <c r="R37" s="15"/>
      <c r="S37" s="141"/>
      <c r="T37" s="15"/>
      <c r="U37" s="15"/>
      <c r="V37" s="141"/>
      <c r="W37" s="140"/>
      <c r="X37" s="143"/>
      <c r="Y37" s="143"/>
    </row>
    <row r="38" spans="3:25">
      <c r="C38" s="15"/>
      <c r="D38" s="15"/>
      <c r="E38" s="15"/>
      <c r="F38" s="17" t="s">
        <v>96</v>
      </c>
      <c r="G38" s="15"/>
      <c r="H38" s="15"/>
      <c r="I38" s="157"/>
      <c r="J38" s="139"/>
      <c r="K38" s="140"/>
      <c r="L38" s="141"/>
      <c r="M38" s="15"/>
      <c r="N38" s="141"/>
      <c r="O38" s="142"/>
      <c r="P38" s="15"/>
      <c r="Q38" s="143"/>
      <c r="R38" s="15"/>
      <c r="S38" s="141"/>
      <c r="T38" s="15"/>
      <c r="U38" s="15"/>
      <c r="V38" s="141"/>
      <c r="W38" s="140"/>
      <c r="X38" s="143"/>
      <c r="Y38" s="143"/>
    </row>
    <row r="39" spans="3:25">
      <c r="C39" s="155" t="s">
        <v>652</v>
      </c>
      <c r="D39" s="155" t="s">
        <v>653</v>
      </c>
      <c r="E39" s="15"/>
      <c r="F39" s="15" t="s">
        <v>638</v>
      </c>
      <c r="G39" s="15" t="s">
        <v>638</v>
      </c>
      <c r="H39" s="15" t="s">
        <v>640</v>
      </c>
      <c r="I39" s="157"/>
      <c r="J39" s="139"/>
      <c r="K39" s="140">
        <v>5</v>
      </c>
      <c r="L39" s="141"/>
      <c r="M39" s="15"/>
      <c r="N39" s="141"/>
      <c r="O39" s="142"/>
      <c r="P39" s="15"/>
      <c r="Q39" s="143"/>
      <c r="R39" s="15"/>
      <c r="S39" s="141"/>
      <c r="T39" s="15"/>
      <c r="U39" s="15"/>
      <c r="V39" s="141"/>
      <c r="W39" s="144">
        <v>2.3319999999999999</v>
      </c>
      <c r="X39" s="143">
        <v>0.46</v>
      </c>
      <c r="Y39" s="143"/>
    </row>
    <row r="40" spans="3:25">
      <c r="C40" s="15"/>
      <c r="D40" s="15"/>
      <c r="E40" s="15"/>
      <c r="F40" s="15" t="s">
        <v>639</v>
      </c>
      <c r="G40" s="15" t="s">
        <v>639</v>
      </c>
      <c r="H40" s="15" t="s">
        <v>640</v>
      </c>
      <c r="I40" s="157"/>
      <c r="J40" s="139"/>
      <c r="K40" s="15">
        <v>5</v>
      </c>
      <c r="L40" s="141"/>
      <c r="M40" s="15"/>
      <c r="N40" s="141"/>
      <c r="O40" s="142"/>
      <c r="P40" s="15"/>
      <c r="Q40" s="143">
        <v>4.8999999999999998E-3</v>
      </c>
      <c r="R40" s="15"/>
      <c r="S40" s="141"/>
      <c r="T40" s="15"/>
      <c r="U40" s="15"/>
      <c r="V40" s="141"/>
      <c r="W40" s="140"/>
      <c r="X40" s="143">
        <v>0.13800000000000001</v>
      </c>
      <c r="Y40" s="143"/>
    </row>
    <row r="41" spans="3:25">
      <c r="C41" s="15"/>
      <c r="D41" s="15"/>
      <c r="E41" s="15"/>
      <c r="F41" s="15" t="s">
        <v>639</v>
      </c>
      <c r="G41" s="15" t="s">
        <v>643</v>
      </c>
      <c r="H41" s="15" t="s">
        <v>698</v>
      </c>
      <c r="I41" s="157" t="s">
        <v>274</v>
      </c>
      <c r="J41" s="139"/>
      <c r="K41" s="140">
        <v>0.01</v>
      </c>
      <c r="L41" s="141">
        <v>0.5</v>
      </c>
      <c r="M41" s="15">
        <v>0.8</v>
      </c>
      <c r="N41" s="141">
        <v>0.9</v>
      </c>
      <c r="O41" s="142">
        <v>0.95</v>
      </c>
      <c r="P41" s="15"/>
      <c r="Q41" s="15"/>
      <c r="R41" s="15"/>
      <c r="S41" s="141"/>
      <c r="T41" s="15"/>
      <c r="U41" s="15"/>
      <c r="V41" s="141"/>
      <c r="W41" s="140"/>
      <c r="X41" s="143"/>
      <c r="Y41" s="143"/>
    </row>
    <row r="42" spans="3:25">
      <c r="C42" s="15"/>
      <c r="D42" s="15"/>
      <c r="E42" s="15"/>
      <c r="F42" s="17" t="s">
        <v>96</v>
      </c>
      <c r="G42" s="15"/>
      <c r="H42" s="15"/>
      <c r="I42" s="157"/>
      <c r="J42" s="139"/>
      <c r="K42" s="140"/>
      <c r="L42" s="141"/>
      <c r="M42" s="15"/>
      <c r="N42" s="141"/>
      <c r="O42" s="142"/>
      <c r="P42" s="15"/>
      <c r="Q42" s="15"/>
      <c r="R42" s="15"/>
      <c r="S42" s="141"/>
      <c r="T42" s="15"/>
      <c r="U42" s="15"/>
      <c r="V42" s="141"/>
      <c r="W42" s="140"/>
      <c r="X42" s="143"/>
      <c r="Y42" s="143"/>
    </row>
    <row r="43" spans="3:25">
      <c r="C43" s="155" t="s">
        <v>654</v>
      </c>
      <c r="D43" s="155" t="s">
        <v>655</v>
      </c>
      <c r="E43" s="15"/>
      <c r="F43" s="15" t="s">
        <v>638</v>
      </c>
      <c r="G43" s="15" t="s">
        <v>638</v>
      </c>
      <c r="H43" s="15" t="s">
        <v>640</v>
      </c>
      <c r="I43" s="157"/>
      <c r="J43" s="139"/>
      <c r="K43" s="140">
        <v>0.05</v>
      </c>
      <c r="L43" s="141"/>
      <c r="M43" s="15"/>
      <c r="N43" s="141"/>
      <c r="O43" s="142"/>
      <c r="P43" s="15"/>
      <c r="Q43" s="15"/>
      <c r="R43" s="15"/>
      <c r="S43" s="141"/>
      <c r="T43" s="15"/>
      <c r="U43" s="15"/>
      <c r="V43" s="141"/>
      <c r="W43" s="144">
        <v>2.6211764705882355E-2</v>
      </c>
      <c r="X43" s="143">
        <v>4.18567570441662</v>
      </c>
      <c r="Y43" s="143"/>
    </row>
    <row r="44" spans="3:25">
      <c r="C44" s="15"/>
      <c r="D44" s="15"/>
      <c r="E44" s="15"/>
      <c r="F44" s="15" t="s">
        <v>639</v>
      </c>
      <c r="G44" s="15" t="s">
        <v>639</v>
      </c>
      <c r="H44" s="15" t="s">
        <v>640</v>
      </c>
      <c r="I44" s="157"/>
      <c r="J44" s="139"/>
      <c r="K44" s="15">
        <v>0.05</v>
      </c>
      <c r="L44" s="141"/>
      <c r="M44" s="15"/>
      <c r="N44" s="141"/>
      <c r="O44" s="142"/>
      <c r="P44" s="15"/>
      <c r="Q44" s="15"/>
      <c r="R44" s="15"/>
      <c r="S44" s="141"/>
      <c r="T44" s="15"/>
      <c r="U44" s="15"/>
      <c r="V44" s="141"/>
      <c r="W44" s="140"/>
      <c r="X44" s="143">
        <v>1.2557027113249861</v>
      </c>
      <c r="Y44" s="143"/>
    </row>
    <row r="45" spans="3:25">
      <c r="C45" s="15"/>
      <c r="D45" s="15"/>
      <c r="E45" s="15"/>
      <c r="F45" s="15" t="s">
        <v>639</v>
      </c>
      <c r="G45" s="15" t="s">
        <v>643</v>
      </c>
      <c r="H45" s="15" t="s">
        <v>698</v>
      </c>
      <c r="I45" s="157" t="s">
        <v>274</v>
      </c>
      <c r="J45" s="139"/>
      <c r="K45" s="140">
        <v>0.01</v>
      </c>
      <c r="L45" s="141">
        <v>0.5</v>
      </c>
      <c r="M45" s="15">
        <v>0.8</v>
      </c>
      <c r="N45" s="141">
        <v>0.9</v>
      </c>
      <c r="O45" s="142">
        <v>0.95</v>
      </c>
      <c r="P45" s="15"/>
      <c r="Q45" s="15"/>
      <c r="R45" s="15"/>
      <c r="S45" s="141"/>
      <c r="T45" s="15"/>
      <c r="U45" s="15"/>
      <c r="V45" s="141"/>
      <c r="W45" s="140"/>
      <c r="X45" s="143"/>
      <c r="Y45" s="15"/>
    </row>
    <row r="46" spans="3:25">
      <c r="C46" s="15"/>
      <c r="D46" s="15"/>
      <c r="E46" s="15"/>
      <c r="F46" s="17" t="s">
        <v>96</v>
      </c>
      <c r="G46" s="15"/>
      <c r="H46" s="15"/>
      <c r="I46" s="157"/>
      <c r="J46" s="139"/>
      <c r="K46" s="140"/>
      <c r="L46" s="141"/>
      <c r="M46" s="15"/>
      <c r="N46" s="141"/>
      <c r="O46" s="142"/>
      <c r="P46" s="15"/>
      <c r="Q46" s="15"/>
      <c r="R46" s="15"/>
      <c r="S46" s="141"/>
      <c r="T46" s="15"/>
      <c r="U46" s="15"/>
      <c r="V46" s="141"/>
      <c r="W46" s="140"/>
      <c r="X46" s="143"/>
      <c r="Y46" s="15"/>
    </row>
    <row r="47" spans="3:25">
      <c r="C47" s="155" t="s">
        <v>656</v>
      </c>
      <c r="D47" s="155" t="s">
        <v>657</v>
      </c>
      <c r="E47" s="15" t="s">
        <v>635</v>
      </c>
      <c r="F47" s="15" t="s">
        <v>396</v>
      </c>
      <c r="G47" s="15" t="s">
        <v>635</v>
      </c>
      <c r="H47" s="15" t="s">
        <v>658</v>
      </c>
      <c r="I47" s="157"/>
      <c r="J47" s="139"/>
      <c r="K47" s="145">
        <v>1.1455873282442753E-3</v>
      </c>
      <c r="L47" s="141"/>
      <c r="M47" s="15"/>
      <c r="N47" s="141"/>
      <c r="O47" s="142"/>
      <c r="P47" s="15">
        <v>5.0861999999999998</v>
      </c>
      <c r="Q47" s="143"/>
      <c r="R47" s="15">
        <v>1000</v>
      </c>
      <c r="S47" s="141">
        <v>20</v>
      </c>
      <c r="T47" s="15"/>
      <c r="U47" s="15">
        <v>1.37E-2</v>
      </c>
      <c r="V47" s="141"/>
      <c r="W47" s="140"/>
      <c r="X47" s="15"/>
      <c r="Y47" s="15"/>
    </row>
    <row r="48" spans="3:25">
      <c r="C48" s="15"/>
      <c r="D48" s="15"/>
      <c r="E48" s="15" t="s">
        <v>646</v>
      </c>
      <c r="F48" s="15" t="s">
        <v>396</v>
      </c>
      <c r="G48" s="15" t="s">
        <v>646</v>
      </c>
      <c r="H48" s="15" t="s">
        <v>658</v>
      </c>
      <c r="I48" s="157"/>
      <c r="J48" s="139"/>
      <c r="K48" s="145">
        <v>7.6198711245283035E-4</v>
      </c>
      <c r="L48" s="141"/>
      <c r="M48" s="15"/>
      <c r="N48" s="141"/>
      <c r="O48" s="142"/>
      <c r="P48" s="15"/>
      <c r="Q48" s="143"/>
      <c r="R48" s="15"/>
      <c r="S48" s="141"/>
      <c r="T48" s="15"/>
      <c r="U48" s="15"/>
      <c r="V48" s="141"/>
      <c r="W48" s="140"/>
      <c r="X48" s="15"/>
      <c r="Y48" s="15"/>
    </row>
    <row r="49" spans="3:25">
      <c r="C49" s="15"/>
      <c r="D49" s="15"/>
      <c r="E49" s="15" t="s">
        <v>649</v>
      </c>
      <c r="F49" s="15" t="s">
        <v>396</v>
      </c>
      <c r="G49" s="15" t="s">
        <v>649</v>
      </c>
      <c r="H49" s="15" t="s">
        <v>658</v>
      </c>
      <c r="I49" s="157"/>
      <c r="J49" s="139"/>
      <c r="K49" s="145">
        <v>1.3762507500000001E-3</v>
      </c>
      <c r="L49" s="141"/>
      <c r="M49" s="15"/>
      <c r="N49" s="141"/>
      <c r="O49" s="142"/>
      <c r="P49" s="15"/>
      <c r="Q49" s="143"/>
      <c r="R49" s="15"/>
      <c r="S49" s="141"/>
      <c r="T49" s="15"/>
      <c r="U49" s="15"/>
      <c r="V49" s="141"/>
      <c r="W49" s="140"/>
      <c r="X49" s="15"/>
      <c r="Y49" s="15"/>
    </row>
    <row r="50" spans="3:25">
      <c r="C50" s="15"/>
      <c r="D50" s="15"/>
      <c r="E50" s="15"/>
      <c r="F50" s="15"/>
      <c r="G50" s="15"/>
      <c r="H50" s="15" t="s">
        <v>128</v>
      </c>
      <c r="I50" s="157"/>
      <c r="J50" s="139"/>
      <c r="K50" s="146">
        <v>105.95382711864407</v>
      </c>
      <c r="L50" s="147">
        <v>102.95513389830509</v>
      </c>
      <c r="M50" s="148">
        <v>99.9564406779661</v>
      </c>
      <c r="N50" s="147">
        <v>95.958183050847452</v>
      </c>
      <c r="O50" s="149">
        <v>89.960796610169496</v>
      </c>
      <c r="P50" s="15"/>
      <c r="Q50" s="143"/>
      <c r="R50" s="15"/>
      <c r="S50" s="141"/>
      <c r="T50" s="15"/>
      <c r="U50" s="15"/>
      <c r="V50" s="141"/>
      <c r="W50" s="140"/>
      <c r="X50" s="15"/>
      <c r="Y50" s="15"/>
    </row>
    <row r="51" spans="3:25">
      <c r="C51" s="155" t="s">
        <v>659</v>
      </c>
      <c r="D51" s="155" t="s">
        <v>660</v>
      </c>
      <c r="E51" s="15" t="s">
        <v>636</v>
      </c>
      <c r="F51" s="15"/>
      <c r="G51" s="15"/>
      <c r="H51" s="15"/>
      <c r="I51" s="157"/>
      <c r="J51" s="139"/>
      <c r="K51" s="140"/>
      <c r="L51" s="141"/>
      <c r="M51" s="15"/>
      <c r="N51" s="141"/>
      <c r="O51" s="142"/>
      <c r="P51" s="15"/>
      <c r="Q51" s="143"/>
      <c r="R51" s="15"/>
      <c r="S51" s="141"/>
      <c r="T51" s="15"/>
      <c r="U51" s="143">
        <v>1.9900000000000001E-2</v>
      </c>
      <c r="V51" s="141"/>
      <c r="W51" s="140"/>
      <c r="X51" s="15"/>
      <c r="Y51" s="15"/>
    </row>
    <row r="52" spans="3:25">
      <c r="C52" s="155" t="s">
        <v>661</v>
      </c>
      <c r="D52" s="155" t="s">
        <v>662</v>
      </c>
      <c r="E52" s="15" t="s">
        <v>637</v>
      </c>
      <c r="F52" s="15"/>
      <c r="G52" s="15"/>
      <c r="H52" s="15"/>
      <c r="I52" s="157"/>
      <c r="J52" s="139"/>
      <c r="K52" s="140"/>
      <c r="L52" s="141"/>
      <c r="M52" s="15"/>
      <c r="N52" s="141"/>
      <c r="O52" s="142"/>
      <c r="P52" s="15"/>
      <c r="Q52" s="143"/>
      <c r="R52" s="15"/>
      <c r="S52" s="141"/>
      <c r="T52" s="15"/>
      <c r="U52" s="143">
        <v>3.5000000000000003E-2</v>
      </c>
      <c r="V52" s="141"/>
      <c r="W52" s="140"/>
      <c r="X52" s="15"/>
      <c r="Y52" s="15"/>
    </row>
    <row r="53" spans="3:25">
      <c r="C53" s="155" t="s">
        <v>663</v>
      </c>
      <c r="D53" s="155" t="s">
        <v>664</v>
      </c>
      <c r="E53" s="15" t="s">
        <v>638</v>
      </c>
      <c r="F53" s="15"/>
      <c r="G53" s="15"/>
      <c r="H53" s="15"/>
      <c r="I53" s="157"/>
      <c r="J53" s="139"/>
      <c r="K53" s="140"/>
      <c r="L53" s="141"/>
      <c r="M53" s="15"/>
      <c r="N53" s="141"/>
      <c r="O53" s="142"/>
      <c r="P53" s="15"/>
      <c r="Q53" s="143"/>
      <c r="R53" s="15"/>
      <c r="S53" s="141"/>
      <c r="T53" s="15"/>
      <c r="U53" s="143">
        <v>2.5900000000000003E-2</v>
      </c>
      <c r="V53" s="141"/>
      <c r="W53" s="144"/>
      <c r="X53" s="15"/>
      <c r="Y53" s="15"/>
    </row>
    <row r="54" spans="3:25">
      <c r="C54" s="155" t="s">
        <v>665</v>
      </c>
      <c r="D54" s="155" t="s">
        <v>666</v>
      </c>
      <c r="E54" s="15" t="s">
        <v>639</v>
      </c>
      <c r="F54" s="15"/>
      <c r="G54" s="15"/>
      <c r="H54" s="15"/>
      <c r="I54" s="157"/>
      <c r="J54" s="139"/>
      <c r="K54" s="140"/>
      <c r="L54" s="141"/>
      <c r="M54" s="15"/>
      <c r="N54" s="141"/>
      <c r="O54" s="142"/>
      <c r="P54" s="15"/>
      <c r="Q54" s="143"/>
      <c r="R54" s="15"/>
      <c r="S54" s="141"/>
      <c r="T54" s="15"/>
      <c r="U54" s="143">
        <v>3.0800000000000001E-2</v>
      </c>
      <c r="V54" s="141"/>
      <c r="W54" s="140"/>
      <c r="X54" s="15"/>
      <c r="Y54" s="15"/>
    </row>
    <row r="55" spans="3:25">
      <c r="C55" s="155" t="s">
        <v>667</v>
      </c>
      <c r="D55" s="155" t="s">
        <v>668</v>
      </c>
      <c r="E55" s="15"/>
      <c r="F55" s="15" t="s">
        <v>669</v>
      </c>
      <c r="G55" s="15"/>
      <c r="H55" s="15"/>
      <c r="I55" s="157"/>
      <c r="J55" s="139"/>
      <c r="K55" s="140"/>
      <c r="L55" s="141"/>
      <c r="M55" s="15"/>
      <c r="N55" s="141"/>
      <c r="O55" s="142"/>
      <c r="P55" s="15"/>
      <c r="Q55" s="148"/>
      <c r="R55" s="15"/>
      <c r="S55" s="141"/>
      <c r="T55" s="15"/>
      <c r="U55" s="15">
        <v>0.248</v>
      </c>
      <c r="V55" s="141"/>
      <c r="W55" s="140"/>
      <c r="X55" s="15"/>
      <c r="Y55" s="15"/>
    </row>
    <row r="56" spans="3:25">
      <c r="C56" s="155" t="s">
        <v>670</v>
      </c>
      <c r="D56" s="155" t="s">
        <v>671</v>
      </c>
      <c r="E56" s="15"/>
      <c r="F56" s="15" t="s">
        <v>266</v>
      </c>
      <c r="G56" s="15" t="s">
        <v>59</v>
      </c>
      <c r="H56" s="15" t="s">
        <v>698</v>
      </c>
      <c r="I56" s="157" t="s">
        <v>697</v>
      </c>
      <c r="J56" s="139">
        <v>3</v>
      </c>
      <c r="K56" s="140">
        <v>0.93</v>
      </c>
      <c r="L56" s="141">
        <v>0.9</v>
      </c>
      <c r="M56" s="15">
        <v>0.8</v>
      </c>
      <c r="N56" s="141">
        <v>0.7</v>
      </c>
      <c r="O56" s="142">
        <v>0.6</v>
      </c>
      <c r="P56" s="15"/>
      <c r="Q56" s="15"/>
      <c r="R56" s="15"/>
      <c r="S56" s="141"/>
      <c r="T56" s="15"/>
      <c r="U56" s="15"/>
      <c r="V56" s="150"/>
      <c r="W56" s="140"/>
      <c r="X56" s="15"/>
      <c r="Y56" s="15"/>
    </row>
    <row r="57" spans="3:25">
      <c r="C57" s="15"/>
      <c r="D57" s="15"/>
      <c r="E57" s="15"/>
      <c r="F57" s="15" t="s">
        <v>266</v>
      </c>
      <c r="G57" s="15" t="s">
        <v>59</v>
      </c>
      <c r="H57" s="15" t="s">
        <v>698</v>
      </c>
      <c r="I57" s="157" t="s">
        <v>274</v>
      </c>
      <c r="J57" s="139">
        <v>3</v>
      </c>
      <c r="K57" s="140">
        <v>0.94</v>
      </c>
      <c r="L57" s="141">
        <v>0.93</v>
      </c>
      <c r="M57" s="15"/>
      <c r="N57" s="141"/>
      <c r="O57" s="142"/>
      <c r="P57" s="15"/>
      <c r="Q57" s="15"/>
      <c r="R57" s="15"/>
      <c r="S57" s="141"/>
      <c r="T57" s="15"/>
      <c r="U57" s="15"/>
      <c r="V57" s="150"/>
      <c r="W57" s="140"/>
      <c r="X57" s="15"/>
      <c r="Y57" s="15"/>
    </row>
    <row r="58" spans="3:25">
      <c r="C58" s="15"/>
      <c r="D58" s="15"/>
      <c r="E58" s="15"/>
      <c r="F58" s="15" t="s">
        <v>641</v>
      </c>
      <c r="G58" s="15" t="s">
        <v>641</v>
      </c>
      <c r="H58" s="15" t="s">
        <v>640</v>
      </c>
      <c r="I58" s="157"/>
      <c r="J58" s="139"/>
      <c r="K58" s="140">
        <v>0.55000000000000004</v>
      </c>
      <c r="L58" s="141"/>
      <c r="M58" s="15"/>
      <c r="N58" s="141">
        <v>0.57499999999999996</v>
      </c>
      <c r="O58" s="142">
        <v>0.6</v>
      </c>
      <c r="P58" s="15"/>
      <c r="Q58" s="151">
        <v>0.1072</v>
      </c>
      <c r="R58" s="15"/>
      <c r="S58" s="141"/>
      <c r="T58" s="15"/>
      <c r="U58" s="15"/>
      <c r="V58" s="150"/>
      <c r="W58" s="140"/>
      <c r="X58" s="15"/>
      <c r="Y58" s="15"/>
    </row>
    <row r="59" spans="3:25">
      <c r="C59" s="15"/>
      <c r="D59" s="15"/>
      <c r="E59" s="15" t="s">
        <v>669</v>
      </c>
      <c r="F59" s="15" t="s">
        <v>111</v>
      </c>
      <c r="G59" s="15" t="s">
        <v>672</v>
      </c>
      <c r="H59" s="15" t="s">
        <v>698</v>
      </c>
      <c r="I59" s="157" t="s">
        <v>50</v>
      </c>
      <c r="J59" s="139"/>
      <c r="K59" s="152">
        <v>0.1</v>
      </c>
      <c r="L59" s="153"/>
      <c r="M59" s="15"/>
      <c r="N59" s="153"/>
      <c r="O59" s="154"/>
      <c r="P59" s="15"/>
      <c r="Q59" s="15"/>
      <c r="R59" s="15"/>
      <c r="S59" s="153"/>
      <c r="T59" s="15"/>
      <c r="U59" s="15"/>
      <c r="V59" s="153"/>
      <c r="W59" s="140"/>
      <c r="X59" s="15"/>
      <c r="Y59" s="15"/>
    </row>
    <row r="60" spans="3:25">
      <c r="C60" s="15"/>
      <c r="D60" s="15"/>
      <c r="E60" s="15" t="s">
        <v>673</v>
      </c>
      <c r="F60" s="15" t="s">
        <v>112</v>
      </c>
      <c r="G60" s="15"/>
      <c r="H60" s="15"/>
      <c r="I60" s="157"/>
      <c r="J60" s="139"/>
      <c r="K60" s="152"/>
      <c r="L60" s="153"/>
      <c r="M60" s="15"/>
      <c r="N60" s="153"/>
      <c r="O60" s="154"/>
      <c r="P60" s="15"/>
      <c r="Q60" s="15"/>
      <c r="R60" s="15"/>
      <c r="S60" s="153"/>
      <c r="T60" s="15"/>
      <c r="U60" s="15"/>
      <c r="V60" s="153">
        <v>1</v>
      </c>
      <c r="W60" s="140"/>
      <c r="X60" s="15"/>
      <c r="Y60" s="15"/>
    </row>
    <row r="61" spans="3:25">
      <c r="C61" s="15"/>
      <c r="D61" s="15"/>
      <c r="E61" s="15"/>
      <c r="F61" s="15" t="s">
        <v>674</v>
      </c>
      <c r="G61" s="15" t="s">
        <v>148</v>
      </c>
      <c r="H61" s="15" t="s">
        <v>698</v>
      </c>
      <c r="I61" s="157" t="s">
        <v>50</v>
      </c>
      <c r="J61" s="139"/>
      <c r="K61" s="140">
        <v>2.6</v>
      </c>
      <c r="L61" s="141">
        <v>2.7</v>
      </c>
      <c r="M61" s="15"/>
      <c r="N61" s="141">
        <v>2.8</v>
      </c>
      <c r="O61" s="149">
        <v>3</v>
      </c>
      <c r="P61" s="15"/>
      <c r="Q61" s="15"/>
      <c r="R61" s="15"/>
      <c r="S61" s="147"/>
      <c r="T61" s="15"/>
      <c r="U61" s="15"/>
      <c r="V61" s="147"/>
      <c r="W61" s="140"/>
      <c r="X61" s="15"/>
      <c r="Y61" s="15"/>
    </row>
    <row r="62" spans="3:25">
      <c r="C62" s="15"/>
      <c r="D62" s="15"/>
      <c r="E62" s="15"/>
      <c r="F62" s="15" t="s">
        <v>672</v>
      </c>
      <c r="G62" s="15" t="s">
        <v>266</v>
      </c>
      <c r="H62" s="15" t="s">
        <v>658</v>
      </c>
      <c r="I62" s="157"/>
      <c r="J62" s="139"/>
      <c r="K62" s="153">
        <f>(1-$K$63*(1-K57)*K58)/K57</f>
        <v>1.0550531914893617</v>
      </c>
      <c r="L62" s="153">
        <f>(1-$K$63*(1-L57))/L57</f>
        <v>1.0564516129032258</v>
      </c>
      <c r="M62" s="15"/>
      <c r="N62" s="153"/>
      <c r="O62" s="154"/>
      <c r="P62" s="15"/>
      <c r="Q62" s="15"/>
      <c r="R62" s="15"/>
      <c r="S62" s="153"/>
      <c r="T62" s="15"/>
      <c r="U62" s="15"/>
      <c r="V62" s="15"/>
      <c r="W62" s="140"/>
      <c r="X62" s="15"/>
      <c r="Y62" s="15"/>
    </row>
    <row r="63" spans="3:25">
      <c r="C63" s="15"/>
      <c r="D63" s="15"/>
      <c r="E63" s="15"/>
      <c r="F63" s="15" t="s">
        <v>672</v>
      </c>
      <c r="G63" s="15" t="s">
        <v>641</v>
      </c>
      <c r="H63" s="15" t="s">
        <v>658</v>
      </c>
      <c r="I63" s="157"/>
      <c r="J63" s="139"/>
      <c r="K63" s="152">
        <v>0.25</v>
      </c>
      <c r="L63" s="141"/>
      <c r="M63" s="15"/>
      <c r="N63" s="141"/>
      <c r="O63" s="142"/>
      <c r="P63" s="15"/>
      <c r="Q63" s="15"/>
      <c r="R63" s="15"/>
      <c r="S63" s="141"/>
      <c r="T63" s="15"/>
      <c r="U63" s="15"/>
      <c r="V63" s="15"/>
      <c r="W63" s="140"/>
      <c r="X63" s="15"/>
      <c r="Y63" s="15"/>
    </row>
    <row r="64" spans="3:25">
      <c r="C64" s="155" t="s">
        <v>675</v>
      </c>
      <c r="D64" s="155" t="s">
        <v>676</v>
      </c>
      <c r="E64" s="15"/>
      <c r="F64" s="15" t="s">
        <v>673</v>
      </c>
      <c r="G64" s="15"/>
      <c r="H64" s="15"/>
      <c r="I64" s="157"/>
      <c r="J64" s="139"/>
      <c r="K64" s="140"/>
      <c r="L64" s="141"/>
      <c r="M64" s="15"/>
      <c r="N64" s="141"/>
      <c r="O64" s="142"/>
      <c r="P64" s="74">
        <v>6.2E-2</v>
      </c>
      <c r="Q64" s="141"/>
      <c r="R64" s="15"/>
      <c r="S64" s="15"/>
      <c r="T64" s="15"/>
      <c r="U64" s="15"/>
      <c r="V64" s="15"/>
      <c r="W64" s="140"/>
      <c r="X64" s="15"/>
      <c r="Y64" s="15"/>
    </row>
    <row r="65" spans="3:25">
      <c r="C65" s="163" t="s">
        <v>3</v>
      </c>
      <c r="D65" s="163" t="s">
        <v>43</v>
      </c>
      <c r="E65" s="117"/>
      <c r="F65" s="108" t="s">
        <v>95</v>
      </c>
      <c r="G65" s="108"/>
      <c r="H65" s="108" t="s">
        <v>699</v>
      </c>
      <c r="I65" s="129" t="s">
        <v>50</v>
      </c>
      <c r="J65" s="129">
        <v>3</v>
      </c>
      <c r="K65" s="14">
        <v>0</v>
      </c>
      <c r="L65" s="14"/>
      <c r="M65" s="14"/>
      <c r="N65" s="14"/>
      <c r="O65" s="14"/>
      <c r="P65" s="164"/>
      <c r="Q65" s="109"/>
      <c r="R65" s="109"/>
      <c r="S65" s="109"/>
      <c r="T65" s="109"/>
      <c r="U65" s="109"/>
      <c r="V65" s="109"/>
      <c r="W65" s="164"/>
      <c r="X65" s="109"/>
      <c r="Y65" s="109"/>
    </row>
    <row r="66" spans="3:25">
      <c r="C66" s="163" t="s">
        <v>101</v>
      </c>
      <c r="D66" s="163" t="s">
        <v>103</v>
      </c>
      <c r="E66" s="117"/>
      <c r="F66" s="108" t="s">
        <v>96</v>
      </c>
      <c r="G66" s="108"/>
      <c r="H66" s="108" t="s">
        <v>699</v>
      </c>
      <c r="I66" s="129" t="s">
        <v>50</v>
      </c>
      <c r="J66" s="129">
        <v>3</v>
      </c>
      <c r="K66" s="14">
        <v>0</v>
      </c>
      <c r="L66" s="14"/>
      <c r="M66" s="14"/>
      <c r="N66" s="14"/>
      <c r="O66" s="14"/>
      <c r="P66" s="164"/>
      <c r="Q66" s="109"/>
      <c r="R66" s="109"/>
      <c r="S66" s="109"/>
      <c r="T66" s="109"/>
      <c r="U66" s="109"/>
      <c r="V66" s="109"/>
      <c r="W66" s="164"/>
      <c r="X66" s="109"/>
      <c r="Y66" s="109"/>
    </row>
    <row r="67" spans="3:25">
      <c r="C67" s="163" t="s">
        <v>102</v>
      </c>
      <c r="D67" s="163" t="s">
        <v>104</v>
      </c>
      <c r="E67" s="117"/>
      <c r="F67" s="108" t="s">
        <v>97</v>
      </c>
      <c r="G67" s="108"/>
      <c r="H67" s="108" t="s">
        <v>699</v>
      </c>
      <c r="I67" s="129" t="s">
        <v>50</v>
      </c>
      <c r="J67" s="129">
        <v>3</v>
      </c>
      <c r="K67" s="14">
        <v>0</v>
      </c>
      <c r="L67" s="14"/>
      <c r="M67" s="14"/>
      <c r="N67" s="14"/>
      <c r="O67" s="14"/>
      <c r="P67" s="164"/>
      <c r="Q67" s="109"/>
      <c r="R67" s="109"/>
      <c r="S67" s="109"/>
      <c r="T67" s="109"/>
      <c r="U67" s="109"/>
      <c r="V67" s="109"/>
      <c r="W67" s="164"/>
      <c r="X67" s="109"/>
      <c r="Y67" s="109"/>
    </row>
    <row r="68" spans="3:25">
      <c r="C68" s="163" t="s">
        <v>105</v>
      </c>
      <c r="D68" s="163" t="s">
        <v>110</v>
      </c>
      <c r="E68" s="117"/>
      <c r="F68" s="108" t="s">
        <v>111</v>
      </c>
      <c r="G68" s="108"/>
      <c r="H68" s="108" t="s">
        <v>699</v>
      </c>
      <c r="I68" s="129" t="s">
        <v>50</v>
      </c>
      <c r="J68" s="129">
        <v>3</v>
      </c>
      <c r="K68" s="14">
        <v>0</v>
      </c>
      <c r="L68" s="14"/>
      <c r="M68" s="14"/>
      <c r="N68" s="14"/>
      <c r="O68" s="14"/>
      <c r="P68" s="164"/>
      <c r="Q68" s="109"/>
      <c r="R68" s="109"/>
      <c r="S68" s="109"/>
      <c r="T68" s="109"/>
      <c r="U68" s="109"/>
      <c r="V68" s="109"/>
      <c r="W68" s="164"/>
      <c r="X68" s="109"/>
      <c r="Y68" s="109"/>
    </row>
    <row r="69" spans="3:25">
      <c r="C69" s="163" t="s">
        <v>106</v>
      </c>
      <c r="D69" s="163" t="s">
        <v>109</v>
      </c>
      <c r="E69" s="117"/>
      <c r="F69" s="108" t="s">
        <v>112</v>
      </c>
      <c r="G69" s="108"/>
      <c r="H69" s="108" t="s">
        <v>699</v>
      </c>
      <c r="I69" s="129" t="s">
        <v>50</v>
      </c>
      <c r="J69" s="129">
        <v>3</v>
      </c>
      <c r="K69" s="14">
        <v>0</v>
      </c>
      <c r="L69" s="14"/>
      <c r="M69" s="14"/>
      <c r="N69" s="14"/>
      <c r="O69" s="14"/>
      <c r="P69" s="164"/>
      <c r="Q69" s="109"/>
      <c r="R69" s="109"/>
      <c r="S69" s="109"/>
      <c r="T69" s="109"/>
      <c r="U69" s="109"/>
      <c r="V69" s="109"/>
      <c r="W69" s="164"/>
      <c r="X69" s="109"/>
      <c r="Y69" s="109"/>
    </row>
    <row r="70" spans="3:25">
      <c r="C70" s="163" t="s">
        <v>107</v>
      </c>
      <c r="D70" s="163" t="s">
        <v>108</v>
      </c>
      <c r="E70" s="117"/>
      <c r="F70" s="108" t="s">
        <v>113</v>
      </c>
      <c r="G70" s="108"/>
      <c r="H70" s="108" t="s">
        <v>699</v>
      </c>
      <c r="I70" s="129" t="s">
        <v>50</v>
      </c>
      <c r="J70" s="129">
        <v>3</v>
      </c>
      <c r="K70" s="14">
        <v>0</v>
      </c>
      <c r="L70" s="14"/>
      <c r="M70" s="14"/>
      <c r="N70" s="14"/>
      <c r="O70" s="14"/>
      <c r="P70" s="164"/>
      <c r="Q70" s="109"/>
      <c r="R70" s="109"/>
      <c r="S70" s="109"/>
      <c r="T70" s="109"/>
      <c r="U70" s="109"/>
      <c r="V70" s="109"/>
      <c r="W70" s="164"/>
      <c r="X70" s="109"/>
      <c r="Y70" s="109"/>
    </row>
    <row r="71" spans="3:25">
      <c r="C71" s="163" t="s">
        <v>170</v>
      </c>
      <c r="D71" s="163" t="s">
        <v>171</v>
      </c>
      <c r="E71" s="108"/>
      <c r="F71" s="108" t="s">
        <v>172</v>
      </c>
      <c r="G71" s="108"/>
      <c r="H71" s="108" t="s">
        <v>699</v>
      </c>
      <c r="I71" s="129" t="s">
        <v>50</v>
      </c>
      <c r="J71" s="129">
        <v>3</v>
      </c>
      <c r="K71" s="14">
        <v>0</v>
      </c>
      <c r="L71" s="14"/>
      <c r="M71" s="14"/>
      <c r="N71" s="14"/>
      <c r="O71" s="14"/>
      <c r="P71" s="164"/>
      <c r="Q71" s="109"/>
      <c r="R71" s="109"/>
      <c r="S71" s="109"/>
      <c r="T71" s="109"/>
      <c r="U71" s="109"/>
      <c r="V71" s="109"/>
      <c r="W71" s="164"/>
      <c r="X71" s="109"/>
      <c r="Y71" s="109"/>
    </row>
    <row r="72" spans="3:25">
      <c r="C72" s="163" t="s">
        <v>114</v>
      </c>
      <c r="D72" s="163" t="s">
        <v>117</v>
      </c>
      <c r="E72" s="108" t="s">
        <v>95</v>
      </c>
      <c r="F72" s="108"/>
      <c r="G72" s="108"/>
      <c r="H72" s="108"/>
      <c r="I72" s="168"/>
      <c r="J72" s="129"/>
      <c r="K72" s="14"/>
      <c r="L72" s="14"/>
      <c r="M72" s="14"/>
      <c r="N72" s="14"/>
      <c r="O72" s="14"/>
      <c r="P72" s="166"/>
      <c r="Q72" s="109"/>
      <c r="R72" s="109"/>
      <c r="S72" s="109"/>
      <c r="T72" s="109"/>
      <c r="U72" s="109"/>
      <c r="V72" s="109"/>
      <c r="W72" s="164"/>
      <c r="X72" s="109"/>
      <c r="Y72" s="109"/>
    </row>
    <row r="73" spans="3:25">
      <c r="C73" s="108"/>
      <c r="D73" s="108"/>
      <c r="E73" s="108" t="s">
        <v>96</v>
      </c>
      <c r="F73" s="108"/>
      <c r="G73" s="108"/>
      <c r="H73" s="108"/>
      <c r="I73" s="168"/>
      <c r="J73" s="129"/>
      <c r="K73" s="14"/>
      <c r="L73" s="14"/>
      <c r="M73" s="14"/>
      <c r="N73" s="14"/>
      <c r="O73" s="14"/>
      <c r="P73" s="166"/>
      <c r="Q73" s="109"/>
      <c r="R73" s="109"/>
      <c r="S73" s="109"/>
      <c r="T73" s="109"/>
      <c r="U73" s="109"/>
      <c r="V73" s="109"/>
      <c r="W73" s="164"/>
      <c r="X73" s="109"/>
      <c r="Y73" s="109"/>
    </row>
    <row r="74" spans="3:25">
      <c r="C74" s="108"/>
      <c r="D74" s="108"/>
      <c r="E74" s="108" t="s">
        <v>97</v>
      </c>
      <c r="F74" s="108"/>
      <c r="G74" s="108"/>
      <c r="H74" s="108"/>
      <c r="I74" s="168"/>
      <c r="J74" s="129"/>
      <c r="K74" s="14"/>
      <c r="L74" s="14"/>
      <c r="M74" s="14"/>
      <c r="N74" s="14"/>
      <c r="O74" s="14"/>
      <c r="P74" s="166"/>
      <c r="Q74" s="109"/>
      <c r="R74" s="109"/>
      <c r="S74" s="109"/>
      <c r="T74" s="109"/>
      <c r="U74" s="109"/>
      <c r="V74" s="109"/>
      <c r="W74" s="164"/>
      <c r="X74" s="109"/>
      <c r="Y74" s="109"/>
    </row>
    <row r="75" spans="3:25">
      <c r="C75" s="108"/>
      <c r="D75" s="108"/>
      <c r="E75" s="108" t="s">
        <v>172</v>
      </c>
      <c r="F75" s="108"/>
      <c r="G75" s="108"/>
      <c r="H75" s="108"/>
      <c r="I75" s="168"/>
      <c r="J75" s="129"/>
      <c r="K75" s="14"/>
      <c r="L75" s="14"/>
      <c r="M75" s="14"/>
      <c r="N75" s="14"/>
      <c r="O75" s="14"/>
      <c r="P75" s="166"/>
      <c r="Q75" s="109"/>
      <c r="R75" s="109"/>
      <c r="S75" s="109"/>
      <c r="T75" s="109"/>
      <c r="U75" s="109"/>
      <c r="V75" s="109"/>
      <c r="W75" s="164"/>
      <c r="X75" s="109"/>
      <c r="Y75" s="109"/>
    </row>
    <row r="76" spans="3:25">
      <c r="C76" s="108"/>
      <c r="D76" s="108"/>
      <c r="E76" s="108"/>
      <c r="F76" s="108" t="s">
        <v>5</v>
      </c>
      <c r="G76" s="108"/>
      <c r="H76" s="108" t="s">
        <v>67</v>
      </c>
      <c r="I76" s="168"/>
      <c r="J76" s="129"/>
      <c r="K76" s="14">
        <v>1</v>
      </c>
      <c r="L76" s="14"/>
      <c r="M76" s="14"/>
      <c r="N76" s="14"/>
      <c r="O76" s="14"/>
      <c r="P76" s="166"/>
      <c r="Q76" s="109"/>
      <c r="R76" s="109"/>
      <c r="S76" s="109"/>
      <c r="T76" s="109"/>
      <c r="U76" s="109"/>
      <c r="V76" s="109"/>
      <c r="W76" s="164"/>
      <c r="X76" s="109"/>
      <c r="Y76" s="109"/>
    </row>
    <row r="77" spans="3:25">
      <c r="C77" s="108"/>
      <c r="D77" s="108"/>
      <c r="E77" s="108"/>
      <c r="F77" s="108" t="s">
        <v>120</v>
      </c>
      <c r="G77" s="108" t="s">
        <v>95</v>
      </c>
      <c r="H77" s="108" t="s">
        <v>174</v>
      </c>
      <c r="I77" s="168"/>
      <c r="J77" s="129">
        <v>3</v>
      </c>
      <c r="K77" s="14">
        <v>1</v>
      </c>
      <c r="L77" s="14"/>
      <c r="M77" s="14"/>
      <c r="N77" s="14"/>
      <c r="O77" s="14"/>
      <c r="P77" s="166"/>
      <c r="Q77" s="109"/>
      <c r="R77" s="109"/>
      <c r="S77" s="109"/>
      <c r="T77" s="109"/>
      <c r="U77" s="109"/>
      <c r="V77" s="109"/>
      <c r="W77" s="164"/>
      <c r="X77" s="109"/>
      <c r="Y77" s="109"/>
    </row>
    <row r="78" spans="3:25">
      <c r="C78" s="163" t="s">
        <v>115</v>
      </c>
      <c r="D78" s="163" t="s">
        <v>119</v>
      </c>
      <c r="E78" s="108" t="s">
        <v>111</v>
      </c>
      <c r="F78" s="108"/>
      <c r="G78" s="108"/>
      <c r="H78" s="108"/>
      <c r="I78" s="168"/>
      <c r="J78" s="129"/>
      <c r="K78" s="14"/>
      <c r="L78" s="14"/>
      <c r="M78" s="14"/>
      <c r="N78" s="14"/>
      <c r="O78" s="14"/>
      <c r="P78" s="166"/>
      <c r="Q78" s="109"/>
      <c r="R78" s="109"/>
      <c r="S78" s="109"/>
      <c r="T78" s="109"/>
      <c r="U78" s="109"/>
      <c r="V78" s="109"/>
      <c r="W78" s="164"/>
      <c r="X78" s="109"/>
      <c r="Y78" s="109"/>
    </row>
    <row r="79" spans="3:25">
      <c r="C79" s="108"/>
      <c r="D79" s="108"/>
      <c r="E79" s="108" t="s">
        <v>112</v>
      </c>
      <c r="F79" s="108"/>
      <c r="G79" s="108"/>
      <c r="H79" s="108"/>
      <c r="I79" s="168"/>
      <c r="J79" s="129"/>
      <c r="K79" s="14"/>
      <c r="L79" s="14"/>
      <c r="M79" s="14"/>
      <c r="N79" s="14"/>
      <c r="O79" s="14"/>
      <c r="P79" s="166"/>
      <c r="Q79" s="109"/>
      <c r="R79" s="109"/>
      <c r="S79" s="109"/>
      <c r="T79" s="109"/>
      <c r="U79" s="109"/>
      <c r="V79" s="109"/>
      <c r="W79" s="164"/>
      <c r="X79" s="109"/>
      <c r="Y79" s="109"/>
    </row>
    <row r="80" spans="3:25">
      <c r="C80" s="108"/>
      <c r="D80" s="108"/>
      <c r="E80" s="108" t="s">
        <v>113</v>
      </c>
      <c r="F80" s="108"/>
      <c r="G80" s="108"/>
      <c r="H80" s="108"/>
      <c r="I80" s="168"/>
      <c r="J80" s="129"/>
      <c r="K80" s="14"/>
      <c r="L80" s="14"/>
      <c r="M80" s="14"/>
      <c r="N80" s="14"/>
      <c r="O80" s="14"/>
      <c r="P80" s="166"/>
      <c r="Q80" s="109"/>
      <c r="R80" s="109"/>
      <c r="S80" s="109"/>
      <c r="T80" s="109"/>
      <c r="U80" s="109"/>
      <c r="V80" s="109"/>
      <c r="W80" s="164"/>
      <c r="X80" s="109"/>
      <c r="Y80" s="109"/>
    </row>
    <row r="81" spans="2:25">
      <c r="C81" s="108"/>
      <c r="D81" s="108"/>
      <c r="E81" s="108"/>
      <c r="F81" s="108" t="s">
        <v>120</v>
      </c>
      <c r="G81" s="108"/>
      <c r="H81" s="108" t="s">
        <v>67</v>
      </c>
      <c r="I81" s="168"/>
      <c r="J81" s="129"/>
      <c r="K81" s="14">
        <v>1</v>
      </c>
      <c r="L81" s="14"/>
      <c r="M81" s="14"/>
      <c r="N81" s="14"/>
      <c r="O81" s="14"/>
      <c r="P81" s="166"/>
      <c r="Q81" s="109"/>
      <c r="R81" s="109"/>
      <c r="S81" s="109"/>
      <c r="T81" s="109"/>
      <c r="U81" s="109"/>
      <c r="V81" s="109"/>
      <c r="W81" s="164"/>
      <c r="X81" s="109"/>
      <c r="Y81" s="109"/>
    </row>
    <row r="87" spans="2:25">
      <c r="B87" s="4" t="s">
        <v>26</v>
      </c>
    </row>
    <row r="88" spans="2:25">
      <c r="B88" s="126" t="s">
        <v>27</v>
      </c>
      <c r="C88" s="126" t="s">
        <v>28</v>
      </c>
      <c r="D88" s="126" t="s">
        <v>29</v>
      </c>
      <c r="E88" s="126" t="s">
        <v>30</v>
      </c>
      <c r="F88" s="126" t="s">
        <v>49</v>
      </c>
      <c r="G88" s="126" t="s">
        <v>142</v>
      </c>
      <c r="H88" s="126" t="s">
        <v>143</v>
      </c>
      <c r="I88" s="126" t="s">
        <v>144</v>
      </c>
    </row>
    <row r="89" spans="2:25">
      <c r="B89" s="15" t="s">
        <v>58</v>
      </c>
      <c r="C89" s="17" t="s">
        <v>396</v>
      </c>
      <c r="D89" s="17" t="s">
        <v>417</v>
      </c>
      <c r="E89" s="17" t="s">
        <v>36</v>
      </c>
      <c r="F89" s="15"/>
      <c r="G89" s="15"/>
      <c r="H89" s="15"/>
      <c r="I89" s="15"/>
    </row>
    <row r="90" spans="2:25">
      <c r="B90" s="15" t="s">
        <v>58</v>
      </c>
      <c r="C90" s="17" t="s">
        <v>677</v>
      </c>
      <c r="D90" s="17" t="s">
        <v>678</v>
      </c>
      <c r="E90" s="17" t="s">
        <v>36</v>
      </c>
      <c r="F90" s="15" t="s">
        <v>50</v>
      </c>
      <c r="G90" s="15"/>
      <c r="H90" s="15"/>
      <c r="I90" s="15"/>
    </row>
    <row r="91" spans="2:25" ht="14.25">
      <c r="B91" s="131" t="s">
        <v>62</v>
      </c>
      <c r="C91" s="10" t="s">
        <v>95</v>
      </c>
      <c r="D91" s="10" t="s">
        <v>100</v>
      </c>
      <c r="E91" s="7" t="s">
        <v>76</v>
      </c>
      <c r="F91" s="130" t="s">
        <v>50</v>
      </c>
      <c r="G91" s="15"/>
      <c r="H91" s="15"/>
      <c r="I91" s="15"/>
    </row>
    <row r="92" spans="2:25" ht="14.25">
      <c r="B92" s="131"/>
      <c r="C92" s="10" t="s">
        <v>96</v>
      </c>
      <c r="D92" s="10" t="s">
        <v>99</v>
      </c>
      <c r="E92" s="7" t="s">
        <v>76</v>
      </c>
      <c r="F92" s="130" t="s">
        <v>50</v>
      </c>
      <c r="G92" s="15"/>
      <c r="H92" s="15"/>
      <c r="I92" s="15"/>
    </row>
    <row r="93" spans="2:25" ht="14.25">
      <c r="B93" s="131"/>
      <c r="C93" s="10" t="s">
        <v>97</v>
      </c>
      <c r="D93" s="10" t="s">
        <v>98</v>
      </c>
      <c r="E93" s="7" t="s">
        <v>76</v>
      </c>
      <c r="F93" s="130" t="s">
        <v>50</v>
      </c>
      <c r="G93" s="15"/>
      <c r="H93" s="15"/>
      <c r="I93" s="15"/>
    </row>
    <row r="94" spans="2:25" ht="14.25">
      <c r="B94" s="131"/>
      <c r="C94" s="10" t="s">
        <v>172</v>
      </c>
      <c r="D94" s="10" t="s">
        <v>173</v>
      </c>
      <c r="E94" s="7" t="s">
        <v>76</v>
      </c>
      <c r="F94" s="130" t="s">
        <v>50</v>
      </c>
      <c r="G94" s="15"/>
      <c r="H94" s="15"/>
      <c r="I94" s="15"/>
    </row>
    <row r="95" spans="2:25" ht="14.25">
      <c r="B95" s="131"/>
      <c r="C95" s="10" t="s">
        <v>111</v>
      </c>
      <c r="D95" s="10" t="s">
        <v>122</v>
      </c>
      <c r="E95" s="7" t="s">
        <v>76</v>
      </c>
      <c r="F95" s="130" t="s">
        <v>50</v>
      </c>
      <c r="G95" s="15"/>
      <c r="H95" s="15"/>
      <c r="I95" s="15"/>
    </row>
    <row r="96" spans="2:25" ht="14.25">
      <c r="B96" s="131"/>
      <c r="C96" s="10" t="s">
        <v>112</v>
      </c>
      <c r="D96" s="10" t="s">
        <v>123</v>
      </c>
      <c r="E96" s="7" t="s">
        <v>76</v>
      </c>
      <c r="F96" s="130" t="s">
        <v>50</v>
      </c>
      <c r="G96" s="15"/>
      <c r="H96" s="15"/>
      <c r="I96" s="15"/>
    </row>
    <row r="97" spans="2:9" ht="14.25">
      <c r="B97" s="131"/>
      <c r="C97" s="10" t="s">
        <v>113</v>
      </c>
      <c r="D97" s="10" t="s">
        <v>124</v>
      </c>
      <c r="E97" s="7" t="s">
        <v>76</v>
      </c>
      <c r="F97" s="130" t="s">
        <v>50</v>
      </c>
      <c r="G97" s="15"/>
      <c r="H97" s="15"/>
      <c r="I97" s="15"/>
    </row>
    <row r="98" spans="2:9">
      <c r="B98" s="15"/>
      <c r="C98" s="17" t="s">
        <v>635</v>
      </c>
      <c r="D98" s="17" t="s">
        <v>679</v>
      </c>
      <c r="E98" s="17" t="s">
        <v>76</v>
      </c>
      <c r="F98" s="15"/>
      <c r="G98" s="15"/>
      <c r="H98" s="15"/>
      <c r="I98" s="15"/>
    </row>
    <row r="99" spans="2:9">
      <c r="B99" s="15"/>
      <c r="C99" s="17" t="s">
        <v>646</v>
      </c>
      <c r="D99" s="17" t="s">
        <v>680</v>
      </c>
      <c r="E99" s="17" t="s">
        <v>76</v>
      </c>
      <c r="F99" s="15"/>
      <c r="G99" s="15"/>
      <c r="H99" s="15"/>
      <c r="I99" s="15"/>
    </row>
    <row r="100" spans="2:9">
      <c r="B100" s="15"/>
      <c r="C100" s="17" t="s">
        <v>649</v>
      </c>
      <c r="D100" s="17" t="s">
        <v>681</v>
      </c>
      <c r="E100" s="17" t="s">
        <v>76</v>
      </c>
      <c r="F100" s="15"/>
      <c r="G100" s="15"/>
      <c r="H100" s="15"/>
      <c r="I100" s="15"/>
    </row>
    <row r="101" spans="2:9">
      <c r="B101" s="15"/>
      <c r="C101" s="17" t="s">
        <v>636</v>
      </c>
      <c r="D101" s="17" t="s">
        <v>682</v>
      </c>
      <c r="E101" s="17" t="s">
        <v>76</v>
      </c>
      <c r="F101" s="15"/>
      <c r="G101" s="15"/>
      <c r="H101" s="15"/>
      <c r="I101" s="15"/>
    </row>
    <row r="102" spans="2:9">
      <c r="B102" s="15"/>
      <c r="C102" s="17" t="s">
        <v>637</v>
      </c>
      <c r="D102" s="17" t="s">
        <v>683</v>
      </c>
      <c r="E102" s="17" t="s">
        <v>76</v>
      </c>
      <c r="F102" s="15"/>
      <c r="G102" s="15"/>
      <c r="H102" s="15"/>
      <c r="I102" s="15"/>
    </row>
    <row r="103" spans="2:9">
      <c r="B103" s="15"/>
      <c r="C103" s="17" t="s">
        <v>638</v>
      </c>
      <c r="D103" s="17" t="s">
        <v>684</v>
      </c>
      <c r="E103" s="17" t="s">
        <v>76</v>
      </c>
      <c r="F103" s="15"/>
      <c r="G103" s="15"/>
      <c r="H103" s="15"/>
      <c r="I103" s="15"/>
    </row>
    <row r="104" spans="2:9">
      <c r="B104" s="15"/>
      <c r="C104" s="17" t="s">
        <v>639</v>
      </c>
      <c r="D104" s="17" t="s">
        <v>685</v>
      </c>
      <c r="E104" s="17" t="s">
        <v>76</v>
      </c>
      <c r="F104" s="15"/>
      <c r="G104" s="15"/>
      <c r="H104" s="15"/>
      <c r="I104" s="15"/>
    </row>
    <row r="105" spans="2:9">
      <c r="B105" s="15"/>
      <c r="C105" s="17" t="s">
        <v>673</v>
      </c>
      <c r="D105" s="17" t="s">
        <v>686</v>
      </c>
      <c r="E105" s="17" t="s">
        <v>76</v>
      </c>
      <c r="F105" s="15"/>
      <c r="G105" s="15"/>
      <c r="H105" s="15"/>
      <c r="I105" s="15"/>
    </row>
    <row r="106" spans="2:9">
      <c r="B106" s="15"/>
      <c r="C106" s="17" t="s">
        <v>669</v>
      </c>
      <c r="D106" s="17" t="s">
        <v>687</v>
      </c>
      <c r="E106" s="17" t="s">
        <v>76</v>
      </c>
      <c r="F106" s="15"/>
      <c r="G106" s="15"/>
      <c r="H106" s="15"/>
      <c r="I106" s="15"/>
    </row>
    <row r="107" spans="2:9">
      <c r="B107" s="15"/>
      <c r="C107" s="17" t="s">
        <v>674</v>
      </c>
      <c r="D107" s="17" t="s">
        <v>110</v>
      </c>
      <c r="E107" s="17" t="s">
        <v>76</v>
      </c>
      <c r="F107" s="15" t="s">
        <v>69</v>
      </c>
      <c r="G107" s="15"/>
      <c r="H107" s="15"/>
      <c r="I107" s="15"/>
    </row>
    <row r="108" spans="2:9">
      <c r="B108" s="15"/>
      <c r="C108" s="17" t="s">
        <v>672</v>
      </c>
      <c r="D108" s="17" t="s">
        <v>688</v>
      </c>
      <c r="E108" s="17" t="s">
        <v>76</v>
      </c>
      <c r="F108" s="15" t="s">
        <v>69</v>
      </c>
      <c r="G108" s="15"/>
      <c r="H108" s="15"/>
      <c r="I108" s="15"/>
    </row>
    <row r="109" spans="2:9">
      <c r="B109" s="15" t="s">
        <v>31</v>
      </c>
      <c r="C109" s="17" t="s">
        <v>5</v>
      </c>
      <c r="D109" s="17" t="s">
        <v>139</v>
      </c>
      <c r="E109" s="15" t="s">
        <v>32</v>
      </c>
      <c r="F109" s="15"/>
      <c r="G109" s="15"/>
      <c r="H109" s="15"/>
      <c r="I109" s="15"/>
    </row>
    <row r="110" spans="2:9">
      <c r="B110" s="15"/>
      <c r="C110" s="17" t="s">
        <v>120</v>
      </c>
      <c r="D110" s="17" t="s">
        <v>140</v>
      </c>
      <c r="E110" s="15" t="s">
        <v>32</v>
      </c>
      <c r="F110" s="15"/>
      <c r="G110" s="15"/>
      <c r="H110" s="15"/>
      <c r="I110" s="15"/>
    </row>
    <row r="111" spans="2:9">
      <c r="B111" s="15" t="s">
        <v>148</v>
      </c>
      <c r="C111" s="17" t="s">
        <v>266</v>
      </c>
      <c r="D111" s="17" t="s">
        <v>689</v>
      </c>
      <c r="E111" s="15" t="s">
        <v>36</v>
      </c>
      <c r="F111" s="15" t="s">
        <v>274</v>
      </c>
      <c r="G111" s="15"/>
      <c r="H111" s="15"/>
      <c r="I111" s="15"/>
    </row>
    <row r="112" spans="2:9">
      <c r="B112" s="15"/>
      <c r="C112" s="17" t="s">
        <v>641</v>
      </c>
      <c r="D112" s="17" t="s">
        <v>690</v>
      </c>
      <c r="E112" s="15" t="s">
        <v>36</v>
      </c>
      <c r="F112" s="15" t="s">
        <v>274</v>
      </c>
      <c r="G112" s="15"/>
      <c r="H112" s="15"/>
      <c r="I112" s="15"/>
    </row>
    <row r="113" spans="2:9">
      <c r="B113" s="15"/>
      <c r="C113" s="17" t="s">
        <v>691</v>
      </c>
      <c r="D113" s="17" t="s">
        <v>692</v>
      </c>
      <c r="E113" s="15" t="s">
        <v>36</v>
      </c>
      <c r="F113" s="15" t="s">
        <v>274</v>
      </c>
      <c r="G113" s="15"/>
      <c r="H113" s="15"/>
      <c r="I113" s="15"/>
    </row>
    <row r="119" spans="2:9">
      <c r="B119" s="4" t="s">
        <v>149</v>
      </c>
    </row>
    <row r="120" spans="2:9">
      <c r="B120" s="33" t="s">
        <v>33</v>
      </c>
      <c r="C120" s="34" t="s">
        <v>34</v>
      </c>
      <c r="D120" s="34" t="s">
        <v>35</v>
      </c>
      <c r="E120" s="34" t="s">
        <v>150</v>
      </c>
      <c r="F120" s="34" t="s">
        <v>151</v>
      </c>
      <c r="G120" s="34" t="s">
        <v>152</v>
      </c>
      <c r="H120" s="34" t="s">
        <v>153</v>
      </c>
      <c r="I120" s="35" t="s">
        <v>154</v>
      </c>
    </row>
    <row r="121" spans="2:9" ht="14.25" customHeight="1">
      <c r="B121" s="36" t="s">
        <v>179</v>
      </c>
      <c r="C121" s="138" t="s">
        <v>633</v>
      </c>
      <c r="D121" s="138" t="s">
        <v>634</v>
      </c>
      <c r="E121" s="138" t="s">
        <v>609</v>
      </c>
      <c r="F121" s="138" t="s">
        <v>693</v>
      </c>
      <c r="G121" s="138"/>
      <c r="H121" s="138" t="str">
        <f>C121&amp;"_FINI"</f>
        <v>AGRDAIRY_FINI</v>
      </c>
      <c r="I121" s="138" t="s">
        <v>156</v>
      </c>
    </row>
    <row r="122" spans="2:9" ht="14.25" customHeight="1">
      <c r="B122" s="36" t="s">
        <v>179</v>
      </c>
      <c r="C122" s="138" t="s">
        <v>644</v>
      </c>
      <c r="D122" s="138" t="s">
        <v>645</v>
      </c>
      <c r="E122" s="138" t="s">
        <v>609</v>
      </c>
      <c r="F122" s="138" t="s">
        <v>693</v>
      </c>
      <c r="G122" s="138"/>
      <c r="H122" s="138" t="str">
        <f>C122&amp;"_FINI"</f>
        <v>AGRCATLE_FINI</v>
      </c>
      <c r="I122" s="138" t="s">
        <v>156</v>
      </c>
    </row>
    <row r="123" spans="2:9" ht="14.25" customHeight="1">
      <c r="B123" s="36" t="s">
        <v>179</v>
      </c>
      <c r="C123" s="138" t="s">
        <v>647</v>
      </c>
      <c r="D123" s="138" t="s">
        <v>648</v>
      </c>
      <c r="E123" s="138" t="s">
        <v>609</v>
      </c>
      <c r="F123" s="138" t="s">
        <v>693</v>
      </c>
      <c r="G123" s="138"/>
      <c r="H123" s="138" t="str">
        <f>C123&amp;"_FINI"</f>
        <v>AGRSWINE_FINI</v>
      </c>
      <c r="I123" s="138" t="s">
        <v>156</v>
      </c>
    </row>
    <row r="124" spans="2:9" ht="14.25" customHeight="1">
      <c r="B124" s="36" t="s">
        <v>179</v>
      </c>
      <c r="C124" s="138" t="s">
        <v>652</v>
      </c>
      <c r="D124" s="138" t="s">
        <v>653</v>
      </c>
      <c r="E124" s="138" t="s">
        <v>609</v>
      </c>
      <c r="F124" s="138" t="s">
        <v>693</v>
      </c>
      <c r="G124" s="138"/>
      <c r="H124" s="138" t="s">
        <v>643</v>
      </c>
      <c r="I124" s="138" t="s">
        <v>156</v>
      </c>
    </row>
    <row r="125" spans="2:9" ht="14.25" customHeight="1">
      <c r="B125" s="36" t="s">
        <v>179</v>
      </c>
      <c r="C125" s="138" t="s">
        <v>650</v>
      </c>
      <c r="D125" s="138" t="s">
        <v>651</v>
      </c>
      <c r="E125" s="138" t="s">
        <v>609</v>
      </c>
      <c r="F125" s="138" t="s">
        <v>693</v>
      </c>
      <c r="G125" s="138"/>
      <c r="H125" s="138" t="s">
        <v>643</v>
      </c>
      <c r="I125" s="138" t="s">
        <v>156</v>
      </c>
    </row>
    <row r="126" spans="2:9" ht="14.25" customHeight="1">
      <c r="B126" s="36" t="s">
        <v>179</v>
      </c>
      <c r="C126" s="138" t="s">
        <v>654</v>
      </c>
      <c r="D126" s="138" t="s">
        <v>655</v>
      </c>
      <c r="E126" s="138" t="s">
        <v>609</v>
      </c>
      <c r="F126" s="138" t="s">
        <v>693</v>
      </c>
      <c r="G126" s="138"/>
      <c r="H126" s="138" t="s">
        <v>643</v>
      </c>
      <c r="I126" s="138" t="s">
        <v>156</v>
      </c>
    </row>
    <row r="127" spans="2:9" ht="14.25" customHeight="1">
      <c r="B127" s="36" t="s">
        <v>179</v>
      </c>
      <c r="C127" s="138" t="s">
        <v>656</v>
      </c>
      <c r="D127" s="138" t="s">
        <v>657</v>
      </c>
      <c r="E127" s="138" t="s">
        <v>609</v>
      </c>
      <c r="F127" s="138" t="s">
        <v>693</v>
      </c>
      <c r="G127" s="138"/>
      <c r="H127" s="138" t="s">
        <v>694</v>
      </c>
      <c r="I127" s="138" t="s">
        <v>156</v>
      </c>
    </row>
    <row r="128" spans="2:9" ht="14.25" customHeight="1">
      <c r="B128" s="36" t="s">
        <v>179</v>
      </c>
      <c r="C128" s="138" t="s">
        <v>659</v>
      </c>
      <c r="D128" s="138" t="s">
        <v>660</v>
      </c>
      <c r="E128" s="138" t="s">
        <v>609</v>
      </c>
      <c r="F128" s="138" t="s">
        <v>693</v>
      </c>
      <c r="G128" s="138"/>
      <c r="H128" s="138" t="s">
        <v>694</v>
      </c>
      <c r="I128" s="138" t="s">
        <v>156</v>
      </c>
    </row>
    <row r="129" spans="2:10" ht="14.25" customHeight="1">
      <c r="B129" s="36" t="s">
        <v>179</v>
      </c>
      <c r="C129" s="138" t="s">
        <v>661</v>
      </c>
      <c r="D129" s="138" t="s">
        <v>662</v>
      </c>
      <c r="E129" s="138" t="s">
        <v>609</v>
      </c>
      <c r="F129" s="138" t="s">
        <v>693</v>
      </c>
      <c r="G129" s="138"/>
      <c r="H129" s="138" t="s">
        <v>694</v>
      </c>
      <c r="I129" s="138" t="s">
        <v>156</v>
      </c>
    </row>
    <row r="130" spans="2:10" ht="14.25" customHeight="1">
      <c r="B130" s="36" t="s">
        <v>179</v>
      </c>
      <c r="C130" s="138" t="s">
        <v>663</v>
      </c>
      <c r="D130" s="138" t="s">
        <v>664</v>
      </c>
      <c r="E130" s="138" t="s">
        <v>609</v>
      </c>
      <c r="F130" s="138" t="s">
        <v>693</v>
      </c>
      <c r="G130" s="138"/>
      <c r="H130" s="138" t="s">
        <v>694</v>
      </c>
      <c r="I130" s="138" t="s">
        <v>156</v>
      </c>
    </row>
    <row r="131" spans="2:10" ht="14.25" customHeight="1">
      <c r="B131" s="36" t="s">
        <v>179</v>
      </c>
      <c r="C131" s="138" t="s">
        <v>665</v>
      </c>
      <c r="D131" s="138" t="s">
        <v>666</v>
      </c>
      <c r="E131" s="138" t="s">
        <v>609</v>
      </c>
      <c r="F131" s="138" t="s">
        <v>693</v>
      </c>
      <c r="G131" s="138"/>
      <c r="H131" s="138" t="s">
        <v>694</v>
      </c>
      <c r="I131" s="138" t="s">
        <v>156</v>
      </c>
    </row>
    <row r="132" spans="2:10" ht="14.25" customHeight="1">
      <c r="B132" s="36" t="s">
        <v>179</v>
      </c>
      <c r="C132" s="138" t="s">
        <v>667</v>
      </c>
      <c r="D132" s="138" t="s">
        <v>668</v>
      </c>
      <c r="E132" s="138" t="s">
        <v>609</v>
      </c>
      <c r="F132" s="138" t="s">
        <v>693</v>
      </c>
      <c r="G132" s="138"/>
      <c r="H132" s="138" t="s">
        <v>669</v>
      </c>
      <c r="I132" s="138" t="s">
        <v>156</v>
      </c>
    </row>
    <row r="133" spans="2:10" ht="14.25" customHeight="1">
      <c r="B133" s="36" t="s">
        <v>179</v>
      </c>
      <c r="C133" s="138" t="s">
        <v>670</v>
      </c>
      <c r="D133" s="138" t="s">
        <v>671</v>
      </c>
      <c r="E133" s="138" t="s">
        <v>609</v>
      </c>
      <c r="F133" s="138" t="s">
        <v>693</v>
      </c>
      <c r="G133" s="138"/>
      <c r="H133" s="138" t="str">
        <f>C133&amp;"_FINO"</f>
        <v>ACULAND_FINO</v>
      </c>
      <c r="I133" s="138" t="s">
        <v>156</v>
      </c>
    </row>
    <row r="134" spans="2:10" ht="14.25" customHeight="1">
      <c r="B134" s="36" t="s">
        <v>179</v>
      </c>
      <c r="C134" s="138" t="s">
        <v>675</v>
      </c>
      <c r="D134" s="138" t="s">
        <v>676</v>
      </c>
      <c r="E134" s="138" t="s">
        <v>609</v>
      </c>
      <c r="F134" s="138" t="s">
        <v>693</v>
      </c>
      <c r="G134" s="138"/>
      <c r="H134" s="138" t="s">
        <v>673</v>
      </c>
      <c r="I134" s="138" t="s">
        <v>275</v>
      </c>
    </row>
    <row r="135" spans="2:10" ht="14.25" customHeight="1">
      <c r="B135" s="36" t="s">
        <v>179</v>
      </c>
      <c r="C135" s="36" t="s">
        <v>3</v>
      </c>
      <c r="D135" s="36" t="s">
        <v>43</v>
      </c>
      <c r="E135" s="36" t="s">
        <v>36</v>
      </c>
      <c r="F135" s="36" t="s">
        <v>155</v>
      </c>
      <c r="G135" s="36"/>
      <c r="H135" s="36" t="s">
        <v>95</v>
      </c>
      <c r="I135" s="36" t="s">
        <v>156</v>
      </c>
    </row>
    <row r="136" spans="2:10" ht="14.25" customHeight="1">
      <c r="B136" s="36" t="s">
        <v>179</v>
      </c>
      <c r="C136" s="36" t="s">
        <v>101</v>
      </c>
      <c r="D136" s="36" t="s">
        <v>103</v>
      </c>
      <c r="E136" s="36" t="s">
        <v>36</v>
      </c>
      <c r="F136" s="36" t="s">
        <v>155</v>
      </c>
      <c r="G136" s="36"/>
      <c r="H136" s="36" t="s">
        <v>96</v>
      </c>
      <c r="I136" s="36" t="s">
        <v>156</v>
      </c>
    </row>
    <row r="137" spans="2:10" ht="14.25" customHeight="1">
      <c r="B137" s="36" t="s">
        <v>179</v>
      </c>
      <c r="C137" s="36" t="s">
        <v>102</v>
      </c>
      <c r="D137" s="36" t="s">
        <v>104</v>
      </c>
      <c r="E137" s="36" t="s">
        <v>36</v>
      </c>
      <c r="F137" s="36" t="s">
        <v>155</v>
      </c>
      <c r="G137" s="36"/>
      <c r="H137" s="36" t="s">
        <v>97</v>
      </c>
      <c r="I137" s="36" t="s">
        <v>156</v>
      </c>
    </row>
    <row r="138" spans="2:10" ht="14.25" customHeight="1">
      <c r="B138" s="36" t="s">
        <v>179</v>
      </c>
      <c r="C138" s="36" t="s">
        <v>105</v>
      </c>
      <c r="D138" s="36" t="s">
        <v>110</v>
      </c>
      <c r="E138" s="36" t="s">
        <v>36</v>
      </c>
      <c r="F138" s="36" t="s">
        <v>155</v>
      </c>
      <c r="G138" s="36"/>
      <c r="H138" s="36" t="s">
        <v>111</v>
      </c>
      <c r="I138" s="36" t="s">
        <v>156</v>
      </c>
    </row>
    <row r="139" spans="2:10" ht="14.25" customHeight="1">
      <c r="B139" s="36" t="s">
        <v>179</v>
      </c>
      <c r="C139" s="36" t="s">
        <v>106</v>
      </c>
      <c r="D139" s="36" t="s">
        <v>109</v>
      </c>
      <c r="E139" s="36" t="s">
        <v>36</v>
      </c>
      <c r="F139" s="36" t="s">
        <v>155</v>
      </c>
      <c r="G139" s="36"/>
      <c r="H139" s="36" t="s">
        <v>112</v>
      </c>
      <c r="I139" s="36" t="s">
        <v>156</v>
      </c>
    </row>
    <row r="140" spans="2:10" ht="14.25" customHeight="1">
      <c r="B140" s="36" t="s">
        <v>179</v>
      </c>
      <c r="C140" s="36" t="s">
        <v>107</v>
      </c>
      <c r="D140" s="36" t="s">
        <v>108</v>
      </c>
      <c r="E140" s="36" t="s">
        <v>36</v>
      </c>
      <c r="F140" s="36" t="s">
        <v>155</v>
      </c>
      <c r="G140" s="36"/>
      <c r="H140" s="36" t="s">
        <v>113</v>
      </c>
      <c r="I140" s="36" t="s">
        <v>156</v>
      </c>
    </row>
    <row r="141" spans="2:10" ht="14.25" customHeight="1">
      <c r="B141" s="36" t="s">
        <v>179</v>
      </c>
      <c r="C141" s="36" t="s">
        <v>170</v>
      </c>
      <c r="D141" s="36" t="s">
        <v>171</v>
      </c>
      <c r="E141" s="36" t="s">
        <v>36</v>
      </c>
      <c r="F141" s="36" t="s">
        <v>155</v>
      </c>
      <c r="G141" s="36"/>
      <c r="H141" s="36" t="s">
        <v>172</v>
      </c>
      <c r="I141" s="36" t="s">
        <v>156</v>
      </c>
    </row>
    <row r="142" spans="2:10" ht="14.25" customHeight="1">
      <c r="B142" s="36" t="s">
        <v>179</v>
      </c>
      <c r="C142" s="36" t="s">
        <v>114</v>
      </c>
      <c r="D142" s="36" t="s">
        <v>117</v>
      </c>
      <c r="E142" s="36" t="s">
        <v>36</v>
      </c>
      <c r="F142" s="36" t="s">
        <v>155</v>
      </c>
      <c r="G142" s="36"/>
      <c r="H142" s="36" t="s">
        <v>157</v>
      </c>
      <c r="I142" s="36" t="s">
        <v>156</v>
      </c>
      <c r="J142" s="2"/>
    </row>
    <row r="143" spans="2:10" ht="14.25" customHeight="1">
      <c r="B143" s="36" t="s">
        <v>179</v>
      </c>
      <c r="C143" s="36" t="s">
        <v>115</v>
      </c>
      <c r="D143" s="36" t="s">
        <v>119</v>
      </c>
      <c r="E143" s="36" t="s">
        <v>36</v>
      </c>
      <c r="F143" s="36" t="s">
        <v>155</v>
      </c>
      <c r="G143" s="36"/>
      <c r="H143" s="36" t="s">
        <v>158</v>
      </c>
      <c r="I143" s="36" t="s">
        <v>156</v>
      </c>
      <c r="J143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AC126"/>
  <sheetViews>
    <sheetView zoomScale="75" workbookViewId="0">
      <pane ySplit="3" topLeftCell="A4" activePane="bottomLeft" state="frozen"/>
      <selection activeCell="L84" sqref="L84"/>
      <selection pane="bottomLeft" activeCell="H2" sqref="H2"/>
    </sheetView>
  </sheetViews>
  <sheetFormatPr defaultRowHeight="12.75"/>
  <cols>
    <col min="1" max="1" width="5.85546875" style="1" customWidth="1"/>
    <col min="2" max="2" width="8.5703125" style="1" customWidth="1"/>
    <col min="3" max="3" width="14.28515625" style="1" customWidth="1"/>
    <col min="4" max="4" width="27.85546875" style="1" customWidth="1"/>
    <col min="5" max="5" width="11.42578125" style="1" customWidth="1"/>
    <col min="6" max="6" width="12.85546875" style="1" customWidth="1"/>
    <col min="7" max="7" width="9.5703125" style="1" customWidth="1"/>
    <col min="8" max="8" width="8.28515625" style="1" customWidth="1"/>
    <col min="9" max="9" width="7.7109375" style="1" customWidth="1"/>
    <col min="10" max="10" width="9" style="1" customWidth="1"/>
    <col min="11" max="11" width="8.7109375" style="1" customWidth="1"/>
    <col min="12" max="12" width="10" style="1" customWidth="1"/>
    <col min="13" max="13" width="9.85546875" style="1" customWidth="1"/>
    <col min="14" max="14" width="8.85546875" style="1" customWidth="1"/>
    <col min="15" max="15" width="11.140625" style="1" customWidth="1"/>
    <col min="16" max="16" width="10.7109375" style="1" customWidth="1"/>
    <col min="17" max="19" width="9.140625" style="1"/>
    <col min="20" max="20" width="10.140625" style="1" customWidth="1"/>
    <col min="21" max="21" width="10.85546875" style="1" bestFit="1" customWidth="1"/>
    <col min="22" max="22" width="10.7109375" style="1" customWidth="1"/>
    <col min="23" max="24" width="9.140625" style="1"/>
    <col min="25" max="25" width="9.7109375" style="1" customWidth="1"/>
    <col min="27" max="27" width="9.140625" style="56"/>
    <col min="28" max="16384" width="9.140625" style="1"/>
  </cols>
  <sheetData>
    <row r="1" spans="2:29">
      <c r="B1" s="42"/>
      <c r="AA1" s="1"/>
      <c r="AB1" s="56"/>
    </row>
    <row r="2" spans="2:29">
      <c r="B2" s="43"/>
      <c r="C2" s="4"/>
      <c r="D2" s="4"/>
      <c r="E2" s="4"/>
      <c r="G2"/>
      <c r="H2" s="4" t="s">
        <v>2</v>
      </c>
      <c r="I2"/>
      <c r="J2"/>
      <c r="K2"/>
      <c r="L2"/>
      <c r="M2"/>
      <c r="N2"/>
      <c r="O2"/>
      <c r="P2"/>
      <c r="Q2"/>
      <c r="R2"/>
      <c r="S2"/>
      <c r="T2"/>
      <c r="U2"/>
      <c r="AA2" s="44"/>
      <c r="AB2" s="44"/>
      <c r="AC2" s="44"/>
    </row>
    <row r="3" spans="2:29" ht="31.15" customHeight="1" thickBot="1">
      <c r="B3" s="45" t="s">
        <v>703</v>
      </c>
      <c r="C3" s="45" t="s">
        <v>34</v>
      </c>
      <c r="D3" s="45" t="s">
        <v>35</v>
      </c>
      <c r="E3" s="28" t="s">
        <v>24</v>
      </c>
      <c r="F3" s="28" t="s">
        <v>1</v>
      </c>
      <c r="G3" s="28" t="s">
        <v>714</v>
      </c>
      <c r="H3" s="45" t="s">
        <v>185</v>
      </c>
      <c r="I3" s="45" t="s">
        <v>186</v>
      </c>
      <c r="J3" s="46" t="s">
        <v>134</v>
      </c>
      <c r="K3" s="45" t="s">
        <v>0</v>
      </c>
      <c r="L3" s="45" t="s">
        <v>128</v>
      </c>
      <c r="M3" s="45" t="s">
        <v>129</v>
      </c>
      <c r="N3" s="45" t="s">
        <v>130</v>
      </c>
      <c r="O3" s="47" t="s">
        <v>205</v>
      </c>
      <c r="P3" s="48" t="s">
        <v>187</v>
      </c>
      <c r="Q3" s="28" t="s">
        <v>188</v>
      </c>
      <c r="R3" s="28" t="s">
        <v>132</v>
      </c>
      <c r="S3" s="45" t="s">
        <v>189</v>
      </c>
      <c r="T3" s="45" t="s">
        <v>133</v>
      </c>
      <c r="U3" s="45" t="s">
        <v>393</v>
      </c>
      <c r="V3" s="28" t="s">
        <v>617</v>
      </c>
      <c r="AB3" s="49"/>
      <c r="AC3" s="49"/>
    </row>
    <row r="4" spans="2:29" s="55" customFormat="1">
      <c r="B4" s="50" t="s">
        <v>394</v>
      </c>
      <c r="C4" s="51"/>
      <c r="D4" s="51"/>
      <c r="E4" s="51"/>
      <c r="F4" s="51"/>
      <c r="G4" s="51"/>
      <c r="H4" s="51"/>
      <c r="I4" s="51"/>
      <c r="J4" s="51"/>
      <c r="K4" s="52"/>
      <c r="L4" s="53"/>
      <c r="M4" s="53"/>
      <c r="N4" s="51"/>
      <c r="O4" s="51"/>
      <c r="P4" s="54"/>
      <c r="Q4" s="51"/>
      <c r="R4" s="51"/>
      <c r="S4" s="51"/>
      <c r="T4" s="51"/>
      <c r="U4" s="51"/>
      <c r="V4" s="51"/>
      <c r="Z4"/>
      <c r="AB4" s="56"/>
    </row>
    <row r="5" spans="2:29">
      <c r="B5" s="30" t="s">
        <v>706</v>
      </c>
      <c r="C5" s="108" t="str">
        <f ca="1">Names!C17</f>
        <v>RCH4WLF01</v>
      </c>
      <c r="D5" s="108" t="str">
        <f ca="1">Names!D17</f>
        <v>CH4- Anaerobic digestion 1 (AD1)</v>
      </c>
      <c r="E5" s="108" t="s">
        <v>17</v>
      </c>
      <c r="F5" s="117" t="str">
        <f>""</f>
        <v/>
      </c>
      <c r="G5" s="108" t="s">
        <v>4</v>
      </c>
      <c r="H5" s="108">
        <v>2010</v>
      </c>
      <c r="I5" s="108">
        <v>1</v>
      </c>
      <c r="J5" s="108">
        <v>2015</v>
      </c>
      <c r="K5" s="118">
        <f ca="1">CH4Techs!E20</f>
        <v>15</v>
      </c>
      <c r="L5" s="119">
        <f ca="1">CH4Techs!J20</f>
        <v>10.3994119775</v>
      </c>
      <c r="M5" s="119">
        <f ca="1">CH4Techs!K20</f>
        <v>1.6145427552818741</v>
      </c>
      <c r="N5" s="108"/>
      <c r="O5" s="120">
        <v>1</v>
      </c>
      <c r="P5" s="108"/>
      <c r="Q5" s="108"/>
      <c r="R5" s="108">
        <v>1</v>
      </c>
      <c r="S5" s="108"/>
      <c r="T5" s="108"/>
      <c r="U5" s="108"/>
      <c r="V5" s="108"/>
      <c r="AB5" s="56"/>
    </row>
    <row r="6" spans="2:29">
      <c r="B6" s="117"/>
      <c r="C6" s="108"/>
      <c r="D6" s="108"/>
      <c r="E6" s="108" t="s">
        <v>61</v>
      </c>
      <c r="F6" s="108"/>
      <c r="G6" s="108"/>
      <c r="H6" s="108">
        <v>2010</v>
      </c>
      <c r="I6" s="108"/>
      <c r="J6" s="108"/>
      <c r="K6" s="108"/>
      <c r="L6" s="119"/>
      <c r="M6" s="119"/>
      <c r="N6" s="121"/>
      <c r="O6" s="121">
        <f ca="1">OFFSET(CH4Techs!G$19,RIGHT(C5,2)*1,0)</f>
        <v>0.95</v>
      </c>
      <c r="P6" s="108"/>
      <c r="Q6" s="108"/>
      <c r="R6" s="108"/>
      <c r="S6" s="108"/>
      <c r="T6" s="108"/>
      <c r="U6" s="108"/>
      <c r="V6" s="108"/>
      <c r="AB6" s="56"/>
    </row>
    <row r="7" spans="2:29">
      <c r="B7" s="117"/>
      <c r="C7" s="108"/>
      <c r="D7" s="108"/>
      <c r="E7" s="108"/>
      <c r="F7" s="108" t="s">
        <v>395</v>
      </c>
      <c r="G7" s="108"/>
      <c r="H7" s="108">
        <v>2010</v>
      </c>
      <c r="I7" s="108"/>
      <c r="J7" s="108"/>
      <c r="K7" s="108"/>
      <c r="L7" s="119"/>
      <c r="M7" s="119"/>
      <c r="N7" s="121"/>
      <c r="O7" s="121"/>
      <c r="P7" s="108">
        <v>1</v>
      </c>
      <c r="Q7" s="108"/>
      <c r="R7" s="108"/>
      <c r="S7" s="108"/>
      <c r="T7" s="108"/>
      <c r="U7" s="108"/>
      <c r="V7" s="108"/>
      <c r="AB7" s="56"/>
    </row>
    <row r="8" spans="2:29">
      <c r="B8" s="117"/>
      <c r="C8" s="108"/>
      <c r="D8" s="108"/>
      <c r="E8" s="108"/>
      <c r="F8" s="108" t="s">
        <v>396</v>
      </c>
      <c r="G8" s="108"/>
      <c r="H8" s="108">
        <v>2010</v>
      </c>
      <c r="I8" s="108"/>
      <c r="J8" s="108"/>
      <c r="K8" s="108"/>
      <c r="L8" s="119"/>
      <c r="M8" s="119"/>
      <c r="N8" s="108"/>
      <c r="O8" s="108"/>
      <c r="P8" s="119">
        <f ca="1">O6*CH4Techs!$C$8</f>
        <v>4.7500000000000001E-2</v>
      </c>
      <c r="Q8" s="108"/>
      <c r="R8" s="108"/>
      <c r="S8" s="108"/>
      <c r="T8" s="108"/>
      <c r="U8" s="108"/>
      <c r="V8" s="108"/>
      <c r="AB8" s="56"/>
    </row>
    <row r="9" spans="2:29">
      <c r="B9" s="30" t="s">
        <v>706</v>
      </c>
      <c r="C9" s="9" t="str">
        <f ca="1">Names!C18</f>
        <v>RCH4WLF02</v>
      </c>
      <c r="D9" s="9" t="str">
        <f ca="1">Names!D18</f>
        <v>CH4- Anaerobic digestion 2 (AD2)</v>
      </c>
      <c r="E9" s="9" t="s">
        <v>17</v>
      </c>
      <c r="F9" s="11" t="str">
        <f>$F$5</f>
        <v/>
      </c>
      <c r="G9" s="9" t="s">
        <v>4</v>
      </c>
      <c r="H9" s="9">
        <v>2010</v>
      </c>
      <c r="I9" s="9">
        <v>1</v>
      </c>
      <c r="J9" s="9">
        <v>2015</v>
      </c>
      <c r="K9" s="61">
        <f ca="1">CH4Techs!E21</f>
        <v>15</v>
      </c>
      <c r="L9" s="90">
        <f ca="1">CH4Techs!J21</f>
        <v>13.237929567441864</v>
      </c>
      <c r="M9" s="57">
        <f ca="1">CH4Techs!K21</f>
        <v>3.1646210085379738</v>
      </c>
      <c r="N9" s="9"/>
      <c r="O9" s="60">
        <v>1</v>
      </c>
      <c r="P9" s="9"/>
      <c r="Q9" s="9"/>
      <c r="R9" s="9">
        <v>1</v>
      </c>
      <c r="S9" s="9"/>
      <c r="T9" s="9"/>
      <c r="U9" s="9"/>
      <c r="V9" s="9"/>
      <c r="AB9" s="56"/>
    </row>
    <row r="10" spans="2:29">
      <c r="B10" s="11"/>
      <c r="C10" s="9"/>
      <c r="D10" s="9"/>
      <c r="E10" s="9" t="str">
        <f>E$6</f>
        <v>RESMFAST</v>
      </c>
      <c r="F10" s="9"/>
      <c r="G10" s="9"/>
      <c r="H10" s="9">
        <v>2010</v>
      </c>
      <c r="I10" s="9"/>
      <c r="J10" s="9"/>
      <c r="K10" s="61"/>
      <c r="L10" s="57"/>
      <c r="M10" s="57"/>
      <c r="N10" s="9"/>
      <c r="O10" s="65">
        <v>1</v>
      </c>
      <c r="P10" s="9"/>
      <c r="Q10" s="9"/>
      <c r="R10" s="9"/>
      <c r="S10" s="9"/>
      <c r="T10" s="9"/>
      <c r="U10" s="9"/>
      <c r="V10" s="9"/>
      <c r="AB10" s="56"/>
    </row>
    <row r="11" spans="2:29">
      <c r="B11" s="11"/>
      <c r="C11" s="9"/>
      <c r="D11" s="9"/>
      <c r="E11" s="9"/>
      <c r="F11" s="9" t="str">
        <f>$F$7</f>
        <v>RESDMY</v>
      </c>
      <c r="G11" s="9"/>
      <c r="H11" s="9">
        <v>2010</v>
      </c>
      <c r="I11" s="9"/>
      <c r="J11" s="9"/>
      <c r="K11" s="61"/>
      <c r="L11" s="57"/>
      <c r="M11" s="57"/>
      <c r="N11" s="9"/>
      <c r="O11" s="65"/>
      <c r="P11" s="9">
        <f ca="1">$P$7</f>
        <v>1</v>
      </c>
      <c r="Q11" s="9"/>
      <c r="R11" s="9"/>
      <c r="S11" s="9"/>
      <c r="T11" s="9"/>
      <c r="U11" s="9"/>
      <c r="V11" s="9"/>
      <c r="AB11" s="56"/>
    </row>
    <row r="12" spans="2:29">
      <c r="B12" s="11"/>
      <c r="C12" s="9"/>
      <c r="D12" s="9"/>
      <c r="E12" s="9"/>
      <c r="F12" s="9" t="s">
        <v>397</v>
      </c>
      <c r="G12" s="9"/>
      <c r="H12" s="9">
        <v>2010</v>
      </c>
      <c r="I12" s="9"/>
      <c r="J12" s="9"/>
      <c r="K12" s="61"/>
      <c r="L12" s="57"/>
      <c r="M12" s="57"/>
      <c r="N12" s="9"/>
      <c r="O12" s="60"/>
      <c r="P12" s="62">
        <f ca="1">O10*CH4Techs!$C$8</f>
        <v>0.05</v>
      </c>
      <c r="Q12" s="9"/>
      <c r="R12" s="9"/>
      <c r="S12" s="9"/>
      <c r="T12" s="9"/>
      <c r="U12" s="9"/>
      <c r="V12" s="9"/>
      <c r="AB12" s="56"/>
    </row>
    <row r="13" spans="2:29">
      <c r="B13" s="30" t="s">
        <v>706</v>
      </c>
      <c r="C13" s="108" t="str">
        <f ca="1">Names!C19</f>
        <v>RCH4WLF03</v>
      </c>
      <c r="D13" s="108" t="str">
        <f ca="1">Names!D19</f>
        <v>CH4- Composting (C1)</v>
      </c>
      <c r="E13" s="108" t="s">
        <v>18</v>
      </c>
      <c r="F13" s="117" t="str">
        <f>$F$5</f>
        <v/>
      </c>
      <c r="G13" s="108" t="s">
        <v>4</v>
      </c>
      <c r="H13" s="108">
        <v>2010</v>
      </c>
      <c r="I13" s="108">
        <v>1</v>
      </c>
      <c r="J13" s="108">
        <v>2000</v>
      </c>
      <c r="K13" s="118">
        <f ca="1">CH4Techs!E22</f>
        <v>15</v>
      </c>
      <c r="L13" s="119">
        <f ca="1">CH4Techs!J22</f>
        <v>9.8011593912790698</v>
      </c>
      <c r="M13" s="119">
        <f ca="1">CH4Techs!K22</f>
        <v>2.3441637100281292</v>
      </c>
      <c r="N13" s="108"/>
      <c r="O13" s="120">
        <v>1</v>
      </c>
      <c r="P13" s="108"/>
      <c r="Q13" s="108"/>
      <c r="R13" s="108">
        <v>1</v>
      </c>
      <c r="S13" s="108"/>
      <c r="T13" s="108"/>
      <c r="U13" s="108"/>
      <c r="V13" s="108"/>
      <c r="AB13" s="56"/>
    </row>
    <row r="14" spans="2:29">
      <c r="B14" s="117"/>
      <c r="C14" s="108"/>
      <c r="D14" s="108"/>
      <c r="E14" s="108" t="str">
        <f>E$6</f>
        <v>RESMFAST</v>
      </c>
      <c r="F14" s="108"/>
      <c r="G14" s="108"/>
      <c r="H14" s="108">
        <v>2010</v>
      </c>
      <c r="I14" s="108"/>
      <c r="J14" s="108"/>
      <c r="K14" s="118"/>
      <c r="L14" s="119"/>
      <c r="M14" s="119"/>
      <c r="N14" s="108"/>
      <c r="O14" s="121">
        <v>1</v>
      </c>
      <c r="P14" s="108"/>
      <c r="Q14" s="108"/>
      <c r="R14" s="108"/>
      <c r="S14" s="108"/>
      <c r="T14" s="108"/>
      <c r="U14" s="108"/>
      <c r="V14" s="108"/>
      <c r="AB14" s="56"/>
    </row>
    <row r="15" spans="2:29">
      <c r="B15" s="117"/>
      <c r="C15" s="108"/>
      <c r="D15" s="108"/>
      <c r="E15" s="108"/>
      <c r="F15" s="108" t="str">
        <f>$F$7</f>
        <v>RESDMY</v>
      </c>
      <c r="G15" s="108"/>
      <c r="H15" s="108">
        <v>2010</v>
      </c>
      <c r="I15" s="108"/>
      <c r="J15" s="108"/>
      <c r="K15" s="118"/>
      <c r="L15" s="119"/>
      <c r="M15" s="119"/>
      <c r="N15" s="108"/>
      <c r="O15" s="121"/>
      <c r="P15" s="108">
        <f>$P$7</f>
        <v>1</v>
      </c>
      <c r="Q15" s="108"/>
      <c r="R15" s="108"/>
      <c r="S15" s="108"/>
      <c r="T15" s="108"/>
      <c r="U15" s="108"/>
      <c r="V15" s="108"/>
      <c r="AB15" s="56"/>
    </row>
    <row r="16" spans="2:29">
      <c r="B16" s="117"/>
      <c r="C16" s="108"/>
      <c r="D16" s="108"/>
      <c r="E16" s="108"/>
      <c r="F16" s="108" t="s">
        <v>398</v>
      </c>
      <c r="G16" s="108"/>
      <c r="H16" s="108">
        <v>2010</v>
      </c>
      <c r="I16" s="108"/>
      <c r="J16" s="108"/>
      <c r="K16" s="118"/>
      <c r="L16" s="119"/>
      <c r="M16" s="119"/>
      <c r="N16" s="108"/>
      <c r="O16" s="120"/>
      <c r="P16" s="108"/>
      <c r="Q16" s="108"/>
      <c r="R16" s="108"/>
      <c r="S16" s="108"/>
      <c r="T16" s="119">
        <f ca="1">O14*CH4Techs!$C$7/1000*0.9</f>
        <v>2.4749999999999998E-3</v>
      </c>
      <c r="U16" s="108"/>
      <c r="V16" s="108"/>
      <c r="AB16" s="56"/>
    </row>
    <row r="17" spans="2:28">
      <c r="B17" s="30" t="s">
        <v>706</v>
      </c>
      <c r="C17" s="108" t="str">
        <f ca="1">Names!C20</f>
        <v>RCH4WLF04</v>
      </c>
      <c r="D17" s="108" t="str">
        <f ca="1">Names!D20</f>
        <v>CH4- Composting (C2)</v>
      </c>
      <c r="E17" s="108" t="str">
        <f>E$6</f>
        <v>RESMFAST</v>
      </c>
      <c r="F17" s="117" t="str">
        <f>$F$5</f>
        <v/>
      </c>
      <c r="G17" s="108" t="s">
        <v>4</v>
      </c>
      <c r="H17" s="108">
        <v>2010</v>
      </c>
      <c r="I17" s="108">
        <v>1</v>
      </c>
      <c r="J17" s="108">
        <v>2000</v>
      </c>
      <c r="K17" s="118">
        <f ca="1">CH4Techs!E23</f>
        <v>15</v>
      </c>
      <c r="L17" s="119">
        <f ca="1">CH4Techs!J23</f>
        <v>11.004028952936048</v>
      </c>
      <c r="M17" s="119">
        <f ca="1">CH4Techs!K23</f>
        <v>1.948586083960882</v>
      </c>
      <c r="N17" s="108"/>
      <c r="O17" s="121">
        <f ca="1">OFFSET(CH4Techs!G$19,RIGHT(C17,2)*1,0)</f>
        <v>0.95</v>
      </c>
      <c r="P17" s="108"/>
      <c r="Q17" s="108"/>
      <c r="R17" s="108">
        <v>1</v>
      </c>
      <c r="S17" s="108"/>
      <c r="T17" s="108"/>
      <c r="U17" s="108"/>
      <c r="V17" s="108"/>
      <c r="AB17" s="56"/>
    </row>
    <row r="18" spans="2:28">
      <c r="B18" s="117"/>
      <c r="C18" s="108"/>
      <c r="D18" s="108"/>
      <c r="E18" s="108"/>
      <c r="F18" s="108" t="str">
        <f>$F$7</f>
        <v>RESDMY</v>
      </c>
      <c r="G18" s="108"/>
      <c r="H18" s="108">
        <v>2010</v>
      </c>
      <c r="I18" s="108"/>
      <c r="J18" s="108"/>
      <c r="K18" s="118"/>
      <c r="L18" s="119"/>
      <c r="M18" s="119"/>
      <c r="N18" s="108"/>
      <c r="O18" s="121"/>
      <c r="P18" s="108">
        <f>$P$7</f>
        <v>1</v>
      </c>
      <c r="Q18" s="108"/>
      <c r="R18" s="108"/>
      <c r="S18" s="108"/>
      <c r="T18" s="108"/>
      <c r="U18" s="108"/>
      <c r="V18" s="108"/>
      <c r="AB18" s="56"/>
    </row>
    <row r="19" spans="2:28">
      <c r="B19" s="117"/>
      <c r="C19" s="108"/>
      <c r="D19" s="108"/>
      <c r="E19" s="108"/>
      <c r="F19" s="108" t="s">
        <v>398</v>
      </c>
      <c r="G19" s="108"/>
      <c r="H19" s="108">
        <v>2010</v>
      </c>
      <c r="I19" s="108"/>
      <c r="J19" s="108"/>
      <c r="K19" s="118"/>
      <c r="L19" s="119"/>
      <c r="M19" s="119"/>
      <c r="N19" s="108"/>
      <c r="O19" s="120"/>
      <c r="P19" s="108"/>
      <c r="Q19" s="108"/>
      <c r="R19" s="108"/>
      <c r="S19" s="108"/>
      <c r="T19" s="119">
        <f ca="1">O17*CH4Techs!$C$7/1000*0.9</f>
        <v>2.35125E-3</v>
      </c>
      <c r="U19" s="108"/>
      <c r="V19" s="108"/>
      <c r="AB19" s="56"/>
    </row>
    <row r="20" spans="2:28">
      <c r="B20" s="30" t="s">
        <v>706</v>
      </c>
      <c r="C20" s="9" t="str">
        <f ca="1">Names!C21</f>
        <v>RCH4WLF05</v>
      </c>
      <c r="D20" s="9" t="str">
        <f ca="1">Names!D21</f>
        <v>CH4- Mechanical Biological Treatment</v>
      </c>
      <c r="E20" s="9" t="s">
        <v>19</v>
      </c>
      <c r="F20" s="11" t="str">
        <f>$F$5</f>
        <v/>
      </c>
      <c r="G20" s="9" t="s">
        <v>4</v>
      </c>
      <c r="H20" s="9">
        <v>2010</v>
      </c>
      <c r="I20" s="9">
        <v>1</v>
      </c>
      <c r="J20" s="9">
        <v>2015</v>
      </c>
      <c r="K20" s="61">
        <f ca="1">CH4Techs!E24</f>
        <v>15</v>
      </c>
      <c r="L20" s="57">
        <f ca="1">CH4Techs!J24</f>
        <v>9.3111014217151169</v>
      </c>
      <c r="M20" s="57">
        <f ca="1">CH4Techs!K24</f>
        <v>2.8950421818847394</v>
      </c>
      <c r="N20" s="9"/>
      <c r="O20" s="60">
        <v>1</v>
      </c>
      <c r="P20" s="9"/>
      <c r="Q20" s="9"/>
      <c r="R20" s="9">
        <v>1</v>
      </c>
      <c r="S20" s="9"/>
      <c r="T20" s="9"/>
      <c r="U20" s="9"/>
      <c r="V20" s="9"/>
      <c r="AB20" s="56"/>
    </row>
    <row r="21" spans="2:28">
      <c r="B21" s="11"/>
      <c r="C21" s="9"/>
      <c r="D21" s="9"/>
      <c r="E21" s="9" t="str">
        <f>E$6</f>
        <v>RESMFAST</v>
      </c>
      <c r="F21" s="9"/>
      <c r="G21" s="9"/>
      <c r="H21" s="9">
        <v>2010</v>
      </c>
      <c r="I21" s="9"/>
      <c r="J21" s="9"/>
      <c r="K21" s="61"/>
      <c r="L21" s="57"/>
      <c r="M21" s="57"/>
      <c r="N21" s="9"/>
      <c r="O21" s="65">
        <f ca="1">OFFSET(CH4Techs!G$19,RIGHT(C20,2)*1,0)</f>
        <v>0.95</v>
      </c>
      <c r="P21" s="9"/>
      <c r="Q21" s="9"/>
      <c r="R21" s="9"/>
      <c r="S21" s="9"/>
      <c r="T21" s="9"/>
      <c r="U21" s="9"/>
      <c r="V21" s="9"/>
      <c r="AB21" s="56"/>
    </row>
    <row r="22" spans="2:28">
      <c r="B22" s="11"/>
      <c r="C22" s="9"/>
      <c r="D22" s="9"/>
      <c r="E22" s="9"/>
      <c r="F22" s="9" t="str">
        <f>$F$7</f>
        <v>RESDMY</v>
      </c>
      <c r="G22" s="9"/>
      <c r="H22" s="9">
        <v>2010</v>
      </c>
      <c r="I22" s="9"/>
      <c r="J22" s="9"/>
      <c r="K22" s="61"/>
      <c r="L22" s="57"/>
      <c r="M22" s="57"/>
      <c r="N22" s="9"/>
      <c r="O22" s="65"/>
      <c r="P22" s="9">
        <f>$P$7</f>
        <v>1</v>
      </c>
      <c r="Q22" s="9"/>
      <c r="R22" s="9"/>
      <c r="S22" s="9"/>
      <c r="T22" s="9"/>
      <c r="U22" s="9"/>
      <c r="V22" s="9"/>
      <c r="AB22" s="56"/>
    </row>
    <row r="23" spans="2:28">
      <c r="B23" s="11"/>
      <c r="C23" s="9"/>
      <c r="D23" s="9"/>
      <c r="E23" s="9"/>
      <c r="F23" s="9" t="s">
        <v>398</v>
      </c>
      <c r="G23" s="9"/>
      <c r="H23" s="9">
        <v>2010</v>
      </c>
      <c r="I23" s="9"/>
      <c r="J23" s="9"/>
      <c r="K23" s="61"/>
      <c r="L23" s="57"/>
      <c r="M23" s="57"/>
      <c r="N23" s="9"/>
      <c r="O23" s="60"/>
      <c r="P23" s="9"/>
      <c r="Q23" s="9"/>
      <c r="R23" s="9"/>
      <c r="S23" s="9"/>
      <c r="T23" s="57">
        <f ca="1">O21*CH4Techs!$C$7/1000*0.9</f>
        <v>2.35125E-3</v>
      </c>
      <c r="U23" s="9"/>
      <c r="V23" s="9"/>
      <c r="AB23" s="56"/>
    </row>
    <row r="24" spans="2:28">
      <c r="B24" s="30" t="s">
        <v>706</v>
      </c>
      <c r="C24" s="108" t="str">
        <f ca="1">Names!C22</f>
        <v>RCH4WLF06</v>
      </c>
      <c r="D24" s="108" t="str">
        <f ca="1">Names!D22</f>
        <v>CH4- Heat Production</v>
      </c>
      <c r="E24" s="108" t="s">
        <v>23</v>
      </c>
      <c r="F24" s="117" t="str">
        <f>$F$5</f>
        <v/>
      </c>
      <c r="G24" s="108" t="s">
        <v>4</v>
      </c>
      <c r="H24" s="108">
        <v>2010</v>
      </c>
      <c r="I24" s="108">
        <v>1</v>
      </c>
      <c r="J24" s="108">
        <v>2015</v>
      </c>
      <c r="K24" s="118">
        <f ca="1">CH4Techs!E25</f>
        <v>20</v>
      </c>
      <c r="L24" s="119">
        <f ca="1">(CH4Techs!J27*0.8+CH4Techs!J25*0.2)</f>
        <v>2.0739647821391189E-3</v>
      </c>
      <c r="M24" s="119">
        <f ca="1">(CH4Techs!K27*0.8+CH4Techs!K25*0.2)</f>
        <v>1.6837575412844143E-4</v>
      </c>
      <c r="N24" s="108"/>
      <c r="O24" s="120">
        <v>1</v>
      </c>
      <c r="P24" s="108"/>
      <c r="Q24" s="108"/>
      <c r="R24" s="108">
        <v>1</v>
      </c>
      <c r="S24" s="108">
        <v>0.1</v>
      </c>
      <c r="T24" s="108"/>
      <c r="U24" s="108"/>
      <c r="V24" s="108"/>
      <c r="AB24" s="56"/>
    </row>
    <row r="25" spans="2:28">
      <c r="B25" s="117"/>
      <c r="C25" s="108"/>
      <c r="D25" s="108"/>
      <c r="E25" s="108" t="s">
        <v>20</v>
      </c>
      <c r="F25" s="108" t="s">
        <v>396</v>
      </c>
      <c r="G25" s="108"/>
      <c r="H25" s="108">
        <v>2010</v>
      </c>
      <c r="I25" s="108"/>
      <c r="J25" s="108"/>
      <c r="K25" s="118"/>
      <c r="L25" s="119"/>
      <c r="M25" s="119"/>
      <c r="N25" s="108"/>
      <c r="O25" s="120">
        <v>1</v>
      </c>
      <c r="P25" s="119">
        <f ca="1">P$28</f>
        <v>3.5000000000000004E-5</v>
      </c>
      <c r="Q25" s="108"/>
      <c r="R25" s="108"/>
      <c r="S25" s="108"/>
      <c r="T25" s="108"/>
      <c r="U25" s="108"/>
      <c r="V25" s="108"/>
      <c r="AB25" s="56"/>
    </row>
    <row r="26" spans="2:28">
      <c r="B26" s="117"/>
      <c r="C26" s="108"/>
      <c r="D26" s="108"/>
      <c r="E26" s="108"/>
      <c r="F26" s="108" t="s">
        <v>6</v>
      </c>
      <c r="G26" s="108"/>
      <c r="H26" s="108">
        <v>2010</v>
      </c>
      <c r="I26" s="108"/>
      <c r="J26" s="108"/>
      <c r="K26" s="118"/>
      <c r="L26" s="119"/>
      <c r="M26" s="108"/>
      <c r="N26" s="108"/>
      <c r="O26" s="108"/>
      <c r="P26" s="108"/>
      <c r="Q26" s="108"/>
      <c r="R26" s="108"/>
      <c r="S26" s="108"/>
      <c r="T26" s="121">
        <f ca="1">-OFFSET(CH4Techs!G$19,RIGHT(C24,2)*1,0)</f>
        <v>-0.7</v>
      </c>
      <c r="U26" s="108"/>
      <c r="V26" s="108"/>
      <c r="Y26" s="62"/>
      <c r="Z26" s="1"/>
      <c r="AB26" s="56"/>
    </row>
    <row r="27" spans="2:28">
      <c r="B27" s="117"/>
      <c r="C27" s="108"/>
      <c r="D27" s="108"/>
      <c r="E27" s="108"/>
      <c r="F27" s="108" t="str">
        <f>$F$7</f>
        <v>RESDMY</v>
      </c>
      <c r="G27" s="108"/>
      <c r="H27" s="108">
        <v>2010</v>
      </c>
      <c r="I27" s="108"/>
      <c r="J27" s="108"/>
      <c r="K27" s="108"/>
      <c r="L27" s="119"/>
      <c r="M27" s="108"/>
      <c r="N27" s="108"/>
      <c r="O27" s="121"/>
      <c r="P27" s="108">
        <f>$P$7</f>
        <v>1</v>
      </c>
      <c r="Q27" s="108"/>
      <c r="R27" s="108"/>
      <c r="S27" s="108"/>
      <c r="T27" s="108"/>
      <c r="U27" s="108"/>
      <c r="V27" s="108"/>
      <c r="Z27" s="58"/>
      <c r="AB27" s="56"/>
    </row>
    <row r="28" spans="2:28">
      <c r="B28" s="117"/>
      <c r="C28" s="108"/>
      <c r="D28" s="108"/>
      <c r="E28" s="108" t="s">
        <v>627</v>
      </c>
      <c r="F28" s="108" t="s">
        <v>626</v>
      </c>
      <c r="G28" s="108"/>
      <c r="H28" s="108">
        <v>2010</v>
      </c>
      <c r="I28" s="108"/>
      <c r="J28" s="108"/>
      <c r="K28" s="118"/>
      <c r="L28" s="119"/>
      <c r="M28" s="108"/>
      <c r="N28" s="108"/>
      <c r="O28" s="119">
        <f ca="1">$P$28</f>
        <v>3.5000000000000004E-5</v>
      </c>
      <c r="P28" s="119">
        <f ca="1">-T26/1000*CH4Techs!$C$8</f>
        <v>3.5000000000000004E-5</v>
      </c>
      <c r="Q28" s="108"/>
      <c r="R28" s="108"/>
      <c r="S28" s="108"/>
      <c r="T28" s="108"/>
      <c r="U28" s="108"/>
      <c r="V28" s="108"/>
      <c r="AB28" s="56"/>
    </row>
    <row r="29" spans="2:28">
      <c r="B29" s="30" t="s">
        <v>706</v>
      </c>
      <c r="C29" s="9" t="str">
        <f ca="1">Names!C23</f>
        <v>RCH4WLF07</v>
      </c>
      <c r="D29" s="9" t="str">
        <f ca="1">Names!D23</f>
        <v>CH4- Increased Oxidation</v>
      </c>
      <c r="E29" s="9" t="s">
        <v>21</v>
      </c>
      <c r="F29" s="11" t="str">
        <f>$F$5</f>
        <v/>
      </c>
      <c r="G29" s="9" t="s">
        <v>4</v>
      </c>
      <c r="H29" s="9">
        <v>2010</v>
      </c>
      <c r="I29" s="9">
        <v>1</v>
      </c>
      <c r="J29" s="9">
        <v>2015</v>
      </c>
      <c r="K29" s="61">
        <f ca="1">CH4Techs!E26</f>
        <v>50</v>
      </c>
      <c r="L29" s="57">
        <f ca="1">CH4Techs!J26</f>
        <v>5.5907888064572588E-3</v>
      </c>
      <c r="M29" s="57">
        <f ca="1">CH4Techs!K26</f>
        <v>7.0201830682767953E-6</v>
      </c>
      <c r="N29" s="9"/>
      <c r="O29" s="60">
        <v>1</v>
      </c>
      <c r="P29" s="9"/>
      <c r="Q29" s="9"/>
      <c r="R29" s="9">
        <v>1</v>
      </c>
      <c r="S29" s="9">
        <v>0.1</v>
      </c>
      <c r="T29" s="9"/>
      <c r="U29" s="9"/>
      <c r="V29" s="9"/>
      <c r="AB29" s="56"/>
    </row>
    <row r="30" spans="2:28">
      <c r="B30" s="11"/>
      <c r="C30" s="9"/>
      <c r="D30" s="9"/>
      <c r="E30" s="9" t="s">
        <v>23</v>
      </c>
      <c r="F30" s="9"/>
      <c r="G30" s="9"/>
      <c r="H30" s="9">
        <v>2010</v>
      </c>
      <c r="I30" s="9"/>
      <c r="J30" s="9"/>
      <c r="K30" s="61"/>
      <c r="L30" s="57"/>
      <c r="M30" s="57"/>
      <c r="N30" s="9"/>
      <c r="O30" s="65">
        <f ca="1">OFFSET(CH4Techs!G$19,RIGHT(C29,2)*1,0)</f>
        <v>0.44</v>
      </c>
      <c r="P30" s="9"/>
      <c r="Q30" s="9"/>
      <c r="R30" s="9"/>
      <c r="S30" s="9"/>
      <c r="T30" s="9"/>
      <c r="U30" s="9"/>
      <c r="V30" s="9"/>
      <c r="AB30" s="56"/>
    </row>
    <row r="31" spans="2:28">
      <c r="B31" s="11"/>
      <c r="C31" s="9"/>
      <c r="D31" s="9"/>
      <c r="E31" s="9"/>
      <c r="F31" s="9" t="s">
        <v>6</v>
      </c>
      <c r="G31" s="9"/>
      <c r="H31" s="9">
        <v>2010</v>
      </c>
      <c r="I31" s="9"/>
      <c r="J31" s="9"/>
      <c r="K31" s="61"/>
      <c r="L31" s="57"/>
      <c r="M31" s="57"/>
      <c r="N31" s="9"/>
      <c r="O31" s="65"/>
      <c r="P31" s="9"/>
      <c r="Q31" s="9"/>
      <c r="R31" s="9"/>
      <c r="S31" s="9"/>
      <c r="T31" s="65">
        <f ca="1">-O30</f>
        <v>-0.44</v>
      </c>
      <c r="U31" s="9"/>
      <c r="V31" s="9"/>
      <c r="AB31" s="56"/>
    </row>
    <row r="32" spans="2:28">
      <c r="B32" s="11"/>
      <c r="C32" s="9"/>
      <c r="D32" s="9"/>
      <c r="E32" s="9"/>
      <c r="F32" s="9" t="str">
        <f>$F$7</f>
        <v>RESDMY</v>
      </c>
      <c r="G32" s="9"/>
      <c r="H32" s="9">
        <v>2010</v>
      </c>
      <c r="I32" s="9"/>
      <c r="J32" s="9"/>
      <c r="K32" s="61"/>
      <c r="L32" s="57"/>
      <c r="M32" s="57"/>
      <c r="N32" s="9"/>
      <c r="O32" s="65"/>
      <c r="P32" s="9">
        <f>$P$7</f>
        <v>1</v>
      </c>
      <c r="Q32" s="9"/>
      <c r="R32" s="9"/>
      <c r="S32" s="9"/>
      <c r="T32" s="9"/>
      <c r="U32" s="9"/>
      <c r="V32" s="9"/>
      <c r="AB32" s="56"/>
    </row>
    <row r="33" spans="2:28">
      <c r="B33" s="11"/>
      <c r="C33" s="9"/>
      <c r="D33" s="9"/>
      <c r="E33" s="9"/>
      <c r="F33" s="9" t="str">
        <f>F23</f>
        <v>RESCO2P</v>
      </c>
      <c r="G33" s="9"/>
      <c r="H33" s="9">
        <v>2010</v>
      </c>
      <c r="I33" s="9"/>
      <c r="J33" s="9"/>
      <c r="K33" s="61"/>
      <c r="L33" s="57"/>
      <c r="M33" s="57"/>
      <c r="N33" s="9"/>
      <c r="O33" s="60"/>
      <c r="P33" s="57"/>
      <c r="Q33" s="9"/>
      <c r="R33" s="9"/>
      <c r="S33" s="9"/>
      <c r="T33" s="57">
        <f ca="1">-T31*CH4Techs!$C$7/1000*0.9</f>
        <v>1.0889999999999999E-3</v>
      </c>
      <c r="U33" s="9"/>
      <c r="V33" s="9"/>
      <c r="AB33" s="56"/>
    </row>
    <row r="34" spans="2:28">
      <c r="B34" s="30" t="s">
        <v>706</v>
      </c>
      <c r="C34" s="108" t="str">
        <f ca="1">Names!C24</f>
        <v>RCH4WLF08</v>
      </c>
      <c r="D34" s="108" t="str">
        <f ca="1">Names!D24</f>
        <v>CH4- Direct Gas Use (profitable at base price)</v>
      </c>
      <c r="E34" s="108" t="s">
        <v>23</v>
      </c>
      <c r="F34" s="117" t="str">
        <f>$F$5</f>
        <v/>
      </c>
      <c r="G34" s="108" t="s">
        <v>4</v>
      </c>
      <c r="H34" s="108">
        <v>2010</v>
      </c>
      <c r="I34" s="108">
        <v>1</v>
      </c>
      <c r="J34" s="108">
        <v>2015</v>
      </c>
      <c r="K34" s="118">
        <f ca="1">CH4Techs!E27</f>
        <v>15</v>
      </c>
      <c r="L34" s="119">
        <f ca="1">CH4Techs!J27</f>
        <v>2.4355828818055109E-3</v>
      </c>
      <c r="M34" s="119">
        <f ca="1">CH4Techs!K27</f>
        <v>1.7659988188991176E-4</v>
      </c>
      <c r="N34" s="108"/>
      <c r="O34" s="120">
        <v>1</v>
      </c>
      <c r="P34" s="108"/>
      <c r="Q34" s="108"/>
      <c r="R34" s="108">
        <v>1</v>
      </c>
      <c r="S34" s="108">
        <v>0.1</v>
      </c>
      <c r="T34" s="108"/>
      <c r="U34" s="108"/>
      <c r="V34" s="108"/>
      <c r="AB34" s="56"/>
    </row>
    <row r="35" spans="2:28">
      <c r="B35" s="117"/>
      <c r="C35" s="108"/>
      <c r="D35" s="108"/>
      <c r="E35" s="108" t="str">
        <f>E$25</f>
        <v>RESWLF5</v>
      </c>
      <c r="F35" s="117"/>
      <c r="G35" s="108"/>
      <c r="H35" s="108">
        <v>2010</v>
      </c>
      <c r="I35" s="108"/>
      <c r="J35" s="108"/>
      <c r="K35" s="118"/>
      <c r="L35" s="119"/>
      <c r="M35" s="119"/>
      <c r="N35" s="108"/>
      <c r="O35" s="120">
        <v>1</v>
      </c>
      <c r="P35" s="108"/>
      <c r="Q35" s="108"/>
      <c r="R35" s="108"/>
      <c r="S35" s="108"/>
      <c r="T35" s="108"/>
      <c r="U35" s="108"/>
      <c r="V35" s="108"/>
      <c r="AB35" s="56"/>
    </row>
    <row r="36" spans="2:28">
      <c r="B36" s="117"/>
      <c r="C36" s="108"/>
      <c r="D36" s="108"/>
      <c r="E36" s="108" t="s">
        <v>22</v>
      </c>
      <c r="F36" s="108" t="s">
        <v>396</v>
      </c>
      <c r="G36" s="108"/>
      <c r="H36" s="108">
        <v>2010</v>
      </c>
      <c r="I36" s="108"/>
      <c r="J36" s="108"/>
      <c r="K36" s="118"/>
      <c r="L36" s="119"/>
      <c r="M36" s="119"/>
      <c r="N36" s="108"/>
      <c r="O36" s="120">
        <v>1</v>
      </c>
      <c r="P36" s="119">
        <f ca="1">$P$39</f>
        <v>3.7500000000000003E-5</v>
      </c>
      <c r="Q36" s="108"/>
      <c r="R36" s="108"/>
      <c r="S36" s="108"/>
      <c r="T36" s="108"/>
      <c r="U36" s="108"/>
      <c r="V36" s="108"/>
      <c r="AB36" s="56"/>
    </row>
    <row r="37" spans="2:28">
      <c r="B37" s="117"/>
      <c r="C37" s="108"/>
      <c r="D37" s="108"/>
      <c r="E37" s="108"/>
      <c r="F37" s="108" t="s">
        <v>6</v>
      </c>
      <c r="G37" s="108"/>
      <c r="H37" s="108">
        <v>2010</v>
      </c>
      <c r="I37" s="108"/>
      <c r="J37" s="108"/>
      <c r="K37" s="118"/>
      <c r="L37" s="119"/>
      <c r="M37" s="119"/>
      <c r="N37" s="108"/>
      <c r="O37" s="108"/>
      <c r="P37" s="108"/>
      <c r="Q37" s="108"/>
      <c r="R37" s="108"/>
      <c r="S37" s="108"/>
      <c r="T37" s="121">
        <f ca="1">-OFFSET(CH4Techs!G$19,RIGHT(C34,2)*1,0)</f>
        <v>-0.75</v>
      </c>
      <c r="U37" s="108"/>
      <c r="V37" s="108"/>
      <c r="AB37" s="56"/>
    </row>
    <row r="38" spans="2:28">
      <c r="B38" s="117"/>
      <c r="C38" s="108"/>
      <c r="D38" s="108"/>
      <c r="E38" s="108"/>
      <c r="F38" s="108" t="str">
        <f>$F$7</f>
        <v>RESDMY</v>
      </c>
      <c r="G38" s="108"/>
      <c r="H38" s="108">
        <v>2010</v>
      </c>
      <c r="I38" s="108"/>
      <c r="J38" s="108"/>
      <c r="K38" s="118"/>
      <c r="L38" s="119"/>
      <c r="M38" s="119"/>
      <c r="N38" s="108"/>
      <c r="O38" s="121"/>
      <c r="P38" s="108">
        <f>$P$7</f>
        <v>1</v>
      </c>
      <c r="Q38" s="108"/>
      <c r="R38" s="108"/>
      <c r="S38" s="108"/>
      <c r="T38" s="108"/>
      <c r="U38" s="108"/>
      <c r="V38" s="108"/>
      <c r="AB38" s="56"/>
    </row>
    <row r="39" spans="2:28">
      <c r="B39" s="117"/>
      <c r="C39" s="108"/>
      <c r="D39" s="108"/>
      <c r="E39" s="108" t="s">
        <v>628</v>
      </c>
      <c r="F39" s="108" t="s">
        <v>399</v>
      </c>
      <c r="G39" s="108"/>
      <c r="H39" s="108">
        <v>2010</v>
      </c>
      <c r="I39" s="108"/>
      <c r="J39" s="108"/>
      <c r="K39" s="118"/>
      <c r="L39" s="119"/>
      <c r="M39" s="119"/>
      <c r="N39" s="108"/>
      <c r="O39" s="119">
        <f ca="1">$P$39</f>
        <v>3.7500000000000003E-5</v>
      </c>
      <c r="P39" s="119">
        <f ca="1">-T37/1000*CH4Techs!$C$8</f>
        <v>3.7500000000000003E-5</v>
      </c>
      <c r="Q39" s="108"/>
      <c r="R39" s="108"/>
      <c r="S39" s="108"/>
      <c r="T39" s="108"/>
      <c r="U39" s="108"/>
      <c r="V39" s="108"/>
      <c r="AB39" s="56"/>
    </row>
    <row r="40" spans="2:28">
      <c r="B40" s="30" t="s">
        <v>706</v>
      </c>
      <c r="C40" s="9" t="str">
        <f ca="1">Names!C25</f>
        <v>RCH4WLF09</v>
      </c>
      <c r="D40" s="9" t="str">
        <f ca="1">Names!D25</f>
        <v>CH4- Electricity Generation</v>
      </c>
      <c r="E40" s="9" t="s">
        <v>23</v>
      </c>
      <c r="F40" s="11" t="str">
        <f>$F$5</f>
        <v/>
      </c>
      <c r="G40" s="9" t="s">
        <v>4</v>
      </c>
      <c r="H40" s="9">
        <v>2010</v>
      </c>
      <c r="I40" s="9">
        <v>1</v>
      </c>
      <c r="J40" s="9">
        <v>2015</v>
      </c>
      <c r="K40" s="61">
        <f ca="1">CH4Techs!E28</f>
        <v>20</v>
      </c>
      <c r="L40" s="57">
        <f ca="1">CH4Techs!J28</f>
        <v>3.3633810290659098E-3</v>
      </c>
      <c r="M40" s="57">
        <f ca="1">CH4Techs!K28</f>
        <v>1.8459185884412725E-4</v>
      </c>
      <c r="N40" s="9"/>
      <c r="O40" s="60">
        <v>1</v>
      </c>
      <c r="P40" s="9"/>
      <c r="Q40" s="9"/>
      <c r="R40" s="9">
        <v>1</v>
      </c>
      <c r="S40" s="9">
        <v>0.1</v>
      </c>
      <c r="T40" s="9"/>
      <c r="U40" s="9"/>
      <c r="V40" s="9"/>
      <c r="AB40" s="56"/>
    </row>
    <row r="41" spans="2:28">
      <c r="B41" s="11"/>
      <c r="C41" s="9"/>
      <c r="D41" s="9"/>
      <c r="E41" s="9" t="str">
        <f>E$25</f>
        <v>RESWLF5</v>
      </c>
      <c r="F41" s="11"/>
      <c r="G41" s="9"/>
      <c r="H41" s="9">
        <v>2010</v>
      </c>
      <c r="I41" s="9"/>
      <c r="J41" s="9"/>
      <c r="K41" s="61"/>
      <c r="L41" s="57"/>
      <c r="M41" s="57"/>
      <c r="N41" s="9"/>
      <c r="O41" s="60">
        <v>1</v>
      </c>
      <c r="P41" s="9"/>
      <c r="Q41" s="9"/>
      <c r="R41" s="9"/>
      <c r="S41" s="9"/>
      <c r="T41" s="9"/>
      <c r="U41" s="9"/>
      <c r="V41" s="9"/>
      <c r="AB41" s="56"/>
    </row>
    <row r="42" spans="2:28">
      <c r="B42" s="11"/>
      <c r="C42" s="9"/>
      <c r="D42" s="9"/>
      <c r="E42" s="9"/>
      <c r="F42" s="9" t="s">
        <v>6</v>
      </c>
      <c r="G42" s="9"/>
      <c r="H42" s="9">
        <v>2010</v>
      </c>
      <c r="I42" s="9"/>
      <c r="J42" s="9"/>
      <c r="K42" s="61"/>
      <c r="L42" s="57"/>
      <c r="M42" s="57"/>
      <c r="N42" s="9"/>
      <c r="O42" s="65"/>
      <c r="P42" s="9"/>
      <c r="Q42" s="9"/>
      <c r="R42" s="9"/>
      <c r="S42" s="9"/>
      <c r="T42" s="65">
        <f ca="1">-OFFSET(CH4Techs!G$19,RIGHT(C40,2)*1,0)</f>
        <v>-0.75</v>
      </c>
      <c r="U42" s="9"/>
      <c r="V42" s="9"/>
      <c r="AB42" s="56"/>
    </row>
    <row r="43" spans="2:28">
      <c r="B43" s="11"/>
      <c r="C43" s="9"/>
      <c r="D43" s="9"/>
      <c r="E43" s="9"/>
      <c r="F43" s="9" t="str">
        <f>$F$7</f>
        <v>RESDMY</v>
      </c>
      <c r="G43" s="9"/>
      <c r="H43" s="9">
        <v>2010</v>
      </c>
      <c r="I43" s="9"/>
      <c r="J43" s="9"/>
      <c r="K43" s="61"/>
      <c r="L43" s="57"/>
      <c r="M43" s="57"/>
      <c r="N43" s="9"/>
      <c r="O43" s="65"/>
      <c r="P43" s="9">
        <f>$P$7</f>
        <v>1</v>
      </c>
      <c r="Q43" s="9"/>
      <c r="R43" s="9"/>
      <c r="S43" s="9"/>
      <c r="T43" s="9"/>
      <c r="U43" s="9"/>
      <c r="V43" s="9"/>
      <c r="AB43" s="56"/>
    </row>
    <row r="44" spans="2:28">
      <c r="B44" s="11"/>
      <c r="C44" s="9"/>
      <c r="D44" s="9"/>
      <c r="E44" s="9"/>
      <c r="F44" s="9" t="s">
        <v>397</v>
      </c>
      <c r="G44" s="9"/>
      <c r="H44" s="9">
        <v>2010</v>
      </c>
      <c r="I44" s="9"/>
      <c r="J44" s="9"/>
      <c r="K44" s="61"/>
      <c r="L44" s="57"/>
      <c r="M44" s="57"/>
      <c r="N44" s="9"/>
      <c r="O44" s="60"/>
      <c r="P44" s="57">
        <f ca="1">-T42/1000*CH4Techs!$C$8</f>
        <v>3.7500000000000003E-5</v>
      </c>
      <c r="Q44" s="9"/>
      <c r="R44" s="9"/>
      <c r="S44" s="9"/>
      <c r="T44" s="9"/>
      <c r="U44" s="9"/>
      <c r="V44" s="9"/>
      <c r="AB44" s="56"/>
    </row>
    <row r="45" spans="2:28">
      <c r="B45" s="30" t="s">
        <v>706</v>
      </c>
      <c r="C45" s="108" t="str">
        <f ca="1">Names!C26</f>
        <v>RCH4WLF10</v>
      </c>
      <c r="D45" s="108" t="str">
        <f ca="1">Names!D26</f>
        <v xml:space="preserve">CH4- Direct Gas Use (profitable above base price) </v>
      </c>
      <c r="E45" s="108" t="s">
        <v>23</v>
      </c>
      <c r="F45" s="117" t="str">
        <f>$F$5</f>
        <v/>
      </c>
      <c r="G45" s="108" t="s">
        <v>4</v>
      </c>
      <c r="H45" s="108">
        <v>2010</v>
      </c>
      <c r="I45" s="108">
        <v>1</v>
      </c>
      <c r="J45" s="108">
        <v>2015</v>
      </c>
      <c r="K45" s="118">
        <f ca="1">CH4Techs!E29</f>
        <v>15</v>
      </c>
      <c r="L45" s="119">
        <f ca="1">CH4Techs!J29</f>
        <v>3.008215267139448E-3</v>
      </c>
      <c r="M45" s="119">
        <f ca="1">CH4Techs!K29</f>
        <v>2.1721783800329435E-4</v>
      </c>
      <c r="N45" s="108"/>
      <c r="O45" s="120">
        <v>1</v>
      </c>
      <c r="P45" s="108"/>
      <c r="Q45" s="108"/>
      <c r="R45" s="108">
        <v>1</v>
      </c>
      <c r="S45" s="108">
        <v>0.1</v>
      </c>
      <c r="T45" s="108"/>
      <c r="U45" s="108"/>
      <c r="V45" s="108"/>
      <c r="AB45" s="56"/>
    </row>
    <row r="46" spans="2:28">
      <c r="B46" s="117"/>
      <c r="C46" s="108"/>
      <c r="D46" s="108"/>
      <c r="E46" s="108" t="str">
        <f>E$25</f>
        <v>RESWLF5</v>
      </c>
      <c r="F46" s="117"/>
      <c r="G46" s="108"/>
      <c r="H46" s="108">
        <v>2010</v>
      </c>
      <c r="I46" s="108"/>
      <c r="J46" s="108"/>
      <c r="K46" s="118"/>
      <c r="L46" s="119"/>
      <c r="M46" s="119"/>
      <c r="N46" s="108"/>
      <c r="O46" s="120">
        <v>1</v>
      </c>
      <c r="P46" s="108"/>
      <c r="Q46" s="108"/>
      <c r="R46" s="108"/>
      <c r="S46" s="108"/>
      <c r="T46" s="108"/>
      <c r="U46" s="108"/>
      <c r="V46" s="108"/>
      <c r="AB46" s="56"/>
    </row>
    <row r="47" spans="2:28">
      <c r="B47" s="117"/>
      <c r="C47" s="108"/>
      <c r="D47" s="108"/>
      <c r="E47" s="108"/>
      <c r="F47" s="108" t="s">
        <v>6</v>
      </c>
      <c r="G47" s="108"/>
      <c r="H47" s="108">
        <v>2010</v>
      </c>
      <c r="I47" s="108"/>
      <c r="J47" s="108"/>
      <c r="K47" s="118"/>
      <c r="L47" s="119"/>
      <c r="M47" s="119"/>
      <c r="N47" s="108"/>
      <c r="O47" s="108"/>
      <c r="P47" s="108"/>
      <c r="Q47" s="108"/>
      <c r="R47" s="108"/>
      <c r="S47" s="108"/>
      <c r="T47" s="121">
        <f ca="1">-OFFSET(CH4Techs!G$19,RIGHT(C45,2)*1,0)</f>
        <v>-0.75</v>
      </c>
      <c r="U47" s="108"/>
      <c r="V47" s="108"/>
      <c r="AB47" s="56"/>
    </row>
    <row r="48" spans="2:28">
      <c r="B48" s="117"/>
      <c r="C48" s="108"/>
      <c r="D48" s="108"/>
      <c r="E48" s="108"/>
      <c r="F48" s="108" t="str">
        <f>$F$7</f>
        <v>RESDMY</v>
      </c>
      <c r="G48" s="108"/>
      <c r="H48" s="108">
        <v>2010</v>
      </c>
      <c r="I48" s="108"/>
      <c r="J48" s="108"/>
      <c r="K48" s="118"/>
      <c r="L48" s="119"/>
      <c r="M48" s="119"/>
      <c r="N48" s="108"/>
      <c r="O48" s="121"/>
      <c r="P48" s="108">
        <f>$P$7</f>
        <v>1</v>
      </c>
      <c r="Q48" s="108"/>
      <c r="R48" s="108"/>
      <c r="S48" s="108"/>
      <c r="T48" s="108"/>
      <c r="U48" s="108"/>
      <c r="V48" s="108"/>
      <c r="AB48" s="56"/>
    </row>
    <row r="49" spans="2:28">
      <c r="B49" s="117"/>
      <c r="C49" s="108"/>
      <c r="D49" s="108"/>
      <c r="E49" s="108"/>
      <c r="F49" s="108" t="s">
        <v>396</v>
      </c>
      <c r="G49" s="108"/>
      <c r="H49" s="108">
        <v>2010</v>
      </c>
      <c r="I49" s="108"/>
      <c r="J49" s="108"/>
      <c r="K49" s="118"/>
      <c r="L49" s="119"/>
      <c r="M49" s="119"/>
      <c r="N49" s="108"/>
      <c r="O49" s="120"/>
      <c r="P49" s="119">
        <f ca="1">-T47/1000*CH4Techs!$C$8</f>
        <v>3.7500000000000003E-5</v>
      </c>
      <c r="Q49" s="108"/>
      <c r="R49" s="108"/>
      <c r="S49" s="108"/>
      <c r="T49" s="108"/>
      <c r="U49" s="108"/>
      <c r="V49" s="108"/>
      <c r="AB49" s="56"/>
    </row>
    <row r="50" spans="2:28">
      <c r="B50" s="30" t="s">
        <v>706</v>
      </c>
      <c r="C50" s="9" t="str">
        <f ca="1">Names!C27</f>
        <v>RCH4WLF11</v>
      </c>
      <c r="D50" s="9" t="str">
        <f ca="1">Names!D27</f>
        <v>CH4- Flaring</v>
      </c>
      <c r="E50" s="9" t="s">
        <v>23</v>
      </c>
      <c r="F50" s="11" t="str">
        <f>$F$5</f>
        <v/>
      </c>
      <c r="G50" s="9" t="s">
        <v>4</v>
      </c>
      <c r="H50" s="9">
        <v>2010</v>
      </c>
      <c r="I50" s="9">
        <v>1</v>
      </c>
      <c r="J50" s="9">
        <v>2015</v>
      </c>
      <c r="K50" s="61">
        <f ca="1">CH4Techs!E30</f>
        <v>20</v>
      </c>
      <c r="L50" s="57">
        <f ca="1">CH4Techs!J30</f>
        <v>5.9798895478919045E-4</v>
      </c>
      <c r="M50" s="57">
        <f ca="1">CH4Techs!K30</f>
        <v>8.0975741102006616E-5</v>
      </c>
      <c r="N50" s="9"/>
      <c r="O50" s="60">
        <v>1</v>
      </c>
      <c r="P50" s="9"/>
      <c r="Q50" s="9"/>
      <c r="R50" s="9">
        <v>1</v>
      </c>
      <c r="S50" s="9"/>
      <c r="T50" s="9"/>
      <c r="U50" s="9"/>
      <c r="V50" s="9"/>
      <c r="AB50" s="56"/>
    </row>
    <row r="51" spans="2:28">
      <c r="B51" s="98"/>
      <c r="C51" s="9"/>
      <c r="D51" s="9"/>
      <c r="E51" s="9"/>
      <c r="F51" s="9" t="s">
        <v>6</v>
      </c>
      <c r="G51" s="9"/>
      <c r="H51" s="9">
        <v>2010</v>
      </c>
      <c r="I51" s="9"/>
      <c r="J51" s="9"/>
      <c r="K51" s="61"/>
      <c r="L51" s="57"/>
      <c r="M51" s="57"/>
      <c r="N51" s="9"/>
      <c r="O51" s="65"/>
      <c r="P51" s="9"/>
      <c r="Q51" s="9"/>
      <c r="R51" s="9"/>
      <c r="S51" s="9"/>
      <c r="T51" s="65">
        <f ca="1">-OFFSET(CH4Techs!G$19,RIGHT(C50,2)*1,0)</f>
        <v>-0.75</v>
      </c>
      <c r="U51" s="9"/>
      <c r="V51" s="9"/>
      <c r="AB51" s="56"/>
    </row>
    <row r="52" spans="2:28">
      <c r="B52" s="98"/>
      <c r="C52" s="9"/>
      <c r="D52" s="9"/>
      <c r="E52" s="9"/>
      <c r="F52" s="9" t="str">
        <f>$F$7</f>
        <v>RESDMY</v>
      </c>
      <c r="G52" s="9"/>
      <c r="H52" s="9">
        <v>2010</v>
      </c>
      <c r="I52" s="9"/>
      <c r="J52" s="9"/>
      <c r="K52" s="61"/>
      <c r="L52" s="57"/>
      <c r="M52" s="57"/>
      <c r="N52" s="9"/>
      <c r="O52" s="65"/>
      <c r="P52" s="9">
        <f>$P$7</f>
        <v>1</v>
      </c>
      <c r="Q52" s="9"/>
      <c r="R52" s="9"/>
      <c r="S52" s="9"/>
      <c r="T52" s="9"/>
      <c r="U52" s="9"/>
      <c r="V52" s="9"/>
      <c r="AB52" s="56"/>
    </row>
    <row r="53" spans="2:28">
      <c r="B53" s="98"/>
      <c r="C53" s="9"/>
      <c r="D53" s="9"/>
      <c r="E53" s="9"/>
      <c r="F53" s="9" t="s">
        <v>398</v>
      </c>
      <c r="G53" s="9"/>
      <c r="H53" s="9">
        <v>2010</v>
      </c>
      <c r="I53" s="9"/>
      <c r="J53" s="9"/>
      <c r="K53" s="61"/>
      <c r="L53" s="57"/>
      <c r="M53" s="57"/>
      <c r="N53" s="9"/>
      <c r="O53" s="60"/>
      <c r="P53" s="9"/>
      <c r="Q53" s="9"/>
      <c r="R53" s="9"/>
      <c r="S53" s="9"/>
      <c r="T53" s="57">
        <f ca="1">-T51*CH4Techs!$C$7/1000*0.9</f>
        <v>1.85625E-3</v>
      </c>
      <c r="U53" s="9"/>
      <c r="V53" s="9"/>
      <c r="AB53" s="56"/>
    </row>
    <row r="54" spans="2:28" s="55" customFormat="1">
      <c r="B54" s="50" t="s">
        <v>400</v>
      </c>
      <c r="C54" s="51"/>
      <c r="D54" s="51"/>
      <c r="E54" s="51"/>
      <c r="F54" s="51"/>
      <c r="G54" s="51"/>
      <c r="H54" s="51"/>
      <c r="I54" s="51"/>
      <c r="J54" s="51"/>
      <c r="K54" s="52"/>
      <c r="L54" s="53"/>
      <c r="M54" s="53"/>
      <c r="N54" s="51"/>
      <c r="O54" s="51"/>
      <c r="P54" s="54"/>
      <c r="Q54" s="51"/>
      <c r="R54" s="51"/>
      <c r="S54" s="51"/>
      <c r="T54" s="51"/>
      <c r="U54" s="51"/>
      <c r="V54" s="51"/>
      <c r="Z54"/>
      <c r="AB54" s="56"/>
    </row>
    <row r="55" spans="2:28">
      <c r="B55" s="30" t="s">
        <v>706</v>
      </c>
      <c r="C55" s="9" t="str">
        <f ca="1">Names!C9</f>
        <v>ACH4MAN01</v>
      </c>
      <c r="D55" s="9" t="str">
        <f ca="1">Names!D9</f>
        <v>CH4- Farm Scale Digesters-A (cool climate)</v>
      </c>
      <c r="E55" s="9" t="s">
        <v>95</v>
      </c>
      <c r="F55" s="11"/>
      <c r="G55" s="9" t="s">
        <v>4</v>
      </c>
      <c r="H55" s="9">
        <v>2010</v>
      </c>
      <c r="I55" s="9">
        <v>1</v>
      </c>
      <c r="J55" s="9">
        <v>2015</v>
      </c>
      <c r="K55" s="61">
        <f ca="1">CH4Techs!E62</f>
        <v>15</v>
      </c>
      <c r="L55" s="65">
        <f ca="1">CH4Techs!J62</f>
        <v>16.425577846627228</v>
      </c>
      <c r="M55" s="65">
        <f ca="1">CH4Techs!K62</f>
        <v>1.5299731816704056</v>
      </c>
      <c r="N55" s="9"/>
      <c r="O55" s="60"/>
      <c r="P55" s="9"/>
      <c r="Q55" s="9"/>
      <c r="R55" s="9">
        <v>1</v>
      </c>
      <c r="S55" s="9"/>
      <c r="T55" s="9"/>
      <c r="U55" s="9"/>
      <c r="V55" s="9"/>
      <c r="AB55" s="56"/>
    </row>
    <row r="56" spans="2:28">
      <c r="B56" s="11"/>
      <c r="C56" s="9"/>
      <c r="D56" s="9"/>
      <c r="E56" s="9"/>
      <c r="F56" s="9" t="s">
        <v>5</v>
      </c>
      <c r="G56" s="9"/>
      <c r="H56" s="9">
        <v>2010</v>
      </c>
      <c r="I56" s="9"/>
      <c r="J56" s="9"/>
      <c r="K56" s="61"/>
      <c r="L56" s="65"/>
      <c r="M56" s="65"/>
      <c r="N56" s="9"/>
      <c r="O56" s="9"/>
      <c r="P56" s="61">
        <f ca="1">(1-CH4Techs!G62)*1000</f>
        <v>500</v>
      </c>
      <c r="Q56" s="9"/>
      <c r="R56" s="9"/>
      <c r="S56" s="9"/>
      <c r="T56" s="9"/>
      <c r="U56" s="9"/>
      <c r="V56" s="9"/>
      <c r="AB56" s="56"/>
    </row>
    <row r="57" spans="2:28">
      <c r="B57" s="11"/>
      <c r="C57" s="9"/>
      <c r="D57" s="9"/>
      <c r="E57" s="9"/>
      <c r="F57" s="9" t="s">
        <v>396</v>
      </c>
      <c r="G57" s="9"/>
      <c r="H57" s="9">
        <v>2010</v>
      </c>
      <c r="I57" s="9"/>
      <c r="J57" s="9"/>
      <c r="K57" s="61"/>
      <c r="L57" s="65"/>
      <c r="M57" s="65"/>
      <c r="N57" s="9"/>
      <c r="O57" s="60"/>
      <c r="P57" s="59">
        <f ca="1">(1-P56/1000)*CH4Techs!$C$8*CH4Techs!$K$5</f>
        <v>0.125</v>
      </c>
      <c r="Q57" s="9"/>
      <c r="R57" s="9"/>
      <c r="S57" s="9"/>
      <c r="T57" s="9"/>
      <c r="U57" s="9"/>
      <c r="V57" s="9"/>
      <c r="AB57" s="56"/>
    </row>
    <row r="58" spans="2:28">
      <c r="B58" s="30" t="s">
        <v>706</v>
      </c>
      <c r="C58" s="9" t="str">
        <f ca="1">Names!C10</f>
        <v>ACH4MAN02</v>
      </c>
      <c r="D58" s="9" t="str">
        <f ca="1">Names!D10</f>
        <v>CH4- Farm Scale Digesters-A (warm climate)</v>
      </c>
      <c r="E58" s="9" t="s">
        <v>95</v>
      </c>
      <c r="F58" s="11"/>
      <c r="G58" s="9" t="s">
        <v>4</v>
      </c>
      <c r="H58" s="9">
        <v>2010</v>
      </c>
      <c r="I58" s="9">
        <v>1</v>
      </c>
      <c r="J58" s="9">
        <v>2015</v>
      </c>
      <c r="K58" s="61">
        <f ca="1">CH4Techs!E63</f>
        <v>15</v>
      </c>
      <c r="L58" s="65">
        <f ca="1">CH4Techs!J63</f>
        <v>6.5276947816775532</v>
      </c>
      <c r="M58" s="65">
        <f ca="1">CH4Techs!K63</f>
        <v>0.60802719072359768</v>
      </c>
      <c r="N58" s="9"/>
      <c r="O58" s="60"/>
      <c r="P58" s="61"/>
      <c r="Q58" s="9"/>
      <c r="R58" s="9"/>
      <c r="S58" s="9"/>
      <c r="T58" s="9"/>
      <c r="U58" s="9"/>
      <c r="V58" s="9"/>
      <c r="AB58" s="56"/>
    </row>
    <row r="59" spans="2:28">
      <c r="B59" s="98"/>
      <c r="C59" s="9"/>
      <c r="D59" s="9"/>
      <c r="E59" s="9"/>
      <c r="F59" s="9" t="s">
        <v>5</v>
      </c>
      <c r="G59" s="9"/>
      <c r="H59" s="9">
        <v>2010</v>
      </c>
      <c r="I59" s="9"/>
      <c r="J59" s="9"/>
      <c r="K59" s="61"/>
      <c r="L59" s="65"/>
      <c r="M59" s="65"/>
      <c r="N59" s="9"/>
      <c r="O59" s="9"/>
      <c r="P59" s="61">
        <f ca="1">(1-CH4Techs!G63)*1000</f>
        <v>250</v>
      </c>
      <c r="Q59" s="9"/>
      <c r="R59" s="9"/>
      <c r="S59" s="9"/>
      <c r="T59" s="9"/>
      <c r="U59" s="9"/>
      <c r="V59" s="9"/>
      <c r="AB59" s="56"/>
    </row>
    <row r="60" spans="2:28">
      <c r="B60" s="98"/>
      <c r="C60" s="9"/>
      <c r="D60" s="9"/>
      <c r="E60" s="9"/>
      <c r="F60" s="9" t="s">
        <v>396</v>
      </c>
      <c r="G60" s="9"/>
      <c r="H60" s="9">
        <v>2010</v>
      </c>
      <c r="I60" s="9"/>
      <c r="J60" s="9"/>
      <c r="K60" s="61"/>
      <c r="L60" s="65"/>
      <c r="M60" s="65"/>
      <c r="N60" s="9"/>
      <c r="O60" s="60"/>
      <c r="P60" s="59">
        <f ca="1">(1-P59/1000)*CH4Techs!$C$8*CH4Techs!$K$5</f>
        <v>0.18750000000000003</v>
      </c>
      <c r="Q60" s="9"/>
      <c r="R60" s="9"/>
      <c r="S60" s="9"/>
      <c r="T60" s="9"/>
      <c r="U60" s="9"/>
      <c r="V60" s="9"/>
      <c r="AB60" s="56"/>
    </row>
    <row r="61" spans="2:28">
      <c r="B61" s="30" t="s">
        <v>706</v>
      </c>
      <c r="C61" s="9" t="str">
        <f ca="1">Names!C11</f>
        <v>ACH4MAN03</v>
      </c>
      <c r="D61" s="9" t="str">
        <f ca="1">Names!D11</f>
        <v>CH4- Farm Scale Digesters-B (cool climate)</v>
      </c>
      <c r="E61" s="9" t="s">
        <v>95</v>
      </c>
      <c r="F61" s="11"/>
      <c r="G61" s="9" t="s">
        <v>4</v>
      </c>
      <c r="H61" s="9">
        <v>2010</v>
      </c>
      <c r="I61" s="9">
        <v>1</v>
      </c>
      <c r="J61" s="9">
        <v>2015</v>
      </c>
      <c r="K61" s="61">
        <f ca="1">CH4Techs!E64</f>
        <v>15</v>
      </c>
      <c r="L61" s="65">
        <f ca="1">CH4Techs!J64</f>
        <v>17.661737085762901</v>
      </c>
      <c r="M61" s="65">
        <f ca="1">CH4Techs!K64</f>
        <v>0.24514541722307526</v>
      </c>
      <c r="N61" s="9"/>
      <c r="O61" s="60"/>
      <c r="P61" s="61"/>
      <c r="Q61" s="9"/>
      <c r="R61" s="9"/>
      <c r="S61" s="9"/>
      <c r="T61" s="9"/>
      <c r="U61" s="9"/>
      <c r="V61" s="9"/>
      <c r="AB61" s="56"/>
    </row>
    <row r="62" spans="2:28">
      <c r="B62" s="11"/>
      <c r="C62" s="9"/>
      <c r="D62" s="9"/>
      <c r="E62" s="9"/>
      <c r="F62" s="9" t="s">
        <v>5</v>
      </c>
      <c r="G62" s="9"/>
      <c r="H62" s="9">
        <v>2010</v>
      </c>
      <c r="I62" s="9"/>
      <c r="J62" s="9"/>
      <c r="K62" s="61"/>
      <c r="L62" s="65"/>
      <c r="M62" s="65"/>
      <c r="N62" s="9"/>
      <c r="O62" s="9"/>
      <c r="P62" s="61">
        <f ca="1">(1-CH4Techs!G64)*1000</f>
        <v>500</v>
      </c>
      <c r="Q62" s="9"/>
      <c r="R62" s="9"/>
      <c r="S62" s="9"/>
      <c r="T62" s="9"/>
      <c r="U62" s="9"/>
      <c r="V62" s="9"/>
      <c r="AB62" s="56"/>
    </row>
    <row r="63" spans="2:28">
      <c r="B63" s="11"/>
      <c r="C63" s="9"/>
      <c r="D63" s="9"/>
      <c r="E63" s="9"/>
      <c r="F63" s="9" t="s">
        <v>397</v>
      </c>
      <c r="G63" s="9"/>
      <c r="H63" s="9">
        <v>2010</v>
      </c>
      <c r="I63" s="9"/>
      <c r="J63" s="9"/>
      <c r="K63" s="61"/>
      <c r="L63" s="65"/>
      <c r="M63" s="65"/>
      <c r="N63" s="9"/>
      <c r="O63" s="65"/>
      <c r="P63" s="59">
        <f ca="1">(1-P62/1000)*CH4Techs!$C$8*CH4Techs!$K$5</f>
        <v>0.125</v>
      </c>
      <c r="Q63" s="9"/>
      <c r="R63" s="9"/>
      <c r="S63" s="9"/>
      <c r="T63" s="9"/>
      <c r="U63" s="9"/>
      <c r="V63" s="9"/>
      <c r="AB63" s="56"/>
    </row>
    <row r="64" spans="2:28">
      <c r="B64" s="30" t="s">
        <v>706</v>
      </c>
      <c r="C64" s="9" t="str">
        <f ca="1">Names!C12</f>
        <v>ACH4MAN04</v>
      </c>
      <c r="D64" s="9" t="str">
        <f ca="1">Names!D12</f>
        <v>CH4- Farm Scale Digesters-B (warm climate)</v>
      </c>
      <c r="E64" s="9" t="s">
        <v>95</v>
      </c>
      <c r="F64" s="11"/>
      <c r="G64" s="9" t="s">
        <v>4</v>
      </c>
      <c r="H64" s="9">
        <v>2010</v>
      </c>
      <c r="I64" s="9">
        <v>1</v>
      </c>
      <c r="J64" s="9">
        <v>2015</v>
      </c>
      <c r="K64" s="61">
        <f ca="1">CH4Techs!E65</f>
        <v>15</v>
      </c>
      <c r="L64" s="65">
        <f ca="1">CH4Techs!J65</f>
        <v>10.379376009031674</v>
      </c>
      <c r="M64" s="65">
        <f ca="1">CH4Techs!K65</f>
        <v>0.33990615111134476</v>
      </c>
      <c r="N64" s="9"/>
      <c r="O64" s="60"/>
      <c r="P64" s="9"/>
      <c r="Q64" s="9"/>
      <c r="R64" s="9"/>
      <c r="S64" s="9"/>
      <c r="T64" s="9"/>
      <c r="U64" s="9"/>
      <c r="V64" s="9"/>
      <c r="AB64" s="56"/>
    </row>
    <row r="65" spans="1:29">
      <c r="B65" s="11"/>
      <c r="C65" s="9"/>
      <c r="D65" s="9"/>
      <c r="E65" s="9"/>
      <c r="F65" s="9" t="s">
        <v>5</v>
      </c>
      <c r="G65" s="9"/>
      <c r="H65" s="9">
        <v>2010</v>
      </c>
      <c r="I65" s="9"/>
      <c r="J65" s="9"/>
      <c r="K65" s="9"/>
      <c r="L65" s="9"/>
      <c r="M65" s="9"/>
      <c r="N65" s="9"/>
      <c r="O65" s="9"/>
      <c r="P65" s="61">
        <f ca="1">(1-CH4Techs!G65)*1000</f>
        <v>250</v>
      </c>
      <c r="Q65" s="9"/>
      <c r="R65" s="9"/>
      <c r="S65" s="9"/>
      <c r="T65" s="9"/>
      <c r="U65" s="9"/>
      <c r="V65" s="9"/>
      <c r="AB65" s="56"/>
    </row>
    <row r="66" spans="1:29">
      <c r="B66" s="11"/>
      <c r="C66" s="9"/>
      <c r="D66" s="9"/>
      <c r="E66" s="9"/>
      <c r="F66" s="9" t="s">
        <v>397</v>
      </c>
      <c r="G66" s="9"/>
      <c r="H66" s="9">
        <v>2010</v>
      </c>
      <c r="I66" s="9"/>
      <c r="J66" s="9"/>
      <c r="K66" s="9"/>
      <c r="L66" s="9"/>
      <c r="M66" s="9"/>
      <c r="N66" s="9"/>
      <c r="O66" s="65"/>
      <c r="P66" s="59">
        <f ca="1">(1-P65/1000)*CH4Techs!$C$8*CH4Techs!$K$5</f>
        <v>0.18750000000000003</v>
      </c>
      <c r="Q66" s="9"/>
      <c r="R66" s="9"/>
      <c r="S66" s="9"/>
      <c r="T66" s="9"/>
      <c r="U66" s="9"/>
      <c r="V66" s="9"/>
      <c r="AB66" s="56"/>
    </row>
    <row r="67" spans="1:29">
      <c r="B67" s="50" t="s">
        <v>401</v>
      </c>
      <c r="C67" s="51"/>
      <c r="D67" s="51"/>
      <c r="E67" s="51"/>
      <c r="F67" s="51"/>
      <c r="G67" s="51"/>
      <c r="H67" s="51"/>
      <c r="I67" s="51"/>
      <c r="J67" s="51"/>
      <c r="K67" s="52"/>
      <c r="L67" s="53"/>
      <c r="M67" s="53"/>
      <c r="N67" s="51"/>
      <c r="O67" s="51"/>
      <c r="P67" s="54"/>
      <c r="Q67" s="51"/>
      <c r="R67" s="51"/>
      <c r="S67" s="51"/>
      <c r="T67" s="51"/>
      <c r="U67" s="51"/>
      <c r="V67" s="51"/>
      <c r="AA67" s="1"/>
      <c r="AB67" s="56"/>
    </row>
    <row r="68" spans="1:29">
      <c r="B68" s="30" t="s">
        <v>706</v>
      </c>
      <c r="C68" s="9" t="s">
        <v>402</v>
      </c>
      <c r="D68" s="9" t="s">
        <v>403</v>
      </c>
      <c r="E68" s="9" t="s">
        <v>93</v>
      </c>
      <c r="F68" s="9" t="s">
        <v>6</v>
      </c>
      <c r="G68" s="9" t="s">
        <v>4</v>
      </c>
      <c r="H68" s="9">
        <v>2010</v>
      </c>
      <c r="I68" s="9"/>
      <c r="J68" s="9">
        <v>2015</v>
      </c>
      <c r="K68" s="61">
        <f ca="1">CH4Techs!E66</f>
        <v>15</v>
      </c>
      <c r="L68" s="59">
        <f ca="1">CH4Techs!J66</f>
        <v>4.6983520022992833</v>
      </c>
      <c r="M68" s="59">
        <f ca="1">CH4Techs!K66</f>
        <v>0.64894520246551768</v>
      </c>
      <c r="N68" s="9"/>
      <c r="O68" s="9"/>
      <c r="P68" s="61">
        <f ca="1">(1-MIN(CH4Techs!G62:G66))*1000</f>
        <v>500</v>
      </c>
      <c r="Q68" s="9"/>
      <c r="R68" s="9">
        <v>1</v>
      </c>
      <c r="S68" s="9"/>
      <c r="T68" s="9"/>
      <c r="U68" s="9"/>
      <c r="V68" s="9"/>
      <c r="AA68" s="1"/>
      <c r="AB68" s="56"/>
    </row>
    <row r="69" spans="1:29">
      <c r="B69" s="11"/>
      <c r="C69" s="9"/>
      <c r="D69" s="9"/>
      <c r="E69" s="9"/>
      <c r="F69" s="9" t="s">
        <v>396</v>
      </c>
      <c r="G69" s="9"/>
      <c r="H69" s="9">
        <v>2010</v>
      </c>
      <c r="I69" s="9"/>
      <c r="J69" s="9"/>
      <c r="K69" s="61"/>
      <c r="L69" s="59"/>
      <c r="M69" s="59"/>
      <c r="N69" s="9"/>
      <c r="O69" s="9"/>
      <c r="P69" s="59">
        <f ca="1">(1-P68/1000)*CH4Techs!$C$8*(CH4Techs!$K$5^0.5)</f>
        <v>5.5901699437494748E-2</v>
      </c>
      <c r="Q69" s="9"/>
      <c r="R69" s="9"/>
      <c r="S69" s="9"/>
      <c r="T69" s="9"/>
      <c r="U69" s="9"/>
      <c r="V69" s="9"/>
      <c r="AA69" s="1"/>
      <c r="AB69" s="56"/>
    </row>
    <row r="70" spans="1:29">
      <c r="B70" s="30" t="s">
        <v>706</v>
      </c>
      <c r="C70" s="9" t="s">
        <v>404</v>
      </c>
      <c r="D70" s="9" t="s">
        <v>405</v>
      </c>
      <c r="E70" s="9" t="s">
        <v>96</v>
      </c>
      <c r="F70" s="11"/>
      <c r="G70" s="9"/>
      <c r="H70" s="9">
        <v>2010</v>
      </c>
      <c r="I70" s="9">
        <v>1</v>
      </c>
      <c r="J70" s="9">
        <v>2015</v>
      </c>
      <c r="K70" s="9">
        <v>25</v>
      </c>
      <c r="L70" s="9"/>
      <c r="M70" s="9"/>
      <c r="N70" s="60">
        <f ca="1">CH4Techs!G71*(1-P70/1000)</f>
        <v>0.32</v>
      </c>
      <c r="O70" s="9"/>
      <c r="P70" s="9"/>
      <c r="Q70" s="9">
        <v>1</v>
      </c>
      <c r="R70" s="9"/>
      <c r="S70" s="9"/>
      <c r="T70" s="9"/>
      <c r="U70" s="9"/>
      <c r="V70" s="9"/>
      <c r="AA70" s="1"/>
      <c r="AB70" s="56"/>
    </row>
    <row r="71" spans="1:29">
      <c r="B71" s="30" t="s">
        <v>706</v>
      </c>
      <c r="C71" s="9" t="s">
        <v>406</v>
      </c>
      <c r="D71" s="9" t="s">
        <v>407</v>
      </c>
      <c r="E71" s="9" t="s">
        <v>96</v>
      </c>
      <c r="F71" s="11"/>
      <c r="G71" s="9"/>
      <c r="H71" s="9">
        <v>2010</v>
      </c>
      <c r="I71" s="9">
        <v>1</v>
      </c>
      <c r="J71" s="9">
        <v>2015</v>
      </c>
      <c r="K71" s="9">
        <v>25</v>
      </c>
      <c r="L71" s="9"/>
      <c r="M71" s="9"/>
      <c r="N71" s="60">
        <f ca="1">CH4Techs!G72*(1-P71/1000)</f>
        <v>1.26</v>
      </c>
      <c r="O71" s="9"/>
      <c r="P71" s="9"/>
      <c r="Q71" s="9">
        <v>1</v>
      </c>
      <c r="R71" s="9"/>
      <c r="S71" s="9"/>
      <c r="T71" s="9"/>
      <c r="U71" s="9"/>
      <c r="V71" s="9"/>
      <c r="AA71" s="1"/>
      <c r="AB71" s="56"/>
    </row>
    <row r="72" spans="1:29">
      <c r="B72" s="30" t="s">
        <v>706</v>
      </c>
      <c r="C72" s="9" t="s">
        <v>408</v>
      </c>
      <c r="D72" s="9" t="s">
        <v>409</v>
      </c>
      <c r="E72" s="9" t="s">
        <v>96</v>
      </c>
      <c r="F72" s="9" t="s">
        <v>5</v>
      </c>
      <c r="G72" s="9"/>
      <c r="H72" s="9">
        <v>2010</v>
      </c>
      <c r="I72" s="9">
        <v>1</v>
      </c>
      <c r="J72" s="9">
        <v>2015</v>
      </c>
      <c r="K72" s="9">
        <v>25</v>
      </c>
      <c r="L72" s="9"/>
      <c r="M72" s="9"/>
      <c r="N72" s="60">
        <f ca="1">CH4Techs!G73*(1-P72/1000)</f>
        <v>12.6</v>
      </c>
      <c r="O72" s="9"/>
      <c r="P72" s="9">
        <f ca="1">(1-CH4Techs!H73)*1000</f>
        <v>400</v>
      </c>
      <c r="Q72" s="9">
        <v>1</v>
      </c>
      <c r="R72" s="9"/>
      <c r="S72" s="9"/>
      <c r="T72" s="9"/>
      <c r="U72" s="9"/>
      <c r="V72" s="9"/>
      <c r="AA72" s="1"/>
      <c r="AB72" s="56"/>
    </row>
    <row r="73" spans="1:29">
      <c r="B73" s="30" t="s">
        <v>706</v>
      </c>
      <c r="C73" s="9" t="s">
        <v>410</v>
      </c>
      <c r="D73" s="9" t="s">
        <v>411</v>
      </c>
      <c r="E73" s="9" t="s">
        <v>172</v>
      </c>
      <c r="F73" s="9" t="s">
        <v>5</v>
      </c>
      <c r="G73" s="9"/>
      <c r="H73" s="9">
        <v>2010</v>
      </c>
      <c r="I73" s="9">
        <v>1</v>
      </c>
      <c r="J73" s="9">
        <f ca="1">BaseYear+5</f>
        <v>2015</v>
      </c>
      <c r="K73" s="9">
        <v>25</v>
      </c>
      <c r="L73" s="9"/>
      <c r="M73" s="9"/>
      <c r="N73" s="60">
        <f ca="1">CH4Techs!G76*(1-P73/1000)</f>
        <v>2.94</v>
      </c>
      <c r="O73" s="9"/>
      <c r="P73" s="9">
        <f ca="1">(1-CH4Techs!H76)*1000</f>
        <v>600</v>
      </c>
      <c r="Q73" s="9"/>
      <c r="R73" s="9"/>
      <c r="S73" s="9"/>
      <c r="T73" s="9"/>
      <c r="U73" s="9"/>
      <c r="V73" s="9"/>
      <c r="AA73" s="1"/>
      <c r="AB73" s="56"/>
    </row>
    <row r="74" spans="1:29" s="56" customFormat="1">
      <c r="Z74"/>
      <c r="AC74" s="1"/>
    </row>
    <row r="75" spans="1:29" s="56" customFormat="1">
      <c r="Z75"/>
      <c r="AC75" s="1"/>
    </row>
    <row r="76" spans="1:29" s="56" customFormat="1">
      <c r="Z76"/>
      <c r="AC76" s="1"/>
    </row>
    <row r="77" spans="1:29">
      <c r="A77" s="42"/>
      <c r="B77" s="42"/>
      <c r="C77" s="42"/>
      <c r="D77" s="42"/>
      <c r="AA77" s="1"/>
      <c r="AB77" s="56"/>
    </row>
    <row r="78" spans="1:29">
      <c r="AA78" s="1"/>
      <c r="AB78" s="56"/>
    </row>
    <row r="79" spans="1:29">
      <c r="A79" s="42"/>
    </row>
    <row r="80" spans="1:29" s="63" customFormat="1" ht="18">
      <c r="A80" s="2"/>
      <c r="B80" s="4" t="s">
        <v>26</v>
      </c>
      <c r="C80" s="1"/>
      <c r="D80" s="1"/>
      <c r="E80" s="1"/>
      <c r="F80" s="2"/>
      <c r="G80" s="2"/>
      <c r="H80" s="2"/>
      <c r="I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/>
    </row>
    <row r="81" spans="1:26" s="63" customFormat="1" ht="18">
      <c r="A81" s="2"/>
      <c r="B81" s="126" t="s">
        <v>27</v>
      </c>
      <c r="C81" s="126" t="s">
        <v>28</v>
      </c>
      <c r="D81" s="126" t="s">
        <v>29</v>
      </c>
      <c r="E81" s="126" t="s">
        <v>30</v>
      </c>
      <c r="F81" s="126" t="s">
        <v>49</v>
      </c>
      <c r="G81" s="126" t="s">
        <v>142</v>
      </c>
      <c r="H81" s="126" t="s">
        <v>143</v>
      </c>
      <c r="I81" s="126" t="s">
        <v>144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/>
    </row>
    <row r="82" spans="1:26" s="63" customFormat="1" ht="14.25" customHeight="1">
      <c r="A82" s="2"/>
      <c r="B82" s="123" t="s">
        <v>31</v>
      </c>
      <c r="C82" s="17" t="s">
        <v>6</v>
      </c>
      <c r="D82" s="17" t="s">
        <v>412</v>
      </c>
      <c r="E82" s="17" t="s">
        <v>32</v>
      </c>
      <c r="F82" s="15"/>
      <c r="G82" s="114"/>
      <c r="H82" s="114"/>
      <c r="I82" s="1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/>
    </row>
    <row r="83" spans="1:26" s="63" customFormat="1" ht="14.25" customHeight="1">
      <c r="A83" s="2"/>
      <c r="B83" s="122" t="s">
        <v>335</v>
      </c>
      <c r="C83" s="17" t="s">
        <v>398</v>
      </c>
      <c r="D83" s="17" t="s">
        <v>413</v>
      </c>
      <c r="E83" s="17" t="s">
        <v>76</v>
      </c>
      <c r="F83" s="15"/>
      <c r="G83" s="114"/>
      <c r="H83" s="114"/>
      <c r="I83" s="1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/>
    </row>
    <row r="84" spans="1:26" s="63" customFormat="1" ht="14.25" customHeight="1">
      <c r="A84" s="2"/>
      <c r="B84" s="122"/>
      <c r="C84" s="17" t="s">
        <v>5</v>
      </c>
      <c r="D84" s="17" t="s">
        <v>414</v>
      </c>
      <c r="E84" s="17" t="s">
        <v>32</v>
      </c>
      <c r="F84" s="15"/>
      <c r="G84" s="114"/>
      <c r="H84" s="114"/>
      <c r="I84" s="1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/>
    </row>
    <row r="85" spans="1:26" s="63" customFormat="1" ht="14.25" customHeight="1">
      <c r="A85" s="2"/>
      <c r="B85" s="122"/>
      <c r="C85" s="17" t="s">
        <v>415</v>
      </c>
      <c r="D85" s="17" t="s">
        <v>416</v>
      </c>
      <c r="E85" s="17" t="s">
        <v>76</v>
      </c>
      <c r="F85" s="15"/>
      <c r="G85" s="15"/>
      <c r="H85" s="15"/>
      <c r="I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/>
    </row>
    <row r="86" spans="1:26" ht="14.25" customHeight="1">
      <c r="B86" s="124" t="s">
        <v>58</v>
      </c>
      <c r="C86" s="15" t="s">
        <v>396</v>
      </c>
      <c r="D86" s="15" t="s">
        <v>417</v>
      </c>
      <c r="E86" s="15" t="s">
        <v>36</v>
      </c>
      <c r="F86" s="15"/>
      <c r="G86" s="15"/>
      <c r="H86" s="15"/>
      <c r="I86" s="15"/>
    </row>
    <row r="87" spans="1:26" ht="14.25" customHeight="1">
      <c r="B87" s="17"/>
      <c r="C87" s="17" t="str">
        <f>$F$7</f>
        <v>RESDMY</v>
      </c>
      <c r="D87" s="17" t="str">
        <f>$F$7</f>
        <v>RESDMY</v>
      </c>
      <c r="E87" s="15" t="s">
        <v>36</v>
      </c>
      <c r="F87" s="15"/>
      <c r="G87" s="15"/>
      <c r="H87" s="15"/>
      <c r="I87" s="15"/>
    </row>
    <row r="88" spans="1:26" ht="14.25" customHeight="1">
      <c r="B88" s="17"/>
      <c r="C88" s="15" t="s">
        <v>418</v>
      </c>
      <c r="D88" s="15" t="s">
        <v>419</v>
      </c>
      <c r="E88" s="15" t="s">
        <v>36</v>
      </c>
      <c r="F88" s="114"/>
      <c r="G88" s="15" t="s">
        <v>146</v>
      </c>
      <c r="H88" s="15"/>
      <c r="I88" s="15" t="s">
        <v>147</v>
      </c>
    </row>
    <row r="89" spans="1:26">
      <c r="B89" s="17"/>
      <c r="C89" s="17" t="s">
        <v>420</v>
      </c>
      <c r="D89" s="17" t="s">
        <v>421</v>
      </c>
      <c r="E89" s="17" t="s">
        <v>36</v>
      </c>
      <c r="F89" s="17"/>
      <c r="G89" s="17"/>
      <c r="H89" s="17"/>
      <c r="I89" s="17"/>
    </row>
    <row r="90" spans="1:26">
      <c r="B90" s="125" t="s">
        <v>62</v>
      </c>
      <c r="C90" s="17" t="s">
        <v>95</v>
      </c>
      <c r="D90" s="17" t="s">
        <v>422</v>
      </c>
      <c r="E90" s="17" t="s">
        <v>76</v>
      </c>
      <c r="F90" s="15" t="s">
        <v>50</v>
      </c>
      <c r="G90" s="17"/>
      <c r="H90" s="17"/>
      <c r="I90" s="17"/>
    </row>
    <row r="91" spans="1:26">
      <c r="B91" s="17"/>
      <c r="C91" s="17" t="s">
        <v>96</v>
      </c>
      <c r="D91" s="17" t="s">
        <v>423</v>
      </c>
      <c r="E91" s="17" t="s">
        <v>76</v>
      </c>
      <c r="F91" s="15" t="s">
        <v>50</v>
      </c>
      <c r="G91" s="17"/>
      <c r="H91" s="17"/>
      <c r="I91" s="17"/>
    </row>
    <row r="92" spans="1:26">
      <c r="B92" s="17"/>
      <c r="C92" s="17" t="s">
        <v>172</v>
      </c>
      <c r="D92" s="17" t="s">
        <v>173</v>
      </c>
      <c r="E92" s="17" t="s">
        <v>76</v>
      </c>
      <c r="F92" s="15" t="s">
        <v>50</v>
      </c>
      <c r="G92" s="17"/>
      <c r="H92" s="17"/>
      <c r="I92" s="17"/>
    </row>
    <row r="93" spans="1:26">
      <c r="B93" s="17"/>
      <c r="C93" s="17" t="s">
        <v>93</v>
      </c>
      <c r="D93" s="17" t="s">
        <v>424</v>
      </c>
      <c r="E93" s="17" t="s">
        <v>76</v>
      </c>
      <c r="F93" s="15" t="s">
        <v>50</v>
      </c>
      <c r="G93" s="17"/>
      <c r="H93" s="17"/>
      <c r="I93" s="17"/>
    </row>
    <row r="94" spans="1:26" ht="14.25">
      <c r="B94" s="17"/>
      <c r="C94" s="6" t="s">
        <v>61</v>
      </c>
      <c r="D94" s="10" t="s">
        <v>77</v>
      </c>
      <c r="E94" s="7" t="s">
        <v>76</v>
      </c>
      <c r="F94" s="115" t="s">
        <v>50</v>
      </c>
      <c r="G94" s="17"/>
      <c r="H94" s="17"/>
      <c r="I94" s="17"/>
    </row>
    <row r="95" spans="1:26">
      <c r="B95" s="125" t="s">
        <v>31</v>
      </c>
      <c r="C95" s="17" t="s">
        <v>425</v>
      </c>
      <c r="D95" s="17" t="s">
        <v>7</v>
      </c>
      <c r="E95" s="17" t="s">
        <v>32</v>
      </c>
      <c r="F95" s="17"/>
      <c r="G95" s="17"/>
      <c r="H95" s="17"/>
      <c r="I95" s="17"/>
    </row>
    <row r="96" spans="1:26">
      <c r="B96" s="17"/>
      <c r="C96" s="17" t="s">
        <v>17</v>
      </c>
      <c r="D96" s="17" t="s">
        <v>8</v>
      </c>
      <c r="E96" s="17" t="s">
        <v>32</v>
      </c>
      <c r="F96" s="17"/>
      <c r="G96" s="17"/>
      <c r="H96" s="17"/>
      <c r="I96" s="17"/>
    </row>
    <row r="97" spans="2:9">
      <c r="B97" s="17"/>
      <c r="C97" s="17" t="s">
        <v>18</v>
      </c>
      <c r="D97" s="17" t="s">
        <v>9</v>
      </c>
      <c r="E97" s="17" t="s">
        <v>32</v>
      </c>
      <c r="F97" s="17"/>
      <c r="G97" s="17"/>
      <c r="H97" s="17"/>
      <c r="I97" s="17"/>
    </row>
    <row r="98" spans="2:9">
      <c r="B98" s="17"/>
      <c r="C98" s="17" t="s">
        <v>19</v>
      </c>
      <c r="D98" s="17" t="s">
        <v>10</v>
      </c>
      <c r="E98" s="17" t="s">
        <v>32</v>
      </c>
      <c r="F98" s="17"/>
      <c r="G98" s="17"/>
      <c r="H98" s="17"/>
      <c r="I98" s="17"/>
    </row>
    <row r="99" spans="2:9">
      <c r="B99" s="17"/>
      <c r="C99" s="17" t="s">
        <v>20</v>
      </c>
      <c r="D99" s="17" t="s">
        <v>11</v>
      </c>
      <c r="E99" s="17" t="s">
        <v>32</v>
      </c>
      <c r="F99" s="17"/>
      <c r="G99" s="17"/>
      <c r="H99" s="17"/>
      <c r="I99" s="17"/>
    </row>
    <row r="100" spans="2:9">
      <c r="B100" s="17"/>
      <c r="C100" s="17" t="s">
        <v>21</v>
      </c>
      <c r="D100" s="17" t="s">
        <v>12</v>
      </c>
      <c r="E100" s="17" t="s">
        <v>32</v>
      </c>
      <c r="F100" s="17"/>
      <c r="G100" s="17"/>
      <c r="H100" s="17"/>
      <c r="I100" s="17"/>
    </row>
    <row r="101" spans="2:9">
      <c r="B101" s="17"/>
      <c r="C101" s="17" t="s">
        <v>22</v>
      </c>
      <c r="D101" s="17" t="s">
        <v>13</v>
      </c>
      <c r="E101" s="17" t="s">
        <v>32</v>
      </c>
      <c r="F101" s="17"/>
      <c r="G101" s="17"/>
      <c r="H101" s="17"/>
      <c r="I101" s="17"/>
    </row>
    <row r="102" spans="2:9">
      <c r="B102" s="17"/>
      <c r="C102" s="17" t="s">
        <v>23</v>
      </c>
      <c r="D102" s="17" t="s">
        <v>14</v>
      </c>
      <c r="E102" s="17" t="s">
        <v>32</v>
      </c>
      <c r="F102" s="17"/>
      <c r="G102" s="17"/>
      <c r="H102" s="17"/>
      <c r="I102" s="17"/>
    </row>
    <row r="105" spans="2:9">
      <c r="B105" s="32" t="s">
        <v>149</v>
      </c>
    </row>
    <row r="106" spans="2:9">
      <c r="B106" s="33" t="s">
        <v>33</v>
      </c>
      <c r="C106" s="34" t="s">
        <v>34</v>
      </c>
      <c r="D106" s="34" t="s">
        <v>35</v>
      </c>
      <c r="E106" s="34" t="s">
        <v>150</v>
      </c>
      <c r="F106" s="34" t="s">
        <v>151</v>
      </c>
      <c r="G106" s="34" t="s">
        <v>152</v>
      </c>
      <c r="H106" s="34" t="s">
        <v>153</v>
      </c>
      <c r="I106" s="35" t="s">
        <v>154</v>
      </c>
    </row>
    <row r="107" spans="2:9">
      <c r="B107" s="36" t="s">
        <v>179</v>
      </c>
      <c r="C107" s="36" t="s">
        <v>426</v>
      </c>
      <c r="D107" s="36" t="s">
        <v>427</v>
      </c>
      <c r="E107" s="36" t="s">
        <v>36</v>
      </c>
      <c r="F107" s="36" t="s">
        <v>155</v>
      </c>
      <c r="G107" s="36"/>
      <c r="H107" s="36" t="s">
        <v>95</v>
      </c>
      <c r="I107" s="36" t="s">
        <v>156</v>
      </c>
    </row>
    <row r="108" spans="2:9">
      <c r="B108" s="36" t="s">
        <v>179</v>
      </c>
      <c r="C108" s="36" t="s">
        <v>428</v>
      </c>
      <c r="D108" s="36" t="s">
        <v>429</v>
      </c>
      <c r="E108" s="36" t="s">
        <v>36</v>
      </c>
      <c r="F108" s="36" t="s">
        <v>155</v>
      </c>
      <c r="G108" s="36"/>
      <c r="H108" s="36" t="s">
        <v>95</v>
      </c>
      <c r="I108" s="36" t="s">
        <v>156</v>
      </c>
    </row>
    <row r="109" spans="2:9">
      <c r="B109" s="36" t="s">
        <v>179</v>
      </c>
      <c r="C109" s="36" t="s">
        <v>430</v>
      </c>
      <c r="D109" s="36" t="s">
        <v>431</v>
      </c>
      <c r="E109" s="36" t="s">
        <v>36</v>
      </c>
      <c r="F109" s="36" t="s">
        <v>155</v>
      </c>
      <c r="G109" s="36"/>
      <c r="H109" s="36" t="s">
        <v>95</v>
      </c>
      <c r="I109" s="36" t="s">
        <v>156</v>
      </c>
    </row>
    <row r="110" spans="2:9">
      <c r="B110" s="36" t="s">
        <v>179</v>
      </c>
      <c r="C110" s="36" t="s">
        <v>432</v>
      </c>
      <c r="D110" s="36" t="s">
        <v>433</v>
      </c>
      <c r="E110" s="36" t="s">
        <v>36</v>
      </c>
      <c r="F110" s="36" t="s">
        <v>155</v>
      </c>
      <c r="G110" s="36"/>
      <c r="H110" s="36" t="s">
        <v>95</v>
      </c>
      <c r="I110" s="36" t="s">
        <v>156</v>
      </c>
    </row>
    <row r="111" spans="2:9">
      <c r="B111" s="36" t="s">
        <v>179</v>
      </c>
      <c r="C111" s="36" t="s">
        <v>434</v>
      </c>
      <c r="D111" s="36" t="s">
        <v>435</v>
      </c>
      <c r="E111" s="36" t="s">
        <v>36</v>
      </c>
      <c r="F111" s="36" t="s">
        <v>155</v>
      </c>
      <c r="G111" s="36"/>
      <c r="H111" s="36" t="s">
        <v>395</v>
      </c>
      <c r="I111" s="36" t="s">
        <v>156</v>
      </c>
    </row>
    <row r="112" spans="2:9">
      <c r="B112" s="36" t="s">
        <v>179</v>
      </c>
      <c r="C112" s="36" t="s">
        <v>436</v>
      </c>
      <c r="D112" s="36" t="s">
        <v>437</v>
      </c>
      <c r="E112" s="36" t="s">
        <v>36</v>
      </c>
      <c r="F112" s="36" t="s">
        <v>155</v>
      </c>
      <c r="G112" s="36"/>
      <c r="H112" s="36" t="s">
        <v>395</v>
      </c>
      <c r="I112" s="36" t="s">
        <v>156</v>
      </c>
    </row>
    <row r="113" spans="2:9">
      <c r="B113" s="36" t="s">
        <v>179</v>
      </c>
      <c r="C113" s="36" t="s">
        <v>438</v>
      </c>
      <c r="D113" s="36" t="s">
        <v>439</v>
      </c>
      <c r="E113" s="36" t="s">
        <v>36</v>
      </c>
      <c r="F113" s="36" t="s">
        <v>155</v>
      </c>
      <c r="G113" s="36"/>
      <c r="H113" s="36" t="s">
        <v>395</v>
      </c>
      <c r="I113" s="36" t="s">
        <v>156</v>
      </c>
    </row>
    <row r="114" spans="2:9">
      <c r="B114" s="36" t="s">
        <v>179</v>
      </c>
      <c r="C114" s="36" t="s">
        <v>440</v>
      </c>
      <c r="D114" s="36" t="s">
        <v>441</v>
      </c>
      <c r="E114" s="36" t="s">
        <v>36</v>
      </c>
      <c r="F114" s="36" t="s">
        <v>155</v>
      </c>
      <c r="G114" s="36"/>
      <c r="H114" s="36" t="s">
        <v>395</v>
      </c>
      <c r="I114" s="36" t="s">
        <v>156</v>
      </c>
    </row>
    <row r="115" spans="2:9">
      <c r="B115" s="36" t="s">
        <v>179</v>
      </c>
      <c r="C115" s="36" t="s">
        <v>442</v>
      </c>
      <c r="D115" s="36" t="s">
        <v>443</v>
      </c>
      <c r="E115" s="36" t="s">
        <v>36</v>
      </c>
      <c r="F115" s="36" t="s">
        <v>155</v>
      </c>
      <c r="G115" s="36"/>
      <c r="H115" s="36" t="s">
        <v>395</v>
      </c>
      <c r="I115" s="36" t="s">
        <v>156</v>
      </c>
    </row>
    <row r="116" spans="2:9">
      <c r="B116" s="36" t="s">
        <v>179</v>
      </c>
      <c r="C116" s="36" t="s">
        <v>444</v>
      </c>
      <c r="D116" s="36" t="s">
        <v>445</v>
      </c>
      <c r="E116" s="36" t="s">
        <v>36</v>
      </c>
      <c r="F116" s="36" t="s">
        <v>155</v>
      </c>
      <c r="G116" s="36"/>
      <c r="H116" s="36" t="s">
        <v>395</v>
      </c>
      <c r="I116" s="36" t="s">
        <v>156</v>
      </c>
    </row>
    <row r="117" spans="2:9">
      <c r="B117" s="36" t="s">
        <v>179</v>
      </c>
      <c r="C117" s="36" t="s">
        <v>446</v>
      </c>
      <c r="D117" s="36" t="s">
        <v>447</v>
      </c>
      <c r="E117" s="36" t="s">
        <v>36</v>
      </c>
      <c r="F117" s="36" t="s">
        <v>155</v>
      </c>
      <c r="G117" s="36"/>
      <c r="H117" s="36" t="s">
        <v>395</v>
      </c>
      <c r="I117" s="36" t="s">
        <v>156</v>
      </c>
    </row>
    <row r="118" spans="2:9">
      <c r="B118" s="36" t="s">
        <v>179</v>
      </c>
      <c r="C118" s="36" t="s">
        <v>448</v>
      </c>
      <c r="D118" s="36" t="s">
        <v>449</v>
      </c>
      <c r="E118" s="36" t="s">
        <v>36</v>
      </c>
      <c r="F118" s="36" t="s">
        <v>155</v>
      </c>
      <c r="G118" s="36"/>
      <c r="H118" s="36" t="s">
        <v>395</v>
      </c>
      <c r="I118" s="36" t="s">
        <v>156</v>
      </c>
    </row>
    <row r="119" spans="2:9">
      <c r="B119" s="36" t="s">
        <v>179</v>
      </c>
      <c r="C119" s="36" t="s">
        <v>450</v>
      </c>
      <c r="D119" s="36" t="s">
        <v>451</v>
      </c>
      <c r="E119" s="36" t="s">
        <v>36</v>
      </c>
      <c r="F119" s="36" t="s">
        <v>155</v>
      </c>
      <c r="G119" s="36"/>
      <c r="H119" s="36" t="s">
        <v>395</v>
      </c>
      <c r="I119" s="36" t="s">
        <v>156</v>
      </c>
    </row>
    <row r="120" spans="2:9">
      <c r="B120" s="36" t="s">
        <v>179</v>
      </c>
      <c r="C120" s="36" t="s">
        <v>452</v>
      </c>
      <c r="D120" s="36" t="s">
        <v>453</v>
      </c>
      <c r="E120" s="36" t="s">
        <v>36</v>
      </c>
      <c r="F120" s="36" t="s">
        <v>155</v>
      </c>
      <c r="G120" s="36"/>
      <c r="H120" s="36" t="s">
        <v>395</v>
      </c>
      <c r="I120" s="36" t="s">
        <v>156</v>
      </c>
    </row>
    <row r="121" spans="2:9">
      <c r="B121" s="36" t="s">
        <v>179</v>
      </c>
      <c r="C121" s="36" t="s">
        <v>454</v>
      </c>
      <c r="D121" s="36" t="s">
        <v>350</v>
      </c>
      <c r="E121" s="36" t="s">
        <v>36</v>
      </c>
      <c r="F121" s="36" t="s">
        <v>155</v>
      </c>
      <c r="G121" s="36"/>
      <c r="H121" s="36" t="s">
        <v>395</v>
      </c>
      <c r="I121" s="36" t="s">
        <v>156</v>
      </c>
    </row>
    <row r="122" spans="2:9">
      <c r="B122" s="36" t="s">
        <v>179</v>
      </c>
      <c r="C122" s="36" t="s">
        <v>402</v>
      </c>
      <c r="D122" s="36" t="s">
        <v>403</v>
      </c>
      <c r="E122" s="36" t="s">
        <v>36</v>
      </c>
      <c r="F122" s="36" t="s">
        <v>155</v>
      </c>
      <c r="G122" s="36"/>
      <c r="H122" s="36" t="s">
        <v>93</v>
      </c>
      <c r="I122" s="36" t="s">
        <v>156</v>
      </c>
    </row>
    <row r="123" spans="2:9">
      <c r="B123" s="36" t="s">
        <v>179</v>
      </c>
      <c r="C123" s="36" t="s">
        <v>404</v>
      </c>
      <c r="D123" s="36" t="s">
        <v>405</v>
      </c>
      <c r="E123" s="36" t="s">
        <v>36</v>
      </c>
      <c r="F123" s="36" t="s">
        <v>155</v>
      </c>
      <c r="G123" s="36"/>
      <c r="H123" s="36" t="s">
        <v>96</v>
      </c>
      <c r="I123" s="36" t="s">
        <v>156</v>
      </c>
    </row>
    <row r="124" spans="2:9">
      <c r="B124" s="36" t="s">
        <v>179</v>
      </c>
      <c r="C124" s="36" t="s">
        <v>406</v>
      </c>
      <c r="D124" s="36" t="s">
        <v>407</v>
      </c>
      <c r="E124" s="36" t="s">
        <v>36</v>
      </c>
      <c r="F124" s="36" t="s">
        <v>155</v>
      </c>
      <c r="G124" s="36"/>
      <c r="H124" s="36" t="s">
        <v>96</v>
      </c>
      <c r="I124" s="36" t="s">
        <v>156</v>
      </c>
    </row>
    <row r="125" spans="2:9">
      <c r="B125" s="36" t="s">
        <v>179</v>
      </c>
      <c r="C125" s="36" t="s">
        <v>408</v>
      </c>
      <c r="D125" s="36" t="s">
        <v>409</v>
      </c>
      <c r="E125" s="36" t="s">
        <v>36</v>
      </c>
      <c r="F125" s="36" t="s">
        <v>155</v>
      </c>
      <c r="G125" s="36"/>
      <c r="H125" s="36" t="s">
        <v>96</v>
      </c>
      <c r="I125" s="36" t="s">
        <v>156</v>
      </c>
    </row>
    <row r="126" spans="2:9">
      <c r="B126" s="36" t="s">
        <v>179</v>
      </c>
      <c r="C126" s="36" t="s">
        <v>410</v>
      </c>
      <c r="D126" s="36" t="s">
        <v>411</v>
      </c>
      <c r="E126" s="36" t="s">
        <v>36</v>
      </c>
      <c r="F126" s="36" t="s">
        <v>155</v>
      </c>
      <c r="G126" s="36"/>
      <c r="H126" s="36" t="s">
        <v>172</v>
      </c>
      <c r="I126" s="36" t="s">
        <v>156</v>
      </c>
    </row>
  </sheetData>
  <phoneticPr fontId="0" type="noConversion"/>
  <pageMargins left="0.55118110236220474" right="0.55118110236220474" top="0.51181102362204722" bottom="0.51181102362204722" header="0.51181102362204722" footer="0.31496062992125984"/>
  <pageSetup scale="70" orientation="landscape" horizontalDpi="300" verticalDpi="300" r:id="rId1"/>
  <headerFooter alignWithMargins="0"/>
  <rowBreaks count="1" manualBreakCount="1">
    <brk id="4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X80"/>
  <sheetViews>
    <sheetView zoomScale="75" workbookViewId="0">
      <selection activeCell="B38" sqref="B38"/>
    </sheetView>
  </sheetViews>
  <sheetFormatPr defaultRowHeight="12.75"/>
  <cols>
    <col min="1" max="1" width="10.140625" style="1" customWidth="1"/>
    <col min="2" max="2" width="10.7109375" style="1" customWidth="1"/>
    <col min="3" max="3" width="17" style="1" customWidth="1"/>
    <col min="4" max="4" width="38.140625" style="1" customWidth="1"/>
    <col min="5" max="5" width="10.7109375" style="1" customWidth="1"/>
    <col min="6" max="6" width="10.140625" style="1" customWidth="1"/>
    <col min="7" max="7" width="10" style="1" customWidth="1"/>
    <col min="8" max="8" width="12.28515625" style="1" customWidth="1"/>
    <col min="9" max="9" width="8.85546875" style="1" customWidth="1"/>
    <col min="10" max="10" width="9.28515625" style="1" bestFit="1" customWidth="1"/>
    <col min="11" max="11" width="7.140625" style="1" bestFit="1" customWidth="1"/>
    <col min="12" max="14" width="8.85546875" style="1" customWidth="1"/>
    <col min="15" max="15" width="11.140625" style="1" customWidth="1"/>
    <col min="16" max="16" width="10.7109375" style="1" bestFit="1" customWidth="1"/>
    <col min="17" max="17" width="9.140625" style="1"/>
    <col min="18" max="18" width="9.7109375" style="1" bestFit="1" customWidth="1"/>
    <col min="19" max="19" width="10.7109375" style="1" customWidth="1"/>
    <col min="20" max="21" width="9.140625" style="1"/>
    <col min="22" max="22" width="10.7109375" style="1" customWidth="1"/>
    <col min="23" max="16384" width="9.140625" style="1"/>
  </cols>
  <sheetData>
    <row r="1" spans="1:24">
      <c r="A1" s="42"/>
    </row>
    <row r="2" spans="1:24">
      <c r="B2" s="43"/>
      <c r="C2" s="4"/>
      <c r="D2" s="4"/>
      <c r="E2" s="4"/>
      <c r="G2"/>
      <c r="H2" s="4" t="s">
        <v>2</v>
      </c>
      <c r="J2"/>
      <c r="K2"/>
      <c r="L2"/>
      <c r="M2"/>
      <c r="N2"/>
      <c r="O2"/>
      <c r="P2"/>
      <c r="Q2"/>
      <c r="R2"/>
      <c r="S2"/>
      <c r="T2" s="44"/>
      <c r="U2" s="44"/>
    </row>
    <row r="3" spans="1:24" ht="31.15" customHeight="1" thickBot="1">
      <c r="B3" s="45" t="s">
        <v>703</v>
      </c>
      <c r="C3" s="45" t="s">
        <v>34</v>
      </c>
      <c r="D3" s="45" t="s">
        <v>35</v>
      </c>
      <c r="E3" s="28" t="s">
        <v>24</v>
      </c>
      <c r="F3" s="28" t="s">
        <v>1</v>
      </c>
      <c r="G3" s="28" t="s">
        <v>25</v>
      </c>
      <c r="H3" s="45" t="s">
        <v>47</v>
      </c>
      <c r="I3" s="45" t="s">
        <v>186</v>
      </c>
      <c r="J3" s="46" t="s">
        <v>134</v>
      </c>
      <c r="K3" s="45" t="s">
        <v>0</v>
      </c>
      <c r="L3" s="45" t="s">
        <v>128</v>
      </c>
      <c r="M3" s="45" t="s">
        <v>129</v>
      </c>
      <c r="N3" s="28" t="s">
        <v>130</v>
      </c>
      <c r="O3" s="47" t="s">
        <v>205</v>
      </c>
      <c r="P3" s="48" t="s">
        <v>206</v>
      </c>
      <c r="Q3" s="48" t="s">
        <v>207</v>
      </c>
      <c r="R3" s="28" t="s">
        <v>188</v>
      </c>
      <c r="S3" s="45" t="s">
        <v>208</v>
      </c>
      <c r="T3" s="45" t="s">
        <v>189</v>
      </c>
      <c r="U3" s="45" t="s">
        <v>70</v>
      </c>
      <c r="V3" s="45" t="s">
        <v>209</v>
      </c>
      <c r="W3" s="45" t="s">
        <v>210</v>
      </c>
      <c r="X3" s="45" t="s">
        <v>211</v>
      </c>
    </row>
    <row r="4" spans="1:24" s="55" customFormat="1">
      <c r="B4" s="50" t="s">
        <v>212</v>
      </c>
      <c r="C4" s="51"/>
      <c r="D4" s="51"/>
      <c r="E4" s="51"/>
      <c r="F4" s="51"/>
      <c r="G4" s="51"/>
      <c r="H4" s="51"/>
      <c r="I4" s="51"/>
      <c r="J4" s="51"/>
      <c r="K4" s="52"/>
      <c r="L4" s="53"/>
      <c r="M4" s="53"/>
      <c r="N4" s="51"/>
      <c r="O4" s="51"/>
      <c r="P4" s="54"/>
      <c r="Q4" s="51"/>
      <c r="R4" s="51"/>
      <c r="S4" s="51"/>
      <c r="T4" s="51"/>
      <c r="U4" s="51"/>
      <c r="V4" s="51"/>
      <c r="W4" s="51"/>
      <c r="X4" s="51"/>
    </row>
    <row r="5" spans="1:24">
      <c r="B5" s="98" t="s">
        <v>706</v>
      </c>
      <c r="C5" s="9" t="s">
        <v>213</v>
      </c>
      <c r="D5" s="9" t="s">
        <v>214</v>
      </c>
      <c r="E5" s="9" t="s">
        <v>111</v>
      </c>
      <c r="F5" s="11"/>
      <c r="G5" s="9" t="s">
        <v>4</v>
      </c>
      <c r="H5" s="9"/>
      <c r="I5" s="9"/>
      <c r="J5" s="9">
        <v>2010</v>
      </c>
      <c r="K5" s="61">
        <v>25</v>
      </c>
      <c r="L5" s="57"/>
      <c r="M5" s="57"/>
      <c r="N5" s="60">
        <v>34.595999999999997</v>
      </c>
      <c r="O5" s="60"/>
      <c r="P5" s="9"/>
      <c r="Q5" s="9"/>
      <c r="R5" s="64">
        <v>1</v>
      </c>
      <c r="S5" s="9"/>
      <c r="T5" s="9">
        <v>0.1</v>
      </c>
      <c r="U5" s="9"/>
      <c r="V5" s="9"/>
      <c r="W5" s="9"/>
      <c r="X5" s="9"/>
    </row>
    <row r="6" spans="1:24">
      <c r="B6" s="98" t="s">
        <v>706</v>
      </c>
      <c r="C6" s="9" t="s">
        <v>215</v>
      </c>
      <c r="D6" s="9" t="s">
        <v>216</v>
      </c>
      <c r="E6" s="9" t="s">
        <v>111</v>
      </c>
      <c r="F6" s="9" t="s">
        <v>120</v>
      </c>
      <c r="G6" s="9"/>
      <c r="H6" s="9"/>
      <c r="I6" s="9"/>
      <c r="J6" s="9">
        <v>2010</v>
      </c>
      <c r="K6" s="61">
        <v>50</v>
      </c>
      <c r="L6" s="57"/>
      <c r="M6" s="57"/>
      <c r="N6" s="60">
        <v>34.595999999999997</v>
      </c>
      <c r="O6" s="60"/>
      <c r="P6" s="9">
        <v>700</v>
      </c>
      <c r="Q6" s="9"/>
      <c r="R6" s="64">
        <v>1</v>
      </c>
      <c r="S6" s="9"/>
      <c r="T6" s="9">
        <v>0.1</v>
      </c>
      <c r="U6" s="9"/>
      <c r="V6" s="9"/>
      <c r="W6" s="9"/>
      <c r="X6" s="9"/>
    </row>
    <row r="7" spans="1:24">
      <c r="B7" s="98" t="s">
        <v>706</v>
      </c>
      <c r="C7" s="9" t="s">
        <v>217</v>
      </c>
      <c r="D7" s="9" t="s">
        <v>218</v>
      </c>
      <c r="E7" s="9" t="s">
        <v>112</v>
      </c>
      <c r="F7" s="11"/>
      <c r="G7" s="9" t="s">
        <v>4</v>
      </c>
      <c r="H7" s="9"/>
      <c r="I7" s="9"/>
      <c r="J7" s="9">
        <v>2010</v>
      </c>
      <c r="K7" s="61">
        <v>25</v>
      </c>
      <c r="L7" s="57"/>
      <c r="M7" s="57"/>
      <c r="N7" s="60">
        <v>5.766</v>
      </c>
      <c r="O7" s="60"/>
      <c r="P7" s="9"/>
      <c r="Q7" s="9"/>
      <c r="R7" s="64">
        <v>1</v>
      </c>
      <c r="S7" s="9"/>
      <c r="T7" s="9">
        <v>0.1</v>
      </c>
      <c r="U7" s="9"/>
      <c r="V7" s="9"/>
      <c r="W7" s="9"/>
      <c r="X7" s="9"/>
    </row>
    <row r="8" spans="1:24">
      <c r="B8" s="98" t="s">
        <v>706</v>
      </c>
      <c r="C8" s="9" t="s">
        <v>219</v>
      </c>
      <c r="D8" s="9" t="s">
        <v>220</v>
      </c>
      <c r="E8" s="9" t="s">
        <v>112</v>
      </c>
      <c r="F8" s="11"/>
      <c r="G8" s="9" t="s">
        <v>4</v>
      </c>
      <c r="H8" s="9"/>
      <c r="I8" s="9"/>
      <c r="J8" s="9">
        <v>2010</v>
      </c>
      <c r="K8" s="61">
        <v>25</v>
      </c>
      <c r="L8" s="57"/>
      <c r="M8" s="57"/>
      <c r="N8" s="60">
        <v>11.532</v>
      </c>
      <c r="O8" s="65"/>
      <c r="P8" s="9"/>
      <c r="Q8" s="9"/>
      <c r="R8" s="64">
        <v>1</v>
      </c>
      <c r="S8" s="9"/>
      <c r="T8" s="9">
        <v>0.1</v>
      </c>
      <c r="U8" s="9"/>
      <c r="V8" s="9"/>
      <c r="W8" s="9"/>
      <c r="X8" s="9"/>
    </row>
    <row r="9" spans="1:24">
      <c r="B9" s="98" t="s">
        <v>706</v>
      </c>
      <c r="C9" s="9" t="s">
        <v>221</v>
      </c>
      <c r="D9" s="9" t="s">
        <v>222</v>
      </c>
      <c r="E9" s="9" t="s">
        <v>112</v>
      </c>
      <c r="F9" s="11"/>
      <c r="G9" s="9" t="s">
        <v>4</v>
      </c>
      <c r="H9" s="9"/>
      <c r="I9" s="9"/>
      <c r="J9" s="9">
        <v>2010</v>
      </c>
      <c r="K9" s="61">
        <v>25</v>
      </c>
      <c r="L9" s="57"/>
      <c r="M9" s="57"/>
      <c r="N9" s="60">
        <v>17.297999999999998</v>
      </c>
      <c r="O9" s="65"/>
      <c r="P9" s="9"/>
      <c r="Q9" s="9"/>
      <c r="R9" s="64">
        <v>1</v>
      </c>
      <c r="S9" s="9"/>
      <c r="T9" s="9">
        <v>0.1</v>
      </c>
      <c r="U9" s="9"/>
      <c r="V9" s="9"/>
      <c r="W9" s="9"/>
      <c r="X9" s="9"/>
    </row>
    <row r="10" spans="1:24">
      <c r="B10" s="98" t="s">
        <v>706</v>
      </c>
      <c r="C10" s="9" t="s">
        <v>223</v>
      </c>
      <c r="D10" s="9" t="s">
        <v>224</v>
      </c>
      <c r="E10" s="9" t="s">
        <v>112</v>
      </c>
      <c r="F10" s="11"/>
      <c r="G10" s="9" t="s">
        <v>4</v>
      </c>
      <c r="H10" s="9"/>
      <c r="I10" s="9"/>
      <c r="J10" s="9">
        <v>2010</v>
      </c>
      <c r="K10" s="61">
        <v>25</v>
      </c>
      <c r="L10" s="57"/>
      <c r="M10" s="57"/>
      <c r="N10" s="60">
        <v>23.064</v>
      </c>
      <c r="O10" s="60"/>
      <c r="P10" s="9"/>
      <c r="Q10" s="9"/>
      <c r="R10" s="64">
        <v>1</v>
      </c>
      <c r="S10" s="9"/>
      <c r="T10" s="9">
        <v>0.1</v>
      </c>
      <c r="U10" s="9"/>
      <c r="V10" s="9"/>
      <c r="W10" s="9"/>
      <c r="X10" s="9"/>
    </row>
    <row r="11" spans="1:24">
      <c r="B11" s="98" t="s">
        <v>706</v>
      </c>
      <c r="C11" s="9" t="s">
        <v>225</v>
      </c>
      <c r="D11" s="9" t="s">
        <v>226</v>
      </c>
      <c r="E11" s="9" t="s">
        <v>112</v>
      </c>
      <c r="F11" s="11"/>
      <c r="G11" s="9"/>
      <c r="H11" s="9"/>
      <c r="I11" s="9"/>
      <c r="J11" s="9">
        <v>2010</v>
      </c>
      <c r="K11" s="61">
        <v>25</v>
      </c>
      <c r="L11" s="57"/>
      <c r="M11" s="57"/>
      <c r="N11" s="60">
        <v>192.2</v>
      </c>
      <c r="O11" s="65"/>
      <c r="P11" s="9"/>
      <c r="Q11" s="9"/>
      <c r="R11" s="64">
        <v>1</v>
      </c>
      <c r="S11" s="9"/>
      <c r="T11" s="9">
        <v>0.1</v>
      </c>
      <c r="U11" s="9"/>
      <c r="V11" s="9"/>
      <c r="W11" s="9"/>
      <c r="X11" s="9"/>
    </row>
    <row r="12" spans="1:24">
      <c r="B12" s="98" t="s">
        <v>706</v>
      </c>
      <c r="C12" s="9" t="s">
        <v>227</v>
      </c>
      <c r="D12" s="9" t="s">
        <v>228</v>
      </c>
      <c r="E12" s="9" t="s">
        <v>113</v>
      </c>
      <c r="F12" s="11"/>
      <c r="G12" s="9"/>
      <c r="H12" s="9"/>
      <c r="I12" s="9"/>
      <c r="J12" s="9">
        <v>2010</v>
      </c>
      <c r="K12" s="61">
        <v>25</v>
      </c>
      <c r="L12" s="57"/>
      <c r="M12" s="57"/>
      <c r="N12" s="60">
        <v>28.83</v>
      </c>
      <c r="O12" s="60"/>
      <c r="P12" s="9"/>
      <c r="Q12" s="9"/>
      <c r="R12" s="64">
        <v>1</v>
      </c>
      <c r="S12" s="9"/>
      <c r="T12" s="9">
        <v>0.1</v>
      </c>
      <c r="U12" s="9"/>
      <c r="V12" s="9"/>
      <c r="W12" s="9"/>
      <c r="X12" s="9"/>
    </row>
    <row r="13" spans="1:24">
      <c r="B13" s="98" t="s">
        <v>706</v>
      </c>
      <c r="C13" s="9" t="s">
        <v>229</v>
      </c>
      <c r="D13" s="9" t="s">
        <v>230</v>
      </c>
      <c r="E13" s="9" t="s">
        <v>113</v>
      </c>
      <c r="F13" s="9" t="s">
        <v>120</v>
      </c>
      <c r="G13" s="9"/>
      <c r="H13" s="9"/>
      <c r="I13" s="9"/>
      <c r="J13" s="9">
        <v>2017</v>
      </c>
      <c r="K13" s="61">
        <v>50</v>
      </c>
      <c r="L13" s="57"/>
      <c r="M13" s="57"/>
      <c r="N13" s="60">
        <v>46.128</v>
      </c>
      <c r="O13" s="60"/>
      <c r="P13" s="9">
        <v>700</v>
      </c>
      <c r="Q13" s="9"/>
      <c r="R13" s="64">
        <v>1</v>
      </c>
      <c r="S13" s="9"/>
      <c r="T13" s="9">
        <v>0.1</v>
      </c>
      <c r="U13" s="9"/>
      <c r="V13" s="9"/>
      <c r="W13" s="9"/>
      <c r="X13" s="9"/>
    </row>
    <row r="14" spans="1:24">
      <c r="B14" s="98" t="s">
        <v>706</v>
      </c>
      <c r="C14" s="9" t="s">
        <v>231</v>
      </c>
      <c r="D14" s="9" t="s">
        <v>232</v>
      </c>
      <c r="E14" s="9" t="s">
        <v>120</v>
      </c>
      <c r="F14" s="9"/>
      <c r="G14" s="9"/>
      <c r="H14" s="9" t="s">
        <v>621</v>
      </c>
      <c r="I14" s="9"/>
      <c r="J14" s="9">
        <v>2070</v>
      </c>
      <c r="K14" s="61">
        <v>50</v>
      </c>
      <c r="L14" s="57"/>
      <c r="M14" s="66">
        <v>4.5374882352941168E-3</v>
      </c>
      <c r="N14" s="60"/>
      <c r="O14" s="60"/>
      <c r="P14" s="9"/>
      <c r="Q14" s="9"/>
      <c r="R14" s="64">
        <v>1</v>
      </c>
      <c r="S14" s="9"/>
      <c r="T14" s="9"/>
      <c r="U14" s="9"/>
      <c r="V14" s="127">
        <v>4.2139384116693683E-3</v>
      </c>
      <c r="W14" s="127">
        <v>2.1069692058346839E-2</v>
      </c>
      <c r="X14" s="127">
        <v>2.4230145867098863E-2</v>
      </c>
    </row>
    <row r="15" spans="1:24">
      <c r="B15" s="98" t="s">
        <v>706</v>
      </c>
      <c r="C15" s="9" t="s">
        <v>233</v>
      </c>
      <c r="D15" s="9" t="s">
        <v>234</v>
      </c>
      <c r="E15" s="9" t="s">
        <v>120</v>
      </c>
      <c r="F15" s="9"/>
      <c r="G15" s="9"/>
      <c r="H15" s="9" t="s">
        <v>622</v>
      </c>
      <c r="I15" s="9"/>
      <c r="J15" s="9">
        <v>2070</v>
      </c>
      <c r="K15" s="61">
        <v>50</v>
      </c>
      <c r="L15" s="57"/>
      <c r="M15" s="66">
        <v>5.3450838606619302E-3</v>
      </c>
      <c r="N15" s="60"/>
      <c r="O15" s="60"/>
      <c r="P15" s="9"/>
      <c r="Q15" s="9"/>
      <c r="R15" s="64">
        <v>1</v>
      </c>
      <c r="S15" s="9"/>
      <c r="T15" s="9"/>
      <c r="U15" s="9"/>
      <c r="V15" s="127">
        <v>7.6175040518638576E-3</v>
      </c>
      <c r="W15" s="127">
        <v>3.8087520259319288E-2</v>
      </c>
      <c r="X15" s="127">
        <v>4.3800648298217178E-2</v>
      </c>
    </row>
    <row r="16" spans="1:24">
      <c r="B16" s="98" t="s">
        <v>706</v>
      </c>
      <c r="C16" s="9" t="s">
        <v>235</v>
      </c>
      <c r="D16" s="9" t="s">
        <v>236</v>
      </c>
      <c r="E16" s="9" t="s">
        <v>120</v>
      </c>
      <c r="F16" s="9"/>
      <c r="G16" s="9"/>
      <c r="H16" s="9" t="s">
        <v>623</v>
      </c>
      <c r="I16" s="9"/>
      <c r="J16" s="9">
        <v>2070</v>
      </c>
      <c r="K16" s="61">
        <v>50</v>
      </c>
      <c r="L16" s="57"/>
      <c r="M16" s="66">
        <v>1.6302352941176467E-3</v>
      </c>
      <c r="N16" s="60"/>
      <c r="O16" s="60"/>
      <c r="P16" s="9"/>
      <c r="Q16" s="9"/>
      <c r="R16" s="64">
        <v>1</v>
      </c>
      <c r="S16" s="9"/>
      <c r="T16" s="9"/>
      <c r="U16" s="9"/>
      <c r="V16" s="127">
        <v>3.5656401944894655E-3</v>
      </c>
      <c r="W16" s="127">
        <v>1.7828200972447326E-2</v>
      </c>
      <c r="X16" s="127">
        <v>2.0502431118314422E-2</v>
      </c>
    </row>
    <row r="17" spans="2:24">
      <c r="B17" s="98" t="s">
        <v>706</v>
      </c>
      <c r="C17" s="9" t="s">
        <v>237</v>
      </c>
      <c r="D17" s="9" t="s">
        <v>238</v>
      </c>
      <c r="E17" s="9" t="s">
        <v>120</v>
      </c>
      <c r="F17" s="9"/>
      <c r="G17" s="9"/>
      <c r="H17" s="9" t="s">
        <v>624</v>
      </c>
      <c r="I17" s="9"/>
      <c r="J17" s="9">
        <v>2070</v>
      </c>
      <c r="K17" s="61">
        <v>50</v>
      </c>
      <c r="L17" s="57"/>
      <c r="M17" s="66">
        <v>6.7926470588235291E-3</v>
      </c>
      <c r="N17" s="60"/>
      <c r="O17" s="60"/>
      <c r="P17" s="9"/>
      <c r="Q17" s="9"/>
      <c r="R17" s="64">
        <v>1</v>
      </c>
      <c r="S17" s="9"/>
      <c r="T17" s="9"/>
      <c r="U17" s="9"/>
      <c r="V17" s="127">
        <v>3.2414910858995141E-3</v>
      </c>
      <c r="W17" s="127">
        <v>1.6207455429497569E-2</v>
      </c>
      <c r="X17" s="127">
        <v>1.8638573743922204E-2</v>
      </c>
    </row>
    <row r="18" spans="2:24" s="55" customFormat="1">
      <c r="B18" s="50" t="s">
        <v>239</v>
      </c>
      <c r="C18" s="51"/>
      <c r="D18" s="51"/>
      <c r="E18" s="51"/>
      <c r="F18" s="51"/>
      <c r="G18" s="51"/>
      <c r="H18" s="51"/>
      <c r="I18" s="51"/>
      <c r="J18" s="51"/>
      <c r="K18" s="52"/>
      <c r="L18" s="53"/>
      <c r="M18" s="53"/>
      <c r="N18" s="51"/>
      <c r="O18" s="51"/>
      <c r="P18" s="54"/>
      <c r="Q18" s="51"/>
      <c r="R18" s="51"/>
      <c r="S18" s="51"/>
      <c r="T18" s="51"/>
      <c r="U18" s="51"/>
      <c r="V18" s="51"/>
      <c r="W18" s="51"/>
      <c r="X18" s="51"/>
    </row>
    <row r="19" spans="2:24">
      <c r="B19" s="98" t="s">
        <v>706</v>
      </c>
      <c r="C19" s="9" t="s">
        <v>240</v>
      </c>
      <c r="D19" s="9" t="s">
        <v>241</v>
      </c>
      <c r="E19" s="9" t="s">
        <v>604</v>
      </c>
      <c r="F19" s="9" t="s">
        <v>244</v>
      </c>
      <c r="G19" s="9"/>
      <c r="H19" s="9"/>
      <c r="I19" s="9"/>
      <c r="J19" s="9">
        <v>2150</v>
      </c>
      <c r="K19" s="9">
        <v>40</v>
      </c>
      <c r="L19" s="9">
        <v>0</v>
      </c>
      <c r="M19" s="9"/>
      <c r="N19" s="60">
        <v>0.52700000000000002</v>
      </c>
      <c r="O19" s="9">
        <v>1</v>
      </c>
      <c r="P19" s="9"/>
      <c r="Q19" s="9"/>
      <c r="R19" s="9"/>
      <c r="S19" s="9"/>
      <c r="T19" s="9">
        <v>0.15</v>
      </c>
      <c r="U19" s="9"/>
      <c r="V19" s="9"/>
      <c r="W19" s="9"/>
      <c r="X19" s="9"/>
    </row>
    <row r="20" spans="2:24">
      <c r="B20" s="98" t="s">
        <v>706</v>
      </c>
      <c r="C20" s="9" t="s">
        <v>245</v>
      </c>
      <c r="D20" s="9" t="s">
        <v>246</v>
      </c>
      <c r="E20" s="9" t="s">
        <v>604</v>
      </c>
      <c r="F20" s="9" t="s">
        <v>244</v>
      </c>
      <c r="G20" s="9"/>
      <c r="H20" s="9"/>
      <c r="I20" s="9"/>
      <c r="J20" s="9">
        <v>2150</v>
      </c>
      <c r="K20" s="9">
        <v>40</v>
      </c>
      <c r="L20" s="60">
        <v>1.3685745733336028</v>
      </c>
      <c r="M20" s="9"/>
      <c r="N20" s="60">
        <v>4.1944558742370082E-2</v>
      </c>
      <c r="O20" s="9">
        <v>1</v>
      </c>
      <c r="P20" s="59"/>
      <c r="Q20" s="9"/>
      <c r="R20" s="9"/>
      <c r="S20" s="9"/>
      <c r="T20" s="9">
        <v>0.15</v>
      </c>
      <c r="U20" s="9"/>
      <c r="V20" s="9"/>
      <c r="W20" s="9"/>
      <c r="X20" s="9"/>
    </row>
    <row r="21" spans="2:24">
      <c r="B21" s="98" t="s">
        <v>706</v>
      </c>
      <c r="C21" s="9" t="s">
        <v>249</v>
      </c>
      <c r="D21" s="9" t="s">
        <v>250</v>
      </c>
      <c r="E21" s="9" t="s">
        <v>604</v>
      </c>
      <c r="F21" s="9" t="s">
        <v>244</v>
      </c>
      <c r="G21" s="9"/>
      <c r="H21" s="9"/>
      <c r="I21" s="9"/>
      <c r="J21" s="9">
        <v>2150</v>
      </c>
      <c r="K21" s="9">
        <v>40</v>
      </c>
      <c r="L21" s="60">
        <v>50.819864315999439</v>
      </c>
      <c r="M21" s="9"/>
      <c r="N21" s="60">
        <v>-4.9159504209541627</v>
      </c>
      <c r="O21" s="9">
        <v>1</v>
      </c>
      <c r="P21" s="59"/>
      <c r="Q21" s="9"/>
      <c r="R21" s="9"/>
      <c r="S21" s="9"/>
      <c r="T21" s="9">
        <v>0.15</v>
      </c>
      <c r="U21" s="9"/>
      <c r="V21" s="9"/>
      <c r="W21" s="9"/>
      <c r="X21" s="9"/>
    </row>
    <row r="22" spans="2:24">
      <c r="B22" s="98" t="s">
        <v>706</v>
      </c>
      <c r="C22" s="9" t="s">
        <v>252</v>
      </c>
      <c r="D22" s="9" t="s">
        <v>253</v>
      </c>
      <c r="E22" s="9" t="s">
        <v>604</v>
      </c>
      <c r="F22" s="9" t="s">
        <v>244</v>
      </c>
      <c r="G22" s="9"/>
      <c r="H22" s="9"/>
      <c r="I22" s="9"/>
      <c r="J22" s="9">
        <v>2150</v>
      </c>
      <c r="K22" s="9">
        <v>40</v>
      </c>
      <c r="L22" s="60">
        <v>10.697689849780787</v>
      </c>
      <c r="M22" s="9"/>
      <c r="N22" s="60">
        <v>-1.9382214794687502</v>
      </c>
      <c r="O22" s="9">
        <v>1</v>
      </c>
      <c r="P22" s="59"/>
      <c r="Q22" s="9"/>
      <c r="R22" s="9"/>
      <c r="S22" s="9"/>
      <c r="T22" s="9">
        <v>0.15</v>
      </c>
      <c r="U22" s="9"/>
      <c r="V22" s="9"/>
      <c r="W22" s="9"/>
      <c r="X22" s="9"/>
    </row>
    <row r="23" spans="2:24">
      <c r="B23" s="98" t="s">
        <v>706</v>
      </c>
      <c r="C23" s="9" t="s">
        <v>254</v>
      </c>
      <c r="D23" s="9" t="s">
        <v>255</v>
      </c>
      <c r="E23" s="9" t="s">
        <v>604</v>
      </c>
      <c r="F23" s="9" t="s">
        <v>244</v>
      </c>
      <c r="G23" s="9"/>
      <c r="H23" s="9"/>
      <c r="I23" s="9"/>
      <c r="J23" s="9">
        <v>2150</v>
      </c>
      <c r="K23" s="9">
        <v>40</v>
      </c>
      <c r="L23" s="60">
        <v>37.078650311773018</v>
      </c>
      <c r="M23" s="9"/>
      <c r="N23" s="60">
        <v>-4.7822972675794926</v>
      </c>
      <c r="O23" s="9">
        <v>1</v>
      </c>
      <c r="P23" s="61"/>
      <c r="Q23" s="61"/>
      <c r="R23" s="9"/>
      <c r="S23" s="9"/>
      <c r="T23" s="9">
        <v>0.15</v>
      </c>
      <c r="U23" s="9"/>
      <c r="V23" s="9"/>
      <c r="W23" s="9"/>
      <c r="X23" s="9"/>
    </row>
    <row r="24" spans="2:24">
      <c r="B24" s="98" t="s">
        <v>706</v>
      </c>
      <c r="C24" s="9" t="s">
        <v>256</v>
      </c>
      <c r="D24" s="9" t="s">
        <v>257</v>
      </c>
      <c r="E24" s="9" t="s">
        <v>604</v>
      </c>
      <c r="F24" s="9" t="s">
        <v>244</v>
      </c>
      <c r="G24" s="9"/>
      <c r="H24" s="9"/>
      <c r="I24" s="9"/>
      <c r="J24" s="9">
        <v>2150</v>
      </c>
      <c r="K24" s="9">
        <v>40</v>
      </c>
      <c r="L24" s="60">
        <v>564.52828577204264</v>
      </c>
      <c r="M24" s="9"/>
      <c r="N24" s="60">
        <v>-44.509486062103029</v>
      </c>
      <c r="O24" s="9">
        <v>1</v>
      </c>
      <c r="P24" s="61"/>
      <c r="Q24" s="61"/>
      <c r="R24" s="9"/>
      <c r="S24" s="9"/>
      <c r="T24" s="9">
        <v>0.15</v>
      </c>
      <c r="U24" s="9"/>
      <c r="V24" s="9"/>
      <c r="W24" s="9"/>
      <c r="X24" s="9"/>
    </row>
    <row r="25" spans="2:24">
      <c r="B25" s="98" t="s">
        <v>706</v>
      </c>
      <c r="C25" s="9" t="s">
        <v>258</v>
      </c>
      <c r="D25" s="9" t="s">
        <v>259</v>
      </c>
      <c r="E25" s="9" t="s">
        <v>604</v>
      </c>
      <c r="F25" s="9" t="s">
        <v>244</v>
      </c>
      <c r="G25" s="9"/>
      <c r="H25" s="9"/>
      <c r="I25" s="9"/>
      <c r="J25" s="9">
        <v>2150</v>
      </c>
      <c r="K25" s="9">
        <v>40</v>
      </c>
      <c r="L25" s="60">
        <v>298.16478899734619</v>
      </c>
      <c r="M25" s="9"/>
      <c r="N25" s="60">
        <v>-10.030934338568937</v>
      </c>
      <c r="O25" s="9">
        <v>1</v>
      </c>
      <c r="P25" s="61"/>
      <c r="Q25" s="61"/>
      <c r="R25" s="9"/>
      <c r="S25" s="9"/>
      <c r="T25" s="9">
        <v>0.15</v>
      </c>
      <c r="U25" s="9"/>
      <c r="V25" s="9"/>
      <c r="W25" s="9"/>
      <c r="X25" s="9"/>
    </row>
    <row r="26" spans="2:24">
      <c r="B26" s="98" t="s">
        <v>706</v>
      </c>
      <c r="C26" s="9" t="s">
        <v>260</v>
      </c>
      <c r="D26" s="9" t="s">
        <v>261</v>
      </c>
      <c r="E26" s="9" t="s">
        <v>604</v>
      </c>
      <c r="F26" s="9" t="s">
        <v>244</v>
      </c>
      <c r="G26" s="9"/>
      <c r="H26" s="9"/>
      <c r="I26" s="9"/>
      <c r="J26" s="9">
        <v>2150</v>
      </c>
      <c r="K26" s="9">
        <v>40</v>
      </c>
      <c r="L26" s="60">
        <v>1090.8226103713425</v>
      </c>
      <c r="M26" s="9"/>
      <c r="N26" s="60">
        <v>-35.366297863636362</v>
      </c>
      <c r="O26" s="9">
        <v>1</v>
      </c>
      <c r="P26" s="61"/>
      <c r="Q26" s="61"/>
      <c r="R26" s="9"/>
      <c r="S26" s="9"/>
      <c r="T26" s="9">
        <v>0.15</v>
      </c>
      <c r="U26" s="9"/>
      <c r="V26" s="9"/>
      <c r="W26" s="9"/>
      <c r="X26" s="9"/>
    </row>
    <row r="27" spans="2:24">
      <c r="B27" s="98" t="s">
        <v>706</v>
      </c>
      <c r="C27" s="9" t="s">
        <v>615</v>
      </c>
      <c r="D27" s="9" t="s">
        <v>262</v>
      </c>
      <c r="E27" s="9" t="s">
        <v>605</v>
      </c>
      <c r="F27" s="9" t="s">
        <v>244</v>
      </c>
      <c r="G27" s="9"/>
      <c r="H27" s="9"/>
      <c r="I27" s="9"/>
      <c r="J27" s="9">
        <v>2150</v>
      </c>
      <c r="K27" s="9">
        <v>40</v>
      </c>
      <c r="L27" s="60">
        <v>225.35410054911046</v>
      </c>
      <c r="M27" s="9"/>
      <c r="N27" s="60">
        <v>0</v>
      </c>
      <c r="O27" s="9">
        <v>1</v>
      </c>
      <c r="P27" s="61"/>
      <c r="Q27" s="61"/>
      <c r="R27" s="9"/>
      <c r="S27" s="9"/>
      <c r="T27" s="9">
        <v>0.15</v>
      </c>
      <c r="U27" s="9"/>
      <c r="V27" s="9"/>
      <c r="W27" s="9"/>
      <c r="X27" s="9"/>
    </row>
    <row r="28" spans="2:24">
      <c r="B28" s="98"/>
      <c r="C28" s="9" t="s">
        <v>613</v>
      </c>
      <c r="D28" s="9" t="s">
        <v>614</v>
      </c>
      <c r="E28" s="9" t="s">
        <v>605</v>
      </c>
      <c r="F28" s="9" t="s">
        <v>244</v>
      </c>
      <c r="G28" s="9"/>
      <c r="H28" s="9" t="s">
        <v>605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64">
        <v>1000</v>
      </c>
      <c r="T28" s="9"/>
      <c r="U28" s="9"/>
      <c r="V28" s="9"/>
      <c r="W28" s="9"/>
      <c r="X28" s="9"/>
    </row>
    <row r="29" spans="2:24">
      <c r="B29" s="11"/>
      <c r="C29" s="9"/>
      <c r="D29" s="9"/>
      <c r="E29" s="9" t="s">
        <v>606</v>
      </c>
      <c r="F29" s="9" t="s">
        <v>266</v>
      </c>
      <c r="G29" s="9"/>
      <c r="H29" s="9" t="s">
        <v>606</v>
      </c>
      <c r="I29" s="9"/>
      <c r="J29" s="9"/>
      <c r="K29" s="9"/>
      <c r="L29" s="9"/>
      <c r="M29" s="9"/>
      <c r="N29" s="9"/>
      <c r="O29" s="9"/>
      <c r="P29" s="64">
        <v>1</v>
      </c>
      <c r="Q29" s="9"/>
      <c r="R29" s="9"/>
      <c r="S29" s="64">
        <v>1000</v>
      </c>
      <c r="T29" s="9"/>
      <c r="U29" s="9"/>
      <c r="V29" s="9"/>
      <c r="W29" s="9"/>
      <c r="X29" s="9"/>
    </row>
    <row r="30" spans="2:24">
      <c r="B30" s="11"/>
      <c r="C30" s="9"/>
      <c r="D30" s="9"/>
      <c r="E30" s="9" t="s">
        <v>604</v>
      </c>
      <c r="F30" s="9"/>
      <c r="G30" s="9"/>
      <c r="H30" s="9" t="s">
        <v>604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64">
        <v>1000</v>
      </c>
      <c r="T30" s="9"/>
      <c r="U30" s="9"/>
      <c r="V30" s="9"/>
      <c r="W30" s="9"/>
      <c r="X30" s="9"/>
    </row>
    <row r="31" spans="2:24" s="55" customFormat="1">
      <c r="B31" s="50" t="s">
        <v>267</v>
      </c>
      <c r="C31" s="51"/>
      <c r="D31" s="51"/>
      <c r="E31" s="51"/>
      <c r="F31" s="51"/>
      <c r="G31" s="51"/>
      <c r="H31" s="51"/>
      <c r="I31" s="51"/>
      <c r="J31" s="51"/>
      <c r="K31" s="52"/>
      <c r="L31" s="53"/>
      <c r="M31" s="53"/>
      <c r="N31" s="51"/>
      <c r="O31" s="51"/>
      <c r="P31" s="54"/>
      <c r="Q31" s="51"/>
      <c r="R31" s="51"/>
      <c r="S31" s="51"/>
      <c r="T31" s="51"/>
      <c r="U31" s="51"/>
      <c r="V31" s="51"/>
      <c r="W31" s="51"/>
      <c r="X31" s="51"/>
    </row>
    <row r="32" spans="2:24">
      <c r="T32" s="49"/>
    </row>
    <row r="33" spans="1:20">
      <c r="A33" s="42"/>
    </row>
    <row r="34" spans="1:20" s="63" customFormat="1" ht="18">
      <c r="A34" s="2"/>
      <c r="B34" s="32" t="s">
        <v>26</v>
      </c>
      <c r="C34" s="1"/>
      <c r="D34" s="1"/>
      <c r="E34" s="1"/>
      <c r="F34" s="2"/>
      <c r="G34" s="2"/>
      <c r="H34" s="2"/>
      <c r="I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63" customFormat="1" ht="18">
      <c r="A35" s="2"/>
      <c r="B35" s="126" t="s">
        <v>27</v>
      </c>
      <c r="C35" s="126" t="s">
        <v>28</v>
      </c>
      <c r="D35" s="126" t="s">
        <v>29</v>
      </c>
      <c r="E35" s="126" t="s">
        <v>30</v>
      </c>
      <c r="F35" s="126" t="s">
        <v>49</v>
      </c>
      <c r="G35" s="126" t="s">
        <v>142</v>
      </c>
      <c r="H35" s="126" t="s">
        <v>143</v>
      </c>
      <c r="I35" s="126" t="s">
        <v>144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B36" s="17" t="s">
        <v>31</v>
      </c>
      <c r="C36" s="17" t="s">
        <v>120</v>
      </c>
      <c r="D36" s="17" t="s">
        <v>140</v>
      </c>
      <c r="E36" s="17" t="s">
        <v>32</v>
      </c>
      <c r="F36" s="17"/>
      <c r="G36" s="17"/>
      <c r="H36" s="17"/>
      <c r="I36" s="17"/>
    </row>
    <row r="37" spans="1:20">
      <c r="B37" s="17" t="s">
        <v>31</v>
      </c>
      <c r="C37" s="17" t="s">
        <v>41</v>
      </c>
      <c r="D37" s="17" t="s">
        <v>42</v>
      </c>
      <c r="E37" s="17" t="s">
        <v>32</v>
      </c>
      <c r="F37" s="17"/>
      <c r="G37" s="17"/>
      <c r="H37" s="17"/>
      <c r="I37" s="17"/>
    </row>
    <row r="38" spans="1:20">
      <c r="B38" s="17" t="s">
        <v>62</v>
      </c>
      <c r="C38" s="17" t="s">
        <v>40</v>
      </c>
      <c r="D38" s="17" t="s">
        <v>39</v>
      </c>
      <c r="E38" s="17" t="s">
        <v>76</v>
      </c>
      <c r="F38" s="17" t="s">
        <v>50</v>
      </c>
      <c r="G38" s="17"/>
      <c r="H38" s="17"/>
      <c r="I38" s="17"/>
    </row>
    <row r="39" spans="1:20">
      <c r="B39" s="17" t="s">
        <v>31</v>
      </c>
      <c r="C39" s="17" t="s">
        <v>247</v>
      </c>
      <c r="D39" s="17" t="s">
        <v>247</v>
      </c>
      <c r="E39" s="17" t="s">
        <v>76</v>
      </c>
      <c r="F39" s="17" t="s">
        <v>50</v>
      </c>
      <c r="G39" s="17"/>
      <c r="H39" s="17"/>
      <c r="I39" s="17"/>
    </row>
    <row r="40" spans="1:20">
      <c r="B40" s="17" t="s">
        <v>31</v>
      </c>
      <c r="C40" s="17" t="s">
        <v>248</v>
      </c>
      <c r="D40" s="17" t="s">
        <v>248</v>
      </c>
      <c r="E40" s="17" t="s">
        <v>76</v>
      </c>
      <c r="F40" s="17" t="s">
        <v>50</v>
      </c>
      <c r="G40" s="17"/>
      <c r="H40" s="17"/>
      <c r="I40" s="17"/>
    </row>
    <row r="41" spans="1:20">
      <c r="B41" s="17" t="s">
        <v>31</v>
      </c>
      <c r="C41" s="17" t="s">
        <v>242</v>
      </c>
      <c r="D41" s="17" t="s">
        <v>242</v>
      </c>
      <c r="E41" s="17" t="s">
        <v>76</v>
      </c>
      <c r="F41" s="17" t="s">
        <v>50</v>
      </c>
      <c r="G41" s="17"/>
      <c r="H41" s="17"/>
      <c r="I41" s="17"/>
    </row>
    <row r="42" spans="1:20">
      <c r="B42" s="17" t="s">
        <v>31</v>
      </c>
      <c r="C42" s="17" t="s">
        <v>243</v>
      </c>
      <c r="D42" s="17" t="s">
        <v>243</v>
      </c>
      <c r="E42" s="17" t="s">
        <v>76</v>
      </c>
      <c r="F42" s="17" t="s">
        <v>50</v>
      </c>
      <c r="G42" s="17"/>
      <c r="H42" s="17"/>
      <c r="I42" s="17"/>
    </row>
    <row r="43" spans="1:20">
      <c r="B43" s="17" t="s">
        <v>31</v>
      </c>
      <c r="C43" s="17" t="s">
        <v>263</v>
      </c>
      <c r="D43" s="17" t="s">
        <v>263</v>
      </c>
      <c r="E43" s="17" t="s">
        <v>76</v>
      </c>
      <c r="F43" s="17" t="s">
        <v>50</v>
      </c>
      <c r="G43" s="17"/>
      <c r="H43" s="17"/>
      <c r="I43" s="17"/>
    </row>
    <row r="44" spans="1:20">
      <c r="B44" s="17" t="s">
        <v>31</v>
      </c>
      <c r="C44" s="17" t="s">
        <v>264</v>
      </c>
      <c r="D44" s="17" t="s">
        <v>264</v>
      </c>
      <c r="E44" s="17" t="s">
        <v>76</v>
      </c>
      <c r="F44" s="17" t="s">
        <v>50</v>
      </c>
      <c r="G44" s="17"/>
      <c r="H44" s="17"/>
      <c r="I44" s="17"/>
    </row>
    <row r="45" spans="1:20">
      <c r="B45" s="17" t="s">
        <v>31</v>
      </c>
      <c r="C45" s="17" t="s">
        <v>244</v>
      </c>
      <c r="D45" s="17" t="s">
        <v>244</v>
      </c>
      <c r="E45" s="17" t="s">
        <v>76</v>
      </c>
      <c r="F45" s="17"/>
      <c r="G45" s="17"/>
      <c r="H45" s="17"/>
      <c r="I45" s="17"/>
    </row>
    <row r="46" spans="1:20">
      <c r="B46" s="17" t="s">
        <v>62</v>
      </c>
      <c r="C46" s="17" t="s">
        <v>111</v>
      </c>
      <c r="D46" s="17" t="s">
        <v>122</v>
      </c>
      <c r="E46" s="17" t="s">
        <v>76</v>
      </c>
      <c r="F46" s="17" t="s">
        <v>50</v>
      </c>
      <c r="G46" s="17"/>
      <c r="H46" s="17"/>
      <c r="I46" s="17"/>
    </row>
    <row r="47" spans="1:20">
      <c r="B47" s="17"/>
      <c r="C47" s="17" t="s">
        <v>112</v>
      </c>
      <c r="D47" s="17" t="s">
        <v>123</v>
      </c>
      <c r="E47" s="17" t="s">
        <v>76</v>
      </c>
      <c r="F47" s="17" t="s">
        <v>50</v>
      </c>
      <c r="G47" s="17"/>
      <c r="H47" s="17"/>
      <c r="I47" s="17"/>
    </row>
    <row r="48" spans="1:20">
      <c r="B48" s="17"/>
      <c r="C48" s="17" t="s">
        <v>113</v>
      </c>
      <c r="D48" s="17" t="s">
        <v>124</v>
      </c>
      <c r="E48" s="17" t="s">
        <v>76</v>
      </c>
      <c r="F48" s="17" t="s">
        <v>50</v>
      </c>
      <c r="G48" s="17"/>
      <c r="H48" s="17"/>
      <c r="I48" s="17"/>
    </row>
    <row r="49" spans="2:9">
      <c r="B49" s="17" t="s">
        <v>58</v>
      </c>
      <c r="C49" s="17" t="s">
        <v>268</v>
      </c>
      <c r="D49" s="17" t="s">
        <v>269</v>
      </c>
      <c r="E49" s="17" t="s">
        <v>36</v>
      </c>
      <c r="F49" s="17"/>
      <c r="G49" s="17" t="s">
        <v>146</v>
      </c>
      <c r="H49" s="17"/>
      <c r="I49" s="17" t="s">
        <v>147</v>
      </c>
    </row>
    <row r="50" spans="2:9">
      <c r="B50" s="17" t="s">
        <v>58</v>
      </c>
      <c r="C50" s="17" t="s">
        <v>251</v>
      </c>
      <c r="D50" s="17" t="s">
        <v>270</v>
      </c>
      <c r="E50" s="17" t="s">
        <v>36</v>
      </c>
      <c r="F50" s="17" t="s">
        <v>50</v>
      </c>
      <c r="G50" s="17" t="s">
        <v>271</v>
      </c>
      <c r="H50" s="17"/>
      <c r="I50" s="17" t="s">
        <v>147</v>
      </c>
    </row>
    <row r="51" spans="2:9">
      <c r="B51" s="17" t="s">
        <v>148</v>
      </c>
      <c r="C51" s="17" t="s">
        <v>272</v>
      </c>
      <c r="D51" s="17" t="s">
        <v>272</v>
      </c>
      <c r="E51" s="17" t="s">
        <v>76</v>
      </c>
      <c r="F51" s="17" t="s">
        <v>69</v>
      </c>
      <c r="G51" s="17"/>
      <c r="H51" s="17"/>
      <c r="I51" s="17"/>
    </row>
    <row r="52" spans="2:9">
      <c r="B52" s="17" t="s">
        <v>148</v>
      </c>
      <c r="C52" s="17" t="s">
        <v>273</v>
      </c>
      <c r="D52" s="17" t="s">
        <v>273</v>
      </c>
      <c r="E52" s="17" t="s">
        <v>76</v>
      </c>
      <c r="F52" s="17" t="s">
        <v>69</v>
      </c>
      <c r="G52" s="17"/>
      <c r="H52" s="17"/>
      <c r="I52" s="17"/>
    </row>
    <row r="53" spans="2:9">
      <c r="B53" s="17" t="s">
        <v>148</v>
      </c>
      <c r="C53" s="17" t="s">
        <v>266</v>
      </c>
      <c r="D53" s="17" t="s">
        <v>266</v>
      </c>
      <c r="E53" s="17" t="s">
        <v>36</v>
      </c>
      <c r="F53" s="17" t="s">
        <v>274</v>
      </c>
      <c r="G53" s="17"/>
      <c r="H53" s="17"/>
      <c r="I53" s="17"/>
    </row>
    <row r="56" spans="2:9">
      <c r="B56" s="32" t="s">
        <v>149</v>
      </c>
    </row>
    <row r="57" spans="2:9">
      <c r="B57" s="33" t="s">
        <v>33</v>
      </c>
      <c r="C57" s="34" t="s">
        <v>34</v>
      </c>
      <c r="D57" s="34" t="s">
        <v>35</v>
      </c>
      <c r="E57" s="34" t="s">
        <v>150</v>
      </c>
      <c r="F57" s="34" t="s">
        <v>151</v>
      </c>
      <c r="G57" s="34" t="s">
        <v>152</v>
      </c>
      <c r="H57" s="34" t="s">
        <v>153</v>
      </c>
      <c r="I57" s="35" t="s">
        <v>154</v>
      </c>
    </row>
    <row r="58" spans="2:9">
      <c r="B58" s="36" t="s">
        <v>179</v>
      </c>
      <c r="C58" s="36" t="s">
        <v>213</v>
      </c>
      <c r="D58" s="36" t="s">
        <v>214</v>
      </c>
      <c r="E58" s="36" t="s">
        <v>36</v>
      </c>
      <c r="F58" s="36" t="s">
        <v>155</v>
      </c>
      <c r="G58" s="36"/>
      <c r="H58" s="36" t="s">
        <v>111</v>
      </c>
      <c r="I58" s="36" t="s">
        <v>156</v>
      </c>
    </row>
    <row r="59" spans="2:9">
      <c r="B59" s="36" t="s">
        <v>179</v>
      </c>
      <c r="C59" s="36" t="s">
        <v>215</v>
      </c>
      <c r="D59" s="36" t="s">
        <v>216</v>
      </c>
      <c r="E59" s="36" t="s">
        <v>36</v>
      </c>
      <c r="F59" s="36" t="s">
        <v>155</v>
      </c>
      <c r="G59" s="36"/>
      <c r="H59" s="36" t="s">
        <v>111</v>
      </c>
      <c r="I59" s="36" t="s">
        <v>156</v>
      </c>
    </row>
    <row r="60" spans="2:9">
      <c r="B60" s="36" t="s">
        <v>179</v>
      </c>
      <c r="C60" s="36" t="s">
        <v>217</v>
      </c>
      <c r="D60" s="36" t="s">
        <v>218</v>
      </c>
      <c r="E60" s="36" t="s">
        <v>36</v>
      </c>
      <c r="F60" s="36" t="s">
        <v>155</v>
      </c>
      <c r="G60" s="36"/>
      <c r="H60" s="36" t="s">
        <v>112</v>
      </c>
      <c r="I60" s="36" t="s">
        <v>156</v>
      </c>
    </row>
    <row r="61" spans="2:9">
      <c r="B61" s="36" t="s">
        <v>179</v>
      </c>
      <c r="C61" s="36" t="s">
        <v>219</v>
      </c>
      <c r="D61" s="36" t="s">
        <v>220</v>
      </c>
      <c r="E61" s="36" t="s">
        <v>36</v>
      </c>
      <c r="F61" s="36" t="s">
        <v>155</v>
      </c>
      <c r="G61" s="36"/>
      <c r="H61" s="36" t="s">
        <v>112</v>
      </c>
      <c r="I61" s="36" t="s">
        <v>156</v>
      </c>
    </row>
    <row r="62" spans="2:9">
      <c r="B62" s="36" t="s">
        <v>179</v>
      </c>
      <c r="C62" s="36" t="s">
        <v>221</v>
      </c>
      <c r="D62" s="36" t="s">
        <v>222</v>
      </c>
      <c r="E62" s="36" t="s">
        <v>36</v>
      </c>
      <c r="F62" s="36" t="s">
        <v>155</v>
      </c>
      <c r="G62" s="36"/>
      <c r="H62" s="36" t="s">
        <v>112</v>
      </c>
      <c r="I62" s="36" t="s">
        <v>156</v>
      </c>
    </row>
    <row r="63" spans="2:9">
      <c r="B63" s="36" t="s">
        <v>179</v>
      </c>
      <c r="C63" s="36" t="s">
        <v>223</v>
      </c>
      <c r="D63" s="36" t="s">
        <v>224</v>
      </c>
      <c r="E63" s="36" t="s">
        <v>36</v>
      </c>
      <c r="F63" s="36" t="s">
        <v>155</v>
      </c>
      <c r="G63" s="36"/>
      <c r="H63" s="36" t="s">
        <v>112</v>
      </c>
      <c r="I63" s="36" t="s">
        <v>156</v>
      </c>
    </row>
    <row r="64" spans="2:9">
      <c r="B64" s="36" t="s">
        <v>179</v>
      </c>
      <c r="C64" s="36" t="s">
        <v>225</v>
      </c>
      <c r="D64" s="36" t="s">
        <v>226</v>
      </c>
      <c r="E64" s="36" t="s">
        <v>36</v>
      </c>
      <c r="F64" s="36" t="s">
        <v>155</v>
      </c>
      <c r="G64" s="36"/>
      <c r="H64" s="36" t="s">
        <v>112</v>
      </c>
      <c r="I64" s="36" t="s">
        <v>156</v>
      </c>
    </row>
    <row r="65" spans="2:9">
      <c r="B65" s="36" t="s">
        <v>179</v>
      </c>
      <c r="C65" s="36" t="s">
        <v>227</v>
      </c>
      <c r="D65" s="36" t="s">
        <v>228</v>
      </c>
      <c r="E65" s="36" t="s">
        <v>36</v>
      </c>
      <c r="F65" s="36" t="s">
        <v>155</v>
      </c>
      <c r="G65" s="36"/>
      <c r="H65" s="36" t="s">
        <v>113</v>
      </c>
      <c r="I65" s="36" t="s">
        <v>156</v>
      </c>
    </row>
    <row r="66" spans="2:9">
      <c r="B66" s="36" t="s">
        <v>179</v>
      </c>
      <c r="C66" s="36" t="s">
        <v>229</v>
      </c>
      <c r="D66" s="36" t="s">
        <v>230</v>
      </c>
      <c r="E66" s="36" t="s">
        <v>36</v>
      </c>
      <c r="F66" s="36" t="s">
        <v>155</v>
      </c>
      <c r="G66" s="36"/>
      <c r="H66" s="36" t="s">
        <v>113</v>
      </c>
      <c r="I66" s="36" t="s">
        <v>156</v>
      </c>
    </row>
    <row r="67" spans="2:9">
      <c r="B67" s="36" t="s">
        <v>179</v>
      </c>
      <c r="C67" s="36" t="s">
        <v>240</v>
      </c>
      <c r="D67" s="36" t="s">
        <v>241</v>
      </c>
      <c r="E67" s="36" t="s">
        <v>36</v>
      </c>
      <c r="F67" s="36" t="s">
        <v>155</v>
      </c>
      <c r="G67" s="36"/>
      <c r="H67" s="36" t="s">
        <v>244</v>
      </c>
      <c r="I67" s="36" t="s">
        <v>156</v>
      </c>
    </row>
    <row r="68" spans="2:9">
      <c r="B68" s="36" t="s">
        <v>179</v>
      </c>
      <c r="C68" s="36" t="s">
        <v>245</v>
      </c>
      <c r="D68" s="36" t="s">
        <v>246</v>
      </c>
      <c r="E68" s="36" t="s">
        <v>36</v>
      </c>
      <c r="F68" s="36" t="s">
        <v>155</v>
      </c>
      <c r="G68" s="36"/>
      <c r="H68" s="36" t="s">
        <v>244</v>
      </c>
      <c r="I68" s="36" t="s">
        <v>156</v>
      </c>
    </row>
    <row r="69" spans="2:9">
      <c r="B69" s="36" t="s">
        <v>179</v>
      </c>
      <c r="C69" s="36" t="s">
        <v>249</v>
      </c>
      <c r="D69" s="36" t="s">
        <v>250</v>
      </c>
      <c r="E69" s="36" t="s">
        <v>36</v>
      </c>
      <c r="F69" s="36" t="s">
        <v>155</v>
      </c>
      <c r="G69" s="36"/>
      <c r="H69" s="36" t="s">
        <v>244</v>
      </c>
      <c r="I69" s="36" t="s">
        <v>156</v>
      </c>
    </row>
    <row r="70" spans="2:9">
      <c r="B70" s="36" t="s">
        <v>179</v>
      </c>
      <c r="C70" s="36" t="s">
        <v>252</v>
      </c>
      <c r="D70" s="36" t="s">
        <v>253</v>
      </c>
      <c r="E70" s="36" t="s">
        <v>36</v>
      </c>
      <c r="F70" s="36" t="s">
        <v>155</v>
      </c>
      <c r="G70" s="36"/>
      <c r="H70" s="36" t="s">
        <v>244</v>
      </c>
      <c r="I70" s="36" t="s">
        <v>156</v>
      </c>
    </row>
    <row r="71" spans="2:9">
      <c r="B71" s="36" t="s">
        <v>179</v>
      </c>
      <c r="C71" s="36" t="s">
        <v>254</v>
      </c>
      <c r="D71" s="36" t="s">
        <v>255</v>
      </c>
      <c r="E71" s="36" t="s">
        <v>36</v>
      </c>
      <c r="F71" s="36" t="s">
        <v>155</v>
      </c>
      <c r="G71" s="36"/>
      <c r="H71" s="36" t="s">
        <v>244</v>
      </c>
      <c r="I71" s="36" t="s">
        <v>156</v>
      </c>
    </row>
    <row r="72" spans="2:9">
      <c r="B72" s="36" t="s">
        <v>179</v>
      </c>
      <c r="C72" s="36" t="s">
        <v>256</v>
      </c>
      <c r="D72" s="36" t="s">
        <v>257</v>
      </c>
      <c r="E72" s="36" t="s">
        <v>36</v>
      </c>
      <c r="F72" s="36" t="s">
        <v>155</v>
      </c>
      <c r="G72" s="36"/>
      <c r="H72" s="36" t="s">
        <v>244</v>
      </c>
      <c r="I72" s="36" t="s">
        <v>156</v>
      </c>
    </row>
    <row r="73" spans="2:9">
      <c r="B73" s="36" t="s">
        <v>179</v>
      </c>
      <c r="C73" s="36" t="s">
        <v>258</v>
      </c>
      <c r="D73" s="36" t="s">
        <v>259</v>
      </c>
      <c r="E73" s="36" t="s">
        <v>36</v>
      </c>
      <c r="F73" s="36" t="s">
        <v>155</v>
      </c>
      <c r="G73" s="36"/>
      <c r="H73" s="36" t="s">
        <v>244</v>
      </c>
      <c r="I73" s="36" t="s">
        <v>156</v>
      </c>
    </row>
    <row r="74" spans="2:9">
      <c r="B74" s="36" t="s">
        <v>179</v>
      </c>
      <c r="C74" s="36" t="s">
        <v>260</v>
      </c>
      <c r="D74" s="36" t="s">
        <v>261</v>
      </c>
      <c r="E74" s="36" t="s">
        <v>36</v>
      </c>
      <c r="F74" s="36" t="s">
        <v>155</v>
      </c>
      <c r="G74" s="36"/>
      <c r="H74" s="36" t="s">
        <v>244</v>
      </c>
      <c r="I74" s="36" t="s">
        <v>156</v>
      </c>
    </row>
    <row r="75" spans="2:9">
      <c r="B75" s="36" t="s">
        <v>179</v>
      </c>
      <c r="C75" s="36" t="s">
        <v>615</v>
      </c>
      <c r="D75" s="36" t="s">
        <v>262</v>
      </c>
      <c r="E75" s="36" t="s">
        <v>36</v>
      </c>
      <c r="F75" s="36" t="s">
        <v>155</v>
      </c>
      <c r="G75" s="36"/>
      <c r="H75" s="36" t="s">
        <v>244</v>
      </c>
      <c r="I75" s="36" t="s">
        <v>156</v>
      </c>
    </row>
    <row r="76" spans="2:9">
      <c r="B76" s="36" t="s">
        <v>179</v>
      </c>
      <c r="C76" s="36" t="s">
        <v>613</v>
      </c>
      <c r="D76" s="36" t="s">
        <v>265</v>
      </c>
      <c r="E76" s="36" t="s">
        <v>36</v>
      </c>
      <c r="F76" s="36" t="s">
        <v>155</v>
      </c>
      <c r="G76" s="36"/>
      <c r="H76" s="36" t="s">
        <v>244</v>
      </c>
      <c r="I76" s="36" t="s">
        <v>156</v>
      </c>
    </row>
    <row r="77" spans="2:9">
      <c r="B77" s="36" t="s">
        <v>179</v>
      </c>
      <c r="C77" s="36" t="s">
        <v>231</v>
      </c>
      <c r="D77" s="36" t="s">
        <v>232</v>
      </c>
      <c r="E77" s="36" t="s">
        <v>36</v>
      </c>
      <c r="F77" s="36" t="s">
        <v>155</v>
      </c>
      <c r="G77" s="36"/>
      <c r="H77" s="36" t="s">
        <v>120</v>
      </c>
      <c r="I77" s="36" t="s">
        <v>275</v>
      </c>
    </row>
    <row r="78" spans="2:9">
      <c r="B78" s="36" t="s">
        <v>179</v>
      </c>
      <c r="C78" s="36" t="s">
        <v>233</v>
      </c>
      <c r="D78" s="36" t="s">
        <v>234</v>
      </c>
      <c r="E78" s="36" t="s">
        <v>36</v>
      </c>
      <c r="F78" s="36" t="s">
        <v>155</v>
      </c>
      <c r="G78" s="36"/>
      <c r="H78" s="36" t="s">
        <v>120</v>
      </c>
      <c r="I78" s="36" t="s">
        <v>275</v>
      </c>
    </row>
    <row r="79" spans="2:9">
      <c r="B79" s="36" t="s">
        <v>179</v>
      </c>
      <c r="C79" s="36" t="s">
        <v>235</v>
      </c>
      <c r="D79" s="36" t="s">
        <v>236</v>
      </c>
      <c r="E79" s="36" t="s">
        <v>36</v>
      </c>
      <c r="F79" s="36" t="s">
        <v>155</v>
      </c>
      <c r="G79" s="36"/>
      <c r="H79" s="36" t="s">
        <v>120</v>
      </c>
      <c r="I79" s="36" t="s">
        <v>275</v>
      </c>
    </row>
    <row r="80" spans="2:9">
      <c r="B80" s="36" t="s">
        <v>179</v>
      </c>
      <c r="C80" s="36" t="s">
        <v>237</v>
      </c>
      <c r="D80" s="36" t="s">
        <v>238</v>
      </c>
      <c r="E80" s="36" t="s">
        <v>36</v>
      </c>
      <c r="F80" s="36" t="s">
        <v>155</v>
      </c>
      <c r="G80" s="36"/>
      <c r="H80" s="36" t="s">
        <v>120</v>
      </c>
      <c r="I80" s="36" t="s">
        <v>275</v>
      </c>
    </row>
  </sheetData>
  <phoneticPr fontId="0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J101"/>
  <sheetViews>
    <sheetView zoomScale="75" workbookViewId="0"/>
  </sheetViews>
  <sheetFormatPr defaultRowHeight="12.75"/>
  <cols>
    <col min="1" max="1" width="14.7109375" bestFit="1" customWidth="1"/>
    <col min="2" max="2" width="39.5703125" customWidth="1"/>
    <col min="3" max="3" width="14" customWidth="1"/>
    <col min="4" max="4" width="53" customWidth="1"/>
    <col min="6" max="6" width="12.5703125" bestFit="1" customWidth="1"/>
    <col min="7" max="7" width="20.7109375" customWidth="1"/>
    <col min="9" max="9" width="14.7109375" customWidth="1"/>
    <col min="10" max="11" width="8.7109375" customWidth="1"/>
  </cols>
  <sheetData>
    <row r="1" spans="1:10">
      <c r="B1" s="80" t="s">
        <v>290</v>
      </c>
      <c r="C1" s="67" t="s">
        <v>291</v>
      </c>
      <c r="D1" s="67" t="s">
        <v>292</v>
      </c>
    </row>
    <row r="2" spans="1:10">
      <c r="B2" s="68" t="s">
        <v>504</v>
      </c>
      <c r="C2" s="78" t="s">
        <v>472</v>
      </c>
      <c r="D2" s="78" t="s">
        <v>473</v>
      </c>
    </row>
    <row r="3" spans="1:10">
      <c r="B3" s="68" t="s">
        <v>509</v>
      </c>
      <c r="C3" s="78" t="s">
        <v>474</v>
      </c>
      <c r="D3" s="78" t="s">
        <v>473</v>
      </c>
    </row>
    <row r="4" spans="1:10">
      <c r="B4" s="68" t="s">
        <v>517</v>
      </c>
      <c r="C4" s="78" t="s">
        <v>475</v>
      </c>
      <c r="D4" s="78" t="s">
        <v>473</v>
      </c>
    </row>
    <row r="5" spans="1:10">
      <c r="B5" s="68" t="s">
        <v>476</v>
      </c>
      <c r="C5" s="78" t="s">
        <v>477</v>
      </c>
      <c r="D5" s="78" t="s">
        <v>473</v>
      </c>
    </row>
    <row r="6" spans="1:10">
      <c r="B6" s="68" t="s">
        <v>478</v>
      </c>
      <c r="C6" s="78" t="s">
        <v>479</v>
      </c>
      <c r="D6" s="78" t="s">
        <v>473</v>
      </c>
    </row>
    <row r="8" spans="1:10">
      <c r="A8" s="67" t="s">
        <v>476</v>
      </c>
      <c r="C8" s="42" t="s">
        <v>298</v>
      </c>
      <c r="D8" s="42" t="s">
        <v>299</v>
      </c>
    </row>
    <row r="9" spans="1:10">
      <c r="A9" s="9" t="s">
        <v>300</v>
      </c>
      <c r="B9" s="9" t="s">
        <v>480</v>
      </c>
      <c r="C9" s="173" t="str">
        <f ca="1">Names!$C$5&amp;J9</f>
        <v>ACH4MAN01</v>
      </c>
      <c r="D9" s="173" t="str">
        <f ca="1">$D$5&amp;Names!B9</f>
        <v>CH4- Farm Scale Digesters-A (cool climate)</v>
      </c>
      <c r="J9" s="68" t="str">
        <f>"01"</f>
        <v>01</v>
      </c>
    </row>
    <row r="10" spans="1:10">
      <c r="A10" s="9" t="s">
        <v>303</v>
      </c>
      <c r="B10" s="9" t="s">
        <v>481</v>
      </c>
      <c r="C10" s="173" t="str">
        <f ca="1">Names!$C$5&amp;J10</f>
        <v>ACH4MAN02</v>
      </c>
      <c r="D10" s="173" t="str">
        <f ca="1">$D$5&amp;Names!B10</f>
        <v>CH4- Farm Scale Digesters-A (warm climate)</v>
      </c>
      <c r="J10" s="68" t="str">
        <f>"02"</f>
        <v>02</v>
      </c>
    </row>
    <row r="11" spans="1:10">
      <c r="A11" s="9" t="s">
        <v>305</v>
      </c>
      <c r="B11" s="9" t="s">
        <v>482</v>
      </c>
      <c r="C11" s="173" t="str">
        <f ca="1">Names!$C$5&amp;J11</f>
        <v>ACH4MAN03</v>
      </c>
      <c r="D11" s="173" t="str">
        <f ca="1">$D$5&amp;Names!B11</f>
        <v>CH4- Farm Scale Digesters-B (cool climate)</v>
      </c>
      <c r="J11" s="68" t="str">
        <f>"03"</f>
        <v>03</v>
      </c>
    </row>
    <row r="12" spans="1:10">
      <c r="A12" s="9" t="s">
        <v>307</v>
      </c>
      <c r="B12" s="9" t="s">
        <v>483</v>
      </c>
      <c r="C12" s="173" t="str">
        <f ca="1">Names!$C$5&amp;J12</f>
        <v>ACH4MAN04</v>
      </c>
      <c r="D12" s="173" t="str">
        <f ca="1">$D$5&amp;Names!B12</f>
        <v>CH4- Farm Scale Digesters-B (warm climate)</v>
      </c>
      <c r="J12" s="68" t="str">
        <f>"04"</f>
        <v>04</v>
      </c>
    </row>
    <row r="13" spans="1:10">
      <c r="A13" s="174" t="s">
        <v>484</v>
      </c>
      <c r="B13" s="9"/>
      <c r="C13" s="173"/>
      <c r="D13" s="173"/>
      <c r="F13" s="1"/>
      <c r="G13" s="1"/>
      <c r="J13" s="68" t="str">
        <f>"05"</f>
        <v>05</v>
      </c>
    </row>
    <row r="14" spans="1:10">
      <c r="A14" s="9" t="s">
        <v>309</v>
      </c>
      <c r="B14" s="9" t="s">
        <v>485</v>
      </c>
      <c r="C14" s="173"/>
      <c r="D14" s="173"/>
      <c r="J14" s="68" t="str">
        <f>"06"</f>
        <v>06</v>
      </c>
    </row>
    <row r="15" spans="1:10">
      <c r="J15" s="68" t="str">
        <f>"07"</f>
        <v>07</v>
      </c>
    </row>
    <row r="16" spans="1:10">
      <c r="A16" s="67" t="s">
        <v>478</v>
      </c>
      <c r="C16" s="42" t="s">
        <v>298</v>
      </c>
      <c r="D16" s="42" t="s">
        <v>299</v>
      </c>
      <c r="J16" s="68" t="str">
        <f>"08"</f>
        <v>08</v>
      </c>
    </row>
    <row r="17" spans="1:10">
      <c r="A17" s="9" t="s">
        <v>300</v>
      </c>
      <c r="B17" s="9" t="s">
        <v>486</v>
      </c>
      <c r="C17" s="173" t="str">
        <f ca="1">Names!$C$6&amp;J9</f>
        <v>RCH4WLF01</v>
      </c>
      <c r="D17" s="173" t="str">
        <f ca="1">$D$6&amp;Names!B17</f>
        <v>CH4- Anaerobic digestion 1 (AD1)</v>
      </c>
      <c r="J17" s="68" t="str">
        <f>"09"</f>
        <v>09</v>
      </c>
    </row>
    <row r="18" spans="1:10">
      <c r="A18" s="9" t="s">
        <v>303</v>
      </c>
      <c r="B18" s="9" t="s">
        <v>487</v>
      </c>
      <c r="C18" s="173" t="str">
        <f ca="1">Names!$C$6&amp;J10</f>
        <v>RCH4WLF02</v>
      </c>
      <c r="D18" s="173" t="str">
        <f ca="1">$D$6&amp;Names!B18</f>
        <v>CH4- Anaerobic digestion 2 (AD2)</v>
      </c>
      <c r="J18" s="15">
        <v>10</v>
      </c>
    </row>
    <row r="19" spans="1:10">
      <c r="A19" s="9" t="s">
        <v>305</v>
      </c>
      <c r="B19" s="9" t="s">
        <v>488</v>
      </c>
      <c r="C19" s="173" t="str">
        <f ca="1">Names!$C$6&amp;J11</f>
        <v>RCH4WLF03</v>
      </c>
      <c r="D19" s="173" t="str">
        <f ca="1">$D$6&amp;Names!B19</f>
        <v>CH4- Composting (C1)</v>
      </c>
      <c r="J19" s="15">
        <v>11</v>
      </c>
    </row>
    <row r="20" spans="1:10">
      <c r="A20" s="9" t="s">
        <v>307</v>
      </c>
      <c r="B20" s="9" t="s">
        <v>489</v>
      </c>
      <c r="C20" s="173" t="str">
        <f ca="1">Names!$C$6&amp;J12</f>
        <v>RCH4WLF04</v>
      </c>
      <c r="D20" s="173" t="str">
        <f ca="1">$D$6&amp;Names!B20</f>
        <v>CH4- Composting (C2)</v>
      </c>
      <c r="J20" s="15">
        <v>12</v>
      </c>
    </row>
    <row r="21" spans="1:10">
      <c r="A21" s="9" t="s">
        <v>309</v>
      </c>
      <c r="B21" s="9" t="s">
        <v>490</v>
      </c>
      <c r="C21" s="173" t="str">
        <f ca="1">Names!$C$6&amp;J13</f>
        <v>RCH4WLF05</v>
      </c>
      <c r="D21" s="173" t="str">
        <f ca="1">$D$6&amp;Names!B21</f>
        <v>CH4- Mechanical Biological Treatment</v>
      </c>
      <c r="J21" s="15">
        <v>13</v>
      </c>
    </row>
    <row r="22" spans="1:10">
      <c r="A22" s="9" t="s">
        <v>311</v>
      </c>
      <c r="B22" s="9" t="s">
        <v>491</v>
      </c>
      <c r="C22" s="173" t="str">
        <f ca="1">Names!$C$6&amp;J14</f>
        <v>RCH4WLF06</v>
      </c>
      <c r="D22" s="173" t="str">
        <f ca="1">$D$6&amp;Names!B22</f>
        <v>CH4- Heat Production</v>
      </c>
      <c r="J22" s="15">
        <v>14</v>
      </c>
    </row>
    <row r="23" spans="1:10">
      <c r="A23" s="9" t="s">
        <v>313</v>
      </c>
      <c r="B23" s="9" t="s">
        <v>492</v>
      </c>
      <c r="C23" s="173" t="str">
        <f ca="1">Names!$C$6&amp;J15</f>
        <v>RCH4WLF07</v>
      </c>
      <c r="D23" s="173" t="str">
        <f ca="1">$D$6&amp;Names!B23</f>
        <v>CH4- Increased Oxidation</v>
      </c>
      <c r="J23" s="15">
        <v>15</v>
      </c>
    </row>
    <row r="24" spans="1:10">
      <c r="A24" s="9" t="s">
        <v>493</v>
      </c>
      <c r="B24" s="9" t="s">
        <v>494</v>
      </c>
      <c r="C24" s="173" t="str">
        <f ca="1">Names!$C$6&amp;J16</f>
        <v>RCH4WLF08</v>
      </c>
      <c r="D24" s="173" t="str">
        <f ca="1">$D$6&amp;Names!B24</f>
        <v>CH4- Direct Gas Use (profitable at base price)</v>
      </c>
      <c r="J24" s="15">
        <v>16</v>
      </c>
    </row>
    <row r="25" spans="1:10">
      <c r="A25" s="9" t="s">
        <v>495</v>
      </c>
      <c r="B25" s="9" t="s">
        <v>496</v>
      </c>
      <c r="C25" s="173" t="str">
        <f ca="1">Names!$C$6&amp;J17</f>
        <v>RCH4WLF09</v>
      </c>
      <c r="D25" s="173" t="str">
        <f ca="1">$D$6&amp;Names!B25</f>
        <v>CH4- Electricity Generation</v>
      </c>
      <c r="J25" s="15">
        <v>17</v>
      </c>
    </row>
    <row r="26" spans="1:10">
      <c r="A26" s="9" t="s">
        <v>497</v>
      </c>
      <c r="B26" s="9" t="s">
        <v>498</v>
      </c>
      <c r="C26" s="173" t="str">
        <f ca="1">Names!$C$6&amp;J18</f>
        <v>RCH4WLF10</v>
      </c>
      <c r="D26" s="173" t="str">
        <f ca="1">$D$6&amp;Names!B26</f>
        <v xml:space="preserve">CH4- Direct Gas Use (profitable above base price) </v>
      </c>
      <c r="J26" s="15">
        <v>18</v>
      </c>
    </row>
    <row r="27" spans="1:10">
      <c r="A27" s="9" t="s">
        <v>499</v>
      </c>
      <c r="B27" s="9" t="s">
        <v>500</v>
      </c>
      <c r="C27" s="173" t="str">
        <f ca="1">Names!$C$6&amp;J19</f>
        <v>RCH4WLF11</v>
      </c>
      <c r="D27" s="173" t="str">
        <f ca="1">$D$6&amp;Names!B27</f>
        <v>CH4- Flaring</v>
      </c>
      <c r="J27" s="15">
        <v>19</v>
      </c>
    </row>
    <row r="28" spans="1:10">
      <c r="A28" s="9" t="s">
        <v>501</v>
      </c>
      <c r="B28" s="9" t="s">
        <v>502</v>
      </c>
      <c r="C28" s="173" t="str">
        <f ca="1">Names!$C$6&amp;J20</f>
        <v>RCH4WLF12</v>
      </c>
      <c r="D28" s="173" t="s">
        <v>503</v>
      </c>
      <c r="J28" s="15">
        <v>20</v>
      </c>
    </row>
    <row r="29" spans="1:10">
      <c r="A29" s="174" t="s">
        <v>484</v>
      </c>
      <c r="B29" s="9"/>
      <c r="C29" s="173"/>
      <c r="D29" s="173"/>
    </row>
    <row r="30" spans="1:10">
      <c r="A30" s="1"/>
      <c r="B30" s="1"/>
    </row>
    <row r="31" spans="1:10">
      <c r="A31" s="67" t="s">
        <v>504</v>
      </c>
      <c r="C31" s="42" t="s">
        <v>298</v>
      </c>
      <c r="D31" s="42" t="s">
        <v>299</v>
      </c>
    </row>
    <row r="32" spans="1:10">
      <c r="A32" s="9" t="s">
        <v>300</v>
      </c>
      <c r="B32" s="9" t="s">
        <v>505</v>
      </c>
      <c r="C32" s="173" t="str">
        <f ca="1">Names!$C$2&amp;Names!J9</f>
        <v>UNCH4OIL01</v>
      </c>
      <c r="D32" s="173" t="str">
        <f ca="1">$D$2&amp;Names!B32</f>
        <v>CH4- Flaring instead of Venting (Offshore)</v>
      </c>
    </row>
    <row r="33" spans="1:4">
      <c r="A33" s="9" t="s">
        <v>303</v>
      </c>
      <c r="B33" s="9" t="s">
        <v>506</v>
      </c>
      <c r="C33" s="173" t="str">
        <f ca="1">Names!$C$2&amp;Names!J10</f>
        <v>UNCH4OIL02</v>
      </c>
      <c r="D33" s="173" t="str">
        <f ca="1">$D$2&amp;Names!B33</f>
        <v>CH4- Flaring instead of Venting (Onshore)</v>
      </c>
    </row>
    <row r="34" spans="1:4">
      <c r="A34" s="9" t="s">
        <v>305</v>
      </c>
      <c r="B34" s="9" t="s">
        <v>507</v>
      </c>
      <c r="C34" s="173" t="str">
        <f ca="1">Names!$C$2&amp;Names!J11</f>
        <v>UNCH4OIL03</v>
      </c>
      <c r="D34" s="173" t="str">
        <f ca="1">$D$2&amp;Names!B34</f>
        <v>CH4- Associated Gas (vented) Mix with Other Options</v>
      </c>
    </row>
    <row r="35" spans="1:4">
      <c r="A35" s="9" t="s">
        <v>307</v>
      </c>
      <c r="B35" s="9" t="s">
        <v>508</v>
      </c>
      <c r="C35" s="173" t="str">
        <f ca="1">Names!$C$2&amp;Names!J12</f>
        <v>UNCH4OIL04</v>
      </c>
      <c r="D35" s="173" t="str">
        <f ca="1">$D$2&amp;Names!B35</f>
        <v>CH4- Associated Gas (flared) Mix with Other Options</v>
      </c>
    </row>
    <row r="37" spans="1:4">
      <c r="A37" s="67" t="s">
        <v>509</v>
      </c>
      <c r="C37" s="42" t="s">
        <v>298</v>
      </c>
      <c r="D37" s="42" t="s">
        <v>299</v>
      </c>
    </row>
    <row r="38" spans="1:4">
      <c r="A38" s="9" t="s">
        <v>300</v>
      </c>
      <c r="B38" s="9" t="s">
        <v>510</v>
      </c>
      <c r="C38" s="173" t="str">
        <f ca="1">Names!$C$3&amp;Names!J9</f>
        <v>UNCH4COA01</v>
      </c>
      <c r="D38" s="173" t="str">
        <f ca="1">$D$3&amp;Names!B38</f>
        <v>CH4- Degasification and Pipeline Injection</v>
      </c>
    </row>
    <row r="39" spans="1:4">
      <c r="A39" s="9" t="s">
        <v>303</v>
      </c>
      <c r="B39" s="9" t="s">
        <v>511</v>
      </c>
      <c r="C39" s="173" t="str">
        <f ca="1">Names!$C$3&amp;Names!J10</f>
        <v>UNCH4COA02</v>
      </c>
      <c r="D39" s="173" t="str">
        <f ca="1">$D$3&amp;Names!B39</f>
        <v>CH4- Enhanced Degasification, Gas Enrichment, and Pipeline Injection</v>
      </c>
    </row>
    <row r="40" spans="1:4">
      <c r="A40" s="9" t="s">
        <v>305</v>
      </c>
      <c r="B40" s="9" t="s">
        <v>512</v>
      </c>
      <c r="C40" s="173" t="str">
        <f ca="1">Names!$C$3&amp;Names!J11</f>
        <v>UNCH4COA03</v>
      </c>
      <c r="D40" s="173" t="str">
        <f ca="1">$D$3&amp;Names!B40</f>
        <v>CH4- Catalytic Oxidation (US)</v>
      </c>
    </row>
    <row r="41" spans="1:4">
      <c r="A41" s="9" t="s">
        <v>307</v>
      </c>
      <c r="B41" s="9" t="s">
        <v>500</v>
      </c>
      <c r="C41" s="173" t="str">
        <f ca="1">Names!$C$3&amp;Names!J12</f>
        <v>UNCH4COA04</v>
      </c>
      <c r="D41" s="173" t="str">
        <f ca="1">$D$3&amp;Names!B41</f>
        <v>CH4- Flaring</v>
      </c>
    </row>
    <row r="42" spans="1:4">
      <c r="A42" s="9" t="s">
        <v>309</v>
      </c>
      <c r="B42" s="9" t="s">
        <v>513</v>
      </c>
      <c r="C42" s="173" t="str">
        <f ca="1">Names!$C$3&amp;Names!J13</f>
        <v>UNCH4COA05</v>
      </c>
      <c r="D42" s="173" t="str">
        <f ca="1">$D$3&amp;Names!B42</f>
        <v>CH4- Degasification and Power Production – A</v>
      </c>
    </row>
    <row r="43" spans="1:4">
      <c r="A43" s="9" t="s">
        <v>311</v>
      </c>
      <c r="B43" s="9" t="s">
        <v>514</v>
      </c>
      <c r="C43" s="173" t="str">
        <f ca="1">Names!$C$3&amp;Names!J14</f>
        <v>UNCH4COA06</v>
      </c>
      <c r="D43" s="173" t="str">
        <f ca="1">$D$3&amp;Names!B43</f>
        <v xml:space="preserve">CH4- Degasification and Power Production – B </v>
      </c>
    </row>
    <row r="44" spans="1:4">
      <c r="A44" s="9" t="s">
        <v>313</v>
      </c>
      <c r="B44" s="9" t="s">
        <v>515</v>
      </c>
      <c r="C44" s="173" t="str">
        <f ca="1">Names!$C$3&amp;Names!J15</f>
        <v>UNCH4COA07</v>
      </c>
      <c r="D44" s="173" t="str">
        <f ca="1">$D$3&amp;Names!B44</f>
        <v xml:space="preserve">CH4- Degasification and Power Production – C </v>
      </c>
    </row>
    <row r="45" spans="1:4">
      <c r="A45" s="9" t="s">
        <v>493</v>
      </c>
      <c r="B45" s="9" t="s">
        <v>516</v>
      </c>
      <c r="C45" s="173" t="str">
        <f ca="1">Names!$C$3&amp;Names!J16</f>
        <v>UNCH4COA08</v>
      </c>
      <c r="D45" s="173" t="str">
        <f ca="1">$D$3&amp;Names!B45</f>
        <v>CH4- Catalytic Oxidation (EU)</v>
      </c>
    </row>
    <row r="47" spans="1:4">
      <c r="A47" s="67" t="s">
        <v>517</v>
      </c>
      <c r="C47" s="42" t="s">
        <v>298</v>
      </c>
      <c r="D47" s="42" t="s">
        <v>299</v>
      </c>
    </row>
    <row r="48" spans="1:4">
      <c r="A48" s="9" t="s">
        <v>300</v>
      </c>
      <c r="B48" s="9" t="s">
        <v>518</v>
      </c>
      <c r="C48" s="173" t="str">
        <f ca="1">Names!$C$4&amp;J9</f>
        <v>UNCH4GAS01</v>
      </c>
      <c r="D48" s="173" t="str">
        <f ca="1">$D$4&amp;Names!B48</f>
        <v>CH4- P&amp;T - Use gas turbines instead of reciprocating engines</v>
      </c>
    </row>
    <row r="49" spans="1:4">
      <c r="A49" s="9" t="s">
        <v>313</v>
      </c>
      <c r="B49" s="9" t="s">
        <v>519</v>
      </c>
      <c r="C49" s="173" t="str">
        <f ca="1">Names!$C$4&amp;J10</f>
        <v>UNCH4GAS02</v>
      </c>
      <c r="D49" s="173" t="str">
        <f ca="1">$D$4&amp;Names!B49</f>
        <v>CH4- Prod-D I&amp;M (Pipeline Leaks)</v>
      </c>
    </row>
    <row r="50" spans="1:4">
      <c r="A50" s="9" t="s">
        <v>495</v>
      </c>
      <c r="B50" s="9" t="s">
        <v>520</v>
      </c>
      <c r="C50" s="173" t="str">
        <f ca="1">Names!$C$4&amp;J11</f>
        <v>UNCH4GAS03</v>
      </c>
      <c r="D50" s="173" t="str">
        <f ca="1">$D$4&amp;Names!B50</f>
        <v>CH4- Installation of Flash Tank Separators (Production)</v>
      </c>
    </row>
    <row r="51" spans="1:4">
      <c r="A51" s="9" t="s">
        <v>521</v>
      </c>
      <c r="B51" s="9" t="s">
        <v>522</v>
      </c>
      <c r="C51" s="173" t="str">
        <f ca="1">Names!$C$4&amp;J12</f>
        <v>UNCH4GAS04</v>
      </c>
      <c r="D51" s="173" t="str">
        <f ca="1">$D$4&amp;Names!B51</f>
        <v>CH4- Replace high-bleed pneumatic devices with compressed air systems (Production)</v>
      </c>
    </row>
    <row r="52" spans="1:4">
      <c r="A52" s="9" t="s">
        <v>523</v>
      </c>
      <c r="B52" s="9" t="s">
        <v>524</v>
      </c>
      <c r="C52" s="173" t="str">
        <f ca="1">Names!$C$4&amp;J13</f>
        <v>UNCH4GAS05</v>
      </c>
      <c r="D52" s="173" t="str">
        <f ca="1">$D$4&amp;Names!B52</f>
        <v>CH4- Replace high-bleed pneumatic devices with low-bleed pneumatic devices (Production)</v>
      </c>
    </row>
    <row r="53" spans="1:4">
      <c r="A53" s="9" t="s">
        <v>525</v>
      </c>
      <c r="B53" s="9" t="s">
        <v>526</v>
      </c>
      <c r="C53" s="173" t="str">
        <f ca="1">Names!$C$4&amp;J14</f>
        <v>UNCH4GAS06</v>
      </c>
      <c r="D53" s="173" t="str">
        <f ca="1">$D$4&amp;Names!B53</f>
        <v>CH4- Dry Seals on Centrifugal Compressors (P&amp;T)</v>
      </c>
    </row>
    <row r="54" spans="1:4">
      <c r="A54" s="9" t="s">
        <v>527</v>
      </c>
      <c r="B54" s="9" t="s">
        <v>528</v>
      </c>
      <c r="C54" s="173" t="str">
        <f ca="1">Names!$C$4&amp;J15</f>
        <v>UNCH4GAS07</v>
      </c>
      <c r="D54" s="173" t="str">
        <f ca="1">$D$4&amp;Names!B54</f>
        <v>CH4- Catalytic Converter (P&amp;T)</v>
      </c>
    </row>
    <row r="55" spans="1:4">
      <c r="A55" s="9" t="s">
        <v>529</v>
      </c>
      <c r="B55" s="9" t="s">
        <v>530</v>
      </c>
      <c r="C55" s="173" t="str">
        <f ca="1">Names!$C$4&amp;J16</f>
        <v>UNCH4GAS08</v>
      </c>
      <c r="D55" s="173" t="str">
        <f ca="1">$D$4&amp;Names!B82</f>
        <v>CH4- Portable Evacuation Compressor for Pipeline Venting (P&amp;T)</v>
      </c>
    </row>
    <row r="56" spans="1:4">
      <c r="A56" s="9" t="s">
        <v>531</v>
      </c>
      <c r="B56" s="9" t="s">
        <v>532</v>
      </c>
      <c r="C56" s="173" t="str">
        <f ca="1">Names!$C$4&amp;J17</f>
        <v>UNCH4GAS09</v>
      </c>
      <c r="D56" s="173" t="str">
        <f ca="1">$D$4&amp;Names!B55</f>
        <v>CH4- Replace High-bleed pneumatic devices with compressed air systems (P&amp;T)</v>
      </c>
    </row>
    <row r="57" spans="1:4">
      <c r="A57" s="9" t="s">
        <v>533</v>
      </c>
      <c r="B57" s="9" t="s">
        <v>534</v>
      </c>
      <c r="C57" s="173" t="str">
        <f ca="1">Names!$C$4&amp;J18</f>
        <v>UNCH4GAS10</v>
      </c>
      <c r="D57" s="173" t="str">
        <f ca="1">$D$4&amp;Names!B56</f>
        <v>CH4- Replace high-bleed pneumatic devices with low-bleed pneumatic devices (P&amp;T)</v>
      </c>
    </row>
    <row r="58" spans="1:4">
      <c r="A58" s="9" t="s">
        <v>535</v>
      </c>
      <c r="B58" s="9" t="s">
        <v>536</v>
      </c>
      <c r="C58" s="173" t="str">
        <f ca="1">Names!$C$4&amp;J19</f>
        <v>UNCH4GAS11</v>
      </c>
      <c r="D58" s="173" t="str">
        <f ca="1">$D$4&amp;Names!B57</f>
        <v>CH4- D-D I&amp;M (Distribution)</v>
      </c>
    </row>
    <row r="59" spans="1:4">
      <c r="A59" s="9" t="s">
        <v>537</v>
      </c>
      <c r="B59" s="9" t="s">
        <v>538</v>
      </c>
      <c r="C59" s="173" t="str">
        <f ca="1">Names!$C$4&amp;J20</f>
        <v>UNCH4GAS12</v>
      </c>
      <c r="D59" s="173" t="str">
        <f ca="1">$D$4&amp;Names!B58</f>
        <v>CH4- D-D I&amp;M (Enhanced: Distribution)</v>
      </c>
    </row>
    <row r="60" spans="1:4">
      <c r="A60" s="9" t="s">
        <v>539</v>
      </c>
      <c r="B60" s="9" t="s">
        <v>540</v>
      </c>
      <c r="C60" s="173" t="str">
        <f ca="1">Names!$C$4&amp;J21</f>
        <v>UNCH4GAS13</v>
      </c>
      <c r="D60" s="173" t="str">
        <f ca="1">$D$4&amp;Names!B59</f>
        <v>CH4- Electronic Monitoring at Large Surface Facilities (D)</v>
      </c>
    </row>
    <row r="61" spans="1:4">
      <c r="A61" s="9" t="s">
        <v>541</v>
      </c>
      <c r="B61" s="9" t="s">
        <v>542</v>
      </c>
      <c r="C61" s="173" t="str">
        <f ca="1">Names!$C$4&amp;J22</f>
        <v>UNCH4GAS14</v>
      </c>
      <c r="D61" s="173" t="str">
        <f ca="1">$D$4&amp;Names!B60</f>
        <v>CH4- Replacement of Cast Iron/Unprotected Steel Pipeline (D)</v>
      </c>
    </row>
    <row r="62" spans="1:4" s="99" customFormat="1"/>
    <row r="63" spans="1:4" s="99" customFormat="1">
      <c r="A63" s="174" t="s">
        <v>484</v>
      </c>
      <c r="B63" s="175"/>
      <c r="C63" s="176"/>
      <c r="D63" s="176"/>
    </row>
    <row r="64" spans="1:4">
      <c r="A64" s="9" t="s">
        <v>303</v>
      </c>
      <c r="B64" s="9" t="s">
        <v>543</v>
      </c>
      <c r="C64" s="173"/>
      <c r="D64" s="173"/>
    </row>
    <row r="65" spans="1:4">
      <c r="A65" s="9" t="s">
        <v>305</v>
      </c>
      <c r="B65" s="9" t="s">
        <v>544</v>
      </c>
      <c r="C65" s="173"/>
      <c r="D65" s="173"/>
    </row>
    <row r="66" spans="1:4">
      <c r="A66" s="9" t="s">
        <v>307</v>
      </c>
      <c r="B66" s="9" t="s">
        <v>545</v>
      </c>
      <c r="C66" s="173"/>
      <c r="D66" s="173"/>
    </row>
    <row r="67" spans="1:4">
      <c r="A67" s="9" t="s">
        <v>309</v>
      </c>
      <c r="B67" s="9" t="s">
        <v>546</v>
      </c>
      <c r="C67" s="173"/>
      <c r="D67" s="173"/>
    </row>
    <row r="68" spans="1:4">
      <c r="A68" s="9" t="s">
        <v>311</v>
      </c>
      <c r="B68" s="9" t="s">
        <v>547</v>
      </c>
      <c r="C68" s="173"/>
      <c r="D68" s="173"/>
    </row>
    <row r="69" spans="1:4">
      <c r="A69" s="9" t="s">
        <v>493</v>
      </c>
      <c r="B69" s="9" t="s">
        <v>548</v>
      </c>
      <c r="C69" s="173"/>
      <c r="D69" s="173"/>
    </row>
    <row r="70" spans="1:4">
      <c r="A70" s="9" t="s">
        <v>497</v>
      </c>
      <c r="B70" s="9" t="s">
        <v>549</v>
      </c>
      <c r="C70" s="173"/>
      <c r="D70" s="173"/>
    </row>
    <row r="71" spans="1:4">
      <c r="A71" s="9" t="s">
        <v>499</v>
      </c>
      <c r="B71" s="9" t="s">
        <v>550</v>
      </c>
      <c r="C71" s="173"/>
      <c r="D71" s="173"/>
    </row>
    <row r="72" spans="1:4">
      <c r="A72" s="9" t="s">
        <v>501</v>
      </c>
      <c r="B72" s="9" t="s">
        <v>551</v>
      </c>
      <c r="C72" s="173"/>
      <c r="D72" s="173"/>
    </row>
    <row r="73" spans="1:4">
      <c r="A73" s="9" t="s">
        <v>552</v>
      </c>
      <c r="B73" s="9" t="s">
        <v>553</v>
      </c>
      <c r="C73" s="173"/>
      <c r="D73" s="173"/>
    </row>
    <row r="74" spans="1:4">
      <c r="A74" s="9" t="s">
        <v>554</v>
      </c>
      <c r="B74" s="9" t="s">
        <v>555</v>
      </c>
      <c r="C74" s="173"/>
      <c r="D74" s="173"/>
    </row>
    <row r="75" spans="1:4">
      <c r="A75" s="9" t="s">
        <v>556</v>
      </c>
      <c r="B75" s="9" t="s">
        <v>557</v>
      </c>
      <c r="C75" s="173"/>
      <c r="D75" s="173"/>
    </row>
    <row r="76" spans="1:4">
      <c r="A76" s="9" t="s">
        <v>558</v>
      </c>
      <c r="B76" s="9" t="s">
        <v>559</v>
      </c>
      <c r="C76" s="173"/>
      <c r="D76" s="173"/>
    </row>
    <row r="77" spans="1:4">
      <c r="A77" s="9" t="s">
        <v>560</v>
      </c>
      <c r="B77" s="9" t="s">
        <v>561</v>
      </c>
      <c r="C77" s="173"/>
      <c r="D77" s="173"/>
    </row>
    <row r="78" spans="1:4">
      <c r="A78" s="9" t="s">
        <v>562</v>
      </c>
      <c r="B78" s="9" t="s">
        <v>563</v>
      </c>
      <c r="C78" s="173"/>
      <c r="D78" s="173"/>
    </row>
    <row r="79" spans="1:4">
      <c r="A79" s="9" t="s">
        <v>564</v>
      </c>
      <c r="B79" s="9" t="s">
        <v>565</v>
      </c>
      <c r="C79" s="173"/>
      <c r="D79" s="173"/>
    </row>
    <row r="80" spans="1:4">
      <c r="A80" s="9" t="s">
        <v>566</v>
      </c>
      <c r="B80" s="9" t="s">
        <v>567</v>
      </c>
      <c r="C80" s="173"/>
      <c r="D80" s="173"/>
    </row>
    <row r="81" spans="1:10">
      <c r="A81" s="9" t="s">
        <v>568</v>
      </c>
      <c r="B81" s="9" t="s">
        <v>569</v>
      </c>
      <c r="C81" s="173"/>
      <c r="D81" s="173"/>
    </row>
    <row r="82" spans="1:10">
      <c r="A82" s="9" t="s">
        <v>570</v>
      </c>
      <c r="B82" s="9" t="s">
        <v>571</v>
      </c>
      <c r="C82" s="173"/>
      <c r="D82" s="173"/>
    </row>
    <row r="83" spans="1:10">
      <c r="A83" s="9" t="s">
        <v>572</v>
      </c>
      <c r="B83" s="9" t="s">
        <v>573</v>
      </c>
      <c r="C83" s="173"/>
      <c r="D83" s="173"/>
    </row>
    <row r="84" spans="1:10">
      <c r="A84" s="9" t="s">
        <v>574</v>
      </c>
      <c r="B84" s="9" t="s">
        <v>575</v>
      </c>
      <c r="C84" s="173"/>
      <c r="D84" s="173"/>
    </row>
    <row r="85" spans="1:10">
      <c r="A85" s="1"/>
      <c r="B85" s="1"/>
    </row>
    <row r="87" spans="1:10">
      <c r="B87" s="80" t="s">
        <v>290</v>
      </c>
      <c r="C87" s="67" t="s">
        <v>291</v>
      </c>
      <c r="D87" s="67" t="s">
        <v>292</v>
      </c>
      <c r="E87" s="69"/>
    </row>
    <row r="88" spans="1:10">
      <c r="B88" s="68" t="s">
        <v>293</v>
      </c>
      <c r="C88" s="78" t="s">
        <v>294</v>
      </c>
      <c r="D88" s="78" t="s">
        <v>295</v>
      </c>
      <c r="E88" s="69"/>
    </row>
    <row r="89" spans="1:10">
      <c r="B89" s="68" t="s">
        <v>296</v>
      </c>
      <c r="C89" s="78" t="s">
        <v>297</v>
      </c>
      <c r="D89" s="78" t="s">
        <v>295</v>
      </c>
      <c r="E89" s="69"/>
      <c r="F89" s="69"/>
      <c r="G89" s="69"/>
      <c r="H89" s="69"/>
    </row>
    <row r="90" spans="1:10">
      <c r="F90" s="69"/>
      <c r="G90" s="69"/>
      <c r="H90" s="69"/>
    </row>
    <row r="91" spans="1:10">
      <c r="A91" s="67" t="str">
        <f ca="1">Names!B88</f>
        <v>Adipic Acid</v>
      </c>
      <c r="C91" s="42" t="s">
        <v>298</v>
      </c>
      <c r="D91" s="42" t="s">
        <v>299</v>
      </c>
      <c r="E91" s="69"/>
      <c r="F91" s="69"/>
      <c r="G91" s="69"/>
      <c r="H91" s="69"/>
    </row>
    <row r="92" spans="1:10">
      <c r="A92" s="9" t="s">
        <v>300</v>
      </c>
      <c r="B92" s="9" t="s">
        <v>301</v>
      </c>
      <c r="C92" s="173" t="str">
        <f ca="1">Names!$C$88&amp;J95</f>
        <v>IN2OADI01</v>
      </c>
      <c r="D92" s="173" t="str">
        <f ca="1">Names!$D$88&amp;Names!B92</f>
        <v>N2O option - Thermal Destruction</v>
      </c>
      <c r="E92" s="69"/>
      <c r="F92" s="69"/>
      <c r="G92" s="69"/>
      <c r="H92" s="69"/>
    </row>
    <row r="93" spans="1:10">
      <c r="A93" s="1"/>
      <c r="B93" s="1"/>
      <c r="E93" s="69"/>
      <c r="F93" s="69"/>
      <c r="G93" s="69"/>
      <c r="H93" s="69"/>
    </row>
    <row r="94" spans="1:10">
      <c r="A94" s="67" t="str">
        <f ca="1">Names!B89</f>
        <v>Nitric Acid</v>
      </c>
      <c r="C94" s="42" t="s">
        <v>298</v>
      </c>
      <c r="D94" s="42" t="s">
        <v>299</v>
      </c>
      <c r="E94" s="69"/>
      <c r="F94" s="69"/>
      <c r="G94" s="69"/>
      <c r="H94" s="69"/>
    </row>
    <row r="95" spans="1:10">
      <c r="A95" s="9" t="s">
        <v>300</v>
      </c>
      <c r="B95" s="31" t="s">
        <v>302</v>
      </c>
      <c r="C95" s="173" t="str">
        <f ca="1">Names!$C$89&amp;J95</f>
        <v>IN2ONIT01</v>
      </c>
      <c r="D95" s="173" t="str">
        <f ca="1">Names!$D$89&amp;Names!B95</f>
        <v>N2O option - Grand Paroisse - High Temperature Catalytic Reduction Method</v>
      </c>
      <c r="E95" s="69"/>
      <c r="F95" s="69"/>
      <c r="G95" s="69"/>
      <c r="H95" s="69"/>
      <c r="J95" s="68" t="str">
        <f>"01"</f>
        <v>01</v>
      </c>
    </row>
    <row r="96" spans="1:10">
      <c r="A96" s="9" t="s">
        <v>303</v>
      </c>
      <c r="B96" s="31" t="s">
        <v>304</v>
      </c>
      <c r="C96" s="173" t="str">
        <f ca="1">Names!$C$89&amp;J96</f>
        <v>IN2ONIT02</v>
      </c>
      <c r="D96" s="173" t="str">
        <f ca="1">Names!$D$89&amp;Names!B96</f>
        <v>N2O option - BASF - High Temperature Catalytic Reduction Method</v>
      </c>
      <c r="E96" s="69"/>
      <c r="F96" s="69"/>
      <c r="G96" s="69"/>
      <c r="H96" s="69"/>
      <c r="J96" s="68" t="str">
        <f>"02"</f>
        <v>02</v>
      </c>
    </row>
    <row r="97" spans="1:10">
      <c r="A97" s="9" t="s">
        <v>305</v>
      </c>
      <c r="B97" s="31" t="s">
        <v>306</v>
      </c>
      <c r="C97" s="173" t="str">
        <f ca="1">Names!$C$89&amp;J97</f>
        <v>IN2ONIT03</v>
      </c>
      <c r="D97" s="173" t="str">
        <f ca="1">Names!$D$89&amp;Names!B97</f>
        <v>N2O option - Norsk Hydro - High Temperature Catalytic Reduction Method</v>
      </c>
      <c r="E97" s="69"/>
      <c r="F97" s="69"/>
      <c r="G97" s="69"/>
      <c r="H97" s="69"/>
      <c r="J97" s="68" t="str">
        <f>"03"</f>
        <v>03</v>
      </c>
    </row>
    <row r="98" spans="1:10">
      <c r="A98" s="9" t="s">
        <v>307</v>
      </c>
      <c r="B98" s="31" t="s">
        <v>308</v>
      </c>
      <c r="C98" s="173" t="str">
        <f ca="1">Names!$C$89&amp;J98</f>
        <v>IN2ONIT04</v>
      </c>
      <c r="D98" s="173" t="str">
        <f ca="1">Names!$D$89&amp;Names!B98</f>
        <v>N2O option - HITK – High Temperature Catalytic Reduction Method</v>
      </c>
      <c r="E98" s="69"/>
      <c r="F98" s="69"/>
      <c r="G98" s="69"/>
      <c r="H98" s="69"/>
      <c r="J98" s="68" t="str">
        <f>"04"</f>
        <v>04</v>
      </c>
    </row>
    <row r="99" spans="1:10">
      <c r="A99" s="9" t="s">
        <v>309</v>
      </c>
      <c r="B99" s="31" t="s">
        <v>310</v>
      </c>
      <c r="C99" s="173" t="str">
        <f ca="1">Names!$C$89&amp;J99</f>
        <v>IN2ONIT05</v>
      </c>
      <c r="D99" s="173" t="str">
        <f ca="1">Names!$D$89&amp;Names!B99</f>
        <v>N2O option - Krupp Uhde - Low Temperature Catalytic Reduction Method</v>
      </c>
      <c r="E99" s="69"/>
      <c r="F99" s="69"/>
      <c r="G99" s="69"/>
      <c r="H99" s="69"/>
      <c r="J99" s="68" t="str">
        <f>"05"</f>
        <v>05</v>
      </c>
    </row>
    <row r="100" spans="1:10">
      <c r="A100" s="9" t="s">
        <v>311</v>
      </c>
      <c r="B100" s="31" t="s">
        <v>312</v>
      </c>
      <c r="C100" s="173" t="str">
        <f ca="1">Names!$C$89&amp;J100</f>
        <v>IN2ONIT06</v>
      </c>
      <c r="D100" s="173" t="str">
        <f ca="1">Names!$D$89&amp;Names!B100</f>
        <v>N2O option - ECN - Low temperature selective catalytic reduction with propane addition</v>
      </c>
      <c r="E100" s="69"/>
      <c r="F100" s="69"/>
      <c r="G100" s="69"/>
      <c r="H100" s="69"/>
      <c r="J100" s="68" t="str">
        <f>"06"</f>
        <v>06</v>
      </c>
    </row>
    <row r="101" spans="1:10">
      <c r="A101" s="9" t="s">
        <v>313</v>
      </c>
      <c r="B101" s="31" t="s">
        <v>314</v>
      </c>
      <c r="C101" s="173" t="str">
        <f ca="1">Names!$C$89&amp;J101</f>
        <v>IN2ONIT07</v>
      </c>
      <c r="D101" s="173" t="str">
        <f ca="1">Names!$D$89&amp;Names!B101</f>
        <v>N2O option - Non-Selective Catalytic Reduction (NSCR)</v>
      </c>
      <c r="E101" s="69"/>
      <c r="F101" s="69"/>
      <c r="G101" s="69"/>
      <c r="H101" s="69"/>
      <c r="J101" s="68" t="str">
        <f>"07"</f>
        <v>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B1:P76"/>
  <sheetViews>
    <sheetView zoomScale="75" workbookViewId="0"/>
  </sheetViews>
  <sheetFormatPr defaultRowHeight="12.75"/>
  <cols>
    <col min="1" max="1" width="9.42578125" customWidth="1"/>
    <col min="2" max="2" width="12.140625" style="69" customWidth="1"/>
    <col min="3" max="3" width="13.7109375" style="69" customWidth="1"/>
    <col min="4" max="4" width="12.42578125" style="69" customWidth="1"/>
    <col min="5" max="8" width="10.28515625" style="69" customWidth="1"/>
    <col min="9" max="9" width="3.7109375" customWidth="1"/>
    <col min="10" max="10" width="10.28515625" customWidth="1"/>
    <col min="11" max="11" width="10.7109375" customWidth="1"/>
    <col min="12" max="55" width="10.28515625" customWidth="1"/>
  </cols>
  <sheetData>
    <row r="1" spans="2:13">
      <c r="B1" s="67" t="s">
        <v>276</v>
      </c>
      <c r="C1" s="68"/>
      <c r="D1" s="68"/>
      <c r="F1" s="70" t="s">
        <v>277</v>
      </c>
      <c r="G1" s="68"/>
      <c r="H1" s="71"/>
    </row>
    <row r="2" spans="2:13">
      <c r="B2" s="68" t="s">
        <v>576</v>
      </c>
      <c r="C2" s="73">
        <f>21/44*12</f>
        <v>5.7272727272727275</v>
      </c>
      <c r="D2" s="72" t="s">
        <v>278</v>
      </c>
      <c r="F2" s="72" t="s">
        <v>577</v>
      </c>
      <c r="G2" s="72" t="s">
        <v>578</v>
      </c>
      <c r="H2" s="72" t="s">
        <v>579</v>
      </c>
      <c r="K2" t="s">
        <v>580</v>
      </c>
    </row>
    <row r="3" spans="2:13">
      <c r="B3" s="68" t="s">
        <v>279</v>
      </c>
      <c r="C3" s="73">
        <f>1/44*12</f>
        <v>0.27272727272727271</v>
      </c>
      <c r="D3" s="72" t="s">
        <v>278</v>
      </c>
      <c r="F3" s="15" t="s">
        <v>280</v>
      </c>
      <c r="G3" s="72" t="s">
        <v>281</v>
      </c>
      <c r="H3" s="72" t="s">
        <v>282</v>
      </c>
      <c r="K3" t="s">
        <v>581</v>
      </c>
    </row>
    <row r="4" spans="2:13">
      <c r="B4" s="68" t="s">
        <v>582</v>
      </c>
      <c r="C4" s="74" t="s">
        <v>283</v>
      </c>
      <c r="D4" s="75">
        <f>C2</f>
        <v>5.7272727272727275</v>
      </c>
      <c r="K4" t="s">
        <v>583</v>
      </c>
    </row>
    <row r="5" spans="2:13">
      <c r="B5" s="68" t="s">
        <v>284</v>
      </c>
      <c r="C5" s="74" t="s">
        <v>283</v>
      </c>
      <c r="D5" s="76">
        <f>C3</f>
        <v>0.27272727272727271</v>
      </c>
      <c r="K5" s="100">
        <v>5</v>
      </c>
    </row>
    <row r="6" spans="2:13">
      <c r="B6" s="68" t="s">
        <v>584</v>
      </c>
      <c r="C6" s="74" t="s">
        <v>283</v>
      </c>
      <c r="D6" s="77">
        <f>D4/1000000</f>
        <v>5.7272727272727277E-6</v>
      </c>
    </row>
    <row r="7" spans="2:13">
      <c r="B7" s="68" t="s">
        <v>285</v>
      </c>
      <c r="C7" s="74">
        <f>1/16*44</f>
        <v>2.75</v>
      </c>
      <c r="D7" s="72" t="s">
        <v>286</v>
      </c>
      <c r="K7" s="79" t="s">
        <v>289</v>
      </c>
    </row>
    <row r="8" spans="2:13">
      <c r="B8" s="68" t="s">
        <v>287</v>
      </c>
      <c r="C8" s="101">
        <f>C7/55</f>
        <v>0.05</v>
      </c>
      <c r="D8" s="72" t="s">
        <v>288</v>
      </c>
      <c r="F8" s="69">
        <f>1/C8</f>
        <v>20</v>
      </c>
      <c r="K8" s="79">
        <v>2010</v>
      </c>
    </row>
    <row r="10" spans="2:13">
      <c r="D10" s="81"/>
    </row>
    <row r="12" spans="2:13" ht="51">
      <c r="B12" s="210" t="s">
        <v>585</v>
      </c>
      <c r="C12" s="206" t="s">
        <v>315</v>
      </c>
      <c r="D12" s="206" t="s">
        <v>316</v>
      </c>
      <c r="E12" s="206" t="s">
        <v>317</v>
      </c>
      <c r="F12" s="206" t="s">
        <v>318</v>
      </c>
      <c r="G12" s="206" t="s">
        <v>321</v>
      </c>
      <c r="H12" s="206" t="s">
        <v>319</v>
      </c>
      <c r="I12" s="207"/>
      <c r="J12" s="206" t="s">
        <v>322</v>
      </c>
      <c r="K12" s="206" t="s">
        <v>323</v>
      </c>
      <c r="M12" s="82"/>
    </row>
    <row r="13" spans="2:13">
      <c r="B13" s="72">
        <v>1</v>
      </c>
      <c r="C13" s="177">
        <v>3968.7234334625332</v>
      </c>
      <c r="D13" s="178">
        <v>109.63350684655366</v>
      </c>
      <c r="E13" s="179">
        <v>15</v>
      </c>
      <c r="F13" s="178" t="s">
        <v>275</v>
      </c>
      <c r="G13" s="180">
        <v>0.98</v>
      </c>
      <c r="H13" s="181">
        <v>4.1572578221886043E-2</v>
      </c>
      <c r="I13" s="182"/>
      <c r="J13" s="183">
        <f t="shared" ref="J13:K16" si="0">C13*$D$6*$G13</f>
        <v>2.2275362252906983E-2</v>
      </c>
      <c r="K13" s="183">
        <f t="shared" si="0"/>
        <v>6.1534297388238387E-4</v>
      </c>
      <c r="M13" s="102"/>
    </row>
    <row r="14" spans="2:13">
      <c r="B14" s="72">
        <v>2</v>
      </c>
      <c r="C14" s="177">
        <v>158.74893733850126</v>
      </c>
      <c r="D14" s="178">
        <v>4.3853402738621465</v>
      </c>
      <c r="E14" s="179">
        <v>15</v>
      </c>
      <c r="F14" s="178" t="s">
        <v>275</v>
      </c>
      <c r="G14" s="180">
        <v>0.98</v>
      </c>
      <c r="H14" s="181">
        <v>2.0786289110943022E-2</v>
      </c>
      <c r="I14" s="182"/>
      <c r="J14" s="183">
        <f t="shared" si="0"/>
        <v>8.9101449011627903E-4</v>
      </c>
      <c r="K14" s="183">
        <f t="shared" si="0"/>
        <v>2.4613718955295359E-5</v>
      </c>
      <c r="M14" s="102"/>
    </row>
    <row r="15" spans="2:13">
      <c r="B15" s="72">
        <v>3</v>
      </c>
      <c r="C15" s="177">
        <v>264.58156223083546</v>
      </c>
      <c r="D15" s="178">
        <v>4.8726003042912742</v>
      </c>
      <c r="E15" s="179">
        <v>15</v>
      </c>
      <c r="F15" s="178" t="s">
        <v>275</v>
      </c>
      <c r="G15" s="180">
        <v>0.9</v>
      </c>
      <c r="H15" s="181">
        <v>9.54472459175955E-2</v>
      </c>
      <c r="I15" s="182"/>
      <c r="J15" s="183">
        <f t="shared" si="0"/>
        <v>1.3637976889534884E-3</v>
      </c>
      <c r="K15" s="183">
        <f t="shared" si="0"/>
        <v>2.511603975030139E-5</v>
      </c>
      <c r="M15" s="102"/>
    </row>
    <row r="16" spans="2:13">
      <c r="B16" s="72">
        <v>4</v>
      </c>
      <c r="C16" s="177">
        <v>317.49787467700253</v>
      </c>
      <c r="D16" s="178">
        <v>9.7452006085825484</v>
      </c>
      <c r="E16" s="179">
        <v>15</v>
      </c>
      <c r="F16" s="178" t="s">
        <v>275</v>
      </c>
      <c r="G16" s="180">
        <v>0.95</v>
      </c>
      <c r="H16" s="181">
        <v>6.0449922414477143E-2</v>
      </c>
      <c r="I16" s="182"/>
      <c r="J16" s="183">
        <f t="shared" si="0"/>
        <v>1.7274770726744184E-3</v>
      </c>
      <c r="K16" s="183">
        <f t="shared" si="0"/>
        <v>5.3022750583969593E-5</v>
      </c>
      <c r="M16" s="102"/>
    </row>
    <row r="17" spans="2:13">
      <c r="B17"/>
      <c r="H17"/>
    </row>
    <row r="18" spans="2:13">
      <c r="B18"/>
      <c r="F18" s="81"/>
      <c r="H18"/>
    </row>
    <row r="19" spans="2:13" ht="51">
      <c r="B19" s="204" t="s">
        <v>586</v>
      </c>
      <c r="C19" s="206" t="s">
        <v>315</v>
      </c>
      <c r="D19" s="206" t="s">
        <v>316</v>
      </c>
      <c r="E19" s="206" t="s">
        <v>317</v>
      </c>
      <c r="F19" s="206" t="s">
        <v>318</v>
      </c>
      <c r="G19" s="206" t="s">
        <v>321</v>
      </c>
      <c r="H19" s="206" t="s">
        <v>319</v>
      </c>
      <c r="I19" s="207"/>
      <c r="J19" s="206" t="s">
        <v>322</v>
      </c>
      <c r="K19" s="206" t="s">
        <v>323</v>
      </c>
      <c r="L19" s="69" t="s">
        <v>587</v>
      </c>
      <c r="M19" s="69"/>
    </row>
    <row r="20" spans="2:13">
      <c r="B20" s="72">
        <v>1</v>
      </c>
      <c r="C20" s="184">
        <v>1911.3372055555556</v>
      </c>
      <c r="D20" s="185">
        <v>296.74135853133856</v>
      </c>
      <c r="E20" s="186">
        <v>15</v>
      </c>
      <c r="F20" s="187" t="s">
        <v>156</v>
      </c>
      <c r="G20" s="185">
        <v>0.95</v>
      </c>
      <c r="H20" s="188">
        <v>0</v>
      </c>
      <c r="I20" s="15"/>
      <c r="J20" s="189">
        <f t="shared" ref="J20:J30" si="1">C20*$D$6*$G20*$L20</f>
        <v>10.3994119775</v>
      </c>
      <c r="K20" s="183">
        <f t="shared" ref="K20:K30" si="2">D20*$D$6*$G20*$L20</f>
        <v>1.6145427552818741</v>
      </c>
      <c r="L20" s="69">
        <v>1000</v>
      </c>
      <c r="M20" s="84"/>
    </row>
    <row r="21" spans="2:13">
      <c r="B21" s="72">
        <v>2</v>
      </c>
      <c r="C21" s="184">
        <v>2311.384527648579</v>
      </c>
      <c r="D21" s="185">
        <v>552.55287450663036</v>
      </c>
      <c r="E21" s="186">
        <v>15</v>
      </c>
      <c r="F21" s="187" t="s">
        <v>156</v>
      </c>
      <c r="G21" s="185">
        <v>1</v>
      </c>
      <c r="H21" s="188">
        <v>0</v>
      </c>
      <c r="I21" s="15"/>
      <c r="J21" s="189">
        <f t="shared" si="1"/>
        <v>13.237929567441864</v>
      </c>
      <c r="K21" s="183">
        <f t="shared" si="2"/>
        <v>3.1646210085379738</v>
      </c>
      <c r="L21" s="69">
        <v>1000</v>
      </c>
      <c r="M21" s="84"/>
    </row>
    <row r="22" spans="2:13">
      <c r="B22" s="72">
        <v>3</v>
      </c>
      <c r="C22" s="184">
        <v>1711.3135445090438</v>
      </c>
      <c r="D22" s="185">
        <v>409.29842556046697</v>
      </c>
      <c r="E22" s="186">
        <v>15</v>
      </c>
      <c r="F22" s="187" t="s">
        <v>275</v>
      </c>
      <c r="G22" s="185">
        <v>1</v>
      </c>
      <c r="H22" s="188">
        <v>0.14285714285714285</v>
      </c>
      <c r="I22" s="15"/>
      <c r="J22" s="183">
        <f t="shared" si="1"/>
        <v>9.8011593912790698</v>
      </c>
      <c r="K22" s="183">
        <f t="shared" si="2"/>
        <v>2.3441637100281292</v>
      </c>
      <c r="L22" s="69">
        <v>1000</v>
      </c>
      <c r="M22" s="84"/>
    </row>
    <row r="23" spans="2:13">
      <c r="B23" s="72">
        <v>4</v>
      </c>
      <c r="C23" s="184">
        <v>2022.4614616925066</v>
      </c>
      <c r="D23" s="185">
        <v>358.13612236540854</v>
      </c>
      <c r="E23" s="186">
        <v>15</v>
      </c>
      <c r="F23" s="187" t="s">
        <v>275</v>
      </c>
      <c r="G23" s="185">
        <v>0.95</v>
      </c>
      <c r="H23" s="188">
        <v>0.1357142857142857</v>
      </c>
      <c r="I23" s="15"/>
      <c r="J23" s="189">
        <f t="shared" si="1"/>
        <v>11.004028952936048</v>
      </c>
      <c r="K23" s="183">
        <f t="shared" si="2"/>
        <v>1.948586083960882</v>
      </c>
      <c r="L23" s="69">
        <v>1000</v>
      </c>
      <c r="M23" s="84"/>
    </row>
    <row r="24" spans="2:13">
      <c r="B24" s="72">
        <v>5</v>
      </c>
      <c r="C24" s="184">
        <v>1711.3135445090438</v>
      </c>
      <c r="D24" s="185">
        <v>532.08795322860703</v>
      </c>
      <c r="E24" s="186">
        <v>15</v>
      </c>
      <c r="F24" s="187" t="s">
        <v>156</v>
      </c>
      <c r="G24" s="185">
        <v>0.95</v>
      </c>
      <c r="H24" s="188">
        <v>0</v>
      </c>
      <c r="I24" s="15"/>
      <c r="J24" s="183">
        <f t="shared" si="1"/>
        <v>9.3111014217151169</v>
      </c>
      <c r="K24" s="183">
        <f t="shared" si="2"/>
        <v>2.8950421818847394</v>
      </c>
      <c r="L24" s="69">
        <v>1000</v>
      </c>
      <c r="M24" s="69"/>
    </row>
    <row r="25" spans="2:13">
      <c r="B25" s="72">
        <v>6</v>
      </c>
      <c r="C25" s="184">
        <v>34.781638791680756</v>
      </c>
      <c r="D25" s="185">
        <v>7.5095574396984652</v>
      </c>
      <c r="E25" s="186">
        <v>20</v>
      </c>
      <c r="F25" s="187" t="s">
        <v>275</v>
      </c>
      <c r="G25" s="185">
        <v>0.7</v>
      </c>
      <c r="H25" s="188">
        <v>0.1</v>
      </c>
      <c r="I25" s="15"/>
      <c r="J25" s="183">
        <f t="shared" si="1"/>
        <v>6.2749238347354968E-4</v>
      </c>
      <c r="K25" s="183">
        <f t="shared" si="2"/>
        <v>1.3547924308256006E-4</v>
      </c>
      <c r="L25" s="69">
        <f>L27*1.5</f>
        <v>4.5</v>
      </c>
      <c r="M25" s="69"/>
    </row>
    <row r="26" spans="2:13">
      <c r="B26" s="72">
        <v>7</v>
      </c>
      <c r="C26" s="184">
        <v>2218.5669866893882</v>
      </c>
      <c r="D26" s="185">
        <v>2.785786931855871</v>
      </c>
      <c r="E26" s="186">
        <v>50</v>
      </c>
      <c r="F26" s="187" t="s">
        <v>275</v>
      </c>
      <c r="G26" s="185">
        <v>0.44</v>
      </c>
      <c r="H26" s="188">
        <v>6.6000000000000003E-2</v>
      </c>
      <c r="I26" s="15"/>
      <c r="J26" s="183">
        <f t="shared" si="1"/>
        <v>5.5907888064572588E-3</v>
      </c>
      <c r="K26" s="183">
        <f t="shared" si="2"/>
        <v>7.0201830682767953E-6</v>
      </c>
      <c r="L26" s="69">
        <v>1</v>
      </c>
      <c r="M26" s="69"/>
    </row>
    <row r="27" spans="2:13">
      <c r="B27" s="72">
        <v>8</v>
      </c>
      <c r="C27" s="184">
        <v>189.00466807661815</v>
      </c>
      <c r="D27" s="185">
        <v>13.704400005566344</v>
      </c>
      <c r="E27" s="186">
        <v>15</v>
      </c>
      <c r="F27" s="187" t="s">
        <v>275</v>
      </c>
      <c r="G27" s="185">
        <v>0.75</v>
      </c>
      <c r="H27" s="188">
        <v>0.10714285714285714</v>
      </c>
      <c r="I27" s="15"/>
      <c r="J27" s="183">
        <f t="shared" si="1"/>
        <v>2.4355828818055109E-3</v>
      </c>
      <c r="K27" s="183">
        <f t="shared" si="2"/>
        <v>1.7659988188991176E-4</v>
      </c>
      <c r="L27" s="69">
        <v>3</v>
      </c>
      <c r="M27" s="69"/>
    </row>
    <row r="28" spans="2:13">
      <c r="B28" s="72">
        <v>9</v>
      </c>
      <c r="C28" s="184">
        <v>783.00934010000003</v>
      </c>
      <c r="D28" s="185">
        <v>42.973766080114281</v>
      </c>
      <c r="E28" s="186">
        <v>20</v>
      </c>
      <c r="F28" s="187" t="s">
        <v>275</v>
      </c>
      <c r="G28" s="185">
        <v>0.75</v>
      </c>
      <c r="H28" s="188">
        <v>0.10714285714285714</v>
      </c>
      <c r="I28" s="15"/>
      <c r="J28" s="183">
        <f t="shared" si="1"/>
        <v>3.3633810290659098E-3</v>
      </c>
      <c r="K28" s="183">
        <f t="shared" si="2"/>
        <v>1.8459185884412725E-4</v>
      </c>
      <c r="L28" s="69">
        <v>1</v>
      </c>
      <c r="M28" s="69"/>
    </row>
    <row r="29" spans="2:13">
      <c r="B29" s="72">
        <v>10</v>
      </c>
      <c r="C29" s="184">
        <v>233.44174912545975</v>
      </c>
      <c r="D29" s="185">
        <v>16.856410709250351</v>
      </c>
      <c r="E29" s="186">
        <v>15</v>
      </c>
      <c r="F29" s="187" t="s">
        <v>275</v>
      </c>
      <c r="G29" s="185">
        <v>0.75</v>
      </c>
      <c r="H29" s="188">
        <v>0.10714285714285714</v>
      </c>
      <c r="I29" s="15"/>
      <c r="J29" s="183">
        <f t="shared" si="1"/>
        <v>3.008215267139448E-3</v>
      </c>
      <c r="K29" s="183">
        <f t="shared" si="2"/>
        <v>2.1721783800329435E-4</v>
      </c>
      <c r="L29" s="69">
        <v>3</v>
      </c>
      <c r="M29" s="69"/>
    </row>
    <row r="30" spans="2:13">
      <c r="B30" s="72">
        <v>11</v>
      </c>
      <c r="C30" s="184">
        <v>139.21435984510254</v>
      </c>
      <c r="D30" s="185">
        <v>18.85149528300683</v>
      </c>
      <c r="E30" s="186">
        <v>20</v>
      </c>
      <c r="F30" s="187" t="s">
        <v>275</v>
      </c>
      <c r="G30" s="185">
        <v>0.75</v>
      </c>
      <c r="H30" s="188">
        <v>0.10714285714285714</v>
      </c>
      <c r="I30" s="15"/>
      <c r="J30" s="183">
        <f t="shared" si="1"/>
        <v>5.9798895478919045E-4</v>
      </c>
      <c r="K30" s="183">
        <f t="shared" si="2"/>
        <v>8.0975741102006616E-5</v>
      </c>
      <c r="L30" s="69">
        <v>1</v>
      </c>
      <c r="M30" s="69"/>
    </row>
    <row r="31" spans="2:13">
      <c r="B31"/>
      <c r="H31" s="103"/>
    </row>
    <row r="32" spans="2:13">
      <c r="B32"/>
      <c r="H32"/>
    </row>
    <row r="33" spans="2:16" s="104" customFormat="1" ht="46.5" customHeight="1">
      <c r="B33" s="210" t="s">
        <v>588</v>
      </c>
      <c r="C33" s="207" t="s">
        <v>315</v>
      </c>
      <c r="D33" s="207" t="s">
        <v>316</v>
      </c>
      <c r="E33" s="207" t="s">
        <v>317</v>
      </c>
      <c r="F33" s="207" t="s">
        <v>320</v>
      </c>
      <c r="G33" s="206" t="s">
        <v>321</v>
      </c>
      <c r="H33" s="207" t="s">
        <v>319</v>
      </c>
      <c r="I33" s="209"/>
      <c r="J33" s="206" t="s">
        <v>322</v>
      </c>
      <c r="K33" s="206" t="s">
        <v>323</v>
      </c>
    </row>
    <row r="34" spans="2:16" s="104" customFormat="1">
      <c r="B34" s="72">
        <v>1</v>
      </c>
      <c r="C34" s="191">
        <v>26.92858538458059</v>
      </c>
      <c r="D34" s="192">
        <v>15.29200049173363</v>
      </c>
      <c r="E34" s="193">
        <v>15</v>
      </c>
      <c r="F34" s="187" t="s">
        <v>275</v>
      </c>
      <c r="G34" s="194">
        <v>0.56999999999999995</v>
      </c>
      <c r="H34" s="195">
        <v>0.49221352300337784</v>
      </c>
      <c r="I34" s="190"/>
      <c r="J34" s="183">
        <f t="shared" ref="J34:K41" si="3">C34*$D$6*$G34</f>
        <v>8.7909591014571729E-5</v>
      </c>
      <c r="K34" s="183">
        <f t="shared" si="3"/>
        <v>4.9921430696195876E-5</v>
      </c>
      <c r="M34" s="105"/>
      <c r="O34"/>
      <c r="P34"/>
    </row>
    <row r="35" spans="2:16" s="104" customFormat="1">
      <c r="B35" s="72">
        <v>2</v>
      </c>
      <c r="C35" s="191">
        <v>102.57341578083431</v>
      </c>
      <c r="D35" s="192">
        <v>27.453220316781817</v>
      </c>
      <c r="E35" s="193">
        <v>15</v>
      </c>
      <c r="F35" s="187" t="s">
        <v>275</v>
      </c>
      <c r="G35" s="194">
        <v>0.77</v>
      </c>
      <c r="H35" s="195">
        <v>0.17270649929943091</v>
      </c>
      <c r="I35" s="190"/>
      <c r="J35" s="183">
        <f t="shared" si="3"/>
        <v>4.5234876359347934E-4</v>
      </c>
      <c r="K35" s="183">
        <f t="shared" si="3"/>
        <v>1.2106870159700783E-4</v>
      </c>
      <c r="O35"/>
      <c r="P35"/>
    </row>
    <row r="36" spans="2:16" s="104" customFormat="1">
      <c r="B36" s="72">
        <v>3</v>
      </c>
      <c r="C36" s="191">
        <v>216.99682539682539</v>
      </c>
      <c r="D36" s="192">
        <v>12.990476190476192</v>
      </c>
      <c r="E36" s="193">
        <v>16</v>
      </c>
      <c r="F36" s="187" t="s">
        <v>275</v>
      </c>
      <c r="G36" s="194">
        <v>0.98</v>
      </c>
      <c r="H36" s="195">
        <v>0.1946402247104585</v>
      </c>
      <c r="I36" s="190"/>
      <c r="J36" s="183">
        <f t="shared" si="3"/>
        <v>1.2179440000000001E-3</v>
      </c>
      <c r="K36" s="183">
        <f t="shared" si="3"/>
        <v>7.2912000000000023E-5</v>
      </c>
      <c r="O36"/>
      <c r="P36"/>
    </row>
    <row r="37" spans="2:16" s="104" customFormat="1">
      <c r="B37" s="72">
        <v>4</v>
      </c>
      <c r="C37" s="191">
        <v>14.691932875116329</v>
      </c>
      <c r="D37" s="192">
        <v>0.60652222421637059</v>
      </c>
      <c r="E37" s="193">
        <v>10</v>
      </c>
      <c r="F37" s="187" t="s">
        <v>275</v>
      </c>
      <c r="G37" s="194">
        <v>1</v>
      </c>
      <c r="H37" s="195">
        <v>1.7150832567652233E-4</v>
      </c>
      <c r="I37" s="190"/>
      <c r="J37" s="183">
        <f t="shared" si="3"/>
        <v>8.4144706466575343E-5</v>
      </c>
      <c r="K37" s="183">
        <f t="shared" si="3"/>
        <v>3.4737181932392137E-6</v>
      </c>
      <c r="O37"/>
      <c r="P37"/>
    </row>
    <row r="38" spans="2:16" s="104" customFormat="1">
      <c r="B38" s="72">
        <v>5</v>
      </c>
      <c r="C38" s="191">
        <v>173.03634169896642</v>
      </c>
      <c r="D38" s="192">
        <v>5.1162303195058367</v>
      </c>
      <c r="E38" s="193">
        <v>15</v>
      </c>
      <c r="F38" s="187" t="s">
        <v>156</v>
      </c>
      <c r="G38" s="194">
        <v>0.3</v>
      </c>
      <c r="H38" s="195">
        <v>0</v>
      </c>
      <c r="I38" s="190"/>
      <c r="J38" s="183">
        <f t="shared" si="3"/>
        <v>2.9730789619186049E-4</v>
      </c>
      <c r="K38" s="183">
        <f t="shared" si="3"/>
        <v>8.7906139126054835E-6</v>
      </c>
      <c r="O38"/>
      <c r="P38"/>
    </row>
    <row r="39" spans="2:16" s="104" customFormat="1">
      <c r="B39" s="72">
        <v>6</v>
      </c>
      <c r="C39" s="191">
        <v>222.77767539836347</v>
      </c>
      <c r="D39" s="192">
        <v>7.30890045643691</v>
      </c>
      <c r="E39" s="193">
        <v>15</v>
      </c>
      <c r="F39" s="187" t="s">
        <v>156</v>
      </c>
      <c r="G39" s="194">
        <v>0.5</v>
      </c>
      <c r="H39" s="195">
        <v>0</v>
      </c>
      <c r="I39" s="190"/>
      <c r="J39" s="183">
        <f t="shared" si="3"/>
        <v>6.3795425227713184E-4</v>
      </c>
      <c r="K39" s="183">
        <f t="shared" si="3"/>
        <v>2.0930033125251153E-5</v>
      </c>
      <c r="O39"/>
      <c r="P39"/>
    </row>
    <row r="40" spans="2:16" s="104" customFormat="1">
      <c r="B40" s="72">
        <v>7</v>
      </c>
      <c r="C40" s="191">
        <v>263.52323598191214</v>
      </c>
      <c r="D40" s="192">
        <v>9.2579405781534199</v>
      </c>
      <c r="E40" s="193">
        <v>15</v>
      </c>
      <c r="F40" s="187" t="s">
        <v>156</v>
      </c>
      <c r="G40" s="194">
        <v>0.7</v>
      </c>
      <c r="H40" s="195">
        <v>0</v>
      </c>
      <c r="I40" s="196"/>
      <c r="J40" s="183">
        <f t="shared" si="3"/>
        <v>1.0564886097093023E-3</v>
      </c>
      <c r="K40" s="183">
        <f t="shared" si="3"/>
        <v>3.7115925408778713E-5</v>
      </c>
      <c r="O40"/>
      <c r="P40"/>
    </row>
    <row r="41" spans="2:16" s="104" customFormat="1">
      <c r="B41" s="72">
        <v>8</v>
      </c>
      <c r="C41" s="191">
        <v>99.21808583656329</v>
      </c>
      <c r="D41" s="192">
        <v>7.5525304716514752</v>
      </c>
      <c r="E41" s="193">
        <v>15</v>
      </c>
      <c r="F41" s="187" t="s">
        <v>156</v>
      </c>
      <c r="G41" s="194">
        <v>0.98</v>
      </c>
      <c r="H41" s="195">
        <v>0</v>
      </c>
      <c r="I41" s="190"/>
      <c r="J41" s="183">
        <f t="shared" si="3"/>
        <v>5.5688405632267428E-4</v>
      </c>
      <c r="K41" s="183">
        <f t="shared" si="3"/>
        <v>4.2390293756342004E-5</v>
      </c>
      <c r="O41"/>
      <c r="P41"/>
    </row>
    <row r="42" spans="2:16">
      <c r="B42"/>
      <c r="H42"/>
    </row>
    <row r="43" spans="2:16">
      <c r="B43"/>
      <c r="H43"/>
    </row>
    <row r="44" spans="2:16" ht="51">
      <c r="B44" s="204" t="s">
        <v>589</v>
      </c>
      <c r="C44" s="207" t="s">
        <v>315</v>
      </c>
      <c r="D44" s="207" t="s">
        <v>316</v>
      </c>
      <c r="E44" s="207" t="s">
        <v>317</v>
      </c>
      <c r="F44" s="207" t="s">
        <v>320</v>
      </c>
      <c r="G44" s="206" t="s">
        <v>321</v>
      </c>
      <c r="H44" s="207" t="s">
        <v>319</v>
      </c>
      <c r="I44" s="209"/>
      <c r="J44" s="206" t="s">
        <v>322</v>
      </c>
      <c r="K44" s="206" t="s">
        <v>323</v>
      </c>
      <c r="M44" s="69"/>
      <c r="N44" s="69"/>
    </row>
    <row r="45" spans="2:16">
      <c r="B45" s="72">
        <v>1</v>
      </c>
      <c r="C45" s="191">
        <v>793.74468669250632</v>
      </c>
      <c r="D45" s="192">
        <v>36.544502282184546</v>
      </c>
      <c r="E45" s="193">
        <v>20</v>
      </c>
      <c r="F45" s="187" t="s">
        <v>275</v>
      </c>
      <c r="G45" s="197">
        <v>0.9</v>
      </c>
      <c r="H45" s="195">
        <v>4.8482423463576188E-2</v>
      </c>
      <c r="I45" s="15"/>
      <c r="J45" s="183">
        <f t="shared" ref="J45:J58" si="4">C45*$D$6*$G45</f>
        <v>4.0913930668604647E-3</v>
      </c>
      <c r="K45" s="183">
        <f t="shared" ref="K45:K58" si="5">D45*$D$6*$G45</f>
        <v>1.8837029812726036E-4</v>
      </c>
      <c r="M45" s="84"/>
      <c r="N45" s="69"/>
    </row>
    <row r="46" spans="2:16">
      <c r="B46" s="72">
        <v>2</v>
      </c>
      <c r="C46" s="191">
        <v>108.60785634449248</v>
      </c>
      <c r="D46" s="192">
        <v>150.38010878468191</v>
      </c>
      <c r="E46" s="193">
        <v>5</v>
      </c>
      <c r="F46" s="187" t="s">
        <v>275</v>
      </c>
      <c r="G46" s="197">
        <v>0.6</v>
      </c>
      <c r="H46" s="195">
        <v>2.1187428961395551E-2</v>
      </c>
      <c r="I46" s="15"/>
      <c r="J46" s="183">
        <f t="shared" si="4"/>
        <v>3.7321608816561961E-4</v>
      </c>
      <c r="K46" s="183">
        <f t="shared" si="5"/>
        <v>5.1676073746008877E-4</v>
      </c>
      <c r="M46" s="84"/>
      <c r="N46" s="69"/>
    </row>
    <row r="47" spans="2:16">
      <c r="B47" s="72">
        <v>3</v>
      </c>
      <c r="C47" s="191">
        <v>481.34880509439978</v>
      </c>
      <c r="D47" s="192">
        <v>0</v>
      </c>
      <c r="E47" s="193">
        <v>5</v>
      </c>
      <c r="F47" s="187" t="s">
        <v>275</v>
      </c>
      <c r="G47" s="197">
        <v>0.54</v>
      </c>
      <c r="H47" s="195">
        <v>2.5632385212442235E-2</v>
      </c>
      <c r="I47" s="15"/>
      <c r="J47" s="183">
        <f t="shared" si="4"/>
        <v>1.4886805772101348E-3</v>
      </c>
      <c r="K47" s="183">
        <f t="shared" si="5"/>
        <v>0</v>
      </c>
      <c r="M47" s="84"/>
      <c r="N47" s="69"/>
    </row>
    <row r="48" spans="2:16">
      <c r="B48" s="72">
        <v>4</v>
      </c>
      <c r="C48" s="191">
        <v>32.519968206349205</v>
      </c>
      <c r="D48" s="192">
        <v>273.07243632320495</v>
      </c>
      <c r="E48" s="193">
        <v>5</v>
      </c>
      <c r="F48" s="187" t="s">
        <v>275</v>
      </c>
      <c r="G48" s="197">
        <v>1</v>
      </c>
      <c r="H48" s="195">
        <v>6.7232134438419938E-2</v>
      </c>
      <c r="I48" s="15"/>
      <c r="J48" s="183">
        <f t="shared" si="4"/>
        <v>1.86250727E-4</v>
      </c>
      <c r="K48" s="183">
        <f t="shared" si="5"/>
        <v>1.5639603171238104E-3</v>
      </c>
      <c r="M48" s="84"/>
      <c r="N48" s="69"/>
    </row>
    <row r="49" spans="2:14">
      <c r="B49" s="72">
        <v>5</v>
      </c>
      <c r="C49" s="191">
        <v>66.764042347161919</v>
      </c>
      <c r="D49" s="192">
        <v>0</v>
      </c>
      <c r="E49" s="193">
        <v>5</v>
      </c>
      <c r="F49" s="187" t="s">
        <v>275</v>
      </c>
      <c r="G49" s="197">
        <v>0.86</v>
      </c>
      <c r="H49" s="195">
        <v>5.7819635617041142E-2</v>
      </c>
      <c r="I49" s="15"/>
      <c r="J49" s="183">
        <f t="shared" si="4"/>
        <v>3.2884325585174842E-4</v>
      </c>
      <c r="K49" s="183">
        <f t="shared" si="5"/>
        <v>0</v>
      </c>
      <c r="M49" s="69"/>
      <c r="N49" s="69"/>
    </row>
    <row r="50" spans="2:14">
      <c r="B50" s="72">
        <v>6</v>
      </c>
      <c r="C50" s="191">
        <v>460.83187103759673</v>
      </c>
      <c r="D50" s="192">
        <v>-111.66310721295615</v>
      </c>
      <c r="E50" s="193">
        <v>5</v>
      </c>
      <c r="F50" s="187" t="s">
        <v>275</v>
      </c>
      <c r="G50" s="197">
        <v>0.69</v>
      </c>
      <c r="H50" s="195">
        <v>2.5400911400091812E-2</v>
      </c>
      <c r="I50" s="15"/>
      <c r="J50" s="183">
        <f t="shared" si="4"/>
        <v>1.8211237667276664E-3</v>
      </c>
      <c r="K50" s="183">
        <f>MAX(-J50/(E50+1),D50*$D$6*$G50)</f>
        <v>-3.035206277879444E-4</v>
      </c>
      <c r="L50" s="69">
        <f>K50/J50</f>
        <v>-0.16666666666666666</v>
      </c>
      <c r="M50" s="69">
        <f>PMT(0.05,5,-J50)*1</f>
        <v>4.2063369438651385E-4</v>
      </c>
    </row>
    <row r="51" spans="2:14">
      <c r="B51" s="72">
        <v>7</v>
      </c>
      <c r="C51" s="191">
        <v>435.95559798403843</v>
      </c>
      <c r="D51" s="192">
        <v>21.201618031178949</v>
      </c>
      <c r="E51" s="193">
        <v>10</v>
      </c>
      <c r="F51" s="187" t="s">
        <v>275</v>
      </c>
      <c r="G51" s="197">
        <v>0.56000000000000005</v>
      </c>
      <c r="H51" s="195">
        <v>2.5736708996152134E-2</v>
      </c>
      <c r="I51" s="15"/>
      <c r="J51" s="183">
        <f t="shared" si="4"/>
        <v>1.3982284997160798E-3</v>
      </c>
      <c r="K51" s="183">
        <f t="shared" si="5"/>
        <v>6.7999371285453944E-5</v>
      </c>
      <c r="M51" s="69"/>
      <c r="N51" s="69"/>
    </row>
    <row r="52" spans="2:14">
      <c r="B52" s="72">
        <v>8</v>
      </c>
      <c r="C52" s="191">
        <v>33.785336619047641</v>
      </c>
      <c r="D52" s="192">
        <v>283.69782295056706</v>
      </c>
      <c r="E52" s="193">
        <v>5</v>
      </c>
      <c r="F52" s="187" t="s">
        <v>275</v>
      </c>
      <c r="G52" s="197">
        <v>1</v>
      </c>
      <c r="H52" s="195">
        <v>1.4409341257344143E-2</v>
      </c>
      <c r="I52" s="15"/>
      <c r="J52" s="183">
        <f t="shared" si="4"/>
        <v>1.9349783700000015E-4</v>
      </c>
      <c r="K52" s="183">
        <f t="shared" si="5"/>
        <v>1.6248148041714296E-3</v>
      </c>
      <c r="M52" s="69"/>
      <c r="N52" s="69"/>
    </row>
    <row r="53" spans="2:14">
      <c r="B53" s="72">
        <v>9</v>
      </c>
      <c r="C53" s="191">
        <v>66.764042347161919</v>
      </c>
      <c r="D53" s="192">
        <v>0</v>
      </c>
      <c r="E53" s="193">
        <v>5</v>
      </c>
      <c r="F53" s="187" t="s">
        <v>275</v>
      </c>
      <c r="G53" s="197">
        <v>0.86</v>
      </c>
      <c r="H53" s="195">
        <v>1.2392033481315963E-2</v>
      </c>
      <c r="I53" s="15"/>
      <c r="J53" s="183">
        <f t="shared" si="4"/>
        <v>3.2884325585174842E-4</v>
      </c>
      <c r="K53" s="183">
        <f t="shared" si="5"/>
        <v>0</v>
      </c>
      <c r="M53" s="69"/>
      <c r="N53" s="69"/>
    </row>
    <row r="54" spans="2:14">
      <c r="B54" s="72">
        <v>10</v>
      </c>
      <c r="C54" s="191">
        <v>23.24952616838338</v>
      </c>
      <c r="D54" s="192">
        <v>25.324099272639131</v>
      </c>
      <c r="E54" s="193">
        <v>5</v>
      </c>
      <c r="F54" s="187" t="s">
        <v>275</v>
      </c>
      <c r="G54" s="197">
        <v>0.26</v>
      </c>
      <c r="H54" s="195">
        <v>1.8823022401867558E-2</v>
      </c>
      <c r="I54" s="15"/>
      <c r="J54" s="183">
        <f t="shared" si="4"/>
        <v>3.4620658058010892E-5</v>
      </c>
      <c r="K54" s="183">
        <f t="shared" si="5"/>
        <v>3.7709886007802642E-5</v>
      </c>
      <c r="M54" s="69"/>
      <c r="N54" s="69"/>
    </row>
    <row r="55" spans="2:14">
      <c r="B55" s="72">
        <v>11</v>
      </c>
      <c r="C55" s="191">
        <v>100.7770713723078</v>
      </c>
      <c r="D55" s="192">
        <v>92.786384255601803</v>
      </c>
      <c r="E55" s="193">
        <v>5</v>
      </c>
      <c r="F55" s="187" t="s">
        <v>275</v>
      </c>
      <c r="G55" s="197">
        <v>0.66</v>
      </c>
      <c r="H55" s="195">
        <v>3.5084686528507152E-2</v>
      </c>
      <c r="I55" s="15"/>
      <c r="J55" s="183">
        <f t="shared" si="4"/>
        <v>3.8093732978732356E-4</v>
      </c>
      <c r="K55" s="183">
        <f t="shared" si="5"/>
        <v>3.5073253248617487E-4</v>
      </c>
      <c r="M55" s="69"/>
      <c r="N55" s="69"/>
    </row>
    <row r="56" spans="2:14">
      <c r="B56" s="72">
        <v>12</v>
      </c>
      <c r="C56" s="191">
        <v>133.77942818566765</v>
      </c>
      <c r="D56" s="192">
        <v>20.581450490102725</v>
      </c>
      <c r="E56" s="193">
        <v>5</v>
      </c>
      <c r="F56" s="187" t="s">
        <v>275</v>
      </c>
      <c r="G56" s="197">
        <v>0.95</v>
      </c>
      <c r="H56" s="195">
        <v>4.2446996472778192E-2</v>
      </c>
      <c r="I56" s="15"/>
      <c r="J56" s="183">
        <f t="shared" si="4"/>
        <v>7.2788170699201896E-4</v>
      </c>
      <c r="K56" s="183">
        <f t="shared" si="5"/>
        <v>1.1198180107569529E-4</v>
      </c>
      <c r="M56" s="69"/>
      <c r="N56" s="69"/>
    </row>
    <row r="57" spans="2:14">
      <c r="B57" s="72">
        <v>13</v>
      </c>
      <c r="C57" s="191">
        <v>82271.309730450826</v>
      </c>
      <c r="D57" s="192">
        <v>3.7971373721746535</v>
      </c>
      <c r="E57" s="193">
        <v>5</v>
      </c>
      <c r="F57" s="187" t="s">
        <v>275</v>
      </c>
      <c r="G57" s="197">
        <v>0.95</v>
      </c>
      <c r="H57" s="195">
        <v>5.4034240172939396E-2</v>
      </c>
      <c r="I57" s="15"/>
      <c r="J57" s="183">
        <f t="shared" si="4"/>
        <v>0.44763071703340745</v>
      </c>
      <c r="K57" s="183">
        <f t="shared" si="5"/>
        <v>2.0659879247695732E-5</v>
      </c>
      <c r="M57" s="69"/>
      <c r="N57" s="69"/>
    </row>
    <row r="58" spans="2:14">
      <c r="B58" s="72">
        <v>14</v>
      </c>
      <c r="C58" s="191">
        <v>1958278.2140107977</v>
      </c>
      <c r="D58" s="192">
        <v>361.52828566353185</v>
      </c>
      <c r="E58" s="193">
        <v>5</v>
      </c>
      <c r="F58" s="187" t="s">
        <v>275</v>
      </c>
      <c r="G58" s="197">
        <v>0.95</v>
      </c>
      <c r="H58" s="195">
        <v>2.2496492024257818E-2</v>
      </c>
      <c r="I58" s="15"/>
      <c r="J58" s="183">
        <f t="shared" si="4"/>
        <v>10.654813737140568</v>
      </c>
      <c r="K58" s="183">
        <f t="shared" si="5"/>
        <v>1.9670425360874891E-3</v>
      </c>
      <c r="M58" s="69"/>
      <c r="N58" s="69"/>
    </row>
    <row r="59" spans="2:14">
      <c r="B59"/>
      <c r="H59"/>
    </row>
    <row r="60" spans="2:14">
      <c r="B60"/>
      <c r="H60"/>
    </row>
    <row r="61" spans="2:14" ht="51">
      <c r="B61" s="204" t="s">
        <v>590</v>
      </c>
      <c r="C61" s="207" t="s">
        <v>315</v>
      </c>
      <c r="D61" s="207" t="s">
        <v>316</v>
      </c>
      <c r="E61" s="207" t="s">
        <v>317</v>
      </c>
      <c r="F61" s="207" t="s">
        <v>320</v>
      </c>
      <c r="G61" s="206" t="s">
        <v>321</v>
      </c>
      <c r="H61" s="207" t="s">
        <v>319</v>
      </c>
      <c r="I61" s="208"/>
      <c r="J61" s="206" t="s">
        <v>591</v>
      </c>
      <c r="K61" s="206" t="s">
        <v>592</v>
      </c>
    </row>
    <row r="62" spans="2:14">
      <c r="B62" s="15">
        <v>1</v>
      </c>
      <c r="C62" s="184">
        <v>5735.9160734253801</v>
      </c>
      <c r="D62" s="185">
        <v>534.27634915474482</v>
      </c>
      <c r="E62" s="186">
        <v>15</v>
      </c>
      <c r="F62" s="187" t="s">
        <v>275</v>
      </c>
      <c r="G62" s="194">
        <v>0.5</v>
      </c>
      <c r="H62" s="188">
        <v>5.2144569395665225E-2</v>
      </c>
      <c r="I62" s="15"/>
      <c r="J62" s="189">
        <f t="shared" ref="J62:K66" si="6">C62*$D$6*$G62*1000</f>
        <v>16.425577846627228</v>
      </c>
      <c r="K62" s="183">
        <f t="shared" si="6"/>
        <v>1.5299731816704056</v>
      </c>
    </row>
    <row r="63" spans="2:14">
      <c r="B63" s="15">
        <v>2</v>
      </c>
      <c r="C63" s="184">
        <v>1519.6749756286365</v>
      </c>
      <c r="D63" s="185">
        <v>141.55130366052006</v>
      </c>
      <c r="E63" s="186">
        <v>15</v>
      </c>
      <c r="F63" s="187" t="s">
        <v>275</v>
      </c>
      <c r="G63" s="194">
        <v>0.75</v>
      </c>
      <c r="H63" s="188">
        <v>6.1552261952438805E-2</v>
      </c>
      <c r="I63" s="15"/>
      <c r="J63" s="189">
        <f t="shared" si="6"/>
        <v>6.5276947816775532</v>
      </c>
      <c r="K63" s="183">
        <f t="shared" si="6"/>
        <v>0.60802719072359768</v>
      </c>
    </row>
    <row r="64" spans="2:14">
      <c r="B64" s="15">
        <v>3</v>
      </c>
      <c r="C64" s="184">
        <v>6167.5907283616471</v>
      </c>
      <c r="D64" s="185">
        <v>85.606336173137393</v>
      </c>
      <c r="E64" s="186">
        <v>15</v>
      </c>
      <c r="F64" s="187" t="s">
        <v>275</v>
      </c>
      <c r="G64" s="194">
        <v>0.5</v>
      </c>
      <c r="H64" s="188">
        <v>1.6367432767015098E-2</v>
      </c>
      <c r="I64" s="15"/>
      <c r="J64" s="189">
        <f t="shared" si="6"/>
        <v>17.661737085762901</v>
      </c>
      <c r="K64" s="183">
        <f t="shared" si="6"/>
        <v>0.24514541722307526</v>
      </c>
    </row>
    <row r="65" spans="2:11">
      <c r="B65" s="15">
        <v>4</v>
      </c>
      <c r="C65" s="184">
        <v>2416.3626687692781</v>
      </c>
      <c r="D65" s="185">
        <v>79.13159073491623</v>
      </c>
      <c r="E65" s="186">
        <v>15</v>
      </c>
      <c r="F65" s="187" t="s">
        <v>275</v>
      </c>
      <c r="G65" s="194">
        <v>0.75</v>
      </c>
      <c r="H65" s="188">
        <v>3.010601319754232E-2</v>
      </c>
      <c r="I65" s="15"/>
      <c r="J65" s="189">
        <f t="shared" si="6"/>
        <v>10.379376009031674</v>
      </c>
      <c r="K65" s="183">
        <f t="shared" si="6"/>
        <v>0.33990615111134476</v>
      </c>
    </row>
    <row r="66" spans="2:11">
      <c r="B66" s="15">
        <v>5</v>
      </c>
      <c r="C66" s="198">
        <v>1640.6943500092734</v>
      </c>
      <c r="D66" s="198">
        <v>226.61578498795856</v>
      </c>
      <c r="E66" s="199">
        <v>15</v>
      </c>
      <c r="F66" s="187" t="s">
        <v>275</v>
      </c>
      <c r="G66" s="194">
        <v>0.5</v>
      </c>
      <c r="H66" s="200">
        <v>0</v>
      </c>
      <c r="I66" s="15"/>
      <c r="J66" s="189">
        <f t="shared" si="6"/>
        <v>4.6983520022992833</v>
      </c>
      <c r="K66" s="183">
        <f t="shared" si="6"/>
        <v>0.64894520246551768</v>
      </c>
    </row>
    <row r="67" spans="2:11">
      <c r="H67"/>
      <c r="J67" s="83"/>
    </row>
    <row r="70" spans="2:11" ht="25.5">
      <c r="B70" s="204" t="s">
        <v>593</v>
      </c>
      <c r="C70" s="205"/>
      <c r="D70" s="205"/>
      <c r="E70" s="205" t="s">
        <v>324</v>
      </c>
      <c r="F70" s="205" t="s">
        <v>594</v>
      </c>
      <c r="G70" s="205" t="s">
        <v>595</v>
      </c>
      <c r="H70" s="206" t="s">
        <v>321</v>
      </c>
    </row>
    <row r="71" spans="2:11">
      <c r="B71" s="15" t="s">
        <v>405</v>
      </c>
      <c r="C71" s="68"/>
      <c r="D71" s="68"/>
      <c r="E71" s="201">
        <v>15.238095238095239</v>
      </c>
      <c r="F71" s="68">
        <f t="shared" ref="F71:F76" si="7">E71*21</f>
        <v>320</v>
      </c>
      <c r="G71" s="68">
        <f t="shared" ref="G71:G76" si="8">F71/1000</f>
        <v>0.32</v>
      </c>
      <c r="H71" s="74"/>
    </row>
    <row r="72" spans="2:11">
      <c r="B72" s="15" t="s">
        <v>407</v>
      </c>
      <c r="C72" s="68"/>
      <c r="D72" s="68"/>
      <c r="E72" s="68">
        <v>60</v>
      </c>
      <c r="F72" s="68">
        <f t="shared" si="7"/>
        <v>1260</v>
      </c>
      <c r="G72" s="68">
        <f t="shared" si="8"/>
        <v>1.26</v>
      </c>
      <c r="H72" s="74"/>
    </row>
    <row r="73" spans="2:11">
      <c r="B73" s="15" t="s">
        <v>409</v>
      </c>
      <c r="C73" s="68"/>
      <c r="D73" s="68"/>
      <c r="E73" s="68">
        <v>1000</v>
      </c>
      <c r="F73" s="68">
        <f t="shared" si="7"/>
        <v>21000</v>
      </c>
      <c r="G73" s="198">
        <f t="shared" si="8"/>
        <v>21</v>
      </c>
      <c r="H73" s="202">
        <v>0.6</v>
      </c>
    </row>
    <row r="74" spans="2:11">
      <c r="B74" s="15" t="s">
        <v>596</v>
      </c>
      <c r="C74" s="68"/>
      <c r="D74" s="68"/>
      <c r="E74" s="201">
        <v>15.238095238095239</v>
      </c>
      <c r="F74" s="68">
        <f t="shared" si="7"/>
        <v>320</v>
      </c>
      <c r="G74" s="68">
        <f t="shared" si="8"/>
        <v>0.32</v>
      </c>
      <c r="H74" s="74"/>
    </row>
    <row r="75" spans="2:11">
      <c r="B75" s="15" t="s">
        <v>597</v>
      </c>
      <c r="C75" s="68"/>
      <c r="D75" s="68"/>
      <c r="E75" s="201">
        <v>95.238095238095241</v>
      </c>
      <c r="F75" s="68">
        <f t="shared" si="7"/>
        <v>2000</v>
      </c>
      <c r="G75" s="198">
        <f t="shared" si="8"/>
        <v>2</v>
      </c>
      <c r="H75" s="74"/>
    </row>
    <row r="76" spans="2:11">
      <c r="B76" s="15" t="s">
        <v>598</v>
      </c>
      <c r="C76" s="68"/>
      <c r="D76" s="68"/>
      <c r="E76" s="68">
        <v>350</v>
      </c>
      <c r="F76" s="68">
        <f t="shared" si="7"/>
        <v>7350</v>
      </c>
      <c r="G76" s="198">
        <f t="shared" si="8"/>
        <v>7.35</v>
      </c>
      <c r="H76" s="203">
        <v>0.4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UPS</vt:lpstr>
      <vt:lpstr>IND</vt:lpstr>
      <vt:lpstr>ELC</vt:lpstr>
      <vt:lpstr>RES</vt:lpstr>
      <vt:lpstr>RES_AGR</vt:lpstr>
      <vt:lpstr>RES_CH4R</vt:lpstr>
      <vt:lpstr>RES_N2OR</vt:lpstr>
      <vt:lpstr>Names</vt:lpstr>
      <vt:lpstr>CH4Techs</vt:lpstr>
      <vt:lpstr>BaseYear</vt:lpstr>
      <vt:lpstr>RES_N2OR!Print_Area</vt:lpstr>
    </vt:vector>
  </TitlesOfParts>
  <Company>DOE/EIA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</dc:creator>
  <cp:lastModifiedBy>Antti-L</cp:lastModifiedBy>
  <dcterms:created xsi:type="dcterms:W3CDTF">2003-08-25T15:40:35Z</dcterms:created>
  <dcterms:modified xsi:type="dcterms:W3CDTF">2020-07-03T17:05:44Z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64374268054962.2</vt:lpwstr>
  </property>
</Properties>
</file>