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420" yWindow="495" windowWidth="21930" windowHeight="12600" tabRatio="853" activeTab="6"/>
  </bookViews>
  <sheets>
    <sheet name="UPS_TFM" sheetId="22" r:id="rId1"/>
    <sheet name="INDUP" sheetId="19" r:id="rId2"/>
    <sheet name="ELC_TFM" sheetId="18" r:id="rId3"/>
    <sheet name="WINDUP" sheetId="7" r:id="rId4"/>
    <sheet name="RES_TFM" sheetId="21" r:id="rId5"/>
    <sheet name="TRA_TFM" sheetId="23" r:id="rId6"/>
    <sheet name="EMISAGG" sheetId="24" r:id="rId7"/>
    <sheet name="FILL" sheetId="20" r:id="rId8"/>
    <sheet name="TRADL" sheetId="25" r:id="rId9"/>
    <sheet name="TRADLDAT" sheetId="26" r:id="rId10"/>
  </sheets>
  <externalReferences>
    <externalReference r:id="rId11"/>
  </externalReferences>
  <definedNames>
    <definedName name="Scenario">[1]ExcludeProcesses!$A$1</definedName>
    <definedName name="VEDA2">UPS_TFM!$E$1</definedName>
  </definedNames>
  <calcPr calcId="125725"/>
</workbook>
</file>

<file path=xl/calcChain.xml><?xml version="1.0" encoding="utf-8"?>
<calcChain xmlns="http://schemas.openxmlformats.org/spreadsheetml/2006/main">
  <c r="H86" i="24"/>
  <c r="H85"/>
  <c r="G86"/>
  <c r="G85"/>
  <c r="H84"/>
  <c r="G84"/>
  <c r="L75" i="19"/>
  <c r="L74"/>
  <c r="G1" i="22"/>
  <c r="A1" s="1"/>
  <c r="N83"/>
  <c r="L83"/>
  <c r="M83" s="1"/>
  <c r="L77" i="19"/>
  <c r="L5" i="25"/>
  <c r="L19" s="1"/>
  <c r="L7"/>
  <c r="L6"/>
  <c r="R23" i="19"/>
  <c r="H44" i="24"/>
  <c r="G44"/>
  <c r="H43"/>
  <c r="G43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G24" i="19"/>
  <c r="G25" s="1"/>
  <c r="H24"/>
  <c r="H25" s="1"/>
  <c r="H97" i="23" a="1"/>
  <c r="H98" s="1"/>
  <c r="H99"/>
  <c r="H100"/>
  <c r="H101"/>
  <c r="H102"/>
  <c r="G97" a="1"/>
  <c r="G99" s="1"/>
  <c r="G101"/>
  <c r="G102"/>
  <c r="H91" a="1"/>
  <c r="H94" s="1"/>
  <c r="H96"/>
  <c r="G91" a="1"/>
  <c r="G95" s="1"/>
  <c r="H85" a="1"/>
  <c r="H90" s="1"/>
  <c r="G85" a="1"/>
  <c r="G90" s="1"/>
  <c r="G85"/>
  <c r="G86"/>
  <c r="G87"/>
  <c r="G88"/>
  <c r="H79" a="1"/>
  <c r="H79"/>
  <c r="H80"/>
  <c r="H81"/>
  <c r="H82"/>
  <c r="H83"/>
  <c r="H84"/>
  <c r="G79" a="1"/>
  <c r="G79"/>
  <c r="G80"/>
  <c r="G81"/>
  <c r="G82"/>
  <c r="G83"/>
  <c r="G84"/>
  <c r="G12" i="7"/>
  <c r="R25" i="19"/>
  <c r="R24"/>
  <c r="G10" i="7"/>
  <c r="G7"/>
  <c r="J16" i="19"/>
  <c r="O16" s="1"/>
  <c r="L103" i="18"/>
  <c r="L102"/>
  <c r="L101"/>
  <c r="L121"/>
  <c r="W120"/>
  <c r="L120" s="1"/>
  <c r="I39"/>
  <c r="J40"/>
  <c r="I40" s="1"/>
  <c r="X40"/>
  <c r="I29"/>
  <c r="I28"/>
  <c r="I27"/>
  <c r="I26"/>
  <c r="F9" i="23"/>
  <c r="F8"/>
  <c r="F7"/>
  <c r="M144" i="18"/>
  <c r="M146" s="1"/>
  <c r="M145" s="1"/>
  <c r="L144"/>
  <c r="L146" s="1"/>
  <c r="L145" s="1"/>
  <c r="J51" i="23"/>
  <c r="J52"/>
  <c r="I53"/>
  <c r="J53"/>
  <c r="I54"/>
  <c r="J54"/>
  <c r="F11"/>
  <c r="F10"/>
  <c r="J88" i="22"/>
  <c r="H20" i="7"/>
  <c r="G20"/>
  <c r="J29" i="18"/>
  <c r="J28"/>
  <c r="J27"/>
  <c r="O35" i="21"/>
  <c r="L131" i="18"/>
  <c r="L132" s="1"/>
  <c r="I59"/>
  <c r="J59"/>
  <c r="M135"/>
  <c r="L126"/>
  <c r="L127" s="1"/>
  <c r="M126"/>
  <c r="X18"/>
  <c r="X24" s="1"/>
  <c r="J12"/>
  <c r="I12"/>
  <c r="Y24"/>
  <c r="J7" i="22" a="1"/>
  <c r="J13" s="1"/>
  <c r="J7"/>
  <c r="J8"/>
  <c r="J9"/>
  <c r="J10"/>
  <c r="J11"/>
  <c r="J14"/>
  <c r="J15"/>
  <c r="J16"/>
  <c r="J17"/>
  <c r="J18"/>
  <c r="J19"/>
  <c r="J22"/>
  <c r="J23"/>
  <c r="J24"/>
  <c r="J25"/>
  <c r="J26"/>
  <c r="J75" i="18"/>
  <c r="I75"/>
  <c r="I33" i="22"/>
  <c r="I32"/>
  <c r="H19" i="7"/>
  <c r="J44" i="22"/>
  <c r="J43"/>
  <c r="J42"/>
  <c r="I41"/>
  <c r="J41" s="1"/>
  <c r="M121" i="18"/>
  <c r="M120"/>
  <c r="Y22"/>
  <c r="Y28"/>
  <c r="Y21"/>
  <c r="Y27" s="1"/>
  <c r="Y20"/>
  <c r="Y26" s="1"/>
  <c r="Y19"/>
  <c r="Y25"/>
  <c r="Y23"/>
  <c r="J21"/>
  <c r="J20"/>
  <c r="J19"/>
  <c r="J18"/>
  <c r="J17"/>
  <c r="J16"/>
  <c r="J15"/>
  <c r="J14"/>
  <c r="J13"/>
  <c r="J11"/>
  <c r="H6" i="21"/>
  <c r="H5"/>
  <c r="H4"/>
  <c r="N90" i="22"/>
  <c r="M90"/>
  <c r="N89"/>
  <c r="M89"/>
  <c r="L89"/>
  <c r="L90"/>
  <c r="X28" i="18"/>
  <c r="X27"/>
  <c r="X26"/>
  <c r="X25"/>
  <c r="X23"/>
  <c r="O34" i="21"/>
  <c r="O32"/>
  <c r="O31"/>
  <c r="O30"/>
  <c r="G4"/>
  <c r="G5"/>
  <c r="G6"/>
  <c r="O61"/>
  <c r="O62"/>
  <c r="I21" i="18"/>
  <c r="I20"/>
  <c r="I19"/>
  <c r="I18"/>
  <c r="I17"/>
  <c r="I16"/>
  <c r="I15"/>
  <c r="I14"/>
  <c r="I13"/>
  <c r="I11"/>
  <c r="G19" i="7"/>
  <c r="J14" i="19"/>
  <c r="O14" s="1"/>
  <c r="J15"/>
  <c r="O15"/>
  <c r="O17"/>
  <c r="J19"/>
  <c r="O19" s="1"/>
  <c r="J20"/>
  <c r="O20" s="1"/>
  <c r="J21"/>
  <c r="O21"/>
  <c r="L21" i="25" l="1"/>
  <c r="E21" s="1"/>
  <c r="E32" s="1"/>
  <c r="L20"/>
  <c r="F20" s="1"/>
  <c r="F31" s="1"/>
  <c r="E1" i="22"/>
  <c r="F4" i="18" s="1"/>
  <c r="L15" i="25"/>
  <c r="E15" s="1"/>
  <c r="E26" s="1"/>
  <c r="L14"/>
  <c r="E14" s="1"/>
  <c r="E25" s="1"/>
  <c r="L13"/>
  <c r="F13" s="1"/>
  <c r="F24" s="1"/>
  <c r="L18"/>
  <c r="E18" s="1"/>
  <c r="E29" s="1"/>
  <c r="L17"/>
  <c r="E17" s="1"/>
  <c r="E28" s="1"/>
  <c r="L23"/>
  <c r="F23" s="1"/>
  <c r="F34" s="1"/>
  <c r="L16"/>
  <c r="E16" s="1"/>
  <c r="E27" s="1"/>
  <c r="L128" i="18"/>
  <c r="M128" s="1"/>
  <c r="M127"/>
  <c r="M132"/>
  <c r="L133"/>
  <c r="M133" s="1"/>
  <c r="F19" i="25"/>
  <c r="F30" s="1"/>
  <c r="E19"/>
  <c r="E30" s="1"/>
  <c r="H85" i="23"/>
  <c r="M131" i="18"/>
  <c r="H86" i="23"/>
  <c r="G96"/>
  <c r="H95"/>
  <c r="G100"/>
  <c r="G91"/>
  <c r="J20" i="22"/>
  <c r="J12"/>
  <c r="G89" i="23"/>
  <c r="H88"/>
  <c r="G93"/>
  <c r="H92"/>
  <c r="G97"/>
  <c r="L22" i="25"/>
  <c r="H87" i="23"/>
  <c r="G92"/>
  <c r="H91"/>
  <c r="J21" i="22"/>
  <c r="H89" i="23"/>
  <c r="G94"/>
  <c r="H93"/>
  <c r="G98"/>
  <c r="H97"/>
  <c r="F21" i="25" l="1"/>
  <c r="F32" s="1"/>
  <c r="F16"/>
  <c r="F27" s="1"/>
  <c r="F18"/>
  <c r="F29" s="1"/>
  <c r="R4" i="19"/>
  <c r="E23" i="25"/>
  <c r="E34" s="1"/>
  <c r="E20"/>
  <c r="E31" s="1"/>
  <c r="F15"/>
  <c r="F26" s="1"/>
  <c r="F14"/>
  <c r="F25" s="1"/>
  <c r="E13"/>
  <c r="E24" s="1"/>
  <c r="F17"/>
  <c r="F28" s="1"/>
  <c r="E22"/>
  <c r="E33" s="1"/>
  <c r="F22"/>
  <c r="F33" s="1"/>
</calcChain>
</file>

<file path=xl/comments1.xml><?xml version="1.0" encoding="utf-8"?>
<comments xmlns="http://schemas.openxmlformats.org/spreadsheetml/2006/main">
  <authors>
    <author>Antti Lehtilä</author>
    <author>Martin Baumann</author>
  </authors>
  <commentList>
    <comment ref="D29" authorId="0">
      <text>
        <r>
          <rPr>
            <b/>
            <sz val="8"/>
            <color indexed="81"/>
            <rFont val="Tahoma"/>
            <family val="2"/>
          </rPr>
          <t>Antti Lehtilä:</t>
        </r>
        <r>
          <rPr>
            <sz val="8"/>
            <color indexed="81"/>
            <rFont val="Tahoma"/>
            <family val="2"/>
          </rPr>
          <t xml:space="preserve">
To activate VAR_COMNET, LIM=FX</t>
        </r>
      </text>
    </comment>
    <comment ref="B40" authorId="1">
      <text>
        <r>
          <rPr>
            <b/>
            <sz val="11"/>
            <color indexed="81"/>
            <rFont val="Tahoma"/>
            <family val="2"/>
          </rPr>
          <t xml:space="preserve">VTT: </t>
        </r>
        <r>
          <rPr>
            <sz val="11"/>
            <color indexed="81"/>
            <rFont val="Tahoma"/>
            <family val="2"/>
          </rPr>
          <t>Demand efficiency projections. Hybrid process approach.</t>
        </r>
      </text>
    </comment>
  </commentList>
</comments>
</file>

<file path=xl/sharedStrings.xml><?xml version="1.0" encoding="utf-8"?>
<sst xmlns="http://schemas.openxmlformats.org/spreadsheetml/2006/main" count="3220" uniqueCount="690">
  <si>
    <t>WEU</t>
  </si>
  <si>
    <t>CC1</t>
  </si>
  <si>
    <t>RH1</t>
  </si>
  <si>
    <t>~TFM_INS</t>
  </si>
  <si>
    <t>UP</t>
  </si>
  <si>
    <t>LO</t>
  </si>
  <si>
    <t>~TFM_UPD</t>
  </si>
  <si>
    <t>ACT_BND</t>
  </si>
  <si>
    <t>CAP_BND</t>
  </si>
  <si>
    <t>EWINDON1-05</t>
  </si>
  <si>
    <t>EWINDON2-05</t>
  </si>
  <si>
    <t>EWINDON3-05</t>
  </si>
  <si>
    <t>EWINDON4-05</t>
  </si>
  <si>
    <t>EWINNOF1-05</t>
  </si>
  <si>
    <t>EWINNOF2-05</t>
  </si>
  <si>
    <t>EWINOFF1-05</t>
  </si>
  <si>
    <t>EWINOFF2-05</t>
  </si>
  <si>
    <t>EWINOFF3-05</t>
  </si>
  <si>
    <t>EWINDON5-D5</t>
  </si>
  <si>
    <t>ESOTH105</t>
  </si>
  <si>
    <t>Other_Indexes</t>
  </si>
  <si>
    <t>PRC_MARK</t>
  </si>
  <si>
    <t>EBIOIGC-05</t>
  </si>
  <si>
    <t>ELCC</t>
  </si>
  <si>
    <t>ELCBIO</t>
  </si>
  <si>
    <t>2070,2100</t>
  </si>
  <si>
    <t>ELCWIN</t>
  </si>
  <si>
    <t>EW*</t>
  </si>
  <si>
    <t>ELCSOL</t>
  </si>
  <si>
    <t>ESO*</t>
  </si>
  <si>
    <t>CHPBIG</t>
  </si>
  <si>
    <t>ISLP</t>
  </si>
  <si>
    <t>ISCH</t>
  </si>
  <si>
    <t>ESTMNGA*</t>
  </si>
  <si>
    <t>IPOICOA000</t>
  </si>
  <si>
    <t>IPOI</t>
  </si>
  <si>
    <t>INDCOA</t>
  </si>
  <si>
    <t>ISOICOA000</t>
  </si>
  <si>
    <t>ISOI</t>
  </si>
  <si>
    <t>IOCHCOA000</t>
  </si>
  <si>
    <t>IOLPCOA000</t>
  </si>
  <si>
    <t>ESTMCOA000</t>
  </si>
  <si>
    <t>INDHET</t>
  </si>
  <si>
    <t>INDELC</t>
  </si>
  <si>
    <t>G-INDELC</t>
  </si>
  <si>
    <t>IPOINGA000</t>
  </si>
  <si>
    <t>INDNGA</t>
  </si>
  <si>
    <t>IOCHNGA000</t>
  </si>
  <si>
    <t>IOOINGA000</t>
  </si>
  <si>
    <t>ILPPUL</t>
  </si>
  <si>
    <t>COM_AGG</t>
  </si>
  <si>
    <t>MANRCP</t>
  </si>
  <si>
    <t>2050,2100</t>
  </si>
  <si>
    <t>A_INDCOA</t>
  </si>
  <si>
    <t>2010,2100</t>
  </si>
  <si>
    <t>TimeSlice</t>
  </si>
  <si>
    <t>LimType</t>
  </si>
  <si>
    <t>Attribute</t>
  </si>
  <si>
    <t>Year</t>
  </si>
  <si>
    <t>Cset_CN</t>
  </si>
  <si>
    <t>~TFM_DINS</t>
  </si>
  <si>
    <t>FLO_MARK</t>
  </si>
  <si>
    <t>ESTMBIOC05</t>
  </si>
  <si>
    <t>Pset_Set</t>
  </si>
  <si>
    <t>Pset_CO</t>
  </si>
  <si>
    <t>Pset_CI</t>
  </si>
  <si>
    <t>Pset_PN</t>
  </si>
  <si>
    <t>Pset_PD</t>
  </si>
  <si>
    <t>Cset_Set</t>
  </si>
  <si>
    <t>Cset_CD</t>
  </si>
  <si>
    <t>-*000</t>
  </si>
  <si>
    <t>FIN</t>
  </si>
  <si>
    <t>AGRHET</t>
  </si>
  <si>
    <t>RESHET</t>
  </si>
  <si>
    <t>COMHET</t>
  </si>
  <si>
    <t>Hydro max</t>
  </si>
  <si>
    <t>production</t>
  </si>
  <si>
    <t>RUN+DAM</t>
  </si>
  <si>
    <t>~UC_T</t>
  </si>
  <si>
    <t>UC_N</t>
  </si>
  <si>
    <t>Cset: CN</t>
  </si>
  <si>
    <t>UC_RHSRTS</t>
  </si>
  <si>
    <t>UC_RHSRTS~0</t>
  </si>
  <si>
    <t>UC_Desc</t>
  </si>
  <si>
    <t>PSet: PN</t>
  </si>
  <si>
    <t>ELCHYSS00</t>
  </si>
  <si>
    <t>UC_CAP</t>
  </si>
  <si>
    <t>UC_ACT</t>
  </si>
  <si>
    <t>U_MaxHySW</t>
  </si>
  <si>
    <t>U_MaxHySS</t>
  </si>
  <si>
    <t>Max Seasonal Hydro Storage Capacity</t>
  </si>
  <si>
    <t>Max Weekly Hydro Storage Capacity</t>
  </si>
  <si>
    <t>ELCHYSW00</t>
  </si>
  <si>
    <t>ELCHYSD00</t>
  </si>
  <si>
    <t>UC_RHSRT</t>
  </si>
  <si>
    <t>mini</t>
  </si>
  <si>
    <t>TWh</t>
  </si>
  <si>
    <t>COAHCO</t>
  </si>
  <si>
    <t>NCAP_AFA</t>
  </si>
  <si>
    <t>U_MaxHySD</t>
  </si>
  <si>
    <t>\I:</t>
  </si>
  <si>
    <t>HET1</t>
  </si>
  <si>
    <t>HPL</t>
  </si>
  <si>
    <t>HET4</t>
  </si>
  <si>
    <t>HET2</t>
  </si>
  <si>
    <t>HET3</t>
  </si>
  <si>
    <t>~TFM_FILL</t>
  </si>
  <si>
    <t>Operation_Sum_Avg_Count</t>
  </si>
  <si>
    <t>Scenario Name</t>
  </si>
  <si>
    <t>Tech_Comm_Info</t>
  </si>
  <si>
    <t>AllRegions</t>
  </si>
  <si>
    <t>BASE</t>
  </si>
  <si>
    <t>HETOILP100</t>
  </si>
  <si>
    <t>HETOILP200</t>
  </si>
  <si>
    <t>HETOILP300</t>
  </si>
  <si>
    <t>HETOILP400</t>
  </si>
  <si>
    <t>RESRW1000</t>
  </si>
  <si>
    <t>RESRW2000</t>
  </si>
  <si>
    <t>ANNUAL</t>
  </si>
  <si>
    <t>CF</t>
  </si>
  <si>
    <t>CH*705</t>
  </si>
  <si>
    <t>RH1HET000</t>
  </si>
  <si>
    <t>RH1BIO000</t>
  </si>
  <si>
    <t>RESBIO</t>
  </si>
  <si>
    <t>CH1HET000</t>
  </si>
  <si>
    <t>CH*</t>
  </si>
  <si>
    <t>G-CH+</t>
  </si>
  <si>
    <t>CH1BIO000</t>
  </si>
  <si>
    <t>COMBIO</t>
  </si>
  <si>
    <t>RH1ERS000</t>
  </si>
  <si>
    <t>R__ELC</t>
  </si>
  <si>
    <t>CH1ERS000</t>
  </si>
  <si>
    <t>C__ELC</t>
  </si>
  <si>
    <t>FLO_EMIS</t>
  </si>
  <si>
    <t>ACT</t>
  </si>
  <si>
    <t>GHP1</t>
  </si>
  <si>
    <t>R*</t>
  </si>
  <si>
    <t>2020,2100</t>
  </si>
  <si>
    <t>CHHPA</t>
  </si>
  <si>
    <t>CHHPG</t>
  </si>
  <si>
    <t>CH_EHP*</t>
  </si>
  <si>
    <t>RH1*705</t>
  </si>
  <si>
    <t>RH2*705</t>
  </si>
  <si>
    <t>G-RH1+</t>
  </si>
  <si>
    <t>RH1,RW1</t>
  </si>
  <si>
    <t>G-RH2+</t>
  </si>
  <si>
    <t>RH2,RW2</t>
  </si>
  <si>
    <t>CH1,CH2</t>
  </si>
  <si>
    <t>RH1EHN*,RH1EHP000</t>
  </si>
  <si>
    <t>RH1HPA</t>
  </si>
  <si>
    <t>RH2HPA</t>
  </si>
  <si>
    <t>RH1HPG</t>
  </si>
  <si>
    <t>RH2HPG</t>
  </si>
  <si>
    <t>RH1BIOS00</t>
  </si>
  <si>
    <t>RH2HET000</t>
  </si>
  <si>
    <t>RH2BIO000</t>
  </si>
  <si>
    <t>RH2ERS000</t>
  </si>
  <si>
    <t>RH2NGA000</t>
  </si>
  <si>
    <t>RH1NGA000</t>
  </si>
  <si>
    <t>RESNGA</t>
  </si>
  <si>
    <t>HET</t>
  </si>
  <si>
    <t>HET2*,HET*200</t>
  </si>
  <si>
    <t>HET4*,HET*400</t>
  </si>
  <si>
    <t>HET3*,HET*300</t>
  </si>
  <si>
    <t>HET*</t>
  </si>
  <si>
    <t>RH1+INS</t>
  </si>
  <si>
    <t>RH2+INS</t>
  </si>
  <si>
    <t>RW1</t>
  </si>
  <si>
    <t>PRC_RESID</t>
  </si>
  <si>
    <t>Max. Nuclear cap</t>
  </si>
  <si>
    <t>U_MaxNuCap</t>
  </si>
  <si>
    <t>E*</t>
  </si>
  <si>
    <t>ELCNUC</t>
  </si>
  <si>
    <t>PSet: CI</t>
  </si>
  <si>
    <t>RH1BIOS05</t>
  </si>
  <si>
    <t>G-PUBELC</t>
  </si>
  <si>
    <t>UTRNREFX00</t>
  </si>
  <si>
    <t>INPUT</t>
  </si>
  <si>
    <t>2010,2030</t>
  </si>
  <si>
    <t>HZNGA105</t>
  </si>
  <si>
    <t>RL1KER000</t>
  </si>
  <si>
    <t>RL*</t>
  </si>
  <si>
    <t>RL1,RL2</t>
  </si>
  <si>
    <t>RESKER</t>
  </si>
  <si>
    <t>G-RL+</t>
  </si>
  <si>
    <t>RK1NGA000</t>
  </si>
  <si>
    <t>RK*</t>
  </si>
  <si>
    <t>RK1,RK2</t>
  </si>
  <si>
    <t>RESNGA,RESKER,RESDST,RESLPG</t>
  </si>
  <si>
    <t>G-RK+</t>
  </si>
  <si>
    <t>RK1BIO000</t>
  </si>
  <si>
    <t>RK1SOL000</t>
  </si>
  <si>
    <t>RESSOL</t>
  </si>
  <si>
    <t>CLAKER000</t>
  </si>
  <si>
    <t>CLA*</t>
  </si>
  <si>
    <t>CLA</t>
  </si>
  <si>
    <t>COMKER</t>
  </si>
  <si>
    <t>CCKNGA000</t>
  </si>
  <si>
    <t>CCK*</t>
  </si>
  <si>
    <t>CCK</t>
  </si>
  <si>
    <t>CCKBIO000</t>
  </si>
  <si>
    <t>CCKSOL000</t>
  </si>
  <si>
    <t>COMSOL</t>
  </si>
  <si>
    <t>AGHNGA00</t>
  </si>
  <si>
    <t>AGH*</t>
  </si>
  <si>
    <t>AGRLTH</t>
  </si>
  <si>
    <t>AGRNGA</t>
  </si>
  <si>
    <t>AGHHET00</t>
  </si>
  <si>
    <t>AGHBIO00</t>
  </si>
  <si>
    <t>RL1ICE000</t>
  </si>
  <si>
    <t>RL_IMS005,RL2ICE000</t>
  </si>
  <si>
    <t>RK1ELC000</t>
  </si>
  <si>
    <t>CLAICE000</t>
  </si>
  <si>
    <t>CLAIBS005</t>
  </si>
  <si>
    <t>AGHELC00</t>
  </si>
  <si>
    <t>RESELC</t>
  </si>
  <si>
    <t>COMELC</t>
  </si>
  <si>
    <t>TRANGA</t>
  </si>
  <si>
    <t>T__ELC</t>
  </si>
  <si>
    <t>NCAP_BND</t>
  </si>
  <si>
    <t>NCAP_DRATE</t>
  </si>
  <si>
    <t>NCAP_AFX</t>
  </si>
  <si>
    <t>CHPBIO</t>
  </si>
  <si>
    <t>CCSBIO</t>
  </si>
  <si>
    <t>ENUCFUS-05</t>
  </si>
  <si>
    <t>ELCBMU</t>
  </si>
  <si>
    <t>CHP</t>
  </si>
  <si>
    <t>Fusion</t>
  </si>
  <si>
    <t>Waste DRATE</t>
  </si>
  <si>
    <t>Wind AF vintaged</t>
  </si>
  <si>
    <t>BIO ELC</t>
  </si>
  <si>
    <t>FLO_DELIV</t>
  </si>
  <si>
    <t>Pset: PN</t>
  </si>
  <si>
    <t>Pset: CO</t>
  </si>
  <si>
    <t>-RHC1</t>
  </si>
  <si>
    <t>RH1*05</t>
  </si>
  <si>
    <t>S_Hot1Wat</t>
  </si>
  <si>
    <t>S_Hot2Wat</t>
  </si>
  <si>
    <t>RH2*05</t>
  </si>
  <si>
    <t>-RHC2</t>
  </si>
  <si>
    <t>Min Separate Hotwater production for RH1</t>
  </si>
  <si>
    <t>Min Separate Hotwater production for RH2</t>
  </si>
  <si>
    <t>minimum</t>
  </si>
  <si>
    <t>COM_BNDNET</t>
  </si>
  <si>
    <t>FX</t>
  </si>
  <si>
    <t>Wind power</t>
  </si>
  <si>
    <t>New investments</t>
  </si>
  <si>
    <t>START</t>
  </si>
  <si>
    <t>INDCO*</t>
  </si>
  <si>
    <t>INDWIN</t>
  </si>
  <si>
    <t>COT</t>
  </si>
  <si>
    <t>COTELC000</t>
  </si>
  <si>
    <t>COT*</t>
  </si>
  <si>
    <t>AGRAPP00</t>
  </si>
  <si>
    <t>CLAFEB005</t>
  </si>
  <si>
    <t>ACT_EFF</t>
  </si>
  <si>
    <t>NRG</t>
  </si>
  <si>
    <t>0</t>
  </si>
  <si>
    <t>ELCCOA</t>
  </si>
  <si>
    <t>Annual AFA</t>
  </si>
  <si>
    <t>for CHP plants</t>
  </si>
  <si>
    <t>SNKTOTCO2</t>
  </si>
  <si>
    <t>INDBLQ</t>
  </si>
  <si>
    <t>COAL elc</t>
  </si>
  <si>
    <t>COM_BNDPRD</t>
  </si>
  <si>
    <t>*ELC-___-FIN</t>
  </si>
  <si>
    <t>IMP</t>
  </si>
  <si>
    <t>ELCE</t>
  </si>
  <si>
    <t>EXP</t>
  </si>
  <si>
    <t>UC_IRE-I</t>
  </si>
  <si>
    <t>UC_IRE-E</t>
  </si>
  <si>
    <t>UC_COMPRD</t>
  </si>
  <si>
    <t>Max net imports of ELC</t>
  </si>
  <si>
    <t>U_MaxNtELI</t>
  </si>
  <si>
    <t>INDCO_</t>
  </si>
  <si>
    <t>U_MaxBCCS3</t>
  </si>
  <si>
    <t>UC_FLO</t>
  </si>
  <si>
    <t>Max BioCCS3</t>
  </si>
  <si>
    <t>FLO_SHAR</t>
  </si>
  <si>
    <t>BIODST</t>
  </si>
  <si>
    <t>NCAP_TLIFE</t>
  </si>
  <si>
    <t>RW1ELC000</t>
  </si>
  <si>
    <t>RW1*</t>
  </si>
  <si>
    <t>CC1HET005</t>
  </si>
  <si>
    <t>UWODLIQ0</t>
  </si>
  <si>
    <t>COM_CSTNET</t>
  </si>
  <si>
    <t>SNKELCCO2</t>
  </si>
  <si>
    <t>CCSCHP1B</t>
  </si>
  <si>
    <t>EURALWR-05</t>
  </si>
  <si>
    <t>Planned min.new nuclear</t>
  </si>
  <si>
    <t>IMPSYNETHY</t>
  </si>
  <si>
    <t>UBIOFOR_</t>
  </si>
  <si>
    <t>OILJTK</t>
  </si>
  <si>
    <t>2030,2100</t>
  </si>
  <si>
    <t>HET_</t>
  </si>
  <si>
    <t>DHP*</t>
  </si>
  <si>
    <t>Top_Check</t>
  </si>
  <si>
    <t>COA*</t>
  </si>
  <si>
    <t>S</t>
  </si>
  <si>
    <t>VA_Attrib_C</t>
  </si>
  <si>
    <t>Max use of IND COAL</t>
  </si>
  <si>
    <t>*</t>
  </si>
  <si>
    <t>N</t>
  </si>
  <si>
    <t>RW1NGB005</t>
  </si>
  <si>
    <t>2010</t>
  </si>
  <si>
    <t>MINBIOCRP3</t>
  </si>
  <si>
    <t>UBIOETH00</t>
  </si>
  <si>
    <t>2030,2050,2100</t>
  </si>
  <si>
    <t>UBIOTOR0</t>
  </si>
  <si>
    <t>UBCRETH100</t>
  </si>
  <si>
    <t>TRAGSL</t>
  </si>
  <si>
    <t>BIOCRP</t>
  </si>
  <si>
    <t>EL_BIO</t>
  </si>
  <si>
    <t>TOTCO2SN0</t>
  </si>
  <si>
    <t>FLO_BND</t>
  </si>
  <si>
    <t>UBIOPLT0</t>
  </si>
  <si>
    <t>BIOPLT</t>
  </si>
  <si>
    <t>Region</t>
  </si>
  <si>
    <t>TS_Filter</t>
  </si>
  <si>
    <t>~TFM_DINS-TS</t>
  </si>
  <si>
    <t>Curr</t>
  </si>
  <si>
    <t>EUR10</t>
  </si>
  <si>
    <t>USNKBIOREF</t>
  </si>
  <si>
    <t>DUM1</t>
  </si>
  <si>
    <t>DUM2</t>
  </si>
  <si>
    <t>TOTCO2</t>
  </si>
  <si>
    <t>U_MINBDIMP</t>
  </si>
  <si>
    <t>UPRNBDD00</t>
  </si>
  <si>
    <t>X-BLQ-WEU-*</t>
  </si>
  <si>
    <t>IO*,-IOW000,-IOQ000</t>
  </si>
  <si>
    <t>U_MINDOIL</t>
  </si>
  <si>
    <t>Minimum oil use in DHP</t>
  </si>
  <si>
    <t>VANELP</t>
  </si>
  <si>
    <t>TRL</t>
  </si>
  <si>
    <t>TRLDHE01</t>
  </si>
  <si>
    <t>TRCELP</t>
  </si>
  <si>
    <t>TRHDHE01</t>
  </si>
  <si>
    <t>TRH</t>
  </si>
  <si>
    <t>LORELP</t>
  </si>
  <si>
    <t>TRMDHE01</t>
  </si>
  <si>
    <t>TRM</t>
  </si>
  <si>
    <t>BUSELP</t>
  </si>
  <si>
    <t>TRBDHE01</t>
  </si>
  <si>
    <t>TRB</t>
  </si>
  <si>
    <t>VANELC</t>
  </si>
  <si>
    <t>TRLELC01</t>
  </si>
  <si>
    <t>I</t>
  </si>
  <si>
    <t>IOOI,IQOI</t>
  </si>
  <si>
    <t>IEOI</t>
  </si>
  <si>
    <t>ISOI,IPOI</t>
  </si>
  <si>
    <t>AGRN2OP</t>
  </si>
  <si>
    <t>FIM</t>
  </si>
  <si>
    <t>METRO</t>
  </si>
  <si>
    <t>New</t>
  </si>
  <si>
    <t>UBIOFOR1</t>
  </si>
  <si>
    <t>BIOFOR</t>
  </si>
  <si>
    <t>UBIOFOR2</t>
  </si>
  <si>
    <t>UBIOFOR3</t>
  </si>
  <si>
    <t>UBIOFOR4</t>
  </si>
  <si>
    <t>UFTSYNBDSL</t>
  </si>
  <si>
    <t>UFTSYNBDSS</t>
  </si>
  <si>
    <t>X-BLQ-WEU-FIN</t>
  </si>
  <si>
    <t>ISOIELC005</t>
  </si>
  <si>
    <t>DIST.COOL</t>
  </si>
  <si>
    <t>DH_3BIO*+0</t>
  </si>
  <si>
    <t>DH_3*+0</t>
  </si>
  <si>
    <t>DH_1B*S+0</t>
  </si>
  <si>
    <t>HET1*,HET*100,-*NUCHET,-*HTPUMP</t>
  </si>
  <si>
    <t>BIOLOG</t>
  </si>
  <si>
    <t>R_1EHA*</t>
  </si>
  <si>
    <t>R_2EHA*</t>
  </si>
  <si>
    <t>RH1EHP*,RH1EHN*</t>
  </si>
  <si>
    <t>RH2EHP*,RH2EHN*</t>
  </si>
  <si>
    <t>ELCOIL,ELCGOI,ELCBLQ</t>
  </si>
  <si>
    <t>HET1*,HET*100</t>
  </si>
  <si>
    <t>U_MINDHOIL</t>
  </si>
  <si>
    <t>U_MINIHOIL</t>
  </si>
  <si>
    <t>HAH*,IS*</t>
  </si>
  <si>
    <t>IS__</t>
  </si>
  <si>
    <t>Minimum oil use in DHPL</t>
  </si>
  <si>
    <t>Minimum oil use in IHPL</t>
  </si>
  <si>
    <t>INDLPG,INDOIL,INDHFO,INDBFO,INDETH,INDNAP</t>
  </si>
  <si>
    <t>U_MINIHGAS</t>
  </si>
  <si>
    <t>ESTM*,IOICHP*</t>
  </si>
  <si>
    <t>U_MINELCOIL</t>
  </si>
  <si>
    <t>ELCOIL</t>
  </si>
  <si>
    <t>Minimum ELCOIL use</t>
  </si>
  <si>
    <t>DHPGASP100,DHPGASP200</t>
  </si>
  <si>
    <t>UPNCO2P</t>
  </si>
  <si>
    <t>DH_1*+0,HET1*+1</t>
  </si>
  <si>
    <t>DH_1COAPFB+0</t>
  </si>
  <si>
    <t>HZBIO205</t>
  </si>
  <si>
    <t>BREFBSL</t>
  </si>
  <si>
    <t>UFTSYNBREF</t>
  </si>
  <si>
    <t>BIOBSL</t>
  </si>
  <si>
    <t>ESTMBIOC05,ESTMBLQR05</t>
  </si>
  <si>
    <t>NCAP_COST</t>
  </si>
  <si>
    <t>NCAP_FOM</t>
  </si>
  <si>
    <t>U_MaxResSol</t>
  </si>
  <si>
    <t>EDSOLRES05</t>
  </si>
  <si>
    <t>RESELC100</t>
  </si>
  <si>
    <t>EDSOLCOM05</t>
  </si>
  <si>
    <t>COMELC100</t>
  </si>
  <si>
    <t>U_MaxComSol</t>
  </si>
  <si>
    <t>Max TaxFree Rooftop RES</t>
  </si>
  <si>
    <t>Max TaxFree Rooftop COM</t>
  </si>
  <si>
    <t>ECOA*5,-ECOA*+05</t>
  </si>
  <si>
    <t>ENGA*5,-ENGA*+05</t>
  </si>
  <si>
    <t>CCS-add.transp.</t>
  </si>
  <si>
    <t>AGHDST00</t>
  </si>
  <si>
    <t>AGRDST,AGRHFO,AGRLPG,AGRNGA</t>
  </si>
  <si>
    <t>IPOI*</t>
  </si>
  <si>
    <t>IQOI</t>
  </si>
  <si>
    <t>Dist.Cool</t>
  </si>
  <si>
    <t>UBIOFOR6</t>
  </si>
  <si>
    <t>BECCS-Lim</t>
  </si>
  <si>
    <t>RH1DST000</t>
  </si>
  <si>
    <t>RESDST</t>
  </si>
  <si>
    <t>EDSO*</t>
  </si>
  <si>
    <t>ESTMBIO*</t>
  </si>
  <si>
    <t>EWINNOF3-05</t>
  </si>
  <si>
    <t>_STMBLQ*</t>
  </si>
  <si>
    <t>CH_EHA*</t>
  </si>
  <si>
    <t>RHPUMPS</t>
  </si>
  <si>
    <t>RH_EH*</t>
  </si>
  <si>
    <t>G-RH+</t>
  </si>
  <si>
    <t>2020,2040</t>
  </si>
  <si>
    <t>2019,2100</t>
  </si>
  <si>
    <t>UTRNBLSFU0_NRGI</t>
  </si>
  <si>
    <t>UTRNBLSFU0</t>
  </si>
  <si>
    <t>IISRED</t>
  </si>
  <si>
    <t>UTRNBLSFU0_NRGO</t>
  </si>
  <si>
    <t>UTRNCKOV00</t>
  </si>
  <si>
    <t>CONOVC</t>
  </si>
  <si>
    <t>UPNCO2N</t>
  </si>
  <si>
    <t>OINHFO</t>
  </si>
  <si>
    <t>2015,2100</t>
  </si>
  <si>
    <t>RK_SOL005</t>
  </si>
  <si>
    <t>CCKSOL005</t>
  </si>
  <si>
    <t>TRTGAS000</t>
  </si>
  <si>
    <t>TRT</t>
  </si>
  <si>
    <t>TRTDST000</t>
  </si>
  <si>
    <t>TRLGAS000</t>
  </si>
  <si>
    <t>TRLDST000</t>
  </si>
  <si>
    <t>TRBDST000</t>
  </si>
  <si>
    <t>TRHDST000</t>
  </si>
  <si>
    <t>TRMDST000</t>
  </si>
  <si>
    <t>UC_DYNBND</t>
  </si>
  <si>
    <t>MINGRO</t>
  </si>
  <si>
    <t>2010,2070</t>
  </si>
  <si>
    <t>TRT*</t>
  </si>
  <si>
    <t>TRADST</t>
  </si>
  <si>
    <t>TRL*</t>
  </si>
  <si>
    <t>TRB*</t>
  </si>
  <si>
    <t>TRH*</t>
  </si>
  <si>
    <t>TRM*</t>
  </si>
  <si>
    <t>ELCCAR</t>
  </si>
  <si>
    <t>FCVCAR</t>
  </si>
  <si>
    <t>*.FCV.*</t>
  </si>
  <si>
    <t>SIDE</t>
  </si>
  <si>
    <t>ONON000</t>
  </si>
  <si>
    <t>LHS</t>
  </si>
  <si>
    <t>RHS</t>
  </si>
  <si>
    <t>TRALPG</t>
  </si>
  <si>
    <t>Transport fuel mix</t>
  </si>
  <si>
    <t>TUC_TRAMIX</t>
  </si>
  <si>
    <t>Cset: Set</t>
  </si>
  <si>
    <t>~UC_SETS: R_E: FIN,FIM</t>
  </si>
  <si>
    <t>IMPCONOVCY</t>
  </si>
  <si>
    <t>INDSOL</t>
  </si>
  <si>
    <t>ESOLGEN00</t>
  </si>
  <si>
    <t>UBIOBSL100</t>
  </si>
  <si>
    <t>UBIOBSL200</t>
  </si>
  <si>
    <t>S_MaxCoal</t>
  </si>
  <si>
    <t>ELCCOA,ELCBCO</t>
  </si>
  <si>
    <t>Max Share of Coal in Public Fossil ELC</t>
  </si>
  <si>
    <t>ELCNGA,ELCOIL,ELCGOI</t>
  </si>
  <si>
    <t>RH2COP000</t>
  </si>
  <si>
    <t>CH1COP000</t>
  </si>
  <si>
    <t>RH1COP000</t>
  </si>
  <si>
    <t>COMNGA,COMKER,COMLPG</t>
  </si>
  <si>
    <t>RESCOP,RESCOA</t>
  </si>
  <si>
    <t>AGRCO_,AGRBIO</t>
  </si>
  <si>
    <t>COMCOP,COMCOA</t>
  </si>
  <si>
    <t>FT-RESELC0</t>
  </si>
  <si>
    <t>FT-COMELC0</t>
  </si>
  <si>
    <t>FT-TRANGA0</t>
  </si>
  <si>
    <t>FT-TRAGSL5</t>
  </si>
  <si>
    <t>FT-TRADST5</t>
  </si>
  <si>
    <t>HETBIOP100</t>
  </si>
  <si>
    <t>HETBIOP200</t>
  </si>
  <si>
    <t>HETBIOP300</t>
  </si>
  <si>
    <t>HETBIOP400</t>
  </si>
  <si>
    <t>FT-ELCCOA0</t>
  </si>
  <si>
    <t>FT-ELCHYD0</t>
  </si>
  <si>
    <t>FT-ELCHYM0</t>
  </si>
  <si>
    <t>FT-ELCWIN0</t>
  </si>
  <si>
    <t>FT-COMCCL0</t>
  </si>
  <si>
    <t>FT-ELCOIL0,FT-ELCHOIL0</t>
  </si>
  <si>
    <t>FT-ELCBIOL0,FT-ELCDST0</t>
  </si>
  <si>
    <t>FT-ELCOIL0</t>
  </si>
  <si>
    <t>CH1+INS</t>
  </si>
  <si>
    <t>FT-INDHFO0</t>
  </si>
  <si>
    <t>ELCWOF</t>
  </si>
  <si>
    <t>Firm balances</t>
  </si>
  <si>
    <t>Forest residues</t>
  </si>
  <si>
    <t>Fjells</t>
  </si>
  <si>
    <t>IPOIELC000</t>
  </si>
  <si>
    <t>IOIELC</t>
  </si>
  <si>
    <t>IOOIHET000</t>
  </si>
  <si>
    <t>INDLTH</t>
  </si>
  <si>
    <t>File:</t>
  </si>
  <si>
    <t>MAXGRO</t>
  </si>
  <si>
    <t>TRT*,-TRT*00</t>
  </si>
  <si>
    <t>TRL*,-TRL*00</t>
  </si>
  <si>
    <t>TRB*,-TRB*00</t>
  </si>
  <si>
    <t>TRM*,TRH*,-TR*00</t>
  </si>
  <si>
    <t>TRT*,TRL*,TRB*,TRM*,TRH*,-TR*00</t>
  </si>
  <si>
    <t>NCAP_ELIFE</t>
  </si>
  <si>
    <t>NCAP_FOMX</t>
  </si>
  <si>
    <t>SHAPE</t>
  </si>
  <si>
    <t>HA</t>
  </si>
  <si>
    <t>PA</t>
  </si>
  <si>
    <t>LA</t>
  </si>
  <si>
    <t>KA</t>
  </si>
  <si>
    <t>NCAP_FDR</t>
  </si>
  <si>
    <t>IISOTH000</t>
  </si>
  <si>
    <t>IND*</t>
  </si>
  <si>
    <t>ISIS</t>
  </si>
  <si>
    <t>IMIS</t>
  </si>
  <si>
    <t>INFAMN000</t>
  </si>
  <si>
    <t>ISNF</t>
  </si>
  <si>
    <t>IMNF</t>
  </si>
  <si>
    <t>INMCRM000</t>
  </si>
  <si>
    <t>ISNM</t>
  </si>
  <si>
    <t>IMNM</t>
  </si>
  <si>
    <t>IIS000</t>
  </si>
  <si>
    <t>IISAOD</t>
  </si>
  <si>
    <t>IISFEA</t>
  </si>
  <si>
    <t>IIS000_MATI</t>
  </si>
  <si>
    <t>IISBOF</t>
  </si>
  <si>
    <t>IISDRI</t>
  </si>
  <si>
    <t>ILPPEX000</t>
  </si>
  <si>
    <t>ILPMIX100</t>
  </si>
  <si>
    <t>G-PAPMIX</t>
  </si>
  <si>
    <t>ILPMRF</t>
  </si>
  <si>
    <t>ILPMGF</t>
  </si>
  <si>
    <t>ILPCHB</t>
  </si>
  <si>
    <t>ILPCSB</t>
  </si>
  <si>
    <t>ILPMIX200</t>
  </si>
  <si>
    <t>ILPSCN</t>
  </si>
  <si>
    <t>ILPMRN</t>
  </si>
  <si>
    <t>ILPMGN</t>
  </si>
  <si>
    <t>ILPCSN</t>
  </si>
  <si>
    <t>Peak HPL</t>
  </si>
  <si>
    <t>GHG</t>
  </si>
  <si>
    <t>TOTCH4</t>
  </si>
  <si>
    <t>AGRCH4N</t>
  </si>
  <si>
    <t>AGRCH4P</t>
  </si>
  <si>
    <t>COMCH4N</t>
  </si>
  <si>
    <t>ELCCH4N</t>
  </si>
  <si>
    <t>ELCCH4P</t>
  </si>
  <si>
    <t>INDCH4N</t>
  </si>
  <si>
    <t>RESCH4N</t>
  </si>
  <si>
    <t>RESCH4P</t>
  </si>
  <si>
    <t>TRACH4N</t>
  </si>
  <si>
    <t>UPNCH4N</t>
  </si>
  <si>
    <t>UPNCH4P</t>
  </si>
  <si>
    <t>AGRCO2N</t>
  </si>
  <si>
    <t>AGRCO2P</t>
  </si>
  <si>
    <t>COMCO2N</t>
  </si>
  <si>
    <t>ELCCO2N</t>
  </si>
  <si>
    <t>ELCCO2P</t>
  </si>
  <si>
    <t>INDCO2N</t>
  </si>
  <si>
    <t>INDCO2P</t>
  </si>
  <si>
    <t>RESCO2N</t>
  </si>
  <si>
    <t>RESCO2P</t>
  </si>
  <si>
    <t>TRACO2N</t>
  </si>
  <si>
    <t>TOTN2O</t>
  </si>
  <si>
    <t>AGRN2ON</t>
  </si>
  <si>
    <t>COMN2ON</t>
  </si>
  <si>
    <t>ELCN2ON</t>
  </si>
  <si>
    <t>INDN2ON</t>
  </si>
  <si>
    <t>INDN2OP</t>
  </si>
  <si>
    <t>RESN2ON</t>
  </si>
  <si>
    <t>RESN2OP</t>
  </si>
  <si>
    <t>TRAN2ON</t>
  </si>
  <si>
    <t>UPNN2ON</t>
  </si>
  <si>
    <t>UPNN2OP</t>
  </si>
  <si>
    <t>NONCO2</t>
  </si>
  <si>
    <t>TOTFGS</t>
  </si>
  <si>
    <t>CSP Tlife</t>
  </si>
  <si>
    <t>TTP000</t>
  </si>
  <si>
    <t>ENUCGEN20</t>
  </si>
  <si>
    <t>Nuc. eff. adj.</t>
  </si>
  <si>
    <t>ICHOTH000</t>
  </si>
  <si>
    <t>ISCH,IOCH</t>
  </si>
  <si>
    <t>IFCH</t>
  </si>
  <si>
    <t>ILPOTH000</t>
  </si>
  <si>
    <t>IOLP</t>
  </si>
  <si>
    <t>IOI000</t>
  </si>
  <si>
    <t>ISOI,IPOI,IOOI</t>
  </si>
  <si>
    <t>ICH000</t>
  </si>
  <si>
    <t>ICHOLF,ICHBTX</t>
  </si>
  <si>
    <t>FT-INDCO*</t>
  </si>
  <si>
    <t>FT-ELC*</t>
  </si>
  <si>
    <t>INMCMTDRY000</t>
  </si>
  <si>
    <t>INMLIME000</t>
  </si>
  <si>
    <t>Fixed balance</t>
  </si>
  <si>
    <t>Base solar</t>
  </si>
  <si>
    <t>option</t>
  </si>
  <si>
    <t>BIOCO2</t>
  </si>
  <si>
    <t>RESID Relaxation</t>
  </si>
  <si>
    <t>RESID</t>
  </si>
  <si>
    <t>*1.001</t>
  </si>
  <si>
    <t>I*,E*</t>
  </si>
  <si>
    <t>2015</t>
  </si>
  <si>
    <t>BIOBMU</t>
  </si>
  <si>
    <t>ELCCO2W</t>
  </si>
  <si>
    <t>FT-ELCBMU0</t>
  </si>
  <si>
    <t>FT-INDBIO0</t>
  </si>
  <si>
    <t>UNCOABCO0</t>
  </si>
  <si>
    <t>Non-ETS</t>
  </si>
  <si>
    <t>NONCO2T</t>
  </si>
  <si>
    <t>Emissions</t>
  </si>
  <si>
    <t>TRACO2B</t>
  </si>
  <si>
    <t>FT-TRAJTK0</t>
  </si>
  <si>
    <t>FT-TRAJTK5</t>
  </si>
  <si>
    <t>OILDST</t>
  </si>
  <si>
    <t>FT-INDDST5</t>
  </si>
  <si>
    <t>INDHFO</t>
  </si>
  <si>
    <t>2005</t>
  </si>
  <si>
    <t>I_OI*,ONON*</t>
  </si>
  <si>
    <t>INDBCO</t>
  </si>
  <si>
    <t>INDCOK</t>
  </si>
  <si>
    <t>INDLPG</t>
  </si>
  <si>
    <t>INDCOG</t>
  </si>
  <si>
    <t>INDPTC</t>
  </si>
  <si>
    <t>NEO000</t>
  </si>
  <si>
    <t>NONCO2T,INDOCO2</t>
  </si>
  <si>
    <t>~TFM_Fill-R: w=FilData;Hcol=Year</t>
  </si>
  <si>
    <t>PSET_PN</t>
  </si>
  <si>
    <t>Commodity</t>
  </si>
  <si>
    <t>VA_Attrib_TC</t>
  </si>
  <si>
    <t>TRA*</t>
  </si>
  <si>
    <t>~TFM_INS-TS</t>
  </si>
  <si>
    <t>DefaultVals</t>
  </si>
  <si>
    <t>Demand</t>
  </si>
  <si>
    <t>Index</t>
  </si>
  <si>
    <t>TPD</t>
  </si>
  <si>
    <t>TRW*</t>
  </si>
  <si>
    <t>TRW</t>
  </si>
  <si>
    <t>TTP*</t>
  </si>
  <si>
    <t>TTP</t>
  </si>
  <si>
    <t>TTM*</t>
  </si>
  <si>
    <t>TTM</t>
  </si>
  <si>
    <t>TPAN*</t>
  </si>
  <si>
    <t>TPAN</t>
  </si>
  <si>
    <t>TFD</t>
  </si>
  <si>
    <t>TTF*</t>
  </si>
  <si>
    <t>TTF</t>
  </si>
  <si>
    <t>TFSN*</t>
  </si>
  <si>
    <t>TFSN</t>
  </si>
  <si>
    <t>scenario</t>
  </si>
  <si>
    <t>region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</si>
  <si>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</si>
  <si>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</si>
  <si>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</si>
  <si>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</si>
  <si>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</si>
  <si>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</si>
  <si>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</si>
  <si>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</si>
  <si>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</si>
  <si>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TRAGOOD</t>
  </si>
  <si>
    <t>-</t>
  </si>
  <si>
    <t>TRAPASS</t>
  </si>
  <si>
    <t>COABCO</t>
  </si>
  <si>
    <t>FT-ELCHCO1</t>
  </si>
  <si>
    <t>Coal stop</t>
  </si>
  <si>
    <t>IISSCR</t>
  </si>
  <si>
    <t>ELCWIN,ELCWOF</t>
  </si>
  <si>
    <t>IISBOF000</t>
  </si>
  <si>
    <t>EUR00</t>
  </si>
  <si>
    <t>AGREL_</t>
  </si>
  <si>
    <t>CLALED005</t>
  </si>
  <si>
    <t>ACT_COST</t>
  </si>
  <si>
    <t>I00000</t>
  </si>
  <si>
    <t>Domestic air</t>
  </si>
  <si>
    <t>within ETS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</si>
</sst>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00"/>
    <numFmt numFmtId="167" formatCode="_ * #,##0.00_ ;_ * \-#,##0.00_ ;_ * &quot;-&quot;??_ ;_ @_ "/>
  </numFmts>
  <fonts count="4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12"/>
      <name val="Arial"/>
      <family val="2"/>
    </font>
    <font>
      <b/>
      <sz val="8"/>
      <color indexed="8"/>
      <name val="Arial"/>
      <family val="2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12"/>
      <name val="Arial"/>
      <family val="2"/>
    </font>
    <font>
      <b/>
      <sz val="9"/>
      <color indexed="8"/>
      <name val="Arial"/>
      <family val="2"/>
    </font>
    <font>
      <sz val="11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0"/>
      <color indexed="63"/>
      <name val="Tahoma"/>
      <family val="2"/>
    </font>
    <font>
      <sz val="9"/>
      <name val="Arial"/>
      <family val="2"/>
    </font>
    <font>
      <sz val="10"/>
      <color indexed="20"/>
      <name val="Calibri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4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43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16" fillId="17" borderId="0" applyNumberFormat="0" applyBorder="0" applyAlignment="0" applyProtection="0"/>
    <xf numFmtId="167" fontId="1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3" fillId="0" borderId="0"/>
    <xf numFmtId="0" fontId="3" fillId="0" borderId="0"/>
    <xf numFmtId="0" fontId="14" fillId="0" borderId="0"/>
    <xf numFmtId="0" fontId="37" fillId="0" borderId="0"/>
    <xf numFmtId="0" fontId="1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44" fillId="0" borderId="0"/>
    <xf numFmtId="0" fontId="14" fillId="0" borderId="0"/>
    <xf numFmtId="0" fontId="3" fillId="0" borderId="0"/>
    <xf numFmtId="0" fontId="14" fillId="0" borderId="0"/>
    <xf numFmtId="0" fontId="1" fillId="23" borderId="7" applyNumberFormat="0" applyFont="0" applyAlignment="0" applyProtection="0"/>
    <xf numFmtId="0" fontId="28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5" fillId="0" borderId="0"/>
    <xf numFmtId="0" fontId="1" fillId="0" borderId="0"/>
    <xf numFmtId="0" fontId="29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21" fillId="4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252">
    <xf numFmtId="0" fontId="0" fillId="0" borderId="0" xfId="0"/>
    <xf numFmtId="2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2" fillId="24" borderId="10" xfId="0" applyFont="1" applyFill="1" applyBorder="1"/>
    <xf numFmtId="0" fontId="3" fillId="24" borderId="10" xfId="0" applyFont="1" applyFill="1" applyBorder="1"/>
    <xf numFmtId="0" fontId="5" fillId="0" borderId="0" xfId="0" quotePrefix="1" applyFont="1" applyAlignment="1">
      <alignment horizontal="left"/>
    </xf>
    <xf numFmtId="0" fontId="2" fillId="24" borderId="10" xfId="0" applyFont="1" applyFill="1" applyBorder="1" applyAlignment="1">
      <alignment horizontal="center"/>
    </xf>
    <xf numFmtId="0" fontId="3" fillId="24" borderId="0" xfId="0" applyFont="1" applyFill="1"/>
    <xf numFmtId="0" fontId="3" fillId="24" borderId="0" xfId="0" applyFont="1" applyFill="1" applyBorder="1" applyAlignment="1" applyProtection="1">
      <alignment horizontal="right"/>
      <protection locked="0"/>
    </xf>
    <xf numFmtId="0" fontId="8" fillId="0" borderId="0" xfId="0" applyFont="1"/>
    <xf numFmtId="0" fontId="0" fillId="24" borderId="0" xfId="0" applyFill="1"/>
    <xf numFmtId="0" fontId="0" fillId="25" borderId="0" xfId="0" applyFill="1"/>
    <xf numFmtId="0" fontId="3" fillId="24" borderId="0" xfId="0" applyFont="1" applyFill="1" applyBorder="1" applyAlignment="1">
      <alignment horizontal="left" wrapText="1"/>
    </xf>
    <xf numFmtId="0" fontId="8" fillId="24" borderId="0" xfId="0" applyFont="1" applyFill="1"/>
    <xf numFmtId="0" fontId="0" fillId="24" borderId="0" xfId="0" quotePrefix="1" applyFill="1" applyAlignment="1"/>
    <xf numFmtId="2" fontId="0" fillId="24" borderId="0" xfId="0" applyNumberFormat="1" applyFill="1"/>
    <xf numFmtId="0" fontId="0" fillId="24" borderId="0" xfId="0" quotePrefix="1" applyFill="1"/>
    <xf numFmtId="0" fontId="0" fillId="24" borderId="0" xfId="0" applyFill="1" applyAlignment="1">
      <alignment horizontal="right"/>
    </xf>
    <xf numFmtId="1" fontId="3" fillId="26" borderId="0" xfId="0" applyNumberFormat="1" applyFont="1" applyFill="1"/>
    <xf numFmtId="165" fontId="0" fillId="0" borderId="0" xfId="0" applyNumberFormat="1"/>
    <xf numFmtId="0" fontId="11" fillId="0" borderId="0" xfId="0" applyFont="1"/>
    <xf numFmtId="0" fontId="11" fillId="0" borderId="0" xfId="0" applyNumberFormat="1" applyFont="1" applyFill="1" applyBorder="1" applyAlignment="1"/>
    <xf numFmtId="0" fontId="12" fillId="24" borderId="10" xfId="0" applyNumberFormat="1" applyFont="1" applyFill="1" applyBorder="1" applyAlignment="1">
      <alignment wrapText="1"/>
    </xf>
    <xf numFmtId="0" fontId="1" fillId="0" borderId="0" xfId="59"/>
    <xf numFmtId="0" fontId="12" fillId="24" borderId="10" xfId="0" applyNumberFormat="1" applyFont="1" applyFill="1" applyBorder="1" applyAlignment="1"/>
    <xf numFmtId="0" fontId="12" fillId="24" borderId="10" xfId="0" applyNumberFormat="1" applyFont="1" applyFill="1" applyBorder="1" applyAlignment="1">
      <alignment horizontal="center" wrapText="1"/>
    </xf>
    <xf numFmtId="164" fontId="0" fillId="0" borderId="0" xfId="0" applyNumberFormat="1"/>
    <xf numFmtId="0" fontId="2" fillId="25" borderId="11" xfId="0" applyFont="1" applyFill="1" applyBorder="1"/>
    <xf numFmtId="164" fontId="3" fillId="26" borderId="0" xfId="0" applyNumberFormat="1" applyFont="1" applyFill="1"/>
    <xf numFmtId="0" fontId="3" fillId="24" borderId="0" xfId="0" applyFont="1" applyFill="1" applyBorder="1" applyAlignment="1" applyProtection="1">
      <protection locked="0"/>
    </xf>
    <xf numFmtId="0" fontId="13" fillId="27" borderId="0" xfId="42" applyFont="1" applyFill="1"/>
    <xf numFmtId="0" fontId="15" fillId="28" borderId="0" xfId="42" applyFont="1" applyFill="1"/>
    <xf numFmtId="0" fontId="15" fillId="27" borderId="0" xfId="42" applyFont="1" applyFill="1"/>
    <xf numFmtId="0" fontId="0" fillId="25" borderId="0" xfId="0" applyFill="1" applyAlignment="1">
      <alignment horizontal="center"/>
    </xf>
    <xf numFmtId="0" fontId="0" fillId="26" borderId="0" xfId="0" applyFill="1"/>
    <xf numFmtId="0" fontId="0" fillId="29" borderId="0" xfId="0" applyFill="1"/>
    <xf numFmtId="0" fontId="4" fillId="0" borderId="0" xfId="59" applyFont="1" applyAlignment="1">
      <alignment horizontal="center"/>
    </xf>
    <xf numFmtId="0" fontId="3" fillId="25" borderId="0" xfId="0" applyFont="1" applyFill="1"/>
    <xf numFmtId="0" fontId="3" fillId="25" borderId="0" xfId="0" applyFont="1" applyFill="1" applyBorder="1" applyAlignment="1">
      <alignment horizontal="left" wrapText="1"/>
    </xf>
    <xf numFmtId="0" fontId="7" fillId="25" borderId="0" xfId="0" applyFont="1" applyFill="1"/>
    <xf numFmtId="0" fontId="3" fillId="24" borderId="0" xfId="0" applyFont="1" applyFill="1" applyAlignment="1">
      <alignment horizontal="center"/>
    </xf>
    <xf numFmtId="0" fontId="8" fillId="0" borderId="0" xfId="59" applyFont="1"/>
    <xf numFmtId="0" fontId="31" fillId="0" borderId="0" xfId="0" applyNumberFormat="1" applyFont="1" applyFill="1" applyBorder="1" applyAlignment="1"/>
    <xf numFmtId="0" fontId="32" fillId="24" borderId="10" xfId="0" applyNumberFormat="1" applyFont="1" applyFill="1" applyBorder="1" applyAlignment="1">
      <alignment wrapText="1"/>
    </xf>
    <xf numFmtId="0" fontId="32" fillId="24" borderId="10" xfId="0" applyNumberFormat="1" applyFont="1" applyFill="1" applyBorder="1" applyAlignment="1"/>
    <xf numFmtId="0" fontId="3" fillId="24" borderId="0" xfId="0" quotePrefix="1" applyFont="1" applyFill="1" applyAlignment="1">
      <alignment horizontal="center"/>
    </xf>
    <xf numFmtId="2" fontId="3" fillId="30" borderId="0" xfId="55" applyNumberFormat="1" applyFont="1" applyFill="1" applyAlignment="1">
      <alignment horizontal="right"/>
    </xf>
    <xf numFmtId="0" fontId="0" fillId="31" borderId="0" xfId="0" applyFill="1"/>
    <xf numFmtId="164" fontId="0" fillId="24" borderId="0" xfId="0" applyNumberFormat="1" applyFill="1"/>
    <xf numFmtId="3" fontId="0" fillId="25" borderId="0" xfId="0" quotePrefix="1" applyNumberFormat="1" applyFill="1" applyAlignment="1">
      <alignment horizontal="center"/>
    </xf>
    <xf numFmtId="0" fontId="2" fillId="24" borderId="0" xfId="0" applyFont="1" applyFill="1" applyBorder="1"/>
    <xf numFmtId="0" fontId="33" fillId="24" borderId="0" xfId="0" applyFont="1" applyFill="1"/>
    <xf numFmtId="0" fontId="3" fillId="24" borderId="0" xfId="0" applyFont="1" applyFill="1" applyBorder="1"/>
    <xf numFmtId="0" fontId="3" fillId="24" borderId="0" xfId="0" applyFont="1" applyFill="1" applyBorder="1" applyAlignment="1">
      <alignment horizontal="center"/>
    </xf>
    <xf numFmtId="0" fontId="4" fillId="31" borderId="0" xfId="0" applyFont="1" applyFill="1"/>
    <xf numFmtId="0" fontId="2" fillId="0" borderId="0" xfId="0" applyFont="1"/>
    <xf numFmtId="165" fontId="0" fillId="26" borderId="0" xfId="0" applyNumberFormat="1" applyFill="1"/>
    <xf numFmtId="0" fontId="0" fillId="32" borderId="0" xfId="0" applyFill="1"/>
    <xf numFmtId="0" fontId="0" fillId="31" borderId="0" xfId="0" applyFill="1" applyAlignment="1">
      <alignment horizontal="center"/>
    </xf>
    <xf numFmtId="2" fontId="0" fillId="31" borderId="0" xfId="0" applyNumberFormat="1" applyFill="1" applyAlignment="1">
      <alignment horizontal="center"/>
    </xf>
    <xf numFmtId="164" fontId="0" fillId="30" borderId="0" xfId="0" applyNumberFormat="1" applyFill="1"/>
    <xf numFmtId="2" fontId="3" fillId="24" borderId="0" xfId="55" applyNumberFormat="1" applyFont="1" applyFill="1" applyAlignment="1">
      <alignment horizontal="right"/>
    </xf>
    <xf numFmtId="164" fontId="0" fillId="26" borderId="0" xfId="0" applyNumberFormat="1" applyFill="1"/>
    <xf numFmtId="164" fontId="0" fillId="31" borderId="0" xfId="0" applyNumberFormat="1" applyFill="1"/>
    <xf numFmtId="2" fontId="3" fillId="25" borderId="0" xfId="0" applyNumberFormat="1" applyFont="1" applyFill="1" applyAlignment="1">
      <alignment horizontal="center"/>
    </xf>
    <xf numFmtId="2" fontId="2" fillId="33" borderId="0" xfId="0" applyNumberFormat="1" applyFont="1" applyFill="1"/>
    <xf numFmtId="0" fontId="14" fillId="0" borderId="0" xfId="50"/>
    <xf numFmtId="0" fontId="14" fillId="32" borderId="0" xfId="50" applyFill="1"/>
    <xf numFmtId="1" fontId="0" fillId="32" borderId="0" xfId="0" applyNumberFormat="1" applyFill="1"/>
    <xf numFmtId="0" fontId="8" fillId="24" borderId="0" xfId="0" applyFont="1" applyFill="1" applyAlignment="1">
      <alignment horizontal="center"/>
    </xf>
    <xf numFmtId="0" fontId="0" fillId="25" borderId="0" xfId="0" quotePrefix="1" applyFill="1" applyAlignment="1">
      <alignment horizontal="center"/>
    </xf>
    <xf numFmtId="0" fontId="0" fillId="34" borderId="0" xfId="0" applyFill="1"/>
    <xf numFmtId="0" fontId="0" fillId="24" borderId="0" xfId="0" quotePrefix="1" applyFill="1" applyAlignment="1">
      <alignment horizontal="center"/>
    </xf>
    <xf numFmtId="0" fontId="0" fillId="31" borderId="0" xfId="0" applyFill="1" applyAlignment="1">
      <alignment horizontal="right"/>
    </xf>
    <xf numFmtId="0" fontId="0" fillId="26" borderId="0" xfId="0" quotePrefix="1" applyFill="1" applyAlignment="1">
      <alignment horizontal="center"/>
    </xf>
    <xf numFmtId="2" fontId="0" fillId="26" borderId="0" xfId="0" applyNumberFormat="1" applyFill="1"/>
    <xf numFmtId="0" fontId="1" fillId="0" borderId="0" xfId="59" applyAlignment="1">
      <alignment horizontal="center"/>
    </xf>
    <xf numFmtId="0" fontId="4" fillId="32" borderId="0" xfId="59" applyFont="1" applyFill="1"/>
    <xf numFmtId="0" fontId="0" fillId="32" borderId="0" xfId="0" applyFill="1" applyAlignment="1">
      <alignment horizontal="center"/>
    </xf>
    <xf numFmtId="0" fontId="1" fillId="32" borderId="0" xfId="59" applyFill="1" applyAlignment="1">
      <alignment horizontal="center"/>
    </xf>
    <xf numFmtId="0" fontId="4" fillId="32" borderId="0" xfId="0" applyFont="1" applyFill="1"/>
    <xf numFmtId="0" fontId="4" fillId="32" borderId="0" xfId="59" applyFont="1" applyFill="1" applyAlignment="1">
      <alignment horizontal="center"/>
    </xf>
    <xf numFmtId="2" fontId="0" fillId="32" borderId="0" xfId="0" applyNumberFormat="1" applyFill="1" applyAlignment="1">
      <alignment horizontal="center"/>
    </xf>
    <xf numFmtId="0" fontId="8" fillId="24" borderId="0" xfId="59" applyFont="1" applyFill="1"/>
    <xf numFmtId="0" fontId="8" fillId="24" borderId="0" xfId="59" quotePrefix="1" applyFont="1" applyFill="1"/>
    <xf numFmtId="0" fontId="8" fillId="24" borderId="0" xfId="59" applyFont="1" applyFill="1" applyAlignment="1">
      <alignment horizontal="center"/>
    </xf>
    <xf numFmtId="0" fontId="8" fillId="24" borderId="0" xfId="0" applyFont="1" applyFill="1" applyAlignment="1">
      <alignment horizontal="left"/>
    </xf>
    <xf numFmtId="0" fontId="34" fillId="24" borderId="10" xfId="0" applyNumberFormat="1" applyFont="1" applyFill="1" applyBorder="1" applyAlignment="1"/>
    <xf numFmtId="0" fontId="34" fillId="24" borderId="10" xfId="0" applyNumberFormat="1" applyFont="1" applyFill="1" applyBorder="1" applyAlignment="1">
      <alignment horizontal="center" wrapText="1"/>
    </xf>
    <xf numFmtId="0" fontId="34" fillId="24" borderId="10" xfId="0" applyNumberFormat="1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35" fillId="0" borderId="0" xfId="0" applyNumberFormat="1" applyFont="1" applyFill="1" applyBorder="1" applyAlignment="1"/>
    <xf numFmtId="0" fontId="34" fillId="0" borderId="0" xfId="0" applyNumberFormat="1" applyFont="1" applyFill="1" applyBorder="1" applyAlignment="1"/>
    <xf numFmtId="0" fontId="35" fillId="0" borderId="0" xfId="0" applyFont="1"/>
    <xf numFmtId="1" fontId="0" fillId="31" borderId="0" xfId="0" applyNumberFormat="1" applyFill="1"/>
    <xf numFmtId="0" fontId="0" fillId="24" borderId="0" xfId="0" applyFill="1" applyAlignment="1">
      <alignment horizontal="center"/>
    </xf>
    <xf numFmtId="0" fontId="3" fillId="32" borderId="0" xfId="59" applyFont="1" applyFill="1"/>
    <xf numFmtId="0" fontId="3" fillId="32" borderId="0" xfId="0" applyFont="1" applyFill="1"/>
    <xf numFmtId="2" fontId="0" fillId="32" borderId="0" xfId="0" applyNumberFormat="1" applyFill="1"/>
    <xf numFmtId="1" fontId="0" fillId="32" borderId="0" xfId="0" applyNumberFormat="1" applyFill="1" applyAlignment="1">
      <alignment horizontal="center"/>
    </xf>
    <xf numFmtId="3" fontId="0" fillId="35" borderId="0" xfId="0" quotePrefix="1" applyNumberFormat="1" applyFill="1" applyAlignment="1">
      <alignment horizontal="center"/>
    </xf>
    <xf numFmtId="1" fontId="0" fillId="30" borderId="0" xfId="0" applyNumberFormat="1" applyFill="1" applyAlignment="1">
      <alignment horizontal="center"/>
    </xf>
    <xf numFmtId="2" fontId="3" fillId="30" borderId="0" xfId="55" applyNumberFormat="1" applyFont="1" applyFill="1" applyAlignment="1">
      <alignment horizontal="center"/>
    </xf>
    <xf numFmtId="1" fontId="0" fillId="24" borderId="0" xfId="0" applyNumberFormat="1" applyFill="1"/>
    <xf numFmtId="165" fontId="0" fillId="24" borderId="0" xfId="0" applyNumberFormat="1" applyFill="1"/>
    <xf numFmtId="0" fontId="0" fillId="26" borderId="0" xfId="0" applyFill="1" applyAlignment="1">
      <alignment horizontal="center"/>
    </xf>
    <xf numFmtId="2" fontId="3" fillId="24" borderId="0" xfId="55" applyNumberFormat="1" applyFont="1" applyFill="1" applyAlignment="1">
      <alignment horizontal="center"/>
    </xf>
    <xf numFmtId="1" fontId="3" fillId="24" borderId="0" xfId="55" applyNumberFormat="1" applyFont="1" applyFill="1" applyAlignment="1">
      <alignment horizontal="center"/>
    </xf>
    <xf numFmtId="0" fontId="0" fillId="26" borderId="0" xfId="0" quotePrefix="1" applyFill="1"/>
    <xf numFmtId="9" fontId="0" fillId="24" borderId="0" xfId="0" applyNumberFormat="1" applyFill="1"/>
    <xf numFmtId="0" fontId="4" fillId="24" borderId="0" xfId="59" applyFont="1" applyFill="1"/>
    <xf numFmtId="0" fontId="1" fillId="24" borderId="0" xfId="59" applyFill="1"/>
    <xf numFmtId="0" fontId="4" fillId="24" borderId="0" xfId="0" applyFont="1" applyFill="1"/>
    <xf numFmtId="166" fontId="0" fillId="24" borderId="0" xfId="0" applyNumberFormat="1" applyFill="1"/>
    <xf numFmtId="2" fontId="0" fillId="24" borderId="0" xfId="0" applyNumberForma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4" fillId="24" borderId="0" xfId="0" applyFont="1" applyFill="1" applyAlignment="1">
      <alignment horizontal="left"/>
    </xf>
    <xf numFmtId="0" fontId="3" fillId="24" borderId="0" xfId="59" applyFont="1" applyFill="1"/>
    <xf numFmtId="0" fontId="3" fillId="24" borderId="0" xfId="0" applyFont="1" applyFill="1" applyAlignment="1">
      <alignment horizontal="left"/>
    </xf>
    <xf numFmtId="0" fontId="3" fillId="26" borderId="0" xfId="0" applyFont="1" applyFill="1"/>
    <xf numFmtId="164" fontId="0" fillId="24" borderId="0" xfId="0" applyNumberFormat="1" applyFill="1" applyAlignment="1">
      <alignment horizontal="center"/>
    </xf>
    <xf numFmtId="3" fontId="0" fillId="24" borderId="0" xfId="0" quotePrefix="1" applyNumberFormat="1" applyFill="1" applyAlignment="1">
      <alignment horizontal="center"/>
    </xf>
    <xf numFmtId="1" fontId="0" fillId="24" borderId="0" xfId="0" applyNumberFormat="1" applyFill="1" applyAlignment="1">
      <alignment horizontal="center"/>
    </xf>
    <xf numFmtId="164" fontId="0" fillId="24" borderId="12" xfId="0" applyNumberFormat="1" applyFill="1" applyBorder="1"/>
    <xf numFmtId="164" fontId="0" fillId="24" borderId="13" xfId="0" applyNumberFormat="1" applyFill="1" applyBorder="1"/>
    <xf numFmtId="164" fontId="0" fillId="24" borderId="0" xfId="0" applyNumberFormat="1" applyFill="1" applyBorder="1"/>
    <xf numFmtId="0" fontId="0" fillId="35" borderId="0" xfId="0" applyFill="1"/>
    <xf numFmtId="1" fontId="3" fillId="24" borderId="0" xfId="0" applyNumberFormat="1" applyFont="1" applyFill="1"/>
    <xf numFmtId="2" fontId="3" fillId="24" borderId="0" xfId="0" applyNumberFormat="1" applyFont="1" applyFill="1"/>
    <xf numFmtId="0" fontId="33" fillId="24" borderId="0" xfId="0" applyFont="1" applyFill="1" applyAlignment="1">
      <alignment horizontal="center"/>
    </xf>
    <xf numFmtId="0" fontId="3" fillId="26" borderId="0" xfId="0" applyFont="1" applyFill="1" applyBorder="1" applyAlignment="1" applyProtection="1">
      <protection locked="0"/>
    </xf>
    <xf numFmtId="165" fontId="0" fillId="24" borderId="0" xfId="0" applyNumberFormat="1" applyFill="1" applyAlignment="1">
      <alignment horizontal="center"/>
    </xf>
    <xf numFmtId="1" fontId="3" fillId="35" borderId="0" xfId="55" applyNumberFormat="1" applyFont="1" applyFill="1" applyAlignment="1">
      <alignment horizontal="right"/>
    </xf>
    <xf numFmtId="0" fontId="3" fillId="24" borderId="1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24" borderId="10" xfId="0" applyFont="1" applyFill="1" applyBorder="1" applyAlignment="1">
      <alignment horizontal="center"/>
    </xf>
    <xf numFmtId="1" fontId="0" fillId="31" borderId="0" xfId="0" applyNumberFormat="1" applyFill="1" applyAlignment="1">
      <alignment horizontal="center"/>
    </xf>
    <xf numFmtId="1" fontId="8" fillId="36" borderId="0" xfId="0" applyNumberFormat="1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165" fontId="7" fillId="26" borderId="0" xfId="0" applyNumberFormat="1" applyFont="1" applyFill="1" applyAlignment="1">
      <alignment horizontal="center"/>
    </xf>
    <xf numFmtId="1" fontId="0" fillId="25" borderId="0" xfId="0" applyNumberFormat="1" applyFill="1" applyAlignment="1">
      <alignment horizontal="center"/>
    </xf>
    <xf numFmtId="1" fontId="8" fillId="30" borderId="0" xfId="0" applyNumberFormat="1" applyFont="1" applyFill="1" applyAlignment="1">
      <alignment horizontal="center"/>
    </xf>
    <xf numFmtId="1" fontId="8" fillId="25" borderId="0" xfId="0" applyNumberFormat="1" applyFont="1" applyFill="1" applyAlignment="1">
      <alignment horizontal="center"/>
    </xf>
    <xf numFmtId="0" fontId="2" fillId="24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8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8" fillId="32" borderId="0" xfId="59" applyFont="1" applyFill="1" applyAlignment="1">
      <alignment horizontal="center"/>
    </xf>
    <xf numFmtId="0" fontId="2" fillId="28" borderId="11" xfId="0" applyFont="1" applyFill="1" applyBorder="1" applyAlignment="1">
      <alignment horizontal="center"/>
    </xf>
    <xf numFmtId="165" fontId="0" fillId="27" borderId="0" xfId="0" applyNumberFormat="1" applyFill="1" applyAlignment="1">
      <alignment horizontal="center"/>
    </xf>
    <xf numFmtId="0" fontId="36" fillId="32" borderId="0" xfId="59" applyFont="1" applyFill="1"/>
    <xf numFmtId="0" fontId="1" fillId="32" borderId="0" xfId="59" applyFont="1" applyFill="1"/>
    <xf numFmtId="0" fontId="1" fillId="32" borderId="0" xfId="59" quotePrefix="1" applyFill="1" applyAlignment="1">
      <alignment horizontal="center"/>
    </xf>
    <xf numFmtId="0" fontId="1" fillId="32" borderId="0" xfId="59" applyFill="1"/>
    <xf numFmtId="0" fontId="36" fillId="32" borderId="0" xfId="59" applyFont="1" applyFill="1" applyAlignment="1">
      <alignment horizontal="center"/>
    </xf>
    <xf numFmtId="0" fontId="2" fillId="28" borderId="11" xfId="59" applyFont="1" applyFill="1" applyBorder="1"/>
    <xf numFmtId="0" fontId="2" fillId="27" borderId="11" xfId="59" applyFont="1" applyFill="1" applyBorder="1" applyAlignment="1">
      <alignment horizontal="center"/>
    </xf>
    <xf numFmtId="0" fontId="1" fillId="32" borderId="0" xfId="59" quotePrefix="1" applyFill="1"/>
    <xf numFmtId="0" fontId="2" fillId="24" borderId="0" xfId="0" applyFont="1" applyFill="1" applyAlignment="1">
      <alignment horizontal="left"/>
    </xf>
    <xf numFmtId="0" fontId="0" fillId="24" borderId="14" xfId="0" applyFill="1" applyBorder="1" applyAlignment="1">
      <alignment horizontal="center"/>
    </xf>
    <xf numFmtId="0" fontId="2" fillId="24" borderId="13" xfId="0" applyFont="1" applyFill="1" applyBorder="1"/>
    <xf numFmtId="0" fontId="2" fillId="24" borderId="15" xfId="0" applyFont="1" applyFill="1" applyBorder="1" applyAlignment="1">
      <alignment horizontal="center"/>
    </xf>
    <xf numFmtId="0" fontId="3" fillId="24" borderId="13" xfId="0" applyFont="1" applyFill="1" applyBorder="1"/>
    <xf numFmtId="0" fontId="0" fillId="24" borderId="11" xfId="0" applyFill="1" applyBorder="1"/>
    <xf numFmtId="0" fontId="0" fillId="24" borderId="16" xfId="0" applyFill="1" applyBorder="1" applyAlignment="1">
      <alignment horizontal="center"/>
    </xf>
    <xf numFmtId="164" fontId="0" fillId="25" borderId="0" xfId="0" applyNumberFormat="1" applyFill="1"/>
    <xf numFmtId="0" fontId="0" fillId="0" borderId="0" xfId="0"/>
    <xf numFmtId="0" fontId="15" fillId="28" borderId="0" xfId="0" applyFont="1" applyFill="1"/>
    <xf numFmtId="0" fontId="15" fillId="28" borderId="0" xfId="0" applyFont="1" applyFill="1" applyAlignment="1">
      <alignment horizontal="center"/>
    </xf>
    <xf numFmtId="0" fontId="15" fillId="27" borderId="0" xfId="0" applyFont="1" applyFill="1"/>
    <xf numFmtId="0" fontId="0" fillId="25" borderId="0" xfId="0" applyFill="1"/>
    <xf numFmtId="0" fontId="0" fillId="25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37" fillId="24" borderId="0" xfId="0" applyFont="1" applyFill="1"/>
    <xf numFmtId="2" fontId="3" fillId="24" borderId="0" xfId="0" applyNumberFormat="1" applyFont="1" applyFill="1" applyAlignment="1">
      <alignment horizontal="center"/>
    </xf>
    <xf numFmtId="1" fontId="37" fillId="24" borderId="0" xfId="0" applyNumberFormat="1" applyFont="1" applyFill="1"/>
    <xf numFmtId="2" fontId="37" fillId="24" borderId="0" xfId="0" applyNumberFormat="1" applyFont="1" applyFill="1"/>
    <xf numFmtId="164" fontId="37" fillId="24" borderId="0" xfId="0" applyNumberFormat="1" applyFont="1" applyFill="1"/>
    <xf numFmtId="0" fontId="38" fillId="24" borderId="10" xfId="0" applyNumberFormat="1" applyFont="1" applyFill="1" applyBorder="1" applyAlignment="1">
      <alignment horizontal="center"/>
    </xf>
    <xf numFmtId="0" fontId="2" fillId="24" borderId="10" xfId="0" applyFont="1" applyFill="1" applyBorder="1" applyAlignment="1"/>
    <xf numFmtId="2" fontId="8" fillId="24" borderId="0" xfId="0" applyNumberFormat="1" applyFont="1" applyFill="1" applyAlignment="1">
      <alignment horizontal="center"/>
    </xf>
    <xf numFmtId="0" fontId="0" fillId="32" borderId="0" xfId="0" applyFill="1" applyAlignment="1"/>
    <xf numFmtId="0" fontId="0" fillId="24" borderId="0" xfId="0" applyFill="1" applyAlignment="1"/>
    <xf numFmtId="2" fontId="0" fillId="24" borderId="0" xfId="0" applyNumberFormat="1" applyFill="1" applyAlignment="1"/>
    <xf numFmtId="0" fontId="0" fillId="24" borderId="13" xfId="0" applyFill="1" applyBorder="1"/>
    <xf numFmtId="0" fontId="0" fillId="24" borderId="17" xfId="0" applyFill="1" applyBorder="1"/>
    <xf numFmtId="0" fontId="3" fillId="24" borderId="17" xfId="0" applyFont="1" applyFill="1" applyBorder="1"/>
    <xf numFmtId="0" fontId="3" fillId="24" borderId="17" xfId="0" applyFont="1" applyFill="1" applyBorder="1" applyAlignment="1">
      <alignment horizontal="left" wrapText="1"/>
    </xf>
    <xf numFmtId="0" fontId="0" fillId="24" borderId="13" xfId="0" applyFill="1" applyBorder="1" applyAlignment="1">
      <alignment horizontal="center"/>
    </xf>
    <xf numFmtId="0" fontId="0" fillId="24" borderId="17" xfId="0" applyFill="1" applyBorder="1" applyAlignment="1">
      <alignment horizontal="center"/>
    </xf>
    <xf numFmtId="164" fontId="0" fillId="31" borderId="0" xfId="0" applyNumberFormat="1" applyFill="1" applyAlignment="1">
      <alignment horizontal="center"/>
    </xf>
    <xf numFmtId="0" fontId="0" fillId="31" borderId="0" xfId="0" quotePrefix="1" applyFill="1" applyAlignment="1">
      <alignment horizontal="center"/>
    </xf>
    <xf numFmtId="0" fontId="3" fillId="31" borderId="0" xfId="0" applyFont="1" applyFill="1"/>
    <xf numFmtId="0" fontId="3" fillId="31" borderId="0" xfId="0" applyFont="1" applyFill="1" applyBorder="1" applyAlignment="1" applyProtection="1">
      <protection locked="0"/>
    </xf>
    <xf numFmtId="0" fontId="3" fillId="31" borderId="0" xfId="0" applyFont="1" applyFill="1" applyAlignment="1">
      <alignment horizontal="center"/>
    </xf>
    <xf numFmtId="0" fontId="15" fillId="24" borderId="11" xfId="0" applyFont="1" applyFill="1" applyBorder="1"/>
    <xf numFmtId="0" fontId="15" fillId="24" borderId="11" xfId="0" applyFont="1" applyFill="1" applyBorder="1" applyAlignment="1">
      <alignment horizontal="center"/>
    </xf>
    <xf numFmtId="0" fontId="41" fillId="0" borderId="0" xfId="0" applyFont="1"/>
    <xf numFmtId="0" fontId="5" fillId="27" borderId="0" xfId="0" applyFont="1" applyFill="1"/>
    <xf numFmtId="0" fontId="2" fillId="28" borderId="10" xfId="0" applyFont="1" applyFill="1" applyBorder="1"/>
    <xf numFmtId="0" fontId="2" fillId="28" borderId="10" xfId="0" applyFont="1" applyFill="1" applyBorder="1" applyAlignment="1">
      <alignment horizontal="center"/>
    </xf>
    <xf numFmtId="0" fontId="2" fillId="27" borderId="10" xfId="0" applyFont="1" applyFill="1" applyBorder="1"/>
    <xf numFmtId="0" fontId="5" fillId="24" borderId="0" xfId="0" applyFont="1" applyFill="1"/>
    <xf numFmtId="3" fontId="0" fillId="31" borderId="0" xfId="0" quotePrefix="1" applyNumberFormat="1" applyFill="1" applyAlignment="1">
      <alignment horizontal="center"/>
    </xf>
    <xf numFmtId="0" fontId="0" fillId="30" borderId="0" xfId="0" applyFill="1"/>
    <xf numFmtId="0" fontId="42" fillId="24" borderId="0" xfId="0" applyFont="1" applyFill="1"/>
    <xf numFmtId="0" fontId="42" fillId="24" borderId="0" xfId="0" applyFont="1" applyFill="1" applyAlignment="1">
      <alignment horizontal="center"/>
    </xf>
    <xf numFmtId="0" fontId="42" fillId="24" borderId="0" xfId="0" applyFont="1" applyFill="1" applyBorder="1"/>
    <xf numFmtId="164" fontId="42" fillId="24" borderId="0" xfId="0" applyNumberFormat="1" applyFont="1" applyFill="1" applyAlignment="1">
      <alignment horizontal="center"/>
    </xf>
    <xf numFmtId="0" fontId="0" fillId="32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24" borderId="11" xfId="0" applyFill="1" applyBorder="1"/>
    <xf numFmtId="0" fontId="0" fillId="27" borderId="16" xfId="0" applyFill="1" applyBorder="1"/>
    <xf numFmtId="164" fontId="3" fillId="24" borderId="0" xfId="0" applyNumberFormat="1" applyFont="1" applyFill="1" applyBorder="1"/>
    <xf numFmtId="0" fontId="5" fillId="0" borderId="0" xfId="44" applyFont="1"/>
    <xf numFmtId="0" fontId="1" fillId="0" borderId="0" xfId="44"/>
    <xf numFmtId="0" fontId="2" fillId="0" borderId="0" xfId="44" applyFont="1" applyAlignment="1">
      <alignment horizontal="left"/>
    </xf>
    <xf numFmtId="0" fontId="2" fillId="0" borderId="0" xfId="44" applyFont="1" applyAlignment="1">
      <alignment horizontal="center"/>
    </xf>
    <xf numFmtId="0" fontId="2" fillId="24" borderId="10" xfId="44" applyFont="1" applyFill="1" applyBorder="1"/>
    <xf numFmtId="0" fontId="2" fillId="24" borderId="10" xfId="44" applyFont="1" applyFill="1" applyBorder="1" applyAlignment="1">
      <alignment horizontal="center"/>
    </xf>
    <xf numFmtId="0" fontId="3" fillId="24" borderId="10" xfId="44" applyFont="1" applyFill="1" applyBorder="1"/>
    <xf numFmtId="0" fontId="14" fillId="0" borderId="0" xfId="50" applyAlignment="1">
      <alignment horizontal="center"/>
    </xf>
    <xf numFmtId="0" fontId="5" fillId="0" borderId="0" xfId="51" applyFont="1"/>
    <xf numFmtId="0" fontId="3" fillId="0" borderId="0" xfId="51"/>
    <xf numFmtId="0" fontId="37" fillId="0" borderId="0" xfId="43"/>
    <xf numFmtId="0" fontId="2" fillId="24" borderId="10" xfId="51" applyFont="1" applyFill="1" applyBorder="1"/>
    <xf numFmtId="0" fontId="2" fillId="24" borderId="10" xfId="51" applyFont="1" applyFill="1" applyBorder="1" applyAlignment="1">
      <alignment horizontal="center"/>
    </xf>
    <xf numFmtId="0" fontId="3" fillId="32" borderId="0" xfId="51" applyFill="1"/>
    <xf numFmtId="0" fontId="3" fillId="0" borderId="0" xfId="51" applyAlignment="1">
      <alignment horizontal="center"/>
    </xf>
    <xf numFmtId="0" fontId="37" fillId="0" borderId="0" xfId="43" applyAlignment="1">
      <alignment horizontal="center"/>
    </xf>
    <xf numFmtId="0" fontId="3" fillId="24" borderId="10" xfId="51" applyFont="1" applyFill="1" applyBorder="1"/>
    <xf numFmtId="0" fontId="3" fillId="24" borderId="10" xfId="51" applyFont="1" applyFill="1" applyBorder="1" applyAlignment="1">
      <alignment horizontal="center"/>
    </xf>
    <xf numFmtId="0" fontId="3" fillId="32" borderId="0" xfId="51" applyFill="1" applyAlignment="1">
      <alignment horizontal="center"/>
    </xf>
    <xf numFmtId="164" fontId="3" fillId="32" borderId="0" xfId="51" applyNumberFormat="1" applyFill="1" applyAlignment="1">
      <alignment horizontal="center"/>
    </xf>
    <xf numFmtId="0" fontId="3" fillId="32" borderId="12" xfId="51" applyFill="1" applyBorder="1"/>
    <xf numFmtId="0" fontId="3" fillId="32" borderId="12" xfId="51" applyFill="1" applyBorder="1" applyAlignment="1">
      <alignment horizontal="center"/>
    </xf>
    <xf numFmtId="164" fontId="3" fillId="32" borderId="12" xfId="51" applyNumberFormat="1" applyFill="1" applyBorder="1" applyAlignment="1">
      <alignment horizontal="center"/>
    </xf>
    <xf numFmtId="0" fontId="3" fillId="0" borderId="0" xfId="40"/>
    <xf numFmtId="1" fontId="3" fillId="32" borderId="0" xfId="51" applyNumberFormat="1" applyFill="1" applyAlignment="1">
      <alignment horizontal="center"/>
    </xf>
    <xf numFmtId="1" fontId="3" fillId="32" borderId="12" xfId="51" applyNumberFormat="1" applyFill="1" applyBorder="1" applyAlignment="1">
      <alignment horizontal="center"/>
    </xf>
    <xf numFmtId="0" fontId="0" fillId="24" borderId="0" xfId="0" applyFill="1" applyBorder="1"/>
    <xf numFmtId="1" fontId="3" fillId="24" borderId="0" xfId="0" applyNumberFormat="1" applyFont="1" applyFill="1" applyBorder="1"/>
    <xf numFmtId="0" fontId="0" fillId="37" borderId="0" xfId="0" applyFill="1"/>
    <xf numFmtId="0" fontId="0" fillId="37" borderId="0" xfId="0" applyFill="1" applyAlignment="1">
      <alignment horizontal="center"/>
    </xf>
  </cellXfs>
  <cellStyles count="6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ad 2" xfId="26"/>
    <cellStyle name="Calculation" xfId="27" builtinId="22" customBuiltin="1"/>
    <cellStyle name="Check Cell" xfId="28" builtinId="23" customBuiltin="1"/>
    <cellStyle name="Colore 2" xfId="29"/>
    <cellStyle name="Comma 2" xfId="30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0" xfId="40"/>
    <cellStyle name="Normal 13" xfId="41"/>
    <cellStyle name="Normal 2" xfId="42"/>
    <cellStyle name="Normal 2 2" xfId="43"/>
    <cellStyle name="Normal 2 3_Scen_YMPOL32-esa" xfId="44"/>
    <cellStyle name="Normal 3" xfId="45"/>
    <cellStyle name="Normal 3 2" xfId="46"/>
    <cellStyle name="Normal 3_ExcludeProcesses" xfId="47"/>
    <cellStyle name="Normal 4" xfId="48"/>
    <cellStyle name="Normal 5" xfId="49"/>
    <cellStyle name="Normal_Scen_YMPOL32-esa" xfId="50"/>
    <cellStyle name="Normal_Sheet1" xfId="51"/>
    <cellStyle name="Normale_Scen_UC_IND-StrucConst" xfId="52"/>
    <cellStyle name="Note" xfId="53" builtinId="10" customBuiltin="1"/>
    <cellStyle name="Output" xfId="54" builtinId="21" customBuiltin="1"/>
    <cellStyle name="Percent" xfId="55" builtinId="5"/>
    <cellStyle name="Percent 2" xfId="56"/>
    <cellStyle name="Percent 3" xfId="57"/>
    <cellStyle name="Standaard_Blad1" xfId="58"/>
    <cellStyle name="Standard_Sce_D_Extraction" xfId="59"/>
    <cellStyle name="Title" xfId="60" builtinId="15" customBuiltin="1"/>
    <cellStyle name="Total" xfId="61" builtinId="25" customBuiltin="1"/>
    <cellStyle name="Valore valido" xfId="62"/>
    <cellStyle name="Warning Text" xfId="6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edaModels\NordMastSep11\SuppXLS\Scen_FI_Potentia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cludeProcesses"/>
      <sheetName val="UserConstraints"/>
      <sheetName val="CUMs"/>
      <sheetName val="Costs"/>
      <sheetName val="Bounds"/>
      <sheetName val="_RenewablesData"/>
      <sheetName val="_Documentation"/>
    </sheetNames>
    <sheetDataSet>
      <sheetData sheetId="0">
        <row r="1">
          <cell r="A1" t="str">
            <v>~Scenario:FI_Potentials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opLeftCell="A55" zoomScale="80" workbookViewId="0">
      <selection activeCell="H100" sqref="H100"/>
    </sheetView>
  </sheetViews>
  <sheetFormatPr defaultRowHeight="12.75"/>
  <cols>
    <col min="1" max="1" width="12.85546875" customWidth="1"/>
    <col min="2" max="2" width="3.5703125" customWidth="1"/>
    <col min="4" max="4" width="6.42578125" customWidth="1"/>
    <col min="5" max="5" width="10.42578125" customWidth="1"/>
    <col min="6" max="6" width="12" customWidth="1"/>
  </cols>
  <sheetData>
    <row r="1" spans="1:19">
      <c r="A1" s="7" t="str">
        <f ca="1">"~Scenario:"&amp;REPLACE(REPLACE($G$1,FIND(".",$G$1),100,""),1,FIND("[",$G$1)+5,"")</f>
        <v>~Scenario:FI_SecExtra</v>
      </c>
      <c r="E1" s="220" t="b">
        <f ca="1">NOT(ISERR(FIND(".xlsx",$G$1)))</f>
        <v>1</v>
      </c>
      <c r="F1" s="140" t="s">
        <v>511</v>
      </c>
      <c r="G1" s="7" t="str">
        <f ca="1">CELL("filename",$F$1)</f>
        <v>E:\times\models\Nordic\FIFEB\Fix\[Scen_FI_SecExtra.xlsx]UPS_TFM</v>
      </c>
    </row>
    <row r="2" spans="1:19">
      <c r="I2" s="64" t="s">
        <v>353</v>
      </c>
    </row>
    <row r="4" spans="1:19">
      <c r="C4" s="10"/>
      <c r="F4" s="6"/>
    </row>
    <row r="5" spans="1:19">
      <c r="C5" s="7" t="s">
        <v>60</v>
      </c>
      <c r="K5" s="4"/>
      <c r="L5" s="5"/>
      <c r="M5" s="5"/>
      <c r="N5" s="5"/>
      <c r="O5" s="5"/>
      <c r="P5" s="4"/>
      <c r="Q5" s="5"/>
      <c r="R5" s="5"/>
    </row>
    <row r="6" spans="1:19" ht="13.5" thickBot="1">
      <c r="C6" s="8" t="s">
        <v>55</v>
      </c>
      <c r="D6" s="8" t="s">
        <v>56</v>
      </c>
      <c r="E6" s="8" t="s">
        <v>57</v>
      </c>
      <c r="F6" s="8" t="s">
        <v>20</v>
      </c>
      <c r="G6" s="8" t="s">
        <v>58</v>
      </c>
      <c r="H6" s="8" t="s">
        <v>110</v>
      </c>
      <c r="I6" s="11" t="s">
        <v>71</v>
      </c>
      <c r="J6" s="11" t="s">
        <v>351</v>
      </c>
      <c r="K6" s="8" t="s">
        <v>63</v>
      </c>
      <c r="L6" s="9" t="s">
        <v>64</v>
      </c>
      <c r="M6" s="9" t="s">
        <v>65</v>
      </c>
      <c r="N6" s="8" t="s">
        <v>66</v>
      </c>
      <c r="O6" s="9" t="s">
        <v>67</v>
      </c>
      <c r="P6" s="8" t="s">
        <v>68</v>
      </c>
      <c r="Q6" s="9" t="s">
        <v>59</v>
      </c>
      <c r="R6" s="9" t="s">
        <v>69</v>
      </c>
      <c r="S6" s="8" t="s">
        <v>320</v>
      </c>
    </row>
    <row r="7" spans="1:19">
      <c r="A7" t="s">
        <v>505</v>
      </c>
      <c r="C7" s="12"/>
      <c r="D7" s="12" t="s">
        <v>4</v>
      </c>
      <c r="E7" s="34" t="s">
        <v>61</v>
      </c>
      <c r="F7" s="13"/>
      <c r="G7" s="50" t="s">
        <v>304</v>
      </c>
      <c r="H7" s="133"/>
      <c r="I7" s="15">
        <v>0.35981915480333482</v>
      </c>
      <c r="J7" s="134">
        <f t="array" ref="J7:J26">I7:I26</f>
        <v>0.35981915480333482</v>
      </c>
      <c r="K7" s="12"/>
      <c r="L7" s="12"/>
      <c r="M7" s="12"/>
      <c r="N7" s="12" t="s">
        <v>354</v>
      </c>
      <c r="O7" s="12"/>
      <c r="P7" s="12"/>
      <c r="Q7" s="12" t="s">
        <v>355</v>
      </c>
      <c r="R7" s="12"/>
      <c r="S7" s="15"/>
    </row>
    <row r="8" spans="1:19">
      <c r="C8" s="15"/>
      <c r="D8" s="12" t="s">
        <v>4</v>
      </c>
      <c r="E8" s="34" t="s">
        <v>61</v>
      </c>
      <c r="F8" s="15"/>
      <c r="G8" s="45">
        <v>2020</v>
      </c>
      <c r="H8" s="15"/>
      <c r="I8" s="15">
        <v>0.35981915480333482</v>
      </c>
      <c r="J8" s="20">
        <v>0.35981915480333482</v>
      </c>
      <c r="K8" s="15"/>
      <c r="L8" s="15"/>
      <c r="M8" s="15"/>
      <c r="N8" s="12" t="s">
        <v>354</v>
      </c>
      <c r="O8" s="15"/>
      <c r="P8" s="15"/>
      <c r="Q8" s="12" t="s">
        <v>355</v>
      </c>
      <c r="R8" s="15"/>
      <c r="S8" s="15"/>
    </row>
    <row r="9" spans="1:19">
      <c r="C9" s="15"/>
      <c r="D9" s="12" t="s">
        <v>4</v>
      </c>
      <c r="E9" s="34" t="s">
        <v>61</v>
      </c>
      <c r="F9" s="15"/>
      <c r="G9" s="45">
        <v>2030</v>
      </c>
      <c r="H9" s="15"/>
      <c r="I9" s="15">
        <v>0.35981915480333482</v>
      </c>
      <c r="J9" s="20">
        <v>0.35981915480333482</v>
      </c>
      <c r="K9" s="15"/>
      <c r="L9" s="15"/>
      <c r="M9" s="15"/>
      <c r="N9" s="12" t="s">
        <v>354</v>
      </c>
      <c r="O9" s="15"/>
      <c r="P9" s="15"/>
      <c r="Q9" s="12" t="s">
        <v>355</v>
      </c>
      <c r="R9" s="15"/>
      <c r="S9" s="15"/>
    </row>
    <row r="10" spans="1:19">
      <c r="C10" s="15"/>
      <c r="D10" s="12" t="s">
        <v>4</v>
      </c>
      <c r="E10" s="34" t="s">
        <v>61</v>
      </c>
      <c r="F10" s="15"/>
      <c r="G10" s="45">
        <v>2040</v>
      </c>
      <c r="H10" s="15"/>
      <c r="I10" s="15">
        <v>0.35981915480333482</v>
      </c>
      <c r="J10" s="20">
        <v>0.35981915480333482</v>
      </c>
      <c r="K10" s="15"/>
      <c r="L10" s="15"/>
      <c r="M10" s="15"/>
      <c r="N10" s="12" t="s">
        <v>354</v>
      </c>
      <c r="O10" s="15"/>
      <c r="P10" s="15"/>
      <c r="Q10" s="12" t="s">
        <v>355</v>
      </c>
      <c r="R10" s="15"/>
      <c r="S10" s="15"/>
    </row>
    <row r="11" spans="1:19">
      <c r="C11" s="15"/>
      <c r="D11" s="12" t="s">
        <v>4</v>
      </c>
      <c r="E11" s="34" t="s">
        <v>61</v>
      </c>
      <c r="F11" s="15"/>
      <c r="G11" s="45">
        <v>2050</v>
      </c>
      <c r="H11" s="15"/>
      <c r="I11" s="15">
        <v>0.35981915480333482</v>
      </c>
      <c r="J11" s="20">
        <v>0.35981915480333482</v>
      </c>
      <c r="K11" s="15"/>
      <c r="L11" s="15"/>
      <c r="M11" s="15"/>
      <c r="N11" s="12" t="s">
        <v>354</v>
      </c>
      <c r="O11" s="15"/>
      <c r="P11" s="15"/>
      <c r="Q11" s="12" t="s">
        <v>355</v>
      </c>
      <c r="R11" s="15"/>
      <c r="S11" s="15"/>
    </row>
    <row r="12" spans="1:19">
      <c r="C12" s="15"/>
      <c r="D12" s="12" t="s">
        <v>4</v>
      </c>
      <c r="E12" s="34" t="s">
        <v>61</v>
      </c>
      <c r="F12" s="15"/>
      <c r="G12" s="45" t="s">
        <v>304</v>
      </c>
      <c r="H12" s="15"/>
      <c r="I12" s="15">
        <v>2.5037227085005553E-2</v>
      </c>
      <c r="J12" s="20">
        <v>2.5037227085005553E-2</v>
      </c>
      <c r="K12" s="15"/>
      <c r="L12" s="15"/>
      <c r="M12" s="15"/>
      <c r="N12" s="15" t="s">
        <v>357</v>
      </c>
      <c r="O12" s="15"/>
      <c r="P12" s="15"/>
      <c r="Q12" s="12" t="s">
        <v>355</v>
      </c>
      <c r="R12" s="15"/>
      <c r="S12" s="15"/>
    </row>
    <row r="13" spans="1:19">
      <c r="C13" s="15"/>
      <c r="D13" s="12" t="s">
        <v>4</v>
      </c>
      <c r="E13" s="34" t="s">
        <v>61</v>
      </c>
      <c r="F13" s="15"/>
      <c r="G13" s="45">
        <v>2020</v>
      </c>
      <c r="H13" s="15"/>
      <c r="I13" s="15">
        <v>7.511168125501666E-2</v>
      </c>
      <c r="J13" s="20">
        <v>7.511168125501666E-2</v>
      </c>
      <c r="K13" s="15"/>
      <c r="L13" s="15"/>
      <c r="M13" s="15"/>
      <c r="N13" s="15" t="s">
        <v>357</v>
      </c>
      <c r="O13" s="15"/>
      <c r="P13" s="15"/>
      <c r="Q13" s="12" t="s">
        <v>355</v>
      </c>
      <c r="R13" s="15"/>
      <c r="S13" s="15"/>
    </row>
    <row r="14" spans="1:19">
      <c r="C14" s="15"/>
      <c r="D14" s="12" t="s">
        <v>4</v>
      </c>
      <c r="E14" s="34" t="s">
        <v>61</v>
      </c>
      <c r="F14" s="15"/>
      <c r="G14" s="45">
        <v>2030</v>
      </c>
      <c r="H14" s="15"/>
      <c r="I14" s="15">
        <v>0.15057142857142858</v>
      </c>
      <c r="J14" s="20">
        <v>0.15057142857142858</v>
      </c>
      <c r="K14" s="15"/>
      <c r="L14" s="15"/>
      <c r="M14" s="15"/>
      <c r="N14" s="15" t="s">
        <v>357</v>
      </c>
      <c r="O14" s="15"/>
      <c r="P14" s="15"/>
      <c r="Q14" s="12" t="s">
        <v>355</v>
      </c>
      <c r="R14" s="15"/>
      <c r="S14" s="15"/>
    </row>
    <row r="15" spans="1:19">
      <c r="C15" s="15"/>
      <c r="D15" s="12" t="s">
        <v>4</v>
      </c>
      <c r="E15" s="34" t="s">
        <v>61</v>
      </c>
      <c r="F15" s="15"/>
      <c r="G15" s="45">
        <v>2040</v>
      </c>
      <c r="H15" s="15"/>
      <c r="I15" s="15">
        <v>0.18260273972602745</v>
      </c>
      <c r="J15" s="20">
        <v>0.18260273972602745</v>
      </c>
      <c r="K15" s="15"/>
      <c r="L15" s="15"/>
      <c r="M15" s="15"/>
      <c r="N15" s="15" t="s">
        <v>357</v>
      </c>
      <c r="O15" s="15"/>
      <c r="P15" s="15"/>
      <c r="Q15" s="12" t="s">
        <v>355</v>
      </c>
      <c r="R15" s="15"/>
      <c r="S15" s="15"/>
    </row>
    <row r="16" spans="1:19">
      <c r="C16" s="15"/>
      <c r="D16" s="12" t="s">
        <v>4</v>
      </c>
      <c r="E16" s="34" t="s">
        <v>61</v>
      </c>
      <c r="F16" s="15"/>
      <c r="G16" s="45">
        <v>2050</v>
      </c>
      <c r="H16" s="15"/>
      <c r="I16" s="15">
        <v>0.20666666666666672</v>
      </c>
      <c r="J16" s="20">
        <v>0.20666666666666672</v>
      </c>
      <c r="K16" s="15"/>
      <c r="L16" s="15"/>
      <c r="M16" s="15"/>
      <c r="N16" s="15" t="s">
        <v>357</v>
      </c>
      <c r="O16" s="15"/>
      <c r="P16" s="15"/>
      <c r="Q16" s="12" t="s">
        <v>355</v>
      </c>
      <c r="R16" s="15"/>
      <c r="S16" s="15"/>
    </row>
    <row r="17" spans="3:19">
      <c r="C17" s="15"/>
      <c r="D17" s="12" t="s">
        <v>4</v>
      </c>
      <c r="E17" s="34" t="s">
        <v>61</v>
      </c>
      <c r="F17" s="15"/>
      <c r="G17" s="45" t="s">
        <v>304</v>
      </c>
      <c r="H17" s="15"/>
      <c r="I17" s="15">
        <v>0</v>
      </c>
      <c r="J17" s="20">
        <v>0</v>
      </c>
      <c r="K17" s="15"/>
      <c r="L17" s="15"/>
      <c r="M17" s="15"/>
      <c r="N17" s="15" t="s">
        <v>358</v>
      </c>
      <c r="O17" s="15"/>
      <c r="P17" s="15"/>
      <c r="Q17" s="12" t="s">
        <v>355</v>
      </c>
      <c r="R17" s="15"/>
      <c r="S17" s="15"/>
    </row>
    <row r="18" spans="3:19">
      <c r="C18" s="15"/>
      <c r="D18" s="12" t="s">
        <v>4</v>
      </c>
      <c r="E18" s="34" t="s">
        <v>61</v>
      </c>
      <c r="F18" s="15"/>
      <c r="G18" s="45">
        <v>2020</v>
      </c>
      <c r="H18" s="15"/>
      <c r="I18" s="15">
        <v>0.16200247707522308</v>
      </c>
      <c r="J18" s="20">
        <v>0.16200247707522308</v>
      </c>
      <c r="K18" s="15"/>
      <c r="L18" s="15"/>
      <c r="M18" s="15"/>
      <c r="N18" s="15" t="s">
        <v>358</v>
      </c>
      <c r="O18" s="15"/>
      <c r="P18" s="15"/>
      <c r="Q18" s="12" t="s">
        <v>355</v>
      </c>
      <c r="R18" s="15"/>
      <c r="S18" s="15"/>
    </row>
    <row r="19" spans="3:19">
      <c r="C19" s="15"/>
      <c r="D19" s="12" t="s">
        <v>4</v>
      </c>
      <c r="E19" s="34" t="s">
        <v>61</v>
      </c>
      <c r="F19" s="15"/>
      <c r="G19" s="45">
        <v>2030</v>
      </c>
      <c r="H19" s="15"/>
      <c r="I19" s="15">
        <v>0.2176318255888221</v>
      </c>
      <c r="J19" s="20">
        <v>0.2176318255888221</v>
      </c>
      <c r="K19" s="15"/>
      <c r="L19" s="15"/>
      <c r="M19" s="15"/>
      <c r="N19" s="15" t="s">
        <v>358</v>
      </c>
      <c r="O19" s="15"/>
      <c r="P19" s="15"/>
      <c r="Q19" s="12" t="s">
        <v>355</v>
      </c>
      <c r="R19" s="15"/>
      <c r="S19" s="15"/>
    </row>
    <row r="20" spans="3:19">
      <c r="C20" s="15"/>
      <c r="D20" s="12" t="s">
        <v>4</v>
      </c>
      <c r="E20" s="34" t="s">
        <v>61</v>
      </c>
      <c r="F20" s="15"/>
      <c r="G20" s="45">
        <v>2040</v>
      </c>
      <c r="H20" s="15"/>
      <c r="I20" s="15">
        <v>0.22841613931431237</v>
      </c>
      <c r="J20" s="20">
        <v>0.22841613931431237</v>
      </c>
      <c r="K20" s="15"/>
      <c r="L20" s="15"/>
      <c r="M20" s="15"/>
      <c r="N20" s="15" t="s">
        <v>358</v>
      </c>
      <c r="O20" s="15"/>
      <c r="P20" s="15"/>
      <c r="Q20" s="12" t="s">
        <v>355</v>
      </c>
      <c r="R20" s="15"/>
      <c r="S20" s="15"/>
    </row>
    <row r="21" spans="3:19">
      <c r="C21" s="15"/>
      <c r="D21" s="12" t="s">
        <v>4</v>
      </c>
      <c r="E21" s="34" t="s">
        <v>61</v>
      </c>
      <c r="F21" s="15"/>
      <c r="G21" s="45">
        <v>2050</v>
      </c>
      <c r="H21" s="15"/>
      <c r="I21" s="15">
        <v>0.24802398245156732</v>
      </c>
      <c r="J21" s="20">
        <v>0.24802398245156732</v>
      </c>
      <c r="K21" s="15"/>
      <c r="L21" s="15"/>
      <c r="M21" s="15"/>
      <c r="N21" s="15" t="s">
        <v>358</v>
      </c>
      <c r="O21" s="15"/>
      <c r="P21" s="15"/>
      <c r="Q21" s="12" t="s">
        <v>355</v>
      </c>
      <c r="R21" s="15"/>
      <c r="S21" s="15"/>
    </row>
    <row r="22" spans="3:19">
      <c r="C22" s="15"/>
      <c r="D22" s="12" t="s">
        <v>4</v>
      </c>
      <c r="E22" s="34" t="s">
        <v>61</v>
      </c>
      <c r="F22" s="15"/>
      <c r="G22" s="45" t="s">
        <v>304</v>
      </c>
      <c r="H22" s="15"/>
      <c r="I22" s="15">
        <v>0.59196054499903461</v>
      </c>
      <c r="J22" s="20">
        <v>0.59196054499903461</v>
      </c>
      <c r="K22" s="15"/>
      <c r="L22" s="15"/>
      <c r="M22" s="15"/>
      <c r="N22" s="15" t="s">
        <v>356</v>
      </c>
      <c r="O22" s="15"/>
      <c r="P22" s="15"/>
      <c r="Q22" s="12" t="s">
        <v>368</v>
      </c>
      <c r="R22" s="15"/>
      <c r="S22" s="15"/>
    </row>
    <row r="23" spans="3:19">
      <c r="C23" s="15"/>
      <c r="D23" s="12" t="s">
        <v>4</v>
      </c>
      <c r="E23" s="34" t="s">
        <v>61</v>
      </c>
      <c r="F23" s="15"/>
      <c r="G23" s="45">
        <v>2020</v>
      </c>
      <c r="H23" s="15"/>
      <c r="I23" s="15">
        <v>0.59196054499903461</v>
      </c>
      <c r="J23" s="20">
        <v>0.59196054499903461</v>
      </c>
      <c r="K23" s="15"/>
      <c r="L23" s="15"/>
      <c r="M23" s="15"/>
      <c r="N23" s="15" t="s">
        <v>356</v>
      </c>
      <c r="O23" s="15"/>
      <c r="P23" s="15"/>
      <c r="Q23" s="12" t="s">
        <v>368</v>
      </c>
      <c r="R23" s="15"/>
      <c r="S23" s="15"/>
    </row>
    <row r="24" spans="3:19">
      <c r="C24" s="15"/>
      <c r="D24" s="12" t="s">
        <v>4</v>
      </c>
      <c r="E24" s="34" t="s">
        <v>61</v>
      </c>
      <c r="F24" s="15"/>
      <c r="G24" s="45">
        <v>2030</v>
      </c>
      <c r="H24" s="15"/>
      <c r="I24" s="15">
        <v>0.59196054499903461</v>
      </c>
      <c r="J24" s="20">
        <v>0.59196054499903461</v>
      </c>
      <c r="K24" s="15"/>
      <c r="L24" s="15"/>
      <c r="M24" s="15"/>
      <c r="N24" s="15" t="s">
        <v>356</v>
      </c>
      <c r="O24" s="15"/>
      <c r="P24" s="15"/>
      <c r="Q24" s="12" t="s">
        <v>368</v>
      </c>
      <c r="R24" s="15"/>
      <c r="S24" s="15"/>
    </row>
    <row r="25" spans="3:19">
      <c r="C25" s="15"/>
      <c r="D25" s="12" t="s">
        <v>4</v>
      </c>
      <c r="E25" s="34" t="s">
        <v>61</v>
      </c>
      <c r="F25" s="15"/>
      <c r="G25" s="45">
        <v>2040</v>
      </c>
      <c r="H25" s="15"/>
      <c r="I25" s="15">
        <v>0.59196054499903461</v>
      </c>
      <c r="J25" s="20">
        <v>0.59196054499903461</v>
      </c>
      <c r="K25" s="15"/>
      <c r="L25" s="15"/>
      <c r="M25" s="15"/>
      <c r="N25" s="15" t="s">
        <v>356</v>
      </c>
      <c r="O25" s="15"/>
      <c r="P25" s="15"/>
      <c r="Q25" s="12" t="s">
        <v>368</v>
      </c>
      <c r="R25" s="15"/>
      <c r="S25" s="15"/>
    </row>
    <row r="26" spans="3:19">
      <c r="C26" s="15"/>
      <c r="D26" s="12" t="s">
        <v>4</v>
      </c>
      <c r="E26" s="34" t="s">
        <v>61</v>
      </c>
      <c r="F26" s="15"/>
      <c r="G26" s="45">
        <v>2050</v>
      </c>
      <c r="H26" s="15"/>
      <c r="I26" s="15">
        <v>0.59196054499903461</v>
      </c>
      <c r="J26" s="20">
        <v>0.59196054499903461</v>
      </c>
      <c r="K26" s="15"/>
      <c r="L26" s="15"/>
      <c r="M26" s="15"/>
      <c r="N26" s="15" t="s">
        <v>356</v>
      </c>
      <c r="O26" s="15"/>
      <c r="P26" s="15"/>
      <c r="Q26" s="12" t="s">
        <v>368</v>
      </c>
      <c r="R26" s="15"/>
      <c r="S26" s="15"/>
    </row>
    <row r="27" spans="3:19">
      <c r="C27" s="15"/>
      <c r="D27" s="12" t="s">
        <v>4</v>
      </c>
      <c r="E27" s="34" t="s">
        <v>61</v>
      </c>
      <c r="F27" s="15"/>
      <c r="G27" s="45">
        <v>2030</v>
      </c>
      <c r="H27" s="15"/>
      <c r="I27" s="15">
        <v>0.15057142857142858</v>
      </c>
      <c r="J27" s="189">
        <v>0</v>
      </c>
      <c r="K27" s="20"/>
      <c r="L27" s="15"/>
      <c r="M27" s="15"/>
      <c r="N27" s="15" t="s">
        <v>414</v>
      </c>
      <c r="O27" s="15"/>
      <c r="P27" s="15"/>
      <c r="Q27" s="20" t="s">
        <v>355</v>
      </c>
      <c r="R27" s="15"/>
      <c r="S27" s="15"/>
    </row>
    <row r="28" spans="3:19">
      <c r="C28" s="15"/>
      <c r="D28" s="12" t="s">
        <v>4</v>
      </c>
      <c r="E28" s="34" t="s">
        <v>61</v>
      </c>
      <c r="F28" s="15"/>
      <c r="G28" s="45">
        <v>2040</v>
      </c>
      <c r="H28" s="15"/>
      <c r="I28" s="15">
        <v>0.15057142857142858</v>
      </c>
      <c r="J28" s="189">
        <v>0</v>
      </c>
      <c r="K28" s="20"/>
      <c r="L28" s="15"/>
      <c r="M28" s="15"/>
      <c r="N28" s="15" t="s">
        <v>414</v>
      </c>
      <c r="O28" s="15"/>
      <c r="P28" s="15"/>
      <c r="Q28" s="20" t="s">
        <v>355</v>
      </c>
      <c r="R28" s="15"/>
      <c r="S28" s="15"/>
    </row>
    <row r="29" spans="3:19">
      <c r="C29" s="15"/>
      <c r="D29" s="12" t="s">
        <v>4</v>
      </c>
      <c r="E29" s="34" t="s">
        <v>61</v>
      </c>
      <c r="F29" s="15"/>
      <c r="G29" s="45">
        <v>2050</v>
      </c>
      <c r="H29" s="15"/>
      <c r="I29" s="15">
        <v>0.15057142857142858</v>
      </c>
      <c r="J29" s="189">
        <v>0</v>
      </c>
      <c r="K29" s="20"/>
      <c r="L29" s="15"/>
      <c r="M29" s="15"/>
      <c r="N29" s="15" t="s">
        <v>414</v>
      </c>
      <c r="O29" s="15"/>
      <c r="P29" s="15"/>
      <c r="Q29" s="20" t="s">
        <v>355</v>
      </c>
      <c r="R29" s="15"/>
      <c r="S29" s="15"/>
    </row>
    <row r="30" spans="3:19">
      <c r="C30" s="39"/>
      <c r="D30" s="125"/>
      <c r="E30" s="136" t="s">
        <v>301</v>
      </c>
      <c r="F30" s="39"/>
      <c r="G30" s="152"/>
      <c r="H30" s="39"/>
      <c r="I30" s="39"/>
      <c r="J30" s="39"/>
      <c r="K30" s="39"/>
      <c r="L30" s="39"/>
      <c r="M30" s="39"/>
      <c r="N30" s="39"/>
      <c r="O30" s="39"/>
      <c r="P30" s="39"/>
      <c r="Q30" s="125"/>
      <c r="R30" s="39"/>
      <c r="S30" s="39"/>
    </row>
    <row r="31" spans="3:19">
      <c r="C31" s="15" t="s">
        <v>118</v>
      </c>
      <c r="D31" s="12" t="s">
        <v>4</v>
      </c>
      <c r="E31" s="34" t="s">
        <v>7</v>
      </c>
      <c r="F31" s="15"/>
      <c r="G31" s="45">
        <v>2020</v>
      </c>
      <c r="H31" s="15"/>
      <c r="I31" s="15">
        <v>10</v>
      </c>
      <c r="J31" s="15"/>
      <c r="K31" s="15"/>
      <c r="L31" s="15"/>
      <c r="M31" s="15"/>
      <c r="N31" s="15" t="s">
        <v>359</v>
      </c>
      <c r="O31" s="15"/>
      <c r="P31" s="15"/>
      <c r="Q31" s="12"/>
      <c r="R31" s="15"/>
      <c r="S31" s="15"/>
    </row>
    <row r="32" spans="3:19">
      <c r="C32" s="15" t="s">
        <v>118</v>
      </c>
      <c r="D32" s="12" t="s">
        <v>4</v>
      </c>
      <c r="E32" s="34" t="s">
        <v>7</v>
      </c>
      <c r="F32" s="15"/>
      <c r="G32" s="45">
        <v>2050</v>
      </c>
      <c r="H32" s="15"/>
      <c r="I32" s="15">
        <f>I31+3*15</f>
        <v>55</v>
      </c>
      <c r="J32" s="15"/>
      <c r="K32" s="15"/>
      <c r="L32" s="15"/>
      <c r="M32" s="15"/>
      <c r="N32" s="15" t="s">
        <v>359</v>
      </c>
      <c r="O32" s="15"/>
      <c r="P32" s="15"/>
      <c r="Q32" s="12"/>
      <c r="R32" s="15"/>
      <c r="S32" s="15"/>
    </row>
    <row r="33" spans="3:19">
      <c r="C33" s="15" t="s">
        <v>118</v>
      </c>
      <c r="D33" s="12" t="s">
        <v>4</v>
      </c>
      <c r="E33" s="34" t="s">
        <v>7</v>
      </c>
      <c r="F33" s="15"/>
      <c r="G33" s="45">
        <v>2020</v>
      </c>
      <c r="H33" s="15"/>
      <c r="I33" s="109">
        <f>250*43/1000</f>
        <v>10.75</v>
      </c>
      <c r="J33" s="15"/>
      <c r="K33" s="15"/>
      <c r="L33" s="15"/>
      <c r="M33" s="15"/>
      <c r="N33" s="15" t="s">
        <v>360</v>
      </c>
      <c r="O33" s="15"/>
      <c r="P33" s="15"/>
      <c r="Q33" s="12"/>
      <c r="R33" s="15"/>
      <c r="S33" s="15"/>
    </row>
    <row r="34" spans="3:19">
      <c r="C34" s="15" t="s">
        <v>118</v>
      </c>
      <c r="D34" s="12" t="s">
        <v>4</v>
      </c>
      <c r="E34" s="34" t="s">
        <v>7</v>
      </c>
      <c r="F34" s="15"/>
      <c r="G34" s="45">
        <v>2040</v>
      </c>
      <c r="H34" s="15"/>
      <c r="I34" s="15">
        <v>25</v>
      </c>
      <c r="J34" s="15"/>
      <c r="K34" s="15"/>
      <c r="L34" s="15"/>
      <c r="M34" s="15"/>
      <c r="N34" s="15" t="s">
        <v>360</v>
      </c>
      <c r="O34" s="15"/>
      <c r="P34" s="15"/>
      <c r="Q34" s="12"/>
      <c r="R34" s="15"/>
      <c r="S34" s="15"/>
    </row>
    <row r="35" spans="3:19">
      <c r="C35" s="15" t="s">
        <v>118</v>
      </c>
      <c r="D35" s="12" t="s">
        <v>4</v>
      </c>
      <c r="E35" s="34" t="s">
        <v>7</v>
      </c>
      <c r="F35" s="15"/>
      <c r="G35" s="45">
        <v>2030</v>
      </c>
      <c r="H35" s="15"/>
      <c r="I35" s="15">
        <v>30</v>
      </c>
      <c r="J35" s="15"/>
      <c r="K35" s="15"/>
      <c r="L35" s="15"/>
      <c r="M35" s="15"/>
      <c r="N35" s="15" t="s">
        <v>361</v>
      </c>
      <c r="O35" s="15"/>
      <c r="P35" s="15"/>
      <c r="Q35" s="12"/>
      <c r="R35" s="15"/>
      <c r="S35" s="15"/>
    </row>
    <row r="36" spans="3:19">
      <c r="C36" s="15" t="s">
        <v>118</v>
      </c>
      <c r="D36" s="15" t="s">
        <v>4</v>
      </c>
      <c r="E36" s="15" t="s">
        <v>7</v>
      </c>
      <c r="F36" s="15"/>
      <c r="G36" s="101">
        <v>2030</v>
      </c>
      <c r="H36" s="15"/>
      <c r="I36" s="15">
        <v>25</v>
      </c>
      <c r="J36" s="15"/>
      <c r="K36" s="15"/>
      <c r="L36" s="15"/>
      <c r="M36" s="15"/>
      <c r="N36" s="15" t="s">
        <v>284</v>
      </c>
      <c r="O36" s="15"/>
      <c r="P36" s="15"/>
      <c r="Q36" s="15"/>
      <c r="R36" s="15"/>
      <c r="S36" s="15"/>
    </row>
    <row r="37" spans="3:19">
      <c r="C37" s="15" t="s">
        <v>118</v>
      </c>
      <c r="D37" s="15" t="s">
        <v>4</v>
      </c>
      <c r="E37" s="15" t="s">
        <v>7</v>
      </c>
      <c r="F37" s="15"/>
      <c r="G37" s="101">
        <v>2050</v>
      </c>
      <c r="H37" s="15"/>
      <c r="I37" s="15">
        <v>40</v>
      </c>
      <c r="J37" s="15"/>
      <c r="K37" s="15"/>
      <c r="L37" s="15"/>
      <c r="M37" s="15"/>
      <c r="N37" s="15" t="s">
        <v>284</v>
      </c>
      <c r="O37" s="15"/>
      <c r="P37" s="15"/>
      <c r="Q37" s="15"/>
      <c r="R37" s="15"/>
      <c r="S37" s="15"/>
    </row>
    <row r="38" spans="3:19">
      <c r="C38" s="15" t="s">
        <v>118</v>
      </c>
      <c r="D38" s="15" t="s">
        <v>4</v>
      </c>
      <c r="E38" s="15" t="s">
        <v>7</v>
      </c>
      <c r="F38" s="15"/>
      <c r="G38" s="101">
        <v>2080</v>
      </c>
      <c r="H38" s="15"/>
      <c r="I38" s="15">
        <v>60</v>
      </c>
      <c r="J38" s="15"/>
      <c r="K38" s="15"/>
      <c r="L38" s="15"/>
      <c r="M38" s="15"/>
      <c r="N38" s="15" t="s">
        <v>284</v>
      </c>
      <c r="O38" s="15"/>
      <c r="P38" s="15"/>
      <c r="Q38" s="15"/>
      <c r="R38" s="15"/>
      <c r="S38" s="15"/>
    </row>
    <row r="39" spans="3:19">
      <c r="C39" s="15" t="s">
        <v>118</v>
      </c>
      <c r="D39" s="15" t="s">
        <v>4</v>
      </c>
      <c r="E39" s="15" t="s">
        <v>7</v>
      </c>
      <c r="F39" s="15"/>
      <c r="G39" s="101">
        <v>2020</v>
      </c>
      <c r="H39" s="15"/>
      <c r="I39" s="15">
        <v>15</v>
      </c>
      <c r="J39" s="15"/>
      <c r="K39" s="15"/>
      <c r="L39" s="15"/>
      <c r="M39" s="15"/>
      <c r="N39" s="15" t="s">
        <v>308</v>
      </c>
      <c r="O39" s="15"/>
      <c r="P39" s="15"/>
      <c r="Q39" s="15"/>
      <c r="R39" s="15"/>
      <c r="S39" s="15"/>
    </row>
    <row r="40" spans="3:19">
      <c r="C40" s="15" t="s">
        <v>118</v>
      </c>
      <c r="D40" s="15" t="s">
        <v>4</v>
      </c>
      <c r="E40" s="15" t="s">
        <v>7</v>
      </c>
      <c r="F40" s="15"/>
      <c r="G40" s="101">
        <v>2060</v>
      </c>
      <c r="H40" s="15"/>
      <c r="I40" s="15">
        <v>100</v>
      </c>
      <c r="J40" s="53"/>
      <c r="K40" s="15"/>
      <c r="L40" s="15"/>
      <c r="M40" s="15"/>
      <c r="N40" s="15" t="s">
        <v>290</v>
      </c>
      <c r="O40" s="15"/>
      <c r="P40" s="15"/>
      <c r="Q40" s="15"/>
      <c r="R40" s="15"/>
      <c r="S40" s="15"/>
    </row>
    <row r="41" spans="3:19">
      <c r="C41" s="15" t="s">
        <v>118</v>
      </c>
      <c r="D41" s="15" t="s">
        <v>4</v>
      </c>
      <c r="E41" s="15" t="s">
        <v>7</v>
      </c>
      <c r="F41" s="15"/>
      <c r="G41" s="101">
        <v>2020</v>
      </c>
      <c r="H41" s="15"/>
      <c r="I41" s="53">
        <f>0.142*42</f>
        <v>5.9639999999999995</v>
      </c>
      <c r="J41" s="53">
        <f>I41*0.15</f>
        <v>0.89459999999999995</v>
      </c>
      <c r="K41" s="15"/>
      <c r="L41" s="15"/>
      <c r="M41" s="15"/>
      <c r="N41" s="15" t="s">
        <v>306</v>
      </c>
      <c r="O41" s="15"/>
      <c r="P41" s="15"/>
      <c r="Q41" s="15"/>
      <c r="R41" s="15"/>
      <c r="S41" s="15"/>
    </row>
    <row r="42" spans="3:19">
      <c r="C42" s="15" t="s">
        <v>118</v>
      </c>
      <c r="D42" s="15" t="s">
        <v>4</v>
      </c>
      <c r="E42" s="15" t="s">
        <v>7</v>
      </c>
      <c r="F42" s="15"/>
      <c r="G42" s="101">
        <v>2020</v>
      </c>
      <c r="H42" s="15"/>
      <c r="I42" s="15">
        <v>5</v>
      </c>
      <c r="J42" s="53">
        <f>I42*0.15</f>
        <v>0.75</v>
      </c>
      <c r="K42" s="15"/>
      <c r="L42" s="15"/>
      <c r="M42" s="15"/>
      <c r="N42" s="15" t="s">
        <v>309</v>
      </c>
      <c r="O42" s="15"/>
      <c r="P42" s="15"/>
      <c r="Q42" s="15"/>
      <c r="R42" s="15"/>
      <c r="S42" s="15"/>
    </row>
    <row r="43" spans="3:19">
      <c r="C43" s="15" t="s">
        <v>118</v>
      </c>
      <c r="D43" s="15" t="s">
        <v>4</v>
      </c>
      <c r="E43" s="15" t="s">
        <v>7</v>
      </c>
      <c r="F43" s="15"/>
      <c r="G43" s="101">
        <v>2030</v>
      </c>
      <c r="H43" s="15"/>
      <c r="I43" s="15">
        <v>15</v>
      </c>
      <c r="J43" s="53">
        <f>I43*0.15</f>
        <v>2.25</v>
      </c>
      <c r="K43" s="15"/>
      <c r="L43" s="15"/>
      <c r="M43" s="15"/>
      <c r="N43" s="15" t="s">
        <v>309</v>
      </c>
      <c r="O43" s="15"/>
      <c r="P43" s="15"/>
      <c r="Q43" s="15"/>
      <c r="R43" s="15"/>
      <c r="S43" s="15"/>
    </row>
    <row r="44" spans="3:19">
      <c r="C44" s="15" t="s">
        <v>118</v>
      </c>
      <c r="D44" s="15" t="s">
        <v>4</v>
      </c>
      <c r="E44" s="15" t="s">
        <v>7</v>
      </c>
      <c r="F44" s="15"/>
      <c r="G44" s="101">
        <v>2045</v>
      </c>
      <c r="H44" s="15"/>
      <c r="I44" s="15">
        <v>20</v>
      </c>
      <c r="J44" s="53">
        <f>I44*0.15</f>
        <v>3</v>
      </c>
      <c r="K44" s="15"/>
      <c r="L44" s="15"/>
      <c r="M44" s="15"/>
      <c r="N44" s="15" t="s">
        <v>309</v>
      </c>
      <c r="O44" s="15"/>
      <c r="P44" s="15"/>
      <c r="Q44" s="15"/>
      <c r="R44" s="15"/>
      <c r="S44" s="15"/>
    </row>
    <row r="45" spans="3:19">
      <c r="C45" s="15" t="s">
        <v>118</v>
      </c>
      <c r="D45" s="15" t="s">
        <v>4</v>
      </c>
      <c r="E45" s="15" t="s">
        <v>7</v>
      </c>
      <c r="F45" s="15"/>
      <c r="G45" s="101">
        <v>2030</v>
      </c>
      <c r="H45" s="15"/>
      <c r="I45" s="15">
        <v>15</v>
      </c>
      <c r="J45" s="15"/>
      <c r="K45" s="15"/>
      <c r="L45" s="15"/>
      <c r="M45" s="15"/>
      <c r="N45" s="15" t="s">
        <v>305</v>
      </c>
      <c r="O45" s="15"/>
      <c r="P45" s="15"/>
      <c r="Q45" s="15"/>
      <c r="R45" s="15"/>
      <c r="S45" s="15"/>
    </row>
    <row r="46" spans="3:19">
      <c r="C46" s="15" t="s">
        <v>118</v>
      </c>
      <c r="D46" s="15" t="s">
        <v>4</v>
      </c>
      <c r="E46" s="15" t="s">
        <v>7</v>
      </c>
      <c r="F46" s="15"/>
      <c r="G46" s="101">
        <v>2050</v>
      </c>
      <c r="H46" s="15"/>
      <c r="I46" s="15">
        <v>25</v>
      </c>
      <c r="J46" s="15"/>
      <c r="K46" s="15"/>
      <c r="L46" s="15"/>
      <c r="M46" s="15"/>
      <c r="N46" s="15" t="s">
        <v>305</v>
      </c>
      <c r="O46" s="15"/>
      <c r="P46" s="15"/>
      <c r="Q46" s="15"/>
      <c r="R46" s="15"/>
      <c r="S46" s="15"/>
    </row>
    <row r="47" spans="3:19">
      <c r="C47" s="15" t="s">
        <v>118</v>
      </c>
      <c r="D47" s="15" t="s">
        <v>4</v>
      </c>
      <c r="E47" s="15" t="s">
        <v>7</v>
      </c>
      <c r="F47" s="15"/>
      <c r="G47" s="101">
        <v>2100</v>
      </c>
      <c r="H47" s="15"/>
      <c r="I47" s="15">
        <v>30</v>
      </c>
      <c r="J47" s="15"/>
      <c r="K47" s="15"/>
      <c r="L47" s="15"/>
      <c r="M47" s="15"/>
      <c r="N47" s="15" t="s">
        <v>305</v>
      </c>
      <c r="O47" s="15"/>
      <c r="P47" s="15"/>
      <c r="Q47" s="15"/>
      <c r="R47" s="15"/>
      <c r="S47" s="15"/>
    </row>
    <row r="48" spans="3:19">
      <c r="C48" s="16" t="s">
        <v>118</v>
      </c>
      <c r="D48" s="16" t="s">
        <v>5</v>
      </c>
      <c r="E48" s="16" t="s">
        <v>7</v>
      </c>
      <c r="F48" s="16"/>
      <c r="G48" s="38">
        <v>2015</v>
      </c>
      <c r="H48" s="16"/>
      <c r="I48" s="16">
        <v>630</v>
      </c>
      <c r="J48" s="16"/>
      <c r="K48" s="16"/>
      <c r="L48" s="16"/>
      <c r="M48" s="16"/>
      <c r="N48" s="16" t="s">
        <v>176</v>
      </c>
      <c r="O48" s="16"/>
      <c r="P48" s="16"/>
      <c r="Q48" s="16"/>
      <c r="R48" s="16"/>
      <c r="S48" s="16"/>
    </row>
    <row r="49" spans="3:19">
      <c r="C49" s="16" t="s">
        <v>118</v>
      </c>
      <c r="D49" s="16" t="s">
        <v>244</v>
      </c>
      <c r="E49" s="16" t="s">
        <v>243</v>
      </c>
      <c r="F49" s="16"/>
      <c r="G49" s="75" t="s">
        <v>257</v>
      </c>
      <c r="H49" s="16"/>
      <c r="I49" s="16">
        <v>2</v>
      </c>
      <c r="J49" s="16">
        <v>2</v>
      </c>
      <c r="K49" s="16"/>
      <c r="L49" s="16"/>
      <c r="M49" s="16"/>
      <c r="N49" s="16"/>
      <c r="O49" s="16"/>
      <c r="P49" s="16"/>
      <c r="Q49" s="16" t="s">
        <v>292</v>
      </c>
      <c r="R49" s="16"/>
      <c r="S49" s="16"/>
    </row>
    <row r="50" spans="3:19">
      <c r="C50" s="39" t="s">
        <v>301</v>
      </c>
      <c r="D50" s="39"/>
      <c r="E50" s="39"/>
      <c r="F50" s="39"/>
      <c r="G50" s="7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</row>
    <row r="51" spans="3:19">
      <c r="C51" s="62" t="s">
        <v>118</v>
      </c>
      <c r="D51" s="83" t="s">
        <v>4</v>
      </c>
      <c r="E51" s="62" t="s">
        <v>7</v>
      </c>
      <c r="F51" s="62"/>
      <c r="G51" s="62">
        <v>2030</v>
      </c>
      <c r="H51" s="62"/>
      <c r="I51" s="211">
        <v>10</v>
      </c>
      <c r="J51" s="62"/>
      <c r="K51" s="62"/>
      <c r="L51" s="62"/>
      <c r="M51" s="62"/>
      <c r="N51" s="62" t="s">
        <v>468</v>
      </c>
      <c r="O51" s="62"/>
      <c r="P51" s="62"/>
      <c r="Q51" s="62"/>
      <c r="R51" s="62"/>
      <c r="S51" s="62"/>
    </row>
    <row r="52" spans="3:19">
      <c r="C52" s="62" t="s">
        <v>118</v>
      </c>
      <c r="D52" s="83" t="s">
        <v>4</v>
      </c>
      <c r="E52" s="62" t="s">
        <v>7</v>
      </c>
      <c r="F52" s="62"/>
      <c r="G52" s="62">
        <v>2020</v>
      </c>
      <c r="H52" s="62"/>
      <c r="I52" s="62">
        <v>30</v>
      </c>
      <c r="J52" s="62"/>
      <c r="K52" s="62"/>
      <c r="L52" s="62"/>
      <c r="M52" s="62"/>
      <c r="N52" s="62" t="s">
        <v>432</v>
      </c>
      <c r="O52" s="62"/>
      <c r="P52" s="62"/>
      <c r="Q52" s="62"/>
      <c r="R52" s="62"/>
      <c r="S52" s="62"/>
    </row>
    <row r="53" spans="3:19">
      <c r="C53" s="62" t="s">
        <v>118</v>
      </c>
      <c r="D53" s="83" t="s">
        <v>4</v>
      </c>
      <c r="E53" s="62" t="s">
        <v>7</v>
      </c>
      <c r="F53" s="62"/>
      <c r="G53" s="62">
        <v>2050</v>
      </c>
      <c r="H53" s="62"/>
      <c r="I53" s="62">
        <v>45</v>
      </c>
      <c r="J53" s="62"/>
      <c r="K53" s="62"/>
      <c r="L53" s="62"/>
      <c r="M53" s="62"/>
      <c r="N53" s="62" t="s">
        <v>432</v>
      </c>
      <c r="O53" s="62"/>
      <c r="P53" s="62"/>
      <c r="Q53" s="62"/>
      <c r="R53" s="62"/>
      <c r="S53" s="62"/>
    </row>
    <row r="54" spans="3:19">
      <c r="C54" s="16" t="s">
        <v>118</v>
      </c>
      <c r="D54" s="16"/>
      <c r="E54" s="16" t="s">
        <v>231</v>
      </c>
      <c r="F54" s="16"/>
      <c r="G54" s="16">
        <v>2010</v>
      </c>
      <c r="H54" s="16"/>
      <c r="I54" s="171">
        <v>0.85</v>
      </c>
      <c r="J54" s="16"/>
      <c r="K54" s="16"/>
      <c r="L54" s="16"/>
      <c r="M54" s="16"/>
      <c r="N54" s="16" t="s">
        <v>471</v>
      </c>
      <c r="O54" s="16"/>
      <c r="P54" s="16"/>
      <c r="Q54" s="16" t="s">
        <v>394</v>
      </c>
      <c r="R54" s="16"/>
      <c r="S54" s="69" t="s">
        <v>321</v>
      </c>
    </row>
    <row r="55" spans="3:19">
      <c r="C55" s="16" t="s">
        <v>118</v>
      </c>
      <c r="D55" s="16"/>
      <c r="E55" s="16" t="s">
        <v>231</v>
      </c>
      <c r="F55" s="16"/>
      <c r="G55" s="16">
        <v>2010</v>
      </c>
      <c r="H55" s="16"/>
      <c r="I55" s="171">
        <v>0.85</v>
      </c>
      <c r="J55" s="16"/>
      <c r="K55" s="16"/>
      <c r="L55" s="16"/>
      <c r="M55" s="16"/>
      <c r="N55" s="16" t="s">
        <v>472</v>
      </c>
      <c r="O55" s="16"/>
      <c r="P55" s="16"/>
      <c r="Q55" s="16" t="s">
        <v>394</v>
      </c>
      <c r="R55" s="16"/>
      <c r="S55" s="69" t="s">
        <v>321</v>
      </c>
    </row>
    <row r="56" spans="3:19">
      <c r="C56" s="15" t="s">
        <v>118</v>
      </c>
      <c r="D56" s="15"/>
      <c r="E56" s="15" t="s">
        <v>133</v>
      </c>
      <c r="F56" s="15" t="s">
        <v>97</v>
      </c>
      <c r="G56" s="15">
        <v>2010</v>
      </c>
      <c r="H56" s="53"/>
      <c r="I56" s="68">
        <v>92.707999999999998</v>
      </c>
      <c r="J56" s="67"/>
      <c r="K56" s="15"/>
      <c r="L56" s="15"/>
      <c r="M56" s="15"/>
      <c r="N56" s="15" t="s">
        <v>429</v>
      </c>
      <c r="O56" s="15"/>
      <c r="P56" s="15"/>
      <c r="Q56" s="15" t="s">
        <v>434</v>
      </c>
      <c r="R56" s="15"/>
      <c r="S56" s="15"/>
    </row>
    <row r="57" spans="3:19">
      <c r="C57" s="15" t="s">
        <v>118</v>
      </c>
      <c r="D57" s="15"/>
      <c r="E57" s="15" t="s">
        <v>133</v>
      </c>
      <c r="F57" s="15" t="s">
        <v>433</v>
      </c>
      <c r="G57" s="15">
        <v>2010</v>
      </c>
      <c r="H57" s="53"/>
      <c r="I57" s="68">
        <v>102.80200000000001</v>
      </c>
      <c r="J57" s="67"/>
      <c r="K57" s="15"/>
      <c r="L57" s="15"/>
      <c r="M57" s="15"/>
      <c r="N57" s="15" t="s">
        <v>429</v>
      </c>
      <c r="O57" s="15"/>
      <c r="P57" s="15"/>
      <c r="Q57" s="15" t="s">
        <v>434</v>
      </c>
      <c r="R57" s="15"/>
      <c r="S57" s="15"/>
    </row>
    <row r="58" spans="3:19">
      <c r="C58" s="15" t="s">
        <v>118</v>
      </c>
      <c r="D58" s="15"/>
      <c r="E58" s="15" t="s">
        <v>133</v>
      </c>
      <c r="F58" s="15" t="s">
        <v>435</v>
      </c>
      <c r="G58" s="15">
        <v>2010</v>
      </c>
      <c r="H58" s="53"/>
      <c r="I58" s="68">
        <v>76.626000000000005</v>
      </c>
      <c r="J58" s="67"/>
      <c r="K58" s="15"/>
      <c r="L58" s="15"/>
      <c r="M58" s="15"/>
      <c r="N58" s="15" t="s">
        <v>429</v>
      </c>
      <c r="O58" s="15"/>
      <c r="P58" s="15"/>
      <c r="Q58" s="15" t="s">
        <v>434</v>
      </c>
      <c r="R58" s="15"/>
      <c r="S58" s="15"/>
    </row>
    <row r="59" spans="3:19">
      <c r="C59" s="15" t="s">
        <v>118</v>
      </c>
      <c r="D59" s="15"/>
      <c r="E59" s="15" t="s">
        <v>133</v>
      </c>
      <c r="F59" s="15" t="s">
        <v>428</v>
      </c>
      <c r="G59" s="15">
        <v>2010</v>
      </c>
      <c r="H59" s="15"/>
      <c r="I59" s="52">
        <v>1</v>
      </c>
      <c r="J59" s="39"/>
      <c r="K59" s="15"/>
      <c r="L59" s="15"/>
      <c r="M59" s="15"/>
      <c r="N59" s="15" t="s">
        <v>429</v>
      </c>
      <c r="O59" s="15"/>
      <c r="P59" s="15"/>
      <c r="Q59" s="15" t="s">
        <v>430</v>
      </c>
      <c r="R59" s="15"/>
      <c r="S59" s="15"/>
    </row>
    <row r="60" spans="3:19">
      <c r="C60" s="15" t="s">
        <v>118</v>
      </c>
      <c r="D60" s="15"/>
      <c r="E60" s="15" t="s">
        <v>133</v>
      </c>
      <c r="F60" s="15" t="s">
        <v>431</v>
      </c>
      <c r="G60" s="15">
        <v>2010</v>
      </c>
      <c r="H60" s="15"/>
      <c r="I60" s="52">
        <v>-1</v>
      </c>
      <c r="J60" s="39"/>
      <c r="K60" s="15"/>
      <c r="L60" s="15"/>
      <c r="M60" s="15"/>
      <c r="N60" s="15" t="s">
        <v>429</v>
      </c>
      <c r="O60" s="15"/>
      <c r="P60" s="15"/>
      <c r="Q60" s="15" t="s">
        <v>430</v>
      </c>
      <c r="R60" s="15"/>
      <c r="S60" s="15"/>
    </row>
    <row r="61" spans="3:19">
      <c r="C61" s="15" t="s">
        <v>118</v>
      </c>
      <c r="D61" s="15" t="s">
        <v>5</v>
      </c>
      <c r="E61" s="15" t="s">
        <v>7</v>
      </c>
      <c r="F61" s="15"/>
      <c r="G61" s="15">
        <v>2050</v>
      </c>
      <c r="H61" s="15"/>
      <c r="I61" s="52">
        <v>0</v>
      </c>
      <c r="J61" s="39"/>
      <c r="K61" s="15"/>
      <c r="L61" s="15"/>
      <c r="M61" s="15"/>
      <c r="N61" s="15" t="s">
        <v>429</v>
      </c>
      <c r="O61" s="15"/>
      <c r="P61" s="15"/>
      <c r="Q61" s="15"/>
      <c r="R61" s="15"/>
      <c r="S61" s="15"/>
    </row>
    <row r="62" spans="3:19">
      <c r="C62" s="15" t="s">
        <v>118</v>
      </c>
      <c r="D62" s="15" t="s">
        <v>4</v>
      </c>
      <c r="E62" s="15" t="s">
        <v>7</v>
      </c>
      <c r="F62" s="15"/>
      <c r="G62" s="77" t="s">
        <v>257</v>
      </c>
      <c r="H62" s="22"/>
      <c r="I62" s="78">
        <v>11</v>
      </c>
      <c r="J62" s="39"/>
      <c r="K62" s="15"/>
      <c r="L62" s="15"/>
      <c r="M62" s="15"/>
      <c r="N62" s="15" t="s">
        <v>432</v>
      </c>
      <c r="O62" s="15"/>
      <c r="P62" s="15"/>
      <c r="Q62" s="12"/>
      <c r="R62" s="15"/>
      <c r="S62" s="15"/>
    </row>
    <row r="65" spans="3:21">
      <c r="C65" s="7" t="s">
        <v>3</v>
      </c>
      <c r="K65" s="4"/>
      <c r="L65" s="5"/>
      <c r="M65" s="5"/>
      <c r="N65" s="5"/>
      <c r="O65" s="5"/>
      <c r="P65" s="4"/>
      <c r="Q65" s="5"/>
      <c r="R65" s="5"/>
    </row>
    <row r="66" spans="3:21" ht="13.5" thickBot="1">
      <c r="C66" s="8" t="s">
        <v>55</v>
      </c>
      <c r="D66" s="8" t="s">
        <v>56</v>
      </c>
      <c r="E66" s="8" t="s">
        <v>57</v>
      </c>
      <c r="F66" s="8" t="s">
        <v>20</v>
      </c>
      <c r="G66" s="8" t="s">
        <v>58</v>
      </c>
      <c r="H66" s="8" t="s">
        <v>110</v>
      </c>
      <c r="I66" s="8" t="s">
        <v>71</v>
      </c>
      <c r="J66" s="8" t="s">
        <v>351</v>
      </c>
      <c r="K66" s="8" t="s">
        <v>63</v>
      </c>
      <c r="L66" s="9" t="s">
        <v>64</v>
      </c>
      <c r="M66" s="9" t="s">
        <v>65</v>
      </c>
      <c r="N66" s="8" t="s">
        <v>66</v>
      </c>
      <c r="O66" s="9" t="s">
        <v>67</v>
      </c>
      <c r="P66" s="8" t="s">
        <v>68</v>
      </c>
      <c r="Q66" s="9" t="s">
        <v>59</v>
      </c>
      <c r="R66" s="9" t="s">
        <v>69</v>
      </c>
      <c r="S66" s="8" t="s">
        <v>320</v>
      </c>
    </row>
    <row r="67" spans="3:21">
      <c r="C67" s="15"/>
      <c r="D67" s="15"/>
      <c r="E67" s="15" t="s">
        <v>168</v>
      </c>
      <c r="F67" s="15"/>
      <c r="G67" s="21" t="s">
        <v>178</v>
      </c>
      <c r="H67" s="15"/>
      <c r="I67" s="15">
        <v>14.5</v>
      </c>
      <c r="J67" s="15"/>
      <c r="K67" s="15"/>
      <c r="L67" s="15"/>
      <c r="M67" s="15"/>
      <c r="N67" s="15" t="s">
        <v>179</v>
      </c>
      <c r="O67" s="15"/>
      <c r="P67" s="15"/>
      <c r="Q67" s="15"/>
      <c r="R67" s="15"/>
      <c r="S67" s="15"/>
    </row>
    <row r="68" spans="3:21">
      <c r="C68" s="15" t="s">
        <v>118</v>
      </c>
      <c r="D68" s="15"/>
      <c r="E68" s="15" t="s">
        <v>133</v>
      </c>
      <c r="F68" s="101" t="s">
        <v>355</v>
      </c>
      <c r="G68" s="15">
        <v>0</v>
      </c>
      <c r="H68" s="15"/>
      <c r="I68" s="15">
        <v>2</v>
      </c>
      <c r="J68" s="15">
        <v>2</v>
      </c>
      <c r="K68" s="15"/>
      <c r="L68" s="15"/>
      <c r="M68" s="101" t="s">
        <v>355</v>
      </c>
      <c r="N68" s="15" t="s">
        <v>291</v>
      </c>
      <c r="O68" s="15"/>
      <c r="P68" s="15"/>
      <c r="Q68" s="15" t="s">
        <v>611</v>
      </c>
      <c r="R68" s="15"/>
      <c r="S68" s="15"/>
    </row>
    <row r="69" spans="3:21">
      <c r="C69" s="15" t="s">
        <v>118</v>
      </c>
      <c r="D69" s="15"/>
      <c r="E69" s="15" t="s">
        <v>133</v>
      </c>
      <c r="F69" s="101" t="s">
        <v>355</v>
      </c>
      <c r="G69" s="21" t="s">
        <v>293</v>
      </c>
      <c r="H69" s="15"/>
      <c r="I69" s="15">
        <v>25</v>
      </c>
      <c r="J69" s="15">
        <v>25</v>
      </c>
      <c r="K69" s="15"/>
      <c r="L69" s="15"/>
      <c r="M69" s="101" t="s">
        <v>355</v>
      </c>
      <c r="N69" s="15" t="s">
        <v>291</v>
      </c>
      <c r="O69" s="15"/>
      <c r="P69" s="15"/>
      <c r="Q69" s="15" t="s">
        <v>611</v>
      </c>
      <c r="R69" s="15"/>
      <c r="S69" s="15"/>
    </row>
    <row r="70" spans="3:21">
      <c r="C70" s="15" t="s">
        <v>118</v>
      </c>
      <c r="D70" s="15"/>
      <c r="E70" s="15" t="s">
        <v>133</v>
      </c>
      <c r="F70" s="45" t="s">
        <v>368</v>
      </c>
      <c r="G70" s="15">
        <v>0</v>
      </c>
      <c r="H70" s="15"/>
      <c r="I70" s="15">
        <v>2</v>
      </c>
      <c r="J70" s="15">
        <v>2</v>
      </c>
      <c r="K70" s="15"/>
      <c r="L70" s="15"/>
      <c r="M70" s="45" t="s">
        <v>368</v>
      </c>
      <c r="N70" s="15" t="s">
        <v>291</v>
      </c>
      <c r="O70" s="15"/>
      <c r="P70" s="15"/>
      <c r="Q70" s="15" t="s">
        <v>611</v>
      </c>
      <c r="R70" s="15"/>
      <c r="S70" s="15"/>
    </row>
    <row r="71" spans="3:21">
      <c r="C71" s="15" t="s">
        <v>118</v>
      </c>
      <c r="D71" s="15"/>
      <c r="E71" s="15" t="s">
        <v>133</v>
      </c>
      <c r="F71" s="45" t="s">
        <v>368</v>
      </c>
      <c r="G71" s="21" t="s">
        <v>293</v>
      </c>
      <c r="H71" s="15"/>
      <c r="I71" s="15">
        <v>40</v>
      </c>
      <c r="J71" s="15">
        <v>40</v>
      </c>
      <c r="K71" s="15"/>
      <c r="L71" s="15"/>
      <c r="M71" s="45" t="s">
        <v>368</v>
      </c>
      <c r="N71" s="15" t="s">
        <v>291</v>
      </c>
      <c r="O71" s="15"/>
      <c r="P71" s="15"/>
      <c r="Q71" s="15" t="s">
        <v>611</v>
      </c>
      <c r="R71" s="15"/>
      <c r="S71" s="15"/>
    </row>
    <row r="72" spans="3:21">
      <c r="C72" s="16"/>
      <c r="D72" s="16"/>
      <c r="E72" s="16" t="s">
        <v>50</v>
      </c>
      <c r="F72" s="16" t="s">
        <v>350</v>
      </c>
      <c r="G72" s="75">
        <v>2020</v>
      </c>
      <c r="H72" s="16"/>
      <c r="I72" s="16">
        <v>17.5</v>
      </c>
      <c r="J72" s="16">
        <v>17.5</v>
      </c>
      <c r="K72" s="16"/>
      <c r="L72" s="16"/>
      <c r="M72" s="16"/>
      <c r="N72" s="16"/>
      <c r="O72" s="16"/>
      <c r="P72" s="16"/>
      <c r="Q72" s="16" t="s">
        <v>311</v>
      </c>
      <c r="R72" s="16"/>
      <c r="S72" s="16"/>
    </row>
    <row r="73" spans="3:21">
      <c r="C73" s="16"/>
      <c r="D73" s="16" t="s">
        <v>4</v>
      </c>
      <c r="E73" s="16" t="s">
        <v>21</v>
      </c>
      <c r="F73" s="16" t="s">
        <v>392</v>
      </c>
      <c r="G73" s="38">
        <v>2030</v>
      </c>
      <c r="H73" s="16"/>
      <c r="I73" s="16">
        <v>0.7</v>
      </c>
      <c r="J73" s="16">
        <v>0.7</v>
      </c>
      <c r="K73" s="16"/>
      <c r="L73" s="16"/>
      <c r="M73" s="16"/>
      <c r="N73" s="16" t="s">
        <v>391</v>
      </c>
      <c r="O73" s="16"/>
      <c r="P73" s="16"/>
      <c r="Q73" s="16" t="s">
        <v>394</v>
      </c>
      <c r="R73" s="16"/>
      <c r="S73" s="16"/>
    </row>
    <row r="74" spans="3:21">
      <c r="C74" s="16"/>
      <c r="D74" s="16" t="s">
        <v>4</v>
      </c>
      <c r="E74" s="16" t="s">
        <v>21</v>
      </c>
      <c r="F74" s="16" t="s">
        <v>392</v>
      </c>
      <c r="G74" s="38">
        <v>2030</v>
      </c>
      <c r="H74" s="16"/>
      <c r="I74" s="16">
        <v>0.7</v>
      </c>
      <c r="J74" s="16">
        <v>0.7</v>
      </c>
      <c r="K74" s="16"/>
      <c r="L74" s="16"/>
      <c r="M74" s="16"/>
      <c r="N74" s="16" t="s">
        <v>393</v>
      </c>
      <c r="O74" s="16"/>
      <c r="P74" s="16"/>
      <c r="Q74" s="16" t="s">
        <v>394</v>
      </c>
      <c r="R74" s="16"/>
      <c r="S74" s="16"/>
    </row>
    <row r="75" spans="3:21">
      <c r="C75" s="16"/>
      <c r="D75" s="16" t="s">
        <v>4</v>
      </c>
      <c r="E75" s="16" t="s">
        <v>21</v>
      </c>
      <c r="F75" s="16" t="s">
        <v>392</v>
      </c>
      <c r="G75" s="38">
        <v>0</v>
      </c>
      <c r="H75" s="16"/>
      <c r="I75" s="16">
        <v>5</v>
      </c>
      <c r="J75" s="16">
        <v>5</v>
      </c>
      <c r="K75" s="16"/>
      <c r="L75" s="16"/>
      <c r="M75" s="16"/>
      <c r="N75" s="16" t="s">
        <v>393</v>
      </c>
      <c r="O75" s="16"/>
      <c r="P75" s="16"/>
      <c r="Q75" s="16" t="s">
        <v>394</v>
      </c>
      <c r="R75" s="16"/>
      <c r="S75" s="16"/>
    </row>
    <row r="80" spans="3:21">
      <c r="C80" s="7" t="s">
        <v>319</v>
      </c>
      <c r="N80" s="4"/>
      <c r="O80" s="5"/>
      <c r="P80" s="5"/>
      <c r="Q80" s="5"/>
      <c r="R80" s="5"/>
      <c r="S80" s="4"/>
      <c r="T80" s="5"/>
      <c r="U80" s="5"/>
    </row>
    <row r="81" spans="3:24" ht="13.5" thickBot="1">
      <c r="C81" s="8" t="s">
        <v>55</v>
      </c>
      <c r="D81" s="8" t="s">
        <v>56</v>
      </c>
      <c r="E81" s="8" t="s">
        <v>57</v>
      </c>
      <c r="F81" s="8" t="s">
        <v>20</v>
      </c>
      <c r="G81" s="8" t="s">
        <v>317</v>
      </c>
      <c r="H81" s="8" t="s">
        <v>320</v>
      </c>
      <c r="I81" s="8">
        <v>2010</v>
      </c>
      <c r="J81" s="8">
        <v>2015</v>
      </c>
      <c r="K81" s="8">
        <v>2020</v>
      </c>
      <c r="L81" s="8">
        <v>2030</v>
      </c>
      <c r="M81" s="8">
        <v>2040</v>
      </c>
      <c r="N81" s="8">
        <v>2050</v>
      </c>
      <c r="O81" s="8">
        <v>2070</v>
      </c>
      <c r="P81" s="11">
        <v>0</v>
      </c>
      <c r="Q81" s="8" t="s">
        <v>63</v>
      </c>
      <c r="R81" s="9" t="s">
        <v>64</v>
      </c>
      <c r="S81" s="9" t="s">
        <v>65</v>
      </c>
      <c r="T81" s="8" t="s">
        <v>66</v>
      </c>
      <c r="U81" s="9" t="s">
        <v>67</v>
      </c>
      <c r="V81" s="8" t="s">
        <v>68</v>
      </c>
      <c r="W81" s="8" t="s">
        <v>59</v>
      </c>
      <c r="X81" s="9" t="s">
        <v>318</v>
      </c>
    </row>
    <row r="82" spans="3:24" ht="14.25">
      <c r="C82" s="15"/>
      <c r="D82" s="15"/>
      <c r="E82" s="55" t="s">
        <v>301</v>
      </c>
      <c r="F82" s="55"/>
      <c r="G82" s="56" t="s">
        <v>71</v>
      </c>
      <c r="H82" s="58" t="s">
        <v>321</v>
      </c>
      <c r="I82" s="57">
        <v>0</v>
      </c>
      <c r="J82" s="57">
        <v>0</v>
      </c>
      <c r="K82" s="57">
        <v>0</v>
      </c>
      <c r="L82" s="57">
        <v>0</v>
      </c>
      <c r="M82" s="57">
        <v>0</v>
      </c>
      <c r="N82" s="57">
        <v>0</v>
      </c>
      <c r="O82" s="57">
        <v>0</v>
      </c>
      <c r="P82" s="58">
        <v>0</v>
      </c>
      <c r="Q82" s="55"/>
      <c r="R82" s="57"/>
      <c r="S82" s="57"/>
      <c r="T82" s="55"/>
      <c r="U82" s="57"/>
      <c r="V82" s="55"/>
      <c r="W82" s="55"/>
      <c r="X82" s="57"/>
    </row>
    <row r="83" spans="3:24">
      <c r="C83" s="180"/>
      <c r="D83" s="180"/>
      <c r="E83" s="180" t="s">
        <v>168</v>
      </c>
      <c r="F83" s="180"/>
      <c r="G83" s="180" t="s">
        <v>71</v>
      </c>
      <c r="H83" s="58"/>
      <c r="I83" s="57"/>
      <c r="J83" s="221"/>
      <c r="K83" s="249">
        <v>640</v>
      </c>
      <c r="L83" s="249">
        <f>K83*0.86</f>
        <v>550.4</v>
      </c>
      <c r="M83" s="249">
        <f>L83*0.67</f>
        <v>368.76800000000003</v>
      </c>
      <c r="N83" s="249">
        <f>K83*0.26</f>
        <v>166.4</v>
      </c>
      <c r="O83" s="57"/>
      <c r="P83" s="58"/>
      <c r="Q83" s="55"/>
      <c r="R83" s="57"/>
      <c r="S83" s="57"/>
      <c r="T83" s="180" t="s">
        <v>176</v>
      </c>
      <c r="U83" s="57"/>
      <c r="V83" s="55"/>
      <c r="W83" s="57"/>
      <c r="X83" s="57"/>
    </row>
    <row r="84" spans="3:24">
      <c r="C84" s="180"/>
      <c r="D84" s="180"/>
      <c r="E84" s="180" t="s">
        <v>396</v>
      </c>
      <c r="F84" s="180"/>
      <c r="G84" s="180" t="s">
        <v>71</v>
      </c>
      <c r="H84" s="58" t="s">
        <v>683</v>
      </c>
      <c r="I84" s="57"/>
      <c r="J84" s="221"/>
      <c r="K84" s="221">
        <v>12.3</v>
      </c>
      <c r="L84" s="221">
        <v>13.75</v>
      </c>
      <c r="M84" s="221">
        <v>15</v>
      </c>
      <c r="N84" s="221">
        <v>20</v>
      </c>
      <c r="O84" s="57"/>
      <c r="P84" s="58"/>
      <c r="Q84" s="55"/>
      <c r="R84" s="57"/>
      <c r="S84" s="57"/>
      <c r="T84" s="180" t="s">
        <v>176</v>
      </c>
      <c r="U84" s="57"/>
      <c r="V84" s="55"/>
      <c r="W84" s="57"/>
      <c r="X84" s="57"/>
    </row>
    <row r="85" spans="3:24">
      <c r="C85" s="180" t="s">
        <v>118</v>
      </c>
      <c r="D85" s="180" t="s">
        <v>4</v>
      </c>
      <c r="E85" s="180" t="s">
        <v>7</v>
      </c>
      <c r="F85" s="180"/>
      <c r="G85" s="180" t="s">
        <v>71</v>
      </c>
      <c r="H85" s="58"/>
      <c r="I85" s="57">
        <v>95</v>
      </c>
      <c r="J85" s="57">
        <v>65</v>
      </c>
      <c r="K85" s="221">
        <v>57</v>
      </c>
      <c r="L85" s="221">
        <v>30</v>
      </c>
      <c r="M85" s="57"/>
      <c r="N85" s="57"/>
      <c r="O85" s="57"/>
      <c r="P85" s="58">
        <v>5</v>
      </c>
      <c r="Q85" s="55"/>
      <c r="R85" s="57"/>
      <c r="S85" s="57"/>
      <c r="T85" s="180" t="s">
        <v>621</v>
      </c>
      <c r="U85" s="57"/>
      <c r="V85" s="55"/>
      <c r="W85" s="55"/>
      <c r="X85" s="57"/>
    </row>
    <row r="86" spans="3:24">
      <c r="C86" s="180" t="s">
        <v>118</v>
      </c>
      <c r="D86" s="180" t="s">
        <v>4</v>
      </c>
      <c r="E86" s="180" t="s">
        <v>264</v>
      </c>
      <c r="F86" s="180"/>
      <c r="G86" s="180" t="s">
        <v>351</v>
      </c>
      <c r="H86" s="58"/>
      <c r="I86" s="57"/>
      <c r="J86" s="221">
        <v>0.45</v>
      </c>
      <c r="K86" s="221">
        <v>0.45</v>
      </c>
      <c r="L86" s="221"/>
      <c r="M86" s="57"/>
      <c r="N86" s="57"/>
      <c r="O86" s="57"/>
      <c r="P86" s="58">
        <v>5</v>
      </c>
      <c r="Q86" s="55"/>
      <c r="R86" s="57"/>
      <c r="S86" s="57"/>
      <c r="T86" s="180"/>
      <c r="U86" s="57"/>
      <c r="V86" s="55"/>
      <c r="W86" s="57" t="s">
        <v>677</v>
      </c>
      <c r="X86" s="57"/>
    </row>
    <row r="87" spans="3:24" ht="14.25">
      <c r="C87" s="180" t="s">
        <v>118</v>
      </c>
      <c r="D87" s="180" t="s">
        <v>4</v>
      </c>
      <c r="E87" s="180" t="s">
        <v>7</v>
      </c>
      <c r="F87" s="180"/>
      <c r="G87" s="180" t="s">
        <v>71</v>
      </c>
      <c r="H87" s="181"/>
      <c r="I87" s="182">
        <v>112</v>
      </c>
      <c r="J87" s="180">
        <v>56</v>
      </c>
      <c r="K87" s="182">
        <v>40</v>
      </c>
      <c r="L87" s="183"/>
      <c r="M87" s="183"/>
      <c r="N87" s="183"/>
      <c r="O87" s="183"/>
      <c r="P87" s="45">
        <v>1</v>
      </c>
      <c r="Q87" s="180"/>
      <c r="R87" s="180"/>
      <c r="S87" s="180"/>
      <c r="T87" s="180" t="s">
        <v>493</v>
      </c>
      <c r="U87" s="180"/>
      <c r="V87" s="56"/>
      <c r="W87" s="56"/>
      <c r="X87" s="135"/>
    </row>
    <row r="88" spans="3:24" ht="14.25">
      <c r="C88" s="180" t="s">
        <v>118</v>
      </c>
      <c r="D88" s="180" t="s">
        <v>5</v>
      </c>
      <c r="E88" s="180" t="s">
        <v>7</v>
      </c>
      <c r="F88" s="180"/>
      <c r="G88" s="180" t="s">
        <v>71</v>
      </c>
      <c r="H88" s="181"/>
      <c r="I88" s="182"/>
      <c r="J88" s="184">
        <f>11.9*0.85</f>
        <v>10.115</v>
      </c>
      <c r="K88" s="180">
        <v>9.1999999999999993</v>
      </c>
      <c r="L88" s="183">
        <v>4.75</v>
      </c>
      <c r="M88" s="183">
        <v>1.6</v>
      </c>
      <c r="N88" s="183">
        <v>0.9</v>
      </c>
      <c r="O88" s="183">
        <v>0.51</v>
      </c>
      <c r="P88" s="45">
        <v>5</v>
      </c>
      <c r="Q88" s="180"/>
      <c r="R88" s="180"/>
      <c r="S88" s="180"/>
      <c r="T88" s="180" t="s">
        <v>502</v>
      </c>
      <c r="U88" s="180"/>
      <c r="V88" s="56"/>
      <c r="W88" s="56"/>
      <c r="X88" s="135"/>
    </row>
    <row r="89" spans="3:24" ht="14.25">
      <c r="C89" s="56" t="s">
        <v>118</v>
      </c>
      <c r="D89" s="15" t="s">
        <v>4</v>
      </c>
      <c r="E89" s="15" t="s">
        <v>314</v>
      </c>
      <c r="F89" s="15"/>
      <c r="G89" s="15" t="s">
        <v>71</v>
      </c>
      <c r="H89" s="15"/>
      <c r="I89" s="15"/>
      <c r="J89" s="15"/>
      <c r="K89" s="15">
        <v>0</v>
      </c>
      <c r="L89" s="15">
        <f>8*1.9*100</f>
        <v>1520</v>
      </c>
      <c r="M89" s="15">
        <f>15*1.9*100</f>
        <v>2850</v>
      </c>
      <c r="N89" s="15">
        <f>16*1.9*100</f>
        <v>3040</v>
      </c>
      <c r="O89" s="15"/>
      <c r="P89" s="101">
        <v>5</v>
      </c>
      <c r="Q89" s="15"/>
      <c r="R89" s="15"/>
      <c r="S89" s="15"/>
      <c r="T89" s="15" t="s">
        <v>322</v>
      </c>
      <c r="U89" s="15"/>
      <c r="V89" s="15"/>
      <c r="W89" s="15" t="s">
        <v>323</v>
      </c>
      <c r="X89" s="15"/>
    </row>
    <row r="90" spans="3:24" ht="14.25">
      <c r="C90" s="56" t="s">
        <v>118</v>
      </c>
      <c r="D90" s="15" t="s">
        <v>4</v>
      </c>
      <c r="E90" s="15" t="s">
        <v>314</v>
      </c>
      <c r="F90" s="15"/>
      <c r="G90" s="15" t="s">
        <v>71</v>
      </c>
      <c r="H90" s="15"/>
      <c r="I90" s="15"/>
      <c r="J90" s="15"/>
      <c r="K90" s="15">
        <v>0</v>
      </c>
      <c r="L90" s="15">
        <f>10*1.9*100</f>
        <v>1900</v>
      </c>
      <c r="M90" s="15">
        <f>15*1.9*100</f>
        <v>2850</v>
      </c>
      <c r="N90" s="15">
        <f>4*6*1.9*100</f>
        <v>4559.9999999999991</v>
      </c>
      <c r="O90" s="15"/>
      <c r="P90" s="101">
        <v>5</v>
      </c>
      <c r="Q90" s="15"/>
      <c r="R90" s="15"/>
      <c r="S90" s="15"/>
      <c r="T90" s="15" t="s">
        <v>322</v>
      </c>
      <c r="U90" s="15"/>
      <c r="V90" s="15"/>
      <c r="W90" s="15" t="s">
        <v>324</v>
      </c>
      <c r="X90" s="15"/>
    </row>
    <row r="91" spans="3:24" ht="14.25">
      <c r="C91" s="56" t="s">
        <v>118</v>
      </c>
      <c r="D91" s="15" t="s">
        <v>5</v>
      </c>
      <c r="E91" s="15" t="s">
        <v>243</v>
      </c>
      <c r="F91" s="15"/>
      <c r="G91" s="15" t="s">
        <v>71</v>
      </c>
      <c r="H91" s="15"/>
      <c r="I91" s="15"/>
      <c r="J91" s="15"/>
      <c r="K91" s="15"/>
      <c r="L91" s="15"/>
      <c r="M91" s="15">
        <v>-2000</v>
      </c>
      <c r="N91" s="15">
        <v>-5000</v>
      </c>
      <c r="O91" s="15"/>
      <c r="P91" s="101">
        <v>5</v>
      </c>
      <c r="Q91" s="15"/>
      <c r="R91" s="15"/>
      <c r="S91" s="15"/>
      <c r="T91" s="15"/>
      <c r="U91" s="15"/>
      <c r="V91" s="15"/>
      <c r="W91" s="15" t="s">
        <v>325</v>
      </c>
      <c r="X91" s="15"/>
    </row>
    <row r="92" spans="3:24" ht="14.25">
      <c r="C92" s="56" t="s">
        <v>118</v>
      </c>
      <c r="D92" s="15" t="s">
        <v>5</v>
      </c>
      <c r="E92" s="15" t="s">
        <v>243</v>
      </c>
      <c r="F92" s="15"/>
      <c r="G92" s="15" t="s">
        <v>351</v>
      </c>
      <c r="H92" s="15"/>
      <c r="I92" s="15"/>
      <c r="J92" s="15"/>
      <c r="K92" s="15"/>
      <c r="L92" s="15"/>
      <c r="M92" s="15">
        <v>-1000</v>
      </c>
      <c r="N92" s="15">
        <v>-2000</v>
      </c>
      <c r="O92" s="15"/>
      <c r="P92" s="101">
        <v>5</v>
      </c>
      <c r="Q92" s="15"/>
      <c r="R92" s="15"/>
      <c r="S92" s="15"/>
      <c r="T92" s="15"/>
      <c r="U92" s="15"/>
      <c r="V92" s="15"/>
      <c r="W92" s="15" t="s">
        <v>325</v>
      </c>
      <c r="X92" s="15"/>
    </row>
    <row r="93" spans="3:24">
      <c r="C93" s="15"/>
      <c r="D93" s="15" t="s">
        <v>4</v>
      </c>
      <c r="E93" s="15" t="s">
        <v>21</v>
      </c>
      <c r="F93" s="15" t="s">
        <v>332</v>
      </c>
      <c r="G93" s="15" t="s">
        <v>71</v>
      </c>
      <c r="H93" s="15"/>
      <c r="I93" s="15"/>
      <c r="J93" s="15"/>
      <c r="K93" s="15">
        <v>0.11</v>
      </c>
      <c r="L93" s="15">
        <v>0.33</v>
      </c>
      <c r="M93" s="15"/>
      <c r="N93" s="15"/>
      <c r="O93" s="15"/>
      <c r="P93" s="15"/>
      <c r="Q93" s="15"/>
      <c r="R93" s="15"/>
      <c r="S93" s="15"/>
      <c r="T93" s="15" t="s">
        <v>334</v>
      </c>
      <c r="U93" s="15"/>
      <c r="V93" s="15"/>
      <c r="W93" s="15" t="s">
        <v>333</v>
      </c>
      <c r="X93" s="15"/>
    </row>
    <row r="94" spans="3:24">
      <c r="C94" s="15"/>
      <c r="D94" s="15" t="s">
        <v>4</v>
      </c>
      <c r="E94" s="15" t="s">
        <v>21</v>
      </c>
      <c r="F94" s="15" t="s">
        <v>344</v>
      </c>
      <c r="G94" s="15" t="s">
        <v>71</v>
      </c>
      <c r="H94" s="15"/>
      <c r="I94" s="15"/>
      <c r="J94" s="15"/>
      <c r="K94" s="15">
        <v>0.02</v>
      </c>
      <c r="L94" s="15">
        <v>0.25</v>
      </c>
      <c r="M94" s="15">
        <v>0.45</v>
      </c>
      <c r="N94" s="15">
        <v>0.8</v>
      </c>
      <c r="O94" s="15">
        <v>0.9</v>
      </c>
      <c r="P94" s="15"/>
      <c r="Q94" s="15"/>
      <c r="R94" s="15"/>
      <c r="S94" s="15"/>
      <c r="T94" s="15" t="s">
        <v>345</v>
      </c>
      <c r="U94" s="15"/>
      <c r="V94" s="15"/>
      <c r="W94" s="15" t="s">
        <v>333</v>
      </c>
      <c r="X94" s="15"/>
    </row>
    <row r="95" spans="3:24">
      <c r="C95" s="15"/>
      <c r="D95" s="15" t="s">
        <v>4</v>
      </c>
      <c r="E95" s="15" t="s">
        <v>21</v>
      </c>
      <c r="F95" s="15" t="s">
        <v>335</v>
      </c>
      <c r="G95" s="15" t="s">
        <v>71</v>
      </c>
      <c r="H95" s="15"/>
      <c r="I95" s="15"/>
      <c r="J95" s="15"/>
      <c r="K95" s="15">
        <v>0.05</v>
      </c>
      <c r="L95" s="15">
        <v>0.25</v>
      </c>
      <c r="M95" s="15"/>
      <c r="N95" s="15"/>
      <c r="O95" s="15"/>
      <c r="P95" s="15"/>
      <c r="Q95" s="15"/>
      <c r="R95" s="15"/>
      <c r="S95" s="15"/>
      <c r="T95" s="15" t="s">
        <v>336</v>
      </c>
      <c r="U95" s="15"/>
      <c r="V95" s="15"/>
      <c r="W95" s="15" t="s">
        <v>337</v>
      </c>
      <c r="X95" s="15"/>
    </row>
    <row r="96" spans="3:24">
      <c r="C96" s="15"/>
      <c r="D96" s="15" t="s">
        <v>4</v>
      </c>
      <c r="E96" s="15" t="s">
        <v>21</v>
      </c>
      <c r="F96" s="15" t="s">
        <v>338</v>
      </c>
      <c r="G96" s="15" t="s">
        <v>71</v>
      </c>
      <c r="H96" s="15"/>
      <c r="I96" s="15"/>
      <c r="J96" s="15"/>
      <c r="K96" s="15">
        <v>0.05</v>
      </c>
      <c r="L96" s="15">
        <v>0.25</v>
      </c>
      <c r="M96" s="15"/>
      <c r="N96" s="15"/>
      <c r="O96" s="15"/>
      <c r="P96" s="15"/>
      <c r="Q96" s="15"/>
      <c r="R96" s="15"/>
      <c r="S96" s="15"/>
      <c r="T96" s="15" t="s">
        <v>339</v>
      </c>
      <c r="U96" s="15"/>
      <c r="V96" s="15"/>
      <c r="W96" s="15" t="s">
        <v>340</v>
      </c>
      <c r="X96" s="15"/>
    </row>
    <row r="97" spans="1:24">
      <c r="C97" s="15"/>
      <c r="D97" s="15" t="s">
        <v>4</v>
      </c>
      <c r="E97" s="15" t="s">
        <v>21</v>
      </c>
      <c r="F97" s="15" t="s">
        <v>341</v>
      </c>
      <c r="G97" s="15" t="s">
        <v>71</v>
      </c>
      <c r="H97" s="15"/>
      <c r="I97" s="15"/>
      <c r="J97" s="15"/>
      <c r="K97" s="15">
        <v>0.05</v>
      </c>
      <c r="L97" s="15">
        <v>0.25</v>
      </c>
      <c r="M97" s="15"/>
      <c r="N97" s="15"/>
      <c r="O97" s="15"/>
      <c r="P97" s="15"/>
      <c r="Q97" s="15"/>
      <c r="R97" s="15"/>
      <c r="S97" s="15"/>
      <c r="T97" s="15" t="s">
        <v>342</v>
      </c>
      <c r="U97" s="15"/>
      <c r="V97" s="15"/>
      <c r="W97" s="15" t="s">
        <v>343</v>
      </c>
      <c r="X97" s="15"/>
    </row>
    <row r="98" spans="1:24" ht="15">
      <c r="A98" s="71" t="s">
        <v>415</v>
      </c>
      <c r="B98" s="71"/>
      <c r="C98" s="72" t="s">
        <v>118</v>
      </c>
      <c r="D98" s="72" t="s">
        <v>4</v>
      </c>
      <c r="E98" s="72" t="s">
        <v>7</v>
      </c>
      <c r="F98" s="72"/>
      <c r="G98" s="62" t="s">
        <v>71</v>
      </c>
      <c r="H98" s="72"/>
      <c r="I98" s="72"/>
      <c r="J98" s="72"/>
      <c r="K98" s="73"/>
      <c r="L98" s="73">
        <v>5000</v>
      </c>
      <c r="M98" s="73">
        <v>8000</v>
      </c>
      <c r="N98" s="73">
        <v>11000</v>
      </c>
      <c r="O98" s="73">
        <v>13000</v>
      </c>
      <c r="P98" s="72"/>
      <c r="Q98" s="62"/>
      <c r="R98" s="62"/>
      <c r="S98" s="62"/>
      <c r="T98" s="72" t="s">
        <v>313</v>
      </c>
      <c r="U98" s="72"/>
      <c r="V98" s="72"/>
      <c r="W98" s="62"/>
      <c r="X98" s="62"/>
    </row>
    <row r="99" spans="1:24" ht="15">
      <c r="A99" s="71"/>
      <c r="B99" s="71"/>
      <c r="C99" s="72"/>
      <c r="D99" s="72"/>
      <c r="E99" s="62" t="s">
        <v>50</v>
      </c>
      <c r="F99" s="72" t="s">
        <v>286</v>
      </c>
      <c r="G99" s="62" t="s">
        <v>71</v>
      </c>
      <c r="H99" s="72"/>
      <c r="I99" s="72"/>
      <c r="J99" s="72"/>
      <c r="K99" s="72"/>
      <c r="L99" s="72">
        <v>1</v>
      </c>
      <c r="M99" s="72"/>
      <c r="N99" s="72"/>
      <c r="O99" s="72"/>
      <c r="P99" s="72"/>
      <c r="Q99" s="62"/>
      <c r="R99" s="62"/>
      <c r="S99" s="62"/>
      <c r="T99" s="72"/>
      <c r="U99" s="72"/>
      <c r="V99" s="72"/>
      <c r="W99" s="72" t="s">
        <v>261</v>
      </c>
      <c r="X99" s="72"/>
    </row>
    <row r="100" spans="1:24" ht="15">
      <c r="A100" s="71"/>
      <c r="B100" s="71"/>
      <c r="C100" s="72" t="s">
        <v>118</v>
      </c>
      <c r="D100" s="72"/>
      <c r="E100" s="72" t="s">
        <v>285</v>
      </c>
      <c r="F100" s="72"/>
      <c r="G100" s="62" t="s">
        <v>71</v>
      </c>
      <c r="H100" s="72" t="s">
        <v>321</v>
      </c>
      <c r="I100" s="72"/>
      <c r="J100" s="72"/>
      <c r="K100" s="72"/>
      <c r="L100" s="72">
        <v>6.0000000000000001E-3</v>
      </c>
      <c r="M100" s="72"/>
      <c r="N100" s="72"/>
      <c r="O100" s="72"/>
      <c r="P100" s="72"/>
      <c r="Q100" s="62"/>
      <c r="R100" s="62"/>
      <c r="S100" s="62"/>
      <c r="T100" s="72"/>
      <c r="U100" s="72"/>
      <c r="V100" s="72"/>
      <c r="W100" s="72" t="s">
        <v>261</v>
      </c>
      <c r="X100" s="72"/>
    </row>
  </sheetData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B1:S91"/>
  <sheetViews>
    <sheetView zoomScale="75" workbookViewId="0">
      <selection activeCell="Q32" sqref="Q32"/>
    </sheetView>
  </sheetViews>
  <sheetFormatPr defaultRowHeight="12.75"/>
  <cols>
    <col min="2" max="2" width="5.85546875" customWidth="1"/>
    <col min="3" max="3" width="5.28515625" customWidth="1"/>
    <col min="4" max="4" width="13.7109375" bestFit="1" customWidth="1"/>
    <col min="5" max="5" width="17.140625" customWidth="1"/>
    <col min="6" max="6" width="8.5703125" customWidth="1"/>
    <col min="7" max="13" width="7.5703125" customWidth="1"/>
    <col min="14" max="14" width="6.28515625" customWidth="1"/>
    <col min="15" max="15" width="8.85546875" customWidth="1"/>
    <col min="16" max="16" width="9" bestFit="1" customWidth="1"/>
    <col min="17" max="17" width="9" customWidth="1"/>
    <col min="18" max="18" width="11.85546875" customWidth="1"/>
    <col min="19" max="19" width="12.7109375" customWidth="1"/>
    <col min="20" max="20" width="11.85546875" bestFit="1" customWidth="1"/>
    <col min="21" max="21" width="9" customWidth="1"/>
    <col min="22" max="22" width="11.28515625" customWidth="1"/>
  </cols>
  <sheetData>
    <row r="1" spans="2:19">
      <c r="G1" s="31">
        <v>29.643692241648498</v>
      </c>
      <c r="I1" t="s">
        <v>36</v>
      </c>
    </row>
    <row r="2" spans="2:19">
      <c r="B2" s="10"/>
    </row>
    <row r="3" spans="2:19">
      <c r="B3" s="7" t="s">
        <v>3</v>
      </c>
      <c r="I3" s="4"/>
      <c r="J3" s="5"/>
      <c r="K3" s="5"/>
      <c r="L3" s="5"/>
      <c r="M3" s="5"/>
      <c r="N3" s="4"/>
      <c r="O3" s="5"/>
      <c r="P3" s="5"/>
      <c r="Q3" s="5"/>
    </row>
    <row r="4" spans="2:19" ht="13.5" thickBot="1">
      <c r="B4" s="8" t="s">
        <v>55</v>
      </c>
      <c r="C4" s="8" t="s">
        <v>56</v>
      </c>
      <c r="D4" s="8" t="s">
        <v>57</v>
      </c>
      <c r="E4" s="8" t="s">
        <v>20</v>
      </c>
      <c r="F4" s="8" t="s">
        <v>58</v>
      </c>
      <c r="G4" s="8" t="s">
        <v>71</v>
      </c>
      <c r="H4" s="8" t="s">
        <v>351</v>
      </c>
      <c r="I4" s="8" t="s">
        <v>63</v>
      </c>
      <c r="J4" s="9" t="s">
        <v>64</v>
      </c>
      <c r="K4" s="9" t="s">
        <v>65</v>
      </c>
      <c r="L4" s="8" t="s">
        <v>66</v>
      </c>
      <c r="M4" s="9" t="s">
        <v>67</v>
      </c>
      <c r="N4" s="8" t="s">
        <v>68</v>
      </c>
      <c r="O4" s="8" t="s">
        <v>59</v>
      </c>
      <c r="P4" s="9" t="s">
        <v>69</v>
      </c>
      <c r="Q4" s="141" t="s">
        <v>320</v>
      </c>
      <c r="R4" s="139" t="str">
        <f ca="1">IF(VEDA2,"UC_N","\I:")</f>
        <v>UC_N</v>
      </c>
      <c r="S4" s="8" t="s">
        <v>296</v>
      </c>
    </row>
    <row r="5" spans="2:19">
      <c r="B5" s="15"/>
      <c r="C5" s="12" t="s">
        <v>4</v>
      </c>
      <c r="D5" s="17" t="s">
        <v>21</v>
      </c>
      <c r="E5" s="17" t="s">
        <v>30</v>
      </c>
      <c r="F5" s="45">
        <v>2012</v>
      </c>
      <c r="G5" s="74">
        <v>0.5</v>
      </c>
      <c r="H5" s="74">
        <v>0.5</v>
      </c>
      <c r="I5" s="15"/>
      <c r="J5" s="15" t="s">
        <v>31</v>
      </c>
      <c r="K5" s="15"/>
      <c r="L5" s="12" t="s">
        <v>419</v>
      </c>
      <c r="M5" s="15"/>
      <c r="N5" s="15"/>
      <c r="O5" s="15" t="s">
        <v>31</v>
      </c>
      <c r="P5" s="15"/>
      <c r="Q5" s="15"/>
      <c r="R5" s="15"/>
      <c r="S5" s="15"/>
    </row>
    <row r="6" spans="2:19">
      <c r="B6" s="15"/>
      <c r="C6" s="12" t="s">
        <v>4</v>
      </c>
      <c r="D6" s="17" t="s">
        <v>21</v>
      </c>
      <c r="E6" s="17" t="s">
        <v>30</v>
      </c>
      <c r="F6" s="45">
        <v>2100</v>
      </c>
      <c r="G6" s="74">
        <v>0.6</v>
      </c>
      <c r="H6" s="74">
        <v>0.6</v>
      </c>
      <c r="I6" s="15"/>
      <c r="J6" s="15" t="s">
        <v>31</v>
      </c>
      <c r="K6" s="15"/>
      <c r="L6" s="12" t="s">
        <v>419</v>
      </c>
      <c r="M6" s="15"/>
      <c r="N6" s="15"/>
      <c r="O6" s="15" t="s">
        <v>31</v>
      </c>
      <c r="P6" s="15"/>
      <c r="Q6" s="15"/>
      <c r="R6" s="15"/>
      <c r="S6" s="15"/>
    </row>
    <row r="7" spans="2:19">
      <c r="B7" s="15"/>
      <c r="C7" s="12" t="s">
        <v>4</v>
      </c>
      <c r="D7" s="17" t="s">
        <v>21</v>
      </c>
      <c r="E7" s="17" t="s">
        <v>30</v>
      </c>
      <c r="F7" s="45">
        <v>2012</v>
      </c>
      <c r="G7" s="74">
        <v>1</v>
      </c>
      <c r="H7" s="74"/>
      <c r="I7" s="15"/>
      <c r="J7" s="15" t="s">
        <v>31</v>
      </c>
      <c r="K7" s="15"/>
      <c r="L7" s="12" t="s">
        <v>421</v>
      </c>
      <c r="M7" s="15"/>
      <c r="N7" s="15"/>
      <c r="O7" s="15" t="s">
        <v>31</v>
      </c>
      <c r="P7" s="15"/>
      <c r="Q7" s="15"/>
      <c r="R7" s="15"/>
      <c r="S7" s="15"/>
    </row>
    <row r="8" spans="2:19">
      <c r="B8" s="15"/>
      <c r="C8" s="12" t="s">
        <v>4</v>
      </c>
      <c r="D8" s="17" t="s">
        <v>21</v>
      </c>
      <c r="E8" s="17" t="s">
        <v>30</v>
      </c>
      <c r="F8" s="45">
        <v>2012</v>
      </c>
      <c r="G8" s="74">
        <v>0.4</v>
      </c>
      <c r="H8" s="74">
        <v>0.4</v>
      </c>
      <c r="I8" s="15"/>
      <c r="J8" s="15" t="s">
        <v>32</v>
      </c>
      <c r="K8" s="15"/>
      <c r="L8" s="12" t="s">
        <v>33</v>
      </c>
      <c r="M8" s="15"/>
      <c r="N8" s="15"/>
      <c r="O8" s="15" t="s">
        <v>32</v>
      </c>
      <c r="P8" s="15"/>
      <c r="Q8" s="15"/>
      <c r="R8" s="15"/>
      <c r="S8" s="15"/>
    </row>
    <row r="9" spans="2:19">
      <c r="B9" s="15"/>
      <c r="C9" s="12" t="s">
        <v>4</v>
      </c>
      <c r="D9" s="17" t="s">
        <v>21</v>
      </c>
      <c r="E9" s="17" t="s">
        <v>30</v>
      </c>
      <c r="F9" s="45">
        <v>2100</v>
      </c>
      <c r="G9" s="74">
        <v>0.4</v>
      </c>
      <c r="H9" s="74">
        <v>0.4</v>
      </c>
      <c r="I9" s="15"/>
      <c r="J9" s="15" t="s">
        <v>32</v>
      </c>
      <c r="K9" s="15"/>
      <c r="L9" s="12" t="s">
        <v>33</v>
      </c>
      <c r="M9" s="15"/>
      <c r="N9" s="15"/>
      <c r="O9" s="15" t="s">
        <v>32</v>
      </c>
      <c r="P9" s="15"/>
      <c r="Q9" s="15"/>
      <c r="R9" s="15"/>
      <c r="S9" s="15"/>
    </row>
    <row r="10" spans="2:19">
      <c r="B10" s="15"/>
      <c r="C10" s="12" t="s">
        <v>4</v>
      </c>
      <c r="D10" s="17" t="s">
        <v>61</v>
      </c>
      <c r="E10" s="17"/>
      <c r="F10" s="45">
        <v>2050</v>
      </c>
      <c r="G10" s="74">
        <v>0.12</v>
      </c>
      <c r="H10" s="74">
        <v>0.12</v>
      </c>
      <c r="I10" s="15"/>
      <c r="J10" s="15"/>
      <c r="K10" s="15"/>
      <c r="L10" s="12" t="s">
        <v>62</v>
      </c>
      <c r="M10" s="15"/>
      <c r="N10" s="15"/>
      <c r="O10" s="15" t="s">
        <v>43</v>
      </c>
      <c r="P10" s="15"/>
      <c r="Q10" s="15"/>
      <c r="R10" s="15"/>
      <c r="S10" s="15"/>
    </row>
    <row r="11" spans="2:19">
      <c r="B11" s="15"/>
      <c r="C11" s="12" t="s">
        <v>4</v>
      </c>
      <c r="D11" s="17" t="s">
        <v>21</v>
      </c>
      <c r="E11" s="15" t="s">
        <v>34</v>
      </c>
      <c r="F11" s="19" t="s">
        <v>137</v>
      </c>
      <c r="G11" s="101">
        <v>0.5</v>
      </c>
      <c r="H11" s="101">
        <v>0.5</v>
      </c>
      <c r="I11" s="15"/>
      <c r="J11" s="15" t="s">
        <v>35</v>
      </c>
      <c r="K11" s="15" t="s">
        <v>274</v>
      </c>
      <c r="L11" s="15" t="s">
        <v>70</v>
      </c>
      <c r="M11" s="15"/>
      <c r="N11" s="15"/>
      <c r="O11" s="15" t="s">
        <v>35</v>
      </c>
      <c r="P11" s="15"/>
      <c r="Q11" s="15"/>
      <c r="R11" s="15"/>
      <c r="S11" s="15"/>
    </row>
    <row r="12" spans="2:19">
      <c r="B12" s="15"/>
      <c r="C12" s="12" t="s">
        <v>4</v>
      </c>
      <c r="D12" s="17" t="s">
        <v>21</v>
      </c>
      <c r="E12" s="15" t="s">
        <v>507</v>
      </c>
      <c r="F12" s="19" t="s">
        <v>137</v>
      </c>
      <c r="G12" s="101">
        <v>0.7</v>
      </c>
      <c r="H12" s="101">
        <v>0.7</v>
      </c>
      <c r="I12" s="15"/>
      <c r="J12" s="15" t="s">
        <v>35</v>
      </c>
      <c r="K12" s="15" t="s">
        <v>508</v>
      </c>
      <c r="L12" s="15" t="s">
        <v>70</v>
      </c>
      <c r="M12" s="15"/>
      <c r="N12" s="15"/>
      <c r="O12" s="15" t="s">
        <v>35</v>
      </c>
      <c r="P12" s="15"/>
      <c r="Q12" s="15"/>
      <c r="R12" s="15"/>
      <c r="S12" s="15"/>
    </row>
    <row r="13" spans="2:19">
      <c r="B13" s="15"/>
      <c r="C13" s="12" t="s">
        <v>4</v>
      </c>
      <c r="D13" s="17" t="s">
        <v>21</v>
      </c>
      <c r="E13" s="15" t="s">
        <v>37</v>
      </c>
      <c r="F13" s="19" t="s">
        <v>137</v>
      </c>
      <c r="G13" s="101">
        <v>0.5</v>
      </c>
      <c r="H13" s="101">
        <v>0.5</v>
      </c>
      <c r="I13" s="15"/>
      <c r="J13" s="15" t="s">
        <v>38</v>
      </c>
      <c r="K13" s="15" t="s">
        <v>36</v>
      </c>
      <c r="L13" s="15" t="s">
        <v>70</v>
      </c>
      <c r="M13" s="15"/>
      <c r="N13" s="15"/>
      <c r="O13" s="15" t="s">
        <v>38</v>
      </c>
      <c r="P13" s="15"/>
      <c r="Q13" s="15"/>
      <c r="R13" s="15"/>
      <c r="S13" s="15"/>
    </row>
    <row r="14" spans="2:19">
      <c r="B14" s="15"/>
      <c r="C14" s="12" t="s">
        <v>4</v>
      </c>
      <c r="D14" s="17" t="s">
        <v>21</v>
      </c>
      <c r="E14" s="15" t="s">
        <v>39</v>
      </c>
      <c r="F14" s="19" t="s">
        <v>137</v>
      </c>
      <c r="G14" s="101">
        <v>0.4</v>
      </c>
      <c r="H14" s="101">
        <v>0.4</v>
      </c>
      <c r="I14" s="15"/>
      <c r="J14" s="15" t="str">
        <f>LEFT(E14,4)</f>
        <v>IOCH</v>
      </c>
      <c r="K14" s="15" t="s">
        <v>36</v>
      </c>
      <c r="L14" s="15" t="s">
        <v>70</v>
      </c>
      <c r="M14" s="15"/>
      <c r="N14" s="15"/>
      <c r="O14" s="15" t="str">
        <f>J14</f>
        <v>IOCH</v>
      </c>
      <c r="P14" s="15"/>
      <c r="Q14" s="15"/>
      <c r="R14" s="15"/>
      <c r="S14" s="15"/>
    </row>
    <row r="15" spans="2:19">
      <c r="B15" s="15"/>
      <c r="C15" s="12" t="s">
        <v>4</v>
      </c>
      <c r="D15" s="17" t="s">
        <v>21</v>
      </c>
      <c r="E15" s="15" t="s">
        <v>40</v>
      </c>
      <c r="F15" s="19" t="s">
        <v>137</v>
      </c>
      <c r="G15" s="101">
        <v>0.4</v>
      </c>
      <c r="H15" s="101">
        <v>0.4</v>
      </c>
      <c r="I15" s="15"/>
      <c r="J15" s="15" t="str">
        <f>LEFT(E15,4)</f>
        <v>IOLP</v>
      </c>
      <c r="K15" s="15" t="s">
        <v>36</v>
      </c>
      <c r="L15" s="15" t="s">
        <v>70</v>
      </c>
      <c r="M15" s="15"/>
      <c r="N15" s="15"/>
      <c r="O15" s="15" t="str">
        <f>J15</f>
        <v>IOLP</v>
      </c>
      <c r="P15" s="15"/>
      <c r="Q15" s="15"/>
      <c r="R15" s="15"/>
      <c r="S15" s="15"/>
    </row>
    <row r="16" spans="2:19">
      <c r="B16" s="15"/>
      <c r="C16" s="12" t="s">
        <v>4</v>
      </c>
      <c r="D16" s="17" t="s">
        <v>21</v>
      </c>
      <c r="E16" s="15" t="s">
        <v>509</v>
      </c>
      <c r="F16" s="19" t="s">
        <v>137</v>
      </c>
      <c r="G16" s="101">
        <v>0.6</v>
      </c>
      <c r="H16" s="101">
        <v>0.6</v>
      </c>
      <c r="I16" s="15"/>
      <c r="J16" s="15" t="str">
        <f>LEFT(E16,4)</f>
        <v>IOOI</v>
      </c>
      <c r="K16" s="15" t="s">
        <v>510</v>
      </c>
      <c r="L16" s="15" t="s">
        <v>70</v>
      </c>
      <c r="M16" s="15"/>
      <c r="N16" s="15"/>
      <c r="O16" s="15" t="str">
        <f>J16</f>
        <v>IOOI</v>
      </c>
      <c r="P16" s="15"/>
      <c r="Q16" s="15"/>
      <c r="R16" s="15"/>
      <c r="S16" s="15"/>
    </row>
    <row r="17" spans="2:19">
      <c r="B17" s="15"/>
      <c r="C17" s="12" t="s">
        <v>4</v>
      </c>
      <c r="D17" s="17" t="s">
        <v>21</v>
      </c>
      <c r="E17" s="15" t="s">
        <v>41</v>
      </c>
      <c r="F17" s="19" t="s">
        <v>137</v>
      </c>
      <c r="G17" s="101">
        <v>0.5</v>
      </c>
      <c r="H17" s="101">
        <v>0.5</v>
      </c>
      <c r="I17" s="15"/>
      <c r="J17" s="15" t="s">
        <v>42</v>
      </c>
      <c r="K17" s="15" t="s">
        <v>36</v>
      </c>
      <c r="L17" s="15" t="s">
        <v>70</v>
      </c>
      <c r="M17" s="15"/>
      <c r="N17" s="15"/>
      <c r="O17" s="15" t="str">
        <f>J17</f>
        <v>INDHET</v>
      </c>
      <c r="P17" s="15"/>
      <c r="Q17" s="15"/>
      <c r="R17" s="15"/>
      <c r="S17" s="15"/>
    </row>
    <row r="18" spans="2:19">
      <c r="B18" s="15"/>
      <c r="C18" s="12" t="s">
        <v>4</v>
      </c>
      <c r="D18" s="17" t="s">
        <v>21</v>
      </c>
      <c r="E18" s="15" t="s">
        <v>41</v>
      </c>
      <c r="F18" s="19" t="s">
        <v>137</v>
      </c>
      <c r="G18" s="101">
        <v>0.5</v>
      </c>
      <c r="H18" s="101">
        <v>0.5</v>
      </c>
      <c r="I18" s="15"/>
      <c r="J18" s="15" t="s">
        <v>43</v>
      </c>
      <c r="K18" s="15" t="s">
        <v>248</v>
      </c>
      <c r="L18" s="15" t="s">
        <v>70</v>
      </c>
      <c r="M18" s="15"/>
      <c r="N18" s="15"/>
      <c r="O18" s="15" t="s">
        <v>44</v>
      </c>
      <c r="P18" s="15"/>
      <c r="Q18" s="15"/>
      <c r="R18" s="15"/>
      <c r="S18" s="15"/>
    </row>
    <row r="19" spans="2:19">
      <c r="B19" s="15"/>
      <c r="C19" s="15" t="s">
        <v>5</v>
      </c>
      <c r="D19" s="17" t="s">
        <v>21</v>
      </c>
      <c r="E19" s="15" t="s">
        <v>45</v>
      </c>
      <c r="F19" s="19" t="s">
        <v>436</v>
      </c>
      <c r="G19" s="101">
        <v>0</v>
      </c>
      <c r="H19" s="101">
        <v>0</v>
      </c>
      <c r="I19" s="15"/>
      <c r="J19" s="15" t="str">
        <f>LEFT(E19,4)</f>
        <v>IPOI</v>
      </c>
      <c r="K19" s="15" t="s">
        <v>46</v>
      </c>
      <c r="L19" s="15" t="s">
        <v>70</v>
      </c>
      <c r="M19" s="15"/>
      <c r="N19" s="15"/>
      <c r="O19" s="15" t="str">
        <f>J19</f>
        <v>IPOI</v>
      </c>
      <c r="P19" s="15"/>
      <c r="Q19" s="15"/>
      <c r="R19" s="15"/>
      <c r="S19" s="15"/>
    </row>
    <row r="20" spans="2:19">
      <c r="B20" s="15"/>
      <c r="C20" s="15" t="s">
        <v>5</v>
      </c>
      <c r="D20" s="17" t="s">
        <v>21</v>
      </c>
      <c r="E20" s="15" t="s">
        <v>47</v>
      </c>
      <c r="F20" s="19" t="s">
        <v>436</v>
      </c>
      <c r="G20" s="101">
        <v>0</v>
      </c>
      <c r="H20" s="101">
        <v>0</v>
      </c>
      <c r="I20" s="15"/>
      <c r="J20" s="15" t="str">
        <f>LEFT(E20,4)</f>
        <v>IOCH</v>
      </c>
      <c r="K20" s="15" t="s">
        <v>46</v>
      </c>
      <c r="L20" s="15" t="s">
        <v>70</v>
      </c>
      <c r="M20" s="15"/>
      <c r="N20" s="15"/>
      <c r="O20" s="15" t="str">
        <f>J20</f>
        <v>IOCH</v>
      </c>
      <c r="P20" s="15"/>
      <c r="Q20" s="15"/>
      <c r="R20" s="15"/>
      <c r="S20" s="15"/>
    </row>
    <row r="21" spans="2:19">
      <c r="B21" s="15"/>
      <c r="C21" s="15" t="s">
        <v>5</v>
      </c>
      <c r="D21" s="17" t="s">
        <v>21</v>
      </c>
      <c r="E21" s="15" t="s">
        <v>48</v>
      </c>
      <c r="F21" s="19" t="s">
        <v>436</v>
      </c>
      <c r="G21" s="101">
        <v>0</v>
      </c>
      <c r="H21" s="101">
        <v>0</v>
      </c>
      <c r="I21" s="15"/>
      <c r="J21" s="15" t="str">
        <f>LEFT(E21,4)</f>
        <v>IOOI</v>
      </c>
      <c r="K21" s="15" t="s">
        <v>46</v>
      </c>
      <c r="L21" s="15" t="s">
        <v>70</v>
      </c>
      <c r="M21" s="15"/>
      <c r="N21" s="15"/>
      <c r="O21" s="15" t="str">
        <f>J21</f>
        <v>IOOI</v>
      </c>
      <c r="P21" s="15"/>
      <c r="Q21" s="15"/>
      <c r="R21" s="15"/>
      <c r="S21" s="15"/>
    </row>
    <row r="22" spans="2:19">
      <c r="B22" s="15"/>
      <c r="C22" s="12"/>
      <c r="D22" s="17" t="s">
        <v>50</v>
      </c>
      <c r="E22" s="15" t="s">
        <v>51</v>
      </c>
      <c r="F22" s="77">
        <v>2050</v>
      </c>
      <c r="G22" s="120">
        <v>0.51591382556118082</v>
      </c>
      <c r="H22" s="120">
        <v>0.51591382556118082</v>
      </c>
      <c r="I22" s="15"/>
      <c r="J22" s="15"/>
      <c r="K22" s="15"/>
      <c r="L22" s="15"/>
      <c r="M22" s="15"/>
      <c r="N22" s="15"/>
      <c r="O22" s="15" t="s">
        <v>49</v>
      </c>
      <c r="P22" s="15"/>
      <c r="Q22" s="15"/>
      <c r="R22" s="15"/>
      <c r="S22" s="15"/>
    </row>
    <row r="23" spans="2:19">
      <c r="B23" s="52"/>
      <c r="C23" s="52" t="s">
        <v>4</v>
      </c>
      <c r="D23" s="52" t="s">
        <v>94</v>
      </c>
      <c r="E23" s="52" t="s">
        <v>53</v>
      </c>
      <c r="F23" s="198">
        <v>0</v>
      </c>
      <c r="G23" s="142">
        <v>1</v>
      </c>
      <c r="H23" s="142">
        <v>1</v>
      </c>
      <c r="I23" s="52"/>
      <c r="J23" s="52"/>
      <c r="K23" s="52"/>
      <c r="L23" s="52"/>
      <c r="M23" s="52"/>
      <c r="N23" s="52"/>
      <c r="O23" s="52" t="s">
        <v>97</v>
      </c>
      <c r="P23" s="52"/>
      <c r="Q23" s="52"/>
      <c r="R23" s="52" t="str">
        <f>E23</f>
        <v>A_INDCOA</v>
      </c>
      <c r="S23" s="52"/>
    </row>
    <row r="24" spans="2:19">
      <c r="B24" s="52"/>
      <c r="C24" s="52" t="s">
        <v>4</v>
      </c>
      <c r="D24" s="52" t="s">
        <v>94</v>
      </c>
      <c r="E24" s="52" t="s">
        <v>53</v>
      </c>
      <c r="F24" s="198">
        <v>2020</v>
      </c>
      <c r="G24" s="197">
        <f>FILL!J4*1.1</f>
        <v>30.477312097004191</v>
      </c>
      <c r="H24" s="197">
        <f>FILL!K4*1.1</f>
        <v>12.875922636301672</v>
      </c>
      <c r="I24" s="52"/>
      <c r="J24" s="52"/>
      <c r="K24" s="52"/>
      <c r="L24" s="52"/>
      <c r="M24" s="52"/>
      <c r="N24" s="52"/>
      <c r="O24" s="52" t="s">
        <v>97</v>
      </c>
      <c r="P24" s="52"/>
      <c r="Q24" s="52"/>
      <c r="R24" s="52" t="str">
        <f>E24</f>
        <v>A_INDCOA</v>
      </c>
      <c r="S24" s="52"/>
    </row>
    <row r="25" spans="2:19">
      <c r="B25" s="52"/>
      <c r="C25" s="52" t="s">
        <v>4</v>
      </c>
      <c r="D25" s="52" t="s">
        <v>94</v>
      </c>
      <c r="E25" s="52" t="s">
        <v>53</v>
      </c>
      <c r="F25" s="198" t="s">
        <v>307</v>
      </c>
      <c r="G25" s="197">
        <f>(G24-11)*1.25+11</f>
        <v>35.346640121255234</v>
      </c>
      <c r="H25" s="197">
        <f>(H24-11)*1.25+11</f>
        <v>13.34490329537709</v>
      </c>
      <c r="I25" s="52"/>
      <c r="J25" s="52"/>
      <c r="K25" s="52"/>
      <c r="L25" s="52"/>
      <c r="M25" s="52"/>
      <c r="N25" s="52"/>
      <c r="O25" s="52" t="s">
        <v>97</v>
      </c>
      <c r="P25" s="52"/>
      <c r="Q25" s="52"/>
      <c r="R25" s="52" t="str">
        <f>E25</f>
        <v>A_INDCOA</v>
      </c>
      <c r="S25" s="52"/>
    </row>
    <row r="26" spans="2:19">
      <c r="B26" s="15" t="s">
        <v>118</v>
      </c>
      <c r="C26" s="15"/>
      <c r="D26" s="15" t="s">
        <v>177</v>
      </c>
      <c r="E26" s="15"/>
      <c r="F26" s="77">
        <v>2050</v>
      </c>
      <c r="G26" s="120">
        <v>-6.0000000000000001E-3</v>
      </c>
      <c r="H26" s="120">
        <v>-6.0000000000000001E-3</v>
      </c>
      <c r="I26" s="15"/>
      <c r="J26" s="15"/>
      <c r="K26" s="15"/>
      <c r="L26" s="15" t="s">
        <v>329</v>
      </c>
      <c r="M26" s="15"/>
      <c r="N26" s="15"/>
      <c r="O26" s="15" t="s">
        <v>349</v>
      </c>
      <c r="P26" s="15"/>
      <c r="Q26" s="15"/>
      <c r="R26" s="15"/>
      <c r="S26" s="63" t="s">
        <v>346</v>
      </c>
    </row>
    <row r="27" spans="2:19">
      <c r="B27" s="15" t="s">
        <v>118</v>
      </c>
      <c r="C27" s="15"/>
      <c r="D27" s="15" t="s">
        <v>177</v>
      </c>
      <c r="E27" s="15"/>
      <c r="F27" s="77">
        <v>2050</v>
      </c>
      <c r="G27" s="120">
        <v>-1.333E-2</v>
      </c>
      <c r="H27" s="120">
        <v>-1.333E-2</v>
      </c>
      <c r="I27" s="15"/>
      <c r="J27" s="15"/>
      <c r="K27" s="15"/>
      <c r="L27" s="15" t="s">
        <v>329</v>
      </c>
      <c r="M27" s="15"/>
      <c r="N27" s="15"/>
      <c r="O27" s="15" t="s">
        <v>347</v>
      </c>
      <c r="P27" s="15"/>
      <c r="Q27" s="15"/>
      <c r="R27" s="15"/>
      <c r="S27" s="63" t="s">
        <v>346</v>
      </c>
    </row>
    <row r="28" spans="2:19">
      <c r="B28" s="15" t="s">
        <v>118</v>
      </c>
      <c r="C28" s="15"/>
      <c r="D28" s="15" t="s">
        <v>177</v>
      </c>
      <c r="E28" s="15"/>
      <c r="F28" s="77">
        <v>2050</v>
      </c>
      <c r="G28" s="120">
        <v>-5.0000000000000001E-3</v>
      </c>
      <c r="H28" s="120">
        <v>-5.0000000000000001E-3</v>
      </c>
      <c r="I28" s="15"/>
      <c r="J28" s="15"/>
      <c r="K28" s="15"/>
      <c r="L28" s="15" t="s">
        <v>329</v>
      </c>
      <c r="M28" s="15"/>
      <c r="N28" s="15"/>
      <c r="O28" s="15" t="s">
        <v>348</v>
      </c>
      <c r="P28" s="15"/>
      <c r="Q28" s="15"/>
      <c r="R28" s="15"/>
      <c r="S28" s="63" t="s">
        <v>346</v>
      </c>
    </row>
    <row r="29" spans="2:19">
      <c r="B29" s="16"/>
      <c r="C29" s="16"/>
      <c r="D29" s="16" t="s">
        <v>285</v>
      </c>
      <c r="E29" s="16"/>
      <c r="F29" s="38">
        <v>2010</v>
      </c>
      <c r="G29" s="38">
        <v>1E-3</v>
      </c>
      <c r="H29" s="38">
        <v>1E-3</v>
      </c>
      <c r="I29" s="16"/>
      <c r="J29" s="16"/>
      <c r="K29" s="16"/>
      <c r="L29" s="16"/>
      <c r="M29" s="16"/>
      <c r="N29" s="16"/>
      <c r="O29" s="16" t="s">
        <v>49</v>
      </c>
      <c r="P29" s="16"/>
      <c r="Q29" s="16" t="s">
        <v>321</v>
      </c>
      <c r="R29" s="16"/>
      <c r="S29" s="16"/>
    </row>
    <row r="30" spans="2:19">
      <c r="B30" s="16"/>
      <c r="C30" s="12" t="s">
        <v>4</v>
      </c>
      <c r="D30" s="34" t="s">
        <v>61</v>
      </c>
      <c r="E30" s="15"/>
      <c r="F30" s="45">
        <v>2030</v>
      </c>
      <c r="G30" s="101">
        <v>0.1</v>
      </c>
      <c r="H30" s="101">
        <v>0.2</v>
      </c>
      <c r="I30" s="15"/>
      <c r="J30" s="15"/>
      <c r="K30" s="15"/>
      <c r="L30" s="15" t="s">
        <v>362</v>
      </c>
      <c r="M30" s="15"/>
      <c r="N30" s="15"/>
      <c r="O30" s="12" t="s">
        <v>38</v>
      </c>
      <c r="P30" s="15"/>
      <c r="Q30" s="15"/>
      <c r="R30" s="15"/>
      <c r="S30" s="15"/>
    </row>
    <row r="31" spans="2:19">
      <c r="B31" s="16"/>
      <c r="C31" s="12"/>
      <c r="D31" s="34" t="s">
        <v>280</v>
      </c>
      <c r="E31" s="15"/>
      <c r="F31" s="45">
        <v>2020</v>
      </c>
      <c r="G31" s="101">
        <v>15</v>
      </c>
      <c r="H31" s="101">
        <v>15</v>
      </c>
      <c r="I31" s="15"/>
      <c r="J31" s="15" t="s">
        <v>412</v>
      </c>
      <c r="K31" s="15"/>
      <c r="L31" s="15" t="s">
        <v>411</v>
      </c>
      <c r="M31" s="15"/>
      <c r="N31" s="15"/>
      <c r="O31" s="12"/>
      <c r="P31" s="15"/>
      <c r="Q31" s="15"/>
      <c r="R31" s="15"/>
      <c r="S31" s="15"/>
    </row>
    <row r="32" spans="2:19">
      <c r="B32" s="16"/>
      <c r="C32" s="12"/>
      <c r="D32" s="34" t="s">
        <v>397</v>
      </c>
      <c r="E32" s="15"/>
      <c r="F32" s="45">
        <v>2020</v>
      </c>
      <c r="G32" s="101">
        <v>2.5</v>
      </c>
      <c r="H32" s="101">
        <v>2.5</v>
      </c>
      <c r="I32" s="15"/>
      <c r="J32" s="15" t="s">
        <v>412</v>
      </c>
      <c r="K32" s="15"/>
      <c r="L32" s="15" t="s">
        <v>411</v>
      </c>
      <c r="M32" s="15"/>
      <c r="N32" s="15"/>
      <c r="O32" s="12"/>
      <c r="P32" s="15"/>
      <c r="Q32" s="15" t="s">
        <v>321</v>
      </c>
      <c r="R32" s="15"/>
      <c r="S32" s="15"/>
    </row>
    <row r="33" spans="2:19">
      <c r="B33" s="52"/>
      <c r="C33" s="199" t="s">
        <v>4</v>
      </c>
      <c r="D33" s="200" t="s">
        <v>219</v>
      </c>
      <c r="E33" s="52"/>
      <c r="F33" s="201" t="s">
        <v>257</v>
      </c>
      <c r="G33" s="63">
        <v>2</v>
      </c>
      <c r="H33" s="63">
        <v>2</v>
      </c>
      <c r="I33" s="52"/>
      <c r="J33" s="52"/>
      <c r="K33" s="52"/>
      <c r="L33" s="52" t="s">
        <v>606</v>
      </c>
      <c r="M33" s="52"/>
      <c r="N33" s="52"/>
      <c r="O33" s="199"/>
      <c r="P33" s="52"/>
      <c r="Q33" s="52"/>
      <c r="R33" s="52"/>
      <c r="S33" s="52"/>
    </row>
    <row r="34" spans="2:19">
      <c r="B34" s="52"/>
      <c r="C34" s="199" t="s">
        <v>4</v>
      </c>
      <c r="D34" s="52" t="s">
        <v>219</v>
      </c>
      <c r="E34" s="52"/>
      <c r="F34" s="63" t="s">
        <v>257</v>
      </c>
      <c r="G34" s="63">
        <v>2</v>
      </c>
      <c r="H34" s="63">
        <v>2</v>
      </c>
      <c r="I34" s="52"/>
      <c r="J34" s="52"/>
      <c r="K34" s="52"/>
      <c r="L34" s="52" t="s">
        <v>607</v>
      </c>
      <c r="M34" s="52"/>
      <c r="N34" s="52"/>
      <c r="O34" s="52"/>
      <c r="P34" s="52"/>
      <c r="Q34" s="52"/>
      <c r="R34" s="52"/>
      <c r="S34" s="52"/>
    </row>
    <row r="38" spans="2:19">
      <c r="B38" s="7" t="s">
        <v>3</v>
      </c>
      <c r="J38" s="4"/>
      <c r="K38" s="5"/>
      <c r="L38" s="5"/>
      <c r="M38" s="5"/>
      <c r="N38" s="5"/>
      <c r="O38" s="4"/>
    </row>
    <row r="39" spans="2:19" ht="13.5" thickBot="1">
      <c r="B39" s="8" t="s">
        <v>55</v>
      </c>
      <c r="C39" s="8" t="s">
        <v>56</v>
      </c>
      <c r="D39" s="8" t="s">
        <v>57</v>
      </c>
      <c r="E39" s="8" t="s">
        <v>296</v>
      </c>
      <c r="F39" s="11" t="s">
        <v>58</v>
      </c>
      <c r="G39" s="8" t="s">
        <v>71</v>
      </c>
      <c r="H39" s="8" t="s">
        <v>351</v>
      </c>
      <c r="I39" s="8" t="s">
        <v>63</v>
      </c>
      <c r="J39" s="9" t="s">
        <v>64</v>
      </c>
      <c r="K39" s="9" t="s">
        <v>65</v>
      </c>
      <c r="L39" s="8" t="s">
        <v>66</v>
      </c>
      <c r="M39" s="9" t="s">
        <v>67</v>
      </c>
      <c r="N39" s="9" t="s">
        <v>68</v>
      </c>
      <c r="O39" s="8" t="s">
        <v>59</v>
      </c>
      <c r="P39" s="9" t="s">
        <v>69</v>
      </c>
    </row>
    <row r="40" spans="2:19">
      <c r="B40" s="191" t="s">
        <v>118</v>
      </c>
      <c r="C40" s="191"/>
      <c r="D40" s="191" t="s">
        <v>177</v>
      </c>
      <c r="E40" s="191"/>
      <c r="F40" s="195">
        <v>2050</v>
      </c>
      <c r="G40" s="191">
        <v>-3.0000000000000001E-3</v>
      </c>
      <c r="H40" s="191">
        <v>-3.0000000000000001E-3</v>
      </c>
      <c r="I40" s="15"/>
      <c r="J40" s="191"/>
      <c r="K40" s="191"/>
      <c r="L40" s="191" t="s">
        <v>595</v>
      </c>
      <c r="M40" s="191"/>
      <c r="N40" s="191"/>
      <c r="O40" s="191" t="s">
        <v>596</v>
      </c>
      <c r="P40" s="15"/>
    </row>
    <row r="41" spans="2:19">
      <c r="B41" s="15" t="s">
        <v>118</v>
      </c>
      <c r="C41" s="15"/>
      <c r="D41" s="15" t="s">
        <v>177</v>
      </c>
      <c r="E41" s="15"/>
      <c r="F41" s="101">
        <v>2050</v>
      </c>
      <c r="G41" s="15">
        <v>-1.4999999999999999E-2</v>
      </c>
      <c r="H41" s="15">
        <v>-1.4999999999999999E-2</v>
      </c>
      <c r="I41" s="15"/>
      <c r="J41" s="15"/>
      <c r="K41" s="15"/>
      <c r="L41" s="15" t="s">
        <v>595</v>
      </c>
      <c r="M41" s="15"/>
      <c r="N41" s="15"/>
      <c r="O41" s="15" t="s">
        <v>597</v>
      </c>
      <c r="P41" s="15"/>
    </row>
    <row r="42" spans="2:19">
      <c r="B42" s="15" t="s">
        <v>118</v>
      </c>
      <c r="C42" s="15"/>
      <c r="D42" s="15" t="s">
        <v>177</v>
      </c>
      <c r="E42" s="15"/>
      <c r="F42" s="101">
        <v>2050</v>
      </c>
      <c r="G42" s="110">
        <v>-6.0000000000000001E-3</v>
      </c>
      <c r="H42" s="110">
        <v>-6.0000000000000001E-3</v>
      </c>
      <c r="I42" s="15"/>
      <c r="J42" s="110"/>
      <c r="K42" s="110"/>
      <c r="L42" s="15" t="s">
        <v>598</v>
      </c>
      <c r="M42" s="110"/>
      <c r="N42" s="110"/>
      <c r="O42" s="15" t="s">
        <v>599</v>
      </c>
      <c r="P42" s="15"/>
    </row>
    <row r="43" spans="2:19">
      <c r="B43" s="15" t="s">
        <v>118</v>
      </c>
      <c r="C43" s="15"/>
      <c r="D43" s="15" t="s">
        <v>177</v>
      </c>
      <c r="E43" s="15"/>
      <c r="F43" s="101">
        <v>2050</v>
      </c>
      <c r="G43" s="15">
        <v>-6.0000000000000001E-3</v>
      </c>
      <c r="H43" s="15">
        <v>-6.0000000000000001E-3</v>
      </c>
      <c r="I43" s="15"/>
      <c r="J43" s="15"/>
      <c r="K43" s="15"/>
      <c r="L43" s="15" t="s">
        <v>600</v>
      </c>
      <c r="M43" s="15"/>
      <c r="N43" s="15"/>
      <c r="O43" s="15" t="s">
        <v>601</v>
      </c>
      <c r="P43" s="15"/>
    </row>
    <row r="44" spans="2:19">
      <c r="B44" s="15" t="s">
        <v>118</v>
      </c>
      <c r="C44" s="15"/>
      <c r="D44" s="15" t="s">
        <v>177</v>
      </c>
      <c r="E44" s="15"/>
      <c r="F44" s="101">
        <v>2100</v>
      </c>
      <c r="G44" s="15">
        <v>-3.0000000000000001E-3</v>
      </c>
      <c r="H44" s="15">
        <v>-3.0000000000000001E-3</v>
      </c>
      <c r="I44" s="15"/>
      <c r="J44" s="15"/>
      <c r="K44" s="15"/>
      <c r="L44" s="15" t="s">
        <v>595</v>
      </c>
      <c r="M44" s="15"/>
      <c r="N44" s="15"/>
      <c r="O44" s="15" t="s">
        <v>596</v>
      </c>
      <c r="P44" s="15"/>
    </row>
    <row r="45" spans="2:19">
      <c r="B45" s="15" t="s">
        <v>118</v>
      </c>
      <c r="C45" s="15"/>
      <c r="D45" s="15" t="s">
        <v>177</v>
      </c>
      <c r="E45" s="15"/>
      <c r="F45" s="101">
        <v>2100</v>
      </c>
      <c r="G45" s="15">
        <v>-0.02</v>
      </c>
      <c r="H45" s="15">
        <v>-0.02</v>
      </c>
      <c r="I45" s="15"/>
      <c r="J45" s="15"/>
      <c r="K45" s="15"/>
      <c r="L45" s="15" t="s">
        <v>595</v>
      </c>
      <c r="M45" s="15"/>
      <c r="N45" s="15"/>
      <c r="O45" s="15" t="s">
        <v>597</v>
      </c>
      <c r="P45" s="15"/>
    </row>
    <row r="46" spans="2:19">
      <c r="B46" s="15" t="s">
        <v>118</v>
      </c>
      <c r="C46" s="15"/>
      <c r="D46" s="15" t="s">
        <v>177</v>
      </c>
      <c r="E46" s="15"/>
      <c r="F46" s="101">
        <v>2100</v>
      </c>
      <c r="G46" s="15">
        <v>-3.0000000000000001E-3</v>
      </c>
      <c r="H46" s="15">
        <v>-3.0000000000000001E-3</v>
      </c>
      <c r="I46" s="15"/>
      <c r="J46" s="15"/>
      <c r="K46" s="15"/>
      <c r="L46" s="15" t="s">
        <v>602</v>
      </c>
      <c r="M46" s="15"/>
      <c r="N46" s="15"/>
      <c r="O46" s="15" t="s">
        <v>603</v>
      </c>
      <c r="P46" s="15"/>
    </row>
    <row r="47" spans="2:19">
      <c r="B47" s="15" t="s">
        <v>118</v>
      </c>
      <c r="C47" s="15"/>
      <c r="D47" s="15" t="s">
        <v>177</v>
      </c>
      <c r="E47" s="15"/>
      <c r="F47" s="101">
        <v>2100</v>
      </c>
      <c r="G47" s="15">
        <v>-5.0000000000000001E-3</v>
      </c>
      <c r="H47" s="15">
        <v>-5.0000000000000001E-3</v>
      </c>
      <c r="I47" s="15"/>
      <c r="J47" s="15"/>
      <c r="K47" s="15"/>
      <c r="L47" s="15" t="s">
        <v>598</v>
      </c>
      <c r="M47" s="15"/>
      <c r="N47" s="15"/>
      <c r="O47" s="15" t="s">
        <v>599</v>
      </c>
      <c r="P47" s="15"/>
    </row>
    <row r="48" spans="2:19" ht="13.5" thickBot="1">
      <c r="B48" s="192" t="s">
        <v>118</v>
      </c>
      <c r="C48" s="193"/>
      <c r="D48" s="194" t="s">
        <v>177</v>
      </c>
      <c r="E48" s="192"/>
      <c r="F48" s="196">
        <v>2100</v>
      </c>
      <c r="G48" s="192">
        <v>-6.0000000000000001E-3</v>
      </c>
      <c r="H48" s="192">
        <v>-6.0000000000000001E-3</v>
      </c>
      <c r="I48" s="192"/>
      <c r="J48" s="192"/>
      <c r="K48" s="192"/>
      <c r="L48" s="192" t="s">
        <v>600</v>
      </c>
      <c r="M48" s="192"/>
      <c r="N48" s="192"/>
      <c r="O48" s="192" t="s">
        <v>601</v>
      </c>
      <c r="P48" s="192"/>
    </row>
    <row r="49" spans="2:16">
      <c r="B49" s="15"/>
      <c r="C49" s="15"/>
      <c r="D49" s="15" t="s">
        <v>177</v>
      </c>
      <c r="E49" s="101" t="s">
        <v>346</v>
      </c>
      <c r="F49" s="101">
        <v>2030</v>
      </c>
      <c r="G49" s="15">
        <v>-4.0000000000000001E-3</v>
      </c>
      <c r="H49" s="15">
        <v>-4.0000000000000001E-3</v>
      </c>
      <c r="I49" s="15"/>
      <c r="J49" s="15"/>
      <c r="K49" s="15"/>
      <c r="L49" s="15" t="s">
        <v>526</v>
      </c>
      <c r="M49" s="15"/>
      <c r="N49" s="15"/>
      <c r="O49" s="15" t="s">
        <v>527</v>
      </c>
      <c r="P49" s="15"/>
    </row>
    <row r="50" spans="2:16">
      <c r="B50" s="15"/>
      <c r="C50" s="15"/>
      <c r="D50" s="15" t="s">
        <v>177</v>
      </c>
      <c r="E50" s="101" t="s">
        <v>346</v>
      </c>
      <c r="F50" s="101">
        <v>2100</v>
      </c>
      <c r="G50" s="15">
        <v>-4.0000000000000001E-3</v>
      </c>
      <c r="H50" s="15">
        <v>-4.0000000000000001E-3</v>
      </c>
      <c r="I50" s="15"/>
      <c r="J50" s="15"/>
      <c r="K50" s="15"/>
      <c r="L50" s="15" t="s">
        <v>526</v>
      </c>
      <c r="M50" s="15"/>
      <c r="N50" s="15"/>
      <c r="O50" s="15" t="s">
        <v>527</v>
      </c>
      <c r="P50" s="15"/>
    </row>
    <row r="51" spans="2:16">
      <c r="B51" s="15"/>
      <c r="C51" s="15"/>
      <c r="D51" s="15" t="s">
        <v>177</v>
      </c>
      <c r="E51" s="101" t="s">
        <v>346</v>
      </c>
      <c r="F51" s="101">
        <v>2030</v>
      </c>
      <c r="G51" s="15">
        <v>-5.0000000000000001E-3</v>
      </c>
      <c r="H51" s="15">
        <v>-5.0000000000000001E-3</v>
      </c>
      <c r="I51" s="15"/>
      <c r="J51" s="15"/>
      <c r="K51" s="15"/>
      <c r="L51" s="15" t="s">
        <v>526</v>
      </c>
      <c r="M51" s="15"/>
      <c r="N51" s="15"/>
      <c r="O51" s="15" t="s">
        <v>528</v>
      </c>
      <c r="P51" s="15"/>
    </row>
    <row r="52" spans="2:16">
      <c r="B52" s="15"/>
      <c r="C52" s="15"/>
      <c r="D52" s="15" t="s">
        <v>177</v>
      </c>
      <c r="E52" s="101" t="s">
        <v>346</v>
      </c>
      <c r="F52" s="101">
        <v>2100</v>
      </c>
      <c r="G52" s="15">
        <v>-5.0000000000000001E-3</v>
      </c>
      <c r="H52" s="15">
        <v>-5.0000000000000001E-3</v>
      </c>
      <c r="I52" s="15"/>
      <c r="J52" s="15"/>
      <c r="K52" s="15"/>
      <c r="L52" s="15" t="s">
        <v>526</v>
      </c>
      <c r="M52" s="15"/>
      <c r="N52" s="15"/>
      <c r="O52" s="15" t="s">
        <v>528</v>
      </c>
      <c r="P52" s="15"/>
    </row>
    <row r="53" spans="2:16">
      <c r="B53" s="15"/>
      <c r="C53" s="15"/>
      <c r="D53" s="15" t="s">
        <v>177</v>
      </c>
      <c r="E53" s="101" t="s">
        <v>346</v>
      </c>
      <c r="F53" s="101">
        <v>2030</v>
      </c>
      <c r="G53" s="15">
        <v>-1E-3</v>
      </c>
      <c r="H53" s="15">
        <v>-1E-3</v>
      </c>
      <c r="I53" s="15"/>
      <c r="J53" s="15"/>
      <c r="K53" s="15"/>
      <c r="L53" s="15" t="s">
        <v>526</v>
      </c>
      <c r="M53" s="15"/>
      <c r="N53" s="15"/>
      <c r="O53" s="15" t="s">
        <v>529</v>
      </c>
      <c r="P53" s="15"/>
    </row>
    <row r="54" spans="2:16">
      <c r="B54" s="15"/>
      <c r="C54" s="15"/>
      <c r="D54" s="15" t="s">
        <v>177</v>
      </c>
      <c r="E54" s="101" t="s">
        <v>346</v>
      </c>
      <c r="F54" s="101">
        <v>2100</v>
      </c>
      <c r="G54" s="15">
        <v>-1E-3</v>
      </c>
      <c r="H54" s="15">
        <v>-1E-3</v>
      </c>
      <c r="I54" s="15"/>
      <c r="J54" s="15"/>
      <c r="K54" s="15"/>
      <c r="L54" s="15" t="s">
        <v>526</v>
      </c>
      <c r="M54" s="15"/>
      <c r="N54" s="15"/>
      <c r="O54" s="15" t="s">
        <v>529</v>
      </c>
      <c r="P54" s="15"/>
    </row>
    <row r="55" spans="2:16">
      <c r="B55" s="15"/>
      <c r="C55" s="15"/>
      <c r="D55" s="15" t="s">
        <v>177</v>
      </c>
      <c r="E55" s="101" t="s">
        <v>346</v>
      </c>
      <c r="F55" s="101">
        <v>2030</v>
      </c>
      <c r="G55" s="15">
        <v>-4.0000000000000001E-3</v>
      </c>
      <c r="H55" s="15">
        <v>-4.0000000000000001E-3</v>
      </c>
      <c r="I55" s="15"/>
      <c r="J55" s="15"/>
      <c r="K55" s="15"/>
      <c r="L55" s="15" t="s">
        <v>530</v>
      </c>
      <c r="M55" s="15"/>
      <c r="N55" s="15"/>
      <c r="O55" s="15" t="s">
        <v>527</v>
      </c>
      <c r="P55" s="15"/>
    </row>
    <row r="56" spans="2:16">
      <c r="B56" s="15"/>
      <c r="C56" s="15"/>
      <c r="D56" s="15" t="s">
        <v>177</v>
      </c>
      <c r="E56" s="101" t="s">
        <v>346</v>
      </c>
      <c r="F56" s="101">
        <v>2100</v>
      </c>
      <c r="G56" s="15">
        <v>-4.0000000000000001E-3</v>
      </c>
      <c r="H56" s="15">
        <v>-4.0000000000000001E-3</v>
      </c>
      <c r="I56" s="15"/>
      <c r="J56" s="15"/>
      <c r="K56" s="15"/>
      <c r="L56" s="15" t="s">
        <v>530</v>
      </c>
      <c r="M56" s="15"/>
      <c r="N56" s="15"/>
      <c r="O56" s="15" t="s">
        <v>527</v>
      </c>
      <c r="P56" s="15"/>
    </row>
    <row r="57" spans="2:16">
      <c r="B57" s="15"/>
      <c r="C57" s="15"/>
      <c r="D57" s="15" t="s">
        <v>177</v>
      </c>
      <c r="E57" s="101" t="s">
        <v>346</v>
      </c>
      <c r="F57" s="101">
        <v>2030</v>
      </c>
      <c r="G57" s="15">
        <v>-5.0000000000000001E-3</v>
      </c>
      <c r="H57" s="15">
        <v>-5.0000000000000001E-3</v>
      </c>
      <c r="I57" s="15"/>
      <c r="J57" s="15"/>
      <c r="K57" s="15"/>
      <c r="L57" s="15" t="s">
        <v>530</v>
      </c>
      <c r="M57" s="15"/>
      <c r="N57" s="15"/>
      <c r="O57" s="15" t="s">
        <v>531</v>
      </c>
      <c r="P57" s="15"/>
    </row>
    <row r="58" spans="2:16">
      <c r="B58" s="15"/>
      <c r="C58" s="15"/>
      <c r="D58" s="15" t="s">
        <v>177</v>
      </c>
      <c r="E58" s="101" t="s">
        <v>346</v>
      </c>
      <c r="F58" s="101">
        <v>2100</v>
      </c>
      <c r="G58" s="15">
        <v>-5.0000000000000001E-3</v>
      </c>
      <c r="H58" s="15">
        <v>-5.0000000000000001E-3</v>
      </c>
      <c r="I58" s="15"/>
      <c r="J58" s="15"/>
      <c r="K58" s="15"/>
      <c r="L58" s="15" t="s">
        <v>530</v>
      </c>
      <c r="M58" s="15"/>
      <c r="N58" s="15"/>
      <c r="O58" s="15" t="s">
        <v>531</v>
      </c>
      <c r="P58" s="15"/>
    </row>
    <row r="59" spans="2:16">
      <c r="B59" s="15"/>
      <c r="C59" s="15"/>
      <c r="D59" s="15" t="s">
        <v>177</v>
      </c>
      <c r="E59" s="101" t="s">
        <v>346</v>
      </c>
      <c r="F59" s="101">
        <v>2030</v>
      </c>
      <c r="G59" s="15">
        <v>-1E-3</v>
      </c>
      <c r="H59" s="15">
        <v>-1E-3</v>
      </c>
      <c r="I59" s="15"/>
      <c r="J59" s="15"/>
      <c r="K59" s="15"/>
      <c r="L59" s="15" t="s">
        <v>530</v>
      </c>
      <c r="M59" s="15"/>
      <c r="N59" s="15"/>
      <c r="O59" s="15" t="s">
        <v>532</v>
      </c>
      <c r="P59" s="15"/>
    </row>
    <row r="60" spans="2:16">
      <c r="B60" s="15"/>
      <c r="C60" s="15"/>
      <c r="D60" s="15" t="s">
        <v>177</v>
      </c>
      <c r="E60" s="101" t="s">
        <v>346</v>
      </c>
      <c r="F60" s="101">
        <v>2100</v>
      </c>
      <c r="G60" s="15">
        <v>-1E-3</v>
      </c>
      <c r="H60" s="15">
        <v>-1E-3</v>
      </c>
      <c r="I60" s="15"/>
      <c r="J60" s="15"/>
      <c r="K60" s="15"/>
      <c r="L60" s="15" t="s">
        <v>530</v>
      </c>
      <c r="M60" s="15"/>
      <c r="N60" s="15"/>
      <c r="O60" s="15" t="s">
        <v>532</v>
      </c>
      <c r="P60" s="15"/>
    </row>
    <row r="61" spans="2:16">
      <c r="B61" s="15"/>
      <c r="C61" s="15"/>
      <c r="D61" s="15" t="s">
        <v>177</v>
      </c>
      <c r="E61" s="101" t="s">
        <v>346</v>
      </c>
      <c r="F61" s="101">
        <v>2030</v>
      </c>
      <c r="G61" s="15">
        <v>-4.0000000000000001E-3</v>
      </c>
      <c r="H61" s="15">
        <v>-4.0000000000000001E-3</v>
      </c>
      <c r="I61" s="15"/>
      <c r="J61" s="15"/>
      <c r="K61" s="15"/>
      <c r="L61" s="15" t="s">
        <v>533</v>
      </c>
      <c r="M61" s="15"/>
      <c r="N61" s="15"/>
      <c r="O61" s="15" t="s">
        <v>527</v>
      </c>
      <c r="P61" s="15"/>
    </row>
    <row r="62" spans="2:16">
      <c r="B62" s="15"/>
      <c r="C62" s="15"/>
      <c r="D62" s="15" t="s">
        <v>177</v>
      </c>
      <c r="E62" s="101" t="s">
        <v>346</v>
      </c>
      <c r="F62" s="101">
        <v>2100</v>
      </c>
      <c r="G62" s="15">
        <v>-4.0000000000000001E-3</v>
      </c>
      <c r="H62" s="15">
        <v>-4.0000000000000001E-3</v>
      </c>
      <c r="I62" s="15"/>
      <c r="J62" s="15"/>
      <c r="K62" s="15"/>
      <c r="L62" s="15" t="s">
        <v>533</v>
      </c>
      <c r="M62" s="15"/>
      <c r="N62" s="15"/>
      <c r="O62" s="15" t="s">
        <v>527</v>
      </c>
      <c r="P62" s="15"/>
    </row>
    <row r="63" spans="2:16">
      <c r="B63" s="15"/>
      <c r="C63" s="15"/>
      <c r="D63" s="15" t="s">
        <v>177</v>
      </c>
      <c r="E63" s="101" t="s">
        <v>346</v>
      </c>
      <c r="F63" s="101">
        <v>2030</v>
      </c>
      <c r="G63" s="15">
        <v>-5.0000000000000001E-3</v>
      </c>
      <c r="H63" s="15">
        <v>-5.0000000000000001E-3</v>
      </c>
      <c r="I63" s="15"/>
      <c r="J63" s="15"/>
      <c r="K63" s="15"/>
      <c r="L63" s="15" t="s">
        <v>533</v>
      </c>
      <c r="M63" s="15"/>
      <c r="N63" s="15"/>
      <c r="O63" s="15" t="s">
        <v>534</v>
      </c>
      <c r="P63" s="15"/>
    </row>
    <row r="64" spans="2:16">
      <c r="B64" s="15"/>
      <c r="C64" s="15"/>
      <c r="D64" s="15" t="s">
        <v>177</v>
      </c>
      <c r="E64" s="101" t="s">
        <v>346</v>
      </c>
      <c r="F64" s="101">
        <v>2100</v>
      </c>
      <c r="G64" s="15">
        <v>-5.0000000000000001E-3</v>
      </c>
      <c r="H64" s="15">
        <v>-5.0000000000000001E-3</v>
      </c>
      <c r="I64" s="15"/>
      <c r="J64" s="15"/>
      <c r="K64" s="15"/>
      <c r="L64" s="15" t="s">
        <v>533</v>
      </c>
      <c r="M64" s="15"/>
      <c r="N64" s="15"/>
      <c r="O64" s="15" t="s">
        <v>534</v>
      </c>
      <c r="P64" s="15"/>
    </row>
    <row r="65" spans="2:17">
      <c r="B65" s="15"/>
      <c r="C65" s="15"/>
      <c r="D65" s="15" t="s">
        <v>177</v>
      </c>
      <c r="E65" s="101" t="s">
        <v>346</v>
      </c>
      <c r="F65" s="101">
        <v>2030</v>
      </c>
      <c r="G65" s="15">
        <v>-1E-3</v>
      </c>
      <c r="H65" s="15">
        <v>-1E-3</v>
      </c>
      <c r="I65" s="15"/>
      <c r="J65" s="15"/>
      <c r="K65" s="15"/>
      <c r="L65" s="15" t="s">
        <v>533</v>
      </c>
      <c r="M65" s="15"/>
      <c r="N65" s="15"/>
      <c r="O65" s="15" t="s">
        <v>535</v>
      </c>
      <c r="P65" s="15"/>
    </row>
    <row r="66" spans="2:17">
      <c r="B66" s="15"/>
      <c r="C66" s="15"/>
      <c r="D66" s="15" t="s">
        <v>177</v>
      </c>
      <c r="E66" s="101" t="s">
        <v>346</v>
      </c>
      <c r="F66" s="101">
        <v>2100</v>
      </c>
      <c r="G66" s="15">
        <v>-1E-3</v>
      </c>
      <c r="H66" s="15">
        <v>-1E-3</v>
      </c>
      <c r="I66" s="15"/>
      <c r="J66" s="15"/>
      <c r="K66" s="15"/>
      <c r="L66" s="15" t="s">
        <v>533</v>
      </c>
      <c r="M66" s="15"/>
      <c r="N66" s="15"/>
      <c r="O66" s="15" t="s">
        <v>535</v>
      </c>
      <c r="P66" s="15"/>
    </row>
    <row r="70" spans="2:17">
      <c r="B70" s="7" t="s">
        <v>319</v>
      </c>
    </row>
    <row r="71" spans="2:17">
      <c r="B71" s="166" t="s">
        <v>55</v>
      </c>
      <c r="C71" s="166" t="s">
        <v>56</v>
      </c>
      <c r="D71" s="166" t="s">
        <v>57</v>
      </c>
      <c r="E71" s="166" t="s">
        <v>20</v>
      </c>
      <c r="F71" s="166" t="s">
        <v>317</v>
      </c>
      <c r="G71" s="166">
        <v>2010</v>
      </c>
      <c r="H71" s="166">
        <v>2020</v>
      </c>
      <c r="I71" s="166">
        <v>2030</v>
      </c>
      <c r="J71" s="166">
        <v>2040</v>
      </c>
      <c r="K71" s="166">
        <v>2050</v>
      </c>
      <c r="L71" s="166">
        <v>2070</v>
      </c>
      <c r="M71" s="167">
        <v>0</v>
      </c>
      <c r="N71" s="166" t="s">
        <v>66</v>
      </c>
      <c r="O71" s="168" t="s">
        <v>67</v>
      </c>
      <c r="P71" s="166" t="s">
        <v>68</v>
      </c>
      <c r="Q71" s="168" t="s">
        <v>59</v>
      </c>
    </row>
    <row r="72" spans="2:17">
      <c r="B72" s="169"/>
      <c r="C72" s="169"/>
      <c r="D72" s="169" t="s">
        <v>301</v>
      </c>
      <c r="E72" s="169"/>
      <c r="F72" s="169"/>
      <c r="G72" s="169">
        <v>0</v>
      </c>
      <c r="H72" s="169">
        <v>0</v>
      </c>
      <c r="I72" s="169">
        <v>0</v>
      </c>
      <c r="J72" s="169">
        <v>0</v>
      </c>
      <c r="K72" s="169">
        <v>0</v>
      </c>
      <c r="L72" s="169">
        <v>0</v>
      </c>
      <c r="M72" s="170">
        <v>0</v>
      </c>
      <c r="N72" s="169"/>
      <c r="O72" s="169"/>
      <c r="P72" s="169"/>
      <c r="Q72" s="169"/>
    </row>
    <row r="73" spans="2:17">
      <c r="B73" s="248"/>
      <c r="C73" s="248"/>
      <c r="D73" s="248" t="s">
        <v>168</v>
      </c>
      <c r="E73" s="248"/>
      <c r="F73" s="15" t="s">
        <v>71</v>
      </c>
      <c r="G73" s="248"/>
      <c r="H73" s="248"/>
      <c r="I73" s="131">
        <v>2.75</v>
      </c>
      <c r="J73" s="248"/>
      <c r="K73" s="248">
        <v>0</v>
      </c>
      <c r="L73" s="248"/>
      <c r="M73" s="165"/>
      <c r="N73" s="12" t="s">
        <v>682</v>
      </c>
      <c r="O73" s="248"/>
      <c r="P73" s="248"/>
      <c r="Q73" s="248"/>
    </row>
    <row r="74" spans="2:17">
      <c r="B74" s="15" t="s">
        <v>118</v>
      </c>
      <c r="C74" s="12"/>
      <c r="D74" s="34" t="s">
        <v>177</v>
      </c>
      <c r="E74" s="15"/>
      <c r="F74" s="15" t="s">
        <v>71</v>
      </c>
      <c r="G74" s="15"/>
      <c r="H74" s="20">
        <v>0.28390727694558149</v>
      </c>
      <c r="I74" s="20">
        <v>0.28390727694558149</v>
      </c>
      <c r="J74" s="20">
        <v>0.28390727694558149</v>
      </c>
      <c r="K74" s="20">
        <v>0.28390727694558149</v>
      </c>
      <c r="L74" s="20">
        <f>K74</f>
        <v>0.28390727694558149</v>
      </c>
      <c r="M74" s="165"/>
      <c r="N74" s="12" t="s">
        <v>536</v>
      </c>
      <c r="O74" s="12"/>
      <c r="P74" s="12"/>
      <c r="Q74" s="12" t="s">
        <v>537</v>
      </c>
    </row>
    <row r="75" spans="2:17">
      <c r="B75" s="15" t="s">
        <v>118</v>
      </c>
      <c r="C75" s="12"/>
      <c r="D75" s="34" t="s">
        <v>177</v>
      </c>
      <c r="E75" s="15"/>
      <c r="F75" s="15" t="s">
        <v>71</v>
      </c>
      <c r="G75" s="15"/>
      <c r="H75" s="20">
        <v>0.10816022537521536</v>
      </c>
      <c r="I75" s="20">
        <v>0.11271206667737427</v>
      </c>
      <c r="J75" s="20">
        <v>0.11271206667737427</v>
      </c>
      <c r="K75" s="20">
        <v>0.11271206667737427</v>
      </c>
      <c r="L75" s="20">
        <f>K75</f>
        <v>0.11271206667737427</v>
      </c>
      <c r="M75" s="165"/>
      <c r="N75" s="12" t="s">
        <v>536</v>
      </c>
      <c r="O75" s="12"/>
      <c r="P75" s="12"/>
      <c r="Q75" s="12" t="s">
        <v>538</v>
      </c>
    </row>
    <row r="76" spans="2:17">
      <c r="B76" s="15" t="s">
        <v>118</v>
      </c>
      <c r="C76" s="34" t="s">
        <v>5</v>
      </c>
      <c r="D76" s="34" t="s">
        <v>278</v>
      </c>
      <c r="E76" s="15" t="s">
        <v>539</v>
      </c>
      <c r="F76" s="15" t="s">
        <v>71</v>
      </c>
      <c r="G76" s="15"/>
      <c r="H76" s="20">
        <v>0.65113467839432759</v>
      </c>
      <c r="I76" s="20">
        <v>0.65113467839432759</v>
      </c>
      <c r="J76" s="20">
        <v>0.3255673391971638</v>
      </c>
      <c r="K76" s="20">
        <v>0</v>
      </c>
      <c r="L76" s="20">
        <v>0</v>
      </c>
      <c r="M76" s="165"/>
      <c r="N76" s="12" t="s">
        <v>536</v>
      </c>
      <c r="O76" s="12"/>
      <c r="P76" s="12"/>
      <c r="Q76" s="12" t="s">
        <v>540</v>
      </c>
    </row>
    <row r="77" spans="2:17">
      <c r="B77" s="15" t="s">
        <v>118</v>
      </c>
      <c r="C77" s="15" t="s">
        <v>4</v>
      </c>
      <c r="D77" s="34" t="s">
        <v>278</v>
      </c>
      <c r="E77" s="15" t="s">
        <v>539</v>
      </c>
      <c r="F77" s="15" t="s">
        <v>71</v>
      </c>
      <c r="G77" s="15"/>
      <c r="H77" s="15"/>
      <c r="I77" s="15"/>
      <c r="J77" s="20"/>
      <c r="K77" s="20">
        <v>0.37</v>
      </c>
      <c r="L77" s="20">
        <f>K77</f>
        <v>0.37</v>
      </c>
      <c r="M77" s="165">
        <v>5</v>
      </c>
      <c r="N77" s="12" t="s">
        <v>536</v>
      </c>
      <c r="O77" s="15"/>
      <c r="P77" s="15"/>
      <c r="Q77" s="12" t="s">
        <v>680</v>
      </c>
    </row>
    <row r="78" spans="2:17">
      <c r="B78" s="15" t="s">
        <v>118</v>
      </c>
      <c r="C78" s="15" t="s">
        <v>4</v>
      </c>
      <c r="D78" s="34" t="s">
        <v>278</v>
      </c>
      <c r="E78" s="15" t="s">
        <v>539</v>
      </c>
      <c r="F78" s="15" t="s">
        <v>71</v>
      </c>
      <c r="G78" s="15"/>
      <c r="H78" s="15">
        <v>0</v>
      </c>
      <c r="I78" s="15">
        <v>0</v>
      </c>
      <c r="J78" s="20">
        <v>0.3255673391971638</v>
      </c>
      <c r="K78" s="20">
        <v>0.65113467839432759</v>
      </c>
      <c r="L78" s="20">
        <v>0.65113467839432759</v>
      </c>
      <c r="M78" s="165">
        <v>5</v>
      </c>
      <c r="N78" s="12" t="s">
        <v>536</v>
      </c>
      <c r="O78" s="15"/>
      <c r="P78" s="15"/>
      <c r="Q78" s="12" t="s">
        <v>541</v>
      </c>
    </row>
    <row r="79" spans="2:17">
      <c r="B79" s="169"/>
      <c r="C79" s="169"/>
      <c r="D79" s="169" t="s">
        <v>301</v>
      </c>
      <c r="E79" s="169"/>
      <c r="F79" s="169"/>
      <c r="G79" s="169"/>
      <c r="H79" s="169"/>
      <c r="I79" s="169"/>
      <c r="J79" s="169"/>
      <c r="K79" s="169"/>
      <c r="L79" s="169"/>
      <c r="M79" s="170"/>
      <c r="N79" s="169"/>
      <c r="O79" s="169"/>
      <c r="P79" s="169"/>
      <c r="Q79" s="169"/>
    </row>
    <row r="80" spans="2:17">
      <c r="B80" s="15" t="s">
        <v>118</v>
      </c>
      <c r="C80" s="12" t="s">
        <v>5</v>
      </c>
      <c r="D80" s="34" t="s">
        <v>7</v>
      </c>
      <c r="E80" s="15"/>
      <c r="F80" s="15" t="s">
        <v>71</v>
      </c>
      <c r="G80" s="15"/>
      <c r="H80" s="20">
        <v>3.511381923192197</v>
      </c>
      <c r="I80" s="20">
        <v>4.0203187486832963</v>
      </c>
      <c r="J80" s="20">
        <v>4.4511731296468362</v>
      </c>
      <c r="K80" s="20">
        <v>4.9124624586983048</v>
      </c>
      <c r="L80" s="20">
        <v>4.9124624586983048</v>
      </c>
      <c r="M80" s="165">
        <v>5</v>
      </c>
      <c r="N80" s="12" t="s">
        <v>542</v>
      </c>
      <c r="O80" s="15"/>
      <c r="P80" s="15"/>
      <c r="Q80" s="15"/>
    </row>
    <row r="81" spans="2:17">
      <c r="B81" s="15"/>
      <c r="C81" s="12" t="s">
        <v>244</v>
      </c>
      <c r="D81" s="34" t="s">
        <v>21</v>
      </c>
      <c r="E81" s="12" t="s">
        <v>543</v>
      </c>
      <c r="F81" s="15" t="s">
        <v>71</v>
      </c>
      <c r="G81" s="15"/>
      <c r="H81" s="20">
        <v>0.48143551556520842</v>
      </c>
      <c r="I81" s="20">
        <v>0.41343784994400895</v>
      </c>
      <c r="J81" s="20">
        <v>0.37855146716348392</v>
      </c>
      <c r="K81" s="20">
        <v>0.37855146716348392</v>
      </c>
      <c r="L81" s="20"/>
      <c r="M81" s="165"/>
      <c r="N81" s="12" t="s">
        <v>543</v>
      </c>
      <c r="O81" s="12"/>
      <c r="P81" s="12"/>
      <c r="Q81" s="12" t="s">
        <v>544</v>
      </c>
    </row>
    <row r="82" spans="2:17">
      <c r="B82" s="15" t="s">
        <v>118</v>
      </c>
      <c r="C82" s="12"/>
      <c r="D82" s="34" t="s">
        <v>177</v>
      </c>
      <c r="E82" s="15"/>
      <c r="F82" s="15" t="s">
        <v>71</v>
      </c>
      <c r="G82" s="15"/>
      <c r="H82" s="20">
        <v>0.20594654800379616</v>
      </c>
      <c r="I82" s="20">
        <v>0.1770099158798901</v>
      </c>
      <c r="J82" s="20">
        <v>0.169829885889969</v>
      </c>
      <c r="K82" s="20">
        <v>0.16911046690713574</v>
      </c>
      <c r="L82" s="15"/>
      <c r="M82" s="165"/>
      <c r="N82" s="12" t="s">
        <v>543</v>
      </c>
      <c r="O82" s="12"/>
      <c r="P82" s="12"/>
      <c r="Q82" s="12" t="s">
        <v>545</v>
      </c>
    </row>
    <row r="83" spans="2:17">
      <c r="B83" s="15" t="s">
        <v>118</v>
      </c>
      <c r="C83" s="12"/>
      <c r="D83" s="34" t="s">
        <v>177</v>
      </c>
      <c r="E83" s="15"/>
      <c r="F83" s="15" t="s">
        <v>71</v>
      </c>
      <c r="G83" s="15"/>
      <c r="H83" s="20">
        <v>0.20133928506741902</v>
      </c>
      <c r="I83" s="20">
        <v>0.17304999893683151</v>
      </c>
      <c r="J83" s="20">
        <v>0.16603059453823635</v>
      </c>
      <c r="K83" s="20">
        <v>0.16532726979173515</v>
      </c>
      <c r="L83" s="15"/>
      <c r="M83" s="165"/>
      <c r="N83" s="12" t="s">
        <v>543</v>
      </c>
      <c r="O83" s="12"/>
      <c r="P83" s="12"/>
      <c r="Q83" s="12" t="s">
        <v>546</v>
      </c>
    </row>
    <row r="84" spans="2:17">
      <c r="B84" s="15" t="s">
        <v>118</v>
      </c>
      <c r="C84" s="12"/>
      <c r="D84" s="34" t="s">
        <v>177</v>
      </c>
      <c r="E84" s="15"/>
      <c r="F84" s="15" t="s">
        <v>71</v>
      </c>
      <c r="G84" s="15"/>
      <c r="H84" s="20">
        <v>0.12510192540237475</v>
      </c>
      <c r="I84" s="20">
        <v>0.12233114059079243</v>
      </c>
      <c r="J84" s="20">
        <v>0.11083316492760815</v>
      </c>
      <c r="K84" s="20">
        <v>9.5840963467407364E-2</v>
      </c>
      <c r="L84" s="15"/>
      <c r="M84" s="165"/>
      <c r="N84" s="12" t="s">
        <v>543</v>
      </c>
      <c r="O84" s="12"/>
      <c r="P84" s="12"/>
      <c r="Q84" s="12" t="s">
        <v>547</v>
      </c>
    </row>
    <row r="85" spans="2:17">
      <c r="B85" s="15" t="s">
        <v>118</v>
      </c>
      <c r="C85" s="12"/>
      <c r="D85" s="34" t="s">
        <v>177</v>
      </c>
      <c r="E85" s="15"/>
      <c r="F85" s="15" t="s">
        <v>71</v>
      </c>
      <c r="G85" s="15"/>
      <c r="H85" s="20">
        <v>0.43729807885297456</v>
      </c>
      <c r="I85" s="20">
        <v>0.48950230982945903</v>
      </c>
      <c r="J85" s="20">
        <v>0.50991269662706995</v>
      </c>
      <c r="K85" s="20">
        <v>0.52309368218650842</v>
      </c>
      <c r="L85" s="15"/>
      <c r="M85" s="165"/>
      <c r="N85" s="12" t="s">
        <v>543</v>
      </c>
      <c r="O85" s="12"/>
      <c r="P85" s="12"/>
      <c r="Q85" s="12" t="s">
        <v>548</v>
      </c>
    </row>
    <row r="86" spans="2:17">
      <c r="B86" s="15" t="s">
        <v>118</v>
      </c>
      <c r="C86" s="12"/>
      <c r="D86" s="34" t="s">
        <v>177</v>
      </c>
      <c r="E86" s="15"/>
      <c r="F86" s="15" t="s">
        <v>71</v>
      </c>
      <c r="G86" s="15"/>
      <c r="H86" s="20">
        <v>9.5691612229359624E-2</v>
      </c>
      <c r="I86" s="20">
        <v>9.1440737715913545E-2</v>
      </c>
      <c r="J86" s="20">
        <v>9.5541807352820127E-2</v>
      </c>
      <c r="K86" s="20">
        <v>0.10582480829573798</v>
      </c>
      <c r="L86" s="15"/>
      <c r="M86" s="165"/>
      <c r="N86" s="12" t="s">
        <v>549</v>
      </c>
      <c r="O86" s="12"/>
      <c r="P86" s="12"/>
      <c r="Q86" s="12" t="s">
        <v>550</v>
      </c>
    </row>
    <row r="87" spans="2:17">
      <c r="B87" s="15" t="s">
        <v>118</v>
      </c>
      <c r="C87" s="12"/>
      <c r="D87" s="34" t="s">
        <v>177</v>
      </c>
      <c r="E87" s="15"/>
      <c r="F87" s="15" t="s">
        <v>71</v>
      </c>
      <c r="G87" s="15"/>
      <c r="H87" s="20">
        <v>0.15223091962888088</v>
      </c>
      <c r="I87" s="20">
        <v>0.12929636923150981</v>
      </c>
      <c r="J87" s="20">
        <v>0.12293412896306799</v>
      </c>
      <c r="K87" s="20">
        <v>0.11906251201752517</v>
      </c>
      <c r="L87" s="15"/>
      <c r="M87" s="165"/>
      <c r="N87" s="12" t="s">
        <v>549</v>
      </c>
      <c r="O87" s="12"/>
      <c r="P87" s="12"/>
      <c r="Q87" s="12" t="s">
        <v>551</v>
      </c>
    </row>
    <row r="88" spans="2:17">
      <c r="B88" s="15" t="s">
        <v>118</v>
      </c>
      <c r="C88" s="12"/>
      <c r="D88" s="34" t="s">
        <v>177</v>
      </c>
      <c r="E88" s="15"/>
      <c r="F88" s="15" t="s">
        <v>71</v>
      </c>
      <c r="G88" s="15"/>
      <c r="H88" s="20">
        <v>0.14780433050014374</v>
      </c>
      <c r="I88" s="20">
        <v>0.12553667373850039</v>
      </c>
      <c r="J88" s="20">
        <v>0.1193594354635784</v>
      </c>
      <c r="K88" s="20">
        <v>0.11560039786475144</v>
      </c>
      <c r="L88" s="15"/>
      <c r="M88" s="165"/>
      <c r="N88" s="12" t="s">
        <v>549</v>
      </c>
      <c r="O88" s="12"/>
      <c r="P88" s="12"/>
      <c r="Q88" s="12" t="s">
        <v>552</v>
      </c>
    </row>
    <row r="89" spans="2:17">
      <c r="B89" s="15" t="s">
        <v>118</v>
      </c>
      <c r="C89" s="12"/>
      <c r="D89" s="34" t="s">
        <v>177</v>
      </c>
      <c r="E89" s="15"/>
      <c r="F89" s="15" t="s">
        <v>71</v>
      </c>
      <c r="G89" s="15"/>
      <c r="H89" s="20">
        <v>0.10481934029872106</v>
      </c>
      <c r="I89" s="20">
        <v>0.10142105126623839</v>
      </c>
      <c r="J89" s="20">
        <v>9.1098211388092321E-2</v>
      </c>
      <c r="K89" s="20">
        <v>7.6442099984488726E-2</v>
      </c>
      <c r="L89" s="15"/>
      <c r="M89" s="165"/>
      <c r="N89" s="12" t="s">
        <v>549</v>
      </c>
      <c r="O89" s="12"/>
      <c r="P89" s="12"/>
      <c r="Q89" s="12" t="s">
        <v>547</v>
      </c>
    </row>
    <row r="90" spans="2:17">
      <c r="B90" s="15" t="s">
        <v>118</v>
      </c>
      <c r="C90" s="12"/>
      <c r="D90" s="34" t="s">
        <v>177</v>
      </c>
      <c r="E90" s="15"/>
      <c r="F90" s="15" t="s">
        <v>71</v>
      </c>
      <c r="G90" s="15"/>
      <c r="H90" s="20">
        <v>0.27819420055912819</v>
      </c>
      <c r="I90" s="20">
        <v>0.30732440750025458</v>
      </c>
      <c r="J90" s="20">
        <v>0.31712473119989665</v>
      </c>
      <c r="K90" s="20">
        <v>0.31714419823982359</v>
      </c>
      <c r="L90" s="15"/>
      <c r="M90" s="165"/>
      <c r="N90" s="12" t="s">
        <v>549</v>
      </c>
      <c r="O90" s="12"/>
      <c r="P90" s="12"/>
      <c r="Q90" s="12" t="s">
        <v>548</v>
      </c>
    </row>
    <row r="91" spans="2:17">
      <c r="B91" s="15" t="s">
        <v>118</v>
      </c>
      <c r="C91" s="12"/>
      <c r="D91" s="34" t="s">
        <v>177</v>
      </c>
      <c r="E91" s="15"/>
      <c r="F91" s="15" t="s">
        <v>71</v>
      </c>
      <c r="G91" s="15"/>
      <c r="H91" s="20">
        <v>0.11663059165151048</v>
      </c>
      <c r="I91" s="20">
        <v>0.13163501734172786</v>
      </c>
      <c r="J91" s="20">
        <v>0.13747526794840334</v>
      </c>
      <c r="K91" s="20">
        <v>0.13900320502453947</v>
      </c>
      <c r="L91" s="164"/>
      <c r="M91" s="165"/>
      <c r="N91" s="12" t="s">
        <v>549</v>
      </c>
      <c r="O91" s="12"/>
      <c r="P91" s="12"/>
      <c r="Q91" s="12" t="s">
        <v>553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6"/>
  <sheetViews>
    <sheetView topLeftCell="A37" zoomScale="75" workbookViewId="0">
      <selection activeCell="S70" sqref="S70"/>
    </sheetView>
  </sheetViews>
  <sheetFormatPr defaultRowHeight="12.75"/>
  <cols>
    <col min="1" max="1" width="15.85546875" customWidth="1"/>
    <col min="2" max="2" width="4.42578125" customWidth="1"/>
    <col min="3" max="3" width="7.28515625" customWidth="1"/>
    <col min="4" max="4" width="8.140625" customWidth="1"/>
    <col min="5" max="5" width="11.5703125" bestFit="1" customWidth="1"/>
    <col min="6" max="6" width="11.42578125" customWidth="1"/>
    <col min="7" max="7" width="8" customWidth="1"/>
    <col min="8" max="13" width="8.7109375" customWidth="1"/>
    <col min="17" max="17" width="10.140625" customWidth="1"/>
  </cols>
  <sheetData>
    <row r="1" spans="1:31">
      <c r="D1" s="204"/>
    </row>
    <row r="3" spans="1:31">
      <c r="C3" s="7" t="s">
        <v>6</v>
      </c>
      <c r="H3" s="7"/>
      <c r="I3" s="7"/>
      <c r="J3" s="7"/>
    </row>
    <row r="4" spans="1:31" ht="13.5" thickBot="1">
      <c r="C4" s="206" t="s">
        <v>55</v>
      </c>
      <c r="D4" s="206" t="s">
        <v>56</v>
      </c>
      <c r="E4" s="206" t="s">
        <v>57</v>
      </c>
      <c r="F4" s="207" t="str">
        <f ca="1">IF(VEDA2,"SourceScen","\I:")</f>
        <v>SourceScen</v>
      </c>
      <c r="G4" s="207" t="s">
        <v>58</v>
      </c>
      <c r="H4" s="207" t="s">
        <v>71</v>
      </c>
      <c r="I4" s="207" t="s">
        <v>351</v>
      </c>
      <c r="J4" s="206" t="s">
        <v>63</v>
      </c>
      <c r="K4" s="208" t="s">
        <v>66</v>
      </c>
      <c r="L4" s="208" t="s">
        <v>67</v>
      </c>
      <c r="M4" s="208" t="s">
        <v>59</v>
      </c>
    </row>
    <row r="5" spans="1:31">
      <c r="A5" s="205" t="s">
        <v>612</v>
      </c>
      <c r="C5" s="209"/>
      <c r="D5" s="209"/>
      <c r="E5" s="15" t="s">
        <v>613</v>
      </c>
      <c r="F5" s="101" t="s">
        <v>111</v>
      </c>
      <c r="G5" s="101">
        <v>2010</v>
      </c>
      <c r="H5" s="101" t="s">
        <v>614</v>
      </c>
      <c r="I5" s="101" t="s">
        <v>614</v>
      </c>
      <c r="J5" s="15"/>
      <c r="K5" s="15" t="s">
        <v>615</v>
      </c>
      <c r="L5" s="15"/>
      <c r="M5" s="15"/>
    </row>
    <row r="9" spans="1:31">
      <c r="C9" s="7" t="s">
        <v>60</v>
      </c>
      <c r="K9" s="4"/>
      <c r="L9" s="5"/>
      <c r="M9" s="5"/>
      <c r="N9" s="5"/>
      <c r="O9" s="5"/>
      <c r="P9" s="4"/>
      <c r="Q9" s="5"/>
      <c r="R9" s="5"/>
    </row>
    <row r="10" spans="1:31" ht="13.5" thickBot="1">
      <c r="C10" s="8" t="s">
        <v>55</v>
      </c>
      <c r="D10" s="8" t="s">
        <v>56</v>
      </c>
      <c r="E10" s="8" t="s">
        <v>57</v>
      </c>
      <c r="F10" s="8" t="s">
        <v>20</v>
      </c>
      <c r="G10" s="8" t="s">
        <v>58</v>
      </c>
      <c r="H10" s="11" t="s">
        <v>0</v>
      </c>
      <c r="I10" s="11" t="s">
        <v>71</v>
      </c>
      <c r="J10" s="11" t="s">
        <v>351</v>
      </c>
      <c r="K10" s="8" t="s">
        <v>63</v>
      </c>
      <c r="L10" s="9" t="s">
        <v>64</v>
      </c>
      <c r="M10" s="9" t="s">
        <v>65</v>
      </c>
      <c r="N10" s="8" t="s">
        <v>66</v>
      </c>
      <c r="O10" s="9" t="s">
        <v>67</v>
      </c>
      <c r="P10" s="8" t="s">
        <v>68</v>
      </c>
      <c r="Q10" s="9" t="s">
        <v>59</v>
      </c>
      <c r="R10" s="9" t="s">
        <v>69</v>
      </c>
      <c r="S10" s="9" t="s">
        <v>320</v>
      </c>
      <c r="W10" s="141" t="s">
        <v>96</v>
      </c>
      <c r="X10" s="11" t="s">
        <v>71</v>
      </c>
      <c r="Y10" s="11" t="s">
        <v>351</v>
      </c>
    </row>
    <row r="11" spans="1:31" s="3" customFormat="1">
      <c r="A11" s="103" t="s">
        <v>75</v>
      </c>
      <c r="C11" s="12" t="s">
        <v>118</v>
      </c>
      <c r="D11" s="12" t="s">
        <v>4</v>
      </c>
      <c r="E11" s="34" t="s">
        <v>7</v>
      </c>
      <c r="F11" s="13"/>
      <c r="G11" s="45">
        <v>2010</v>
      </c>
      <c r="H11" s="23"/>
      <c r="I11" s="33">
        <f t="shared" ref="I11:J17" si="0">X11*3.6</f>
        <v>48.6</v>
      </c>
      <c r="J11" s="33">
        <f t="shared" si="0"/>
        <v>0</v>
      </c>
      <c r="K11" s="12"/>
      <c r="L11" s="12"/>
      <c r="M11" s="12"/>
      <c r="N11" s="12" t="s">
        <v>494</v>
      </c>
      <c r="O11" s="12"/>
      <c r="P11" s="12"/>
      <c r="Q11" s="12"/>
      <c r="R11" s="12"/>
      <c r="S11" s="12"/>
      <c r="V11"/>
      <c r="W11" s="12">
        <v>2010</v>
      </c>
      <c r="X11" s="53">
        <v>13.5</v>
      </c>
      <c r="Y11" s="15">
        <v>0</v>
      </c>
      <c r="Z11"/>
      <c r="AC11"/>
      <c r="AD11"/>
      <c r="AE11"/>
    </row>
    <row r="12" spans="1:31" s="3" customFormat="1">
      <c r="A12" s="103"/>
      <c r="C12" s="12" t="s">
        <v>118</v>
      </c>
      <c r="D12" s="12" t="s">
        <v>4</v>
      </c>
      <c r="E12" s="34" t="s">
        <v>7</v>
      </c>
      <c r="F12" s="13"/>
      <c r="G12" s="45">
        <v>2015</v>
      </c>
      <c r="H12" s="23"/>
      <c r="I12" s="33">
        <f t="shared" si="0"/>
        <v>59.4</v>
      </c>
      <c r="J12" s="33">
        <f t="shared" si="0"/>
        <v>0</v>
      </c>
      <c r="K12" s="12"/>
      <c r="L12" s="12"/>
      <c r="M12" s="12"/>
      <c r="N12" s="12" t="s">
        <v>494</v>
      </c>
      <c r="O12" s="12"/>
      <c r="P12" s="12"/>
      <c r="Q12" s="12"/>
      <c r="R12" s="12"/>
      <c r="S12" s="12"/>
      <c r="V12"/>
      <c r="W12" s="12">
        <v>2015</v>
      </c>
      <c r="X12" s="53">
        <v>16.5</v>
      </c>
      <c r="Y12" s="15">
        <v>0</v>
      </c>
      <c r="Z12"/>
      <c r="AC12"/>
      <c r="AD12"/>
      <c r="AE12"/>
    </row>
    <row r="13" spans="1:31" s="3" customFormat="1">
      <c r="A13" s="103" t="s">
        <v>76</v>
      </c>
      <c r="C13" s="12" t="s">
        <v>118</v>
      </c>
      <c r="D13" s="12" t="s">
        <v>4</v>
      </c>
      <c r="E13" s="34" t="s">
        <v>7</v>
      </c>
      <c r="F13" s="13"/>
      <c r="G13" s="45">
        <v>2020</v>
      </c>
      <c r="H13" s="23"/>
      <c r="I13" s="33">
        <f t="shared" si="0"/>
        <v>52.500452054794522</v>
      </c>
      <c r="J13" s="33">
        <f t="shared" si="0"/>
        <v>0</v>
      </c>
      <c r="K13" s="12"/>
      <c r="L13" s="12"/>
      <c r="M13" s="12"/>
      <c r="N13" s="12" t="s">
        <v>494</v>
      </c>
      <c r="O13" s="12"/>
      <c r="P13" s="12"/>
      <c r="Q13" s="12"/>
      <c r="R13" s="12"/>
      <c r="S13" s="12"/>
      <c r="V13"/>
      <c r="W13" s="12">
        <v>2020</v>
      </c>
      <c r="X13" s="53">
        <v>14.583458904109589</v>
      </c>
      <c r="Y13" s="15">
        <v>0</v>
      </c>
      <c r="Z13"/>
      <c r="AC13"/>
      <c r="AD13"/>
      <c r="AE13"/>
    </row>
    <row r="14" spans="1:31" s="3" customFormat="1">
      <c r="A14" s="103" t="s">
        <v>77</v>
      </c>
      <c r="C14" s="12" t="s">
        <v>118</v>
      </c>
      <c r="D14" s="12" t="s">
        <v>4</v>
      </c>
      <c r="E14" s="34" t="s">
        <v>7</v>
      </c>
      <c r="F14" s="13"/>
      <c r="G14" s="45">
        <v>2030</v>
      </c>
      <c r="H14" s="23"/>
      <c r="I14" s="33">
        <f t="shared" si="0"/>
        <v>53.220776054794527</v>
      </c>
      <c r="J14" s="33">
        <f t="shared" si="0"/>
        <v>0</v>
      </c>
      <c r="K14" s="12"/>
      <c r="L14" s="12"/>
      <c r="M14" s="12"/>
      <c r="N14" s="12" t="s">
        <v>494</v>
      </c>
      <c r="O14" s="12"/>
      <c r="P14" s="12"/>
      <c r="Q14" s="12"/>
      <c r="R14" s="12"/>
      <c r="S14" s="12"/>
      <c r="V14"/>
      <c r="W14" s="12">
        <v>2030</v>
      </c>
      <c r="X14" s="53">
        <v>14.78354890410959</v>
      </c>
      <c r="Y14" s="15">
        <v>0</v>
      </c>
      <c r="Z14"/>
      <c r="AC14"/>
      <c r="AD14"/>
      <c r="AE14"/>
    </row>
    <row r="15" spans="1:31" s="3" customFormat="1">
      <c r="A15" s="103"/>
      <c r="C15" s="12" t="s">
        <v>118</v>
      </c>
      <c r="D15" s="12" t="s">
        <v>4</v>
      </c>
      <c r="E15" s="34" t="s">
        <v>7</v>
      </c>
      <c r="F15" s="13"/>
      <c r="G15" s="45">
        <v>2050</v>
      </c>
      <c r="H15" s="23"/>
      <c r="I15" s="33">
        <f t="shared" si="0"/>
        <v>54.337103654794525</v>
      </c>
      <c r="J15" s="33">
        <f t="shared" si="0"/>
        <v>0</v>
      </c>
      <c r="K15" s="12"/>
      <c r="L15" s="12"/>
      <c r="M15" s="12"/>
      <c r="N15" s="12" t="s">
        <v>494</v>
      </c>
      <c r="O15" s="12"/>
      <c r="P15" s="12"/>
      <c r="Q15" s="12"/>
      <c r="R15" s="12"/>
      <c r="S15" s="12"/>
      <c r="V15"/>
      <c r="W15" s="12">
        <v>2050</v>
      </c>
      <c r="X15" s="53">
        <v>15.09363990410959</v>
      </c>
      <c r="Y15" s="15">
        <v>0</v>
      </c>
      <c r="Z15"/>
      <c r="AC15"/>
      <c r="AD15"/>
      <c r="AE15"/>
    </row>
    <row r="16" spans="1:31">
      <c r="A16" s="62"/>
      <c r="C16" s="12" t="s">
        <v>118</v>
      </c>
      <c r="D16" s="12" t="s">
        <v>4</v>
      </c>
      <c r="E16" s="34" t="s">
        <v>7</v>
      </c>
      <c r="F16" s="13"/>
      <c r="G16" s="45">
        <v>2100</v>
      </c>
      <c r="H16" s="23"/>
      <c r="I16" s="33">
        <f t="shared" si="0"/>
        <v>59.04</v>
      </c>
      <c r="J16" s="33">
        <f t="shared" si="0"/>
        <v>0</v>
      </c>
      <c r="K16" s="12"/>
      <c r="L16" s="12"/>
      <c r="M16" s="12"/>
      <c r="N16" s="12" t="s">
        <v>494</v>
      </c>
      <c r="O16" s="12"/>
      <c r="P16" s="15"/>
      <c r="Q16" s="15"/>
      <c r="R16" s="15"/>
      <c r="S16" s="15"/>
      <c r="W16" s="12">
        <v>2100</v>
      </c>
      <c r="X16" s="129">
        <v>16.399999999999999</v>
      </c>
      <c r="Y16" s="15">
        <v>0</v>
      </c>
    </row>
    <row r="17" spans="1:25">
      <c r="A17" s="103" t="s">
        <v>75</v>
      </c>
      <c r="B17" s="3"/>
      <c r="C17" s="12" t="s">
        <v>118</v>
      </c>
      <c r="D17" s="12" t="s">
        <v>4</v>
      </c>
      <c r="E17" s="34" t="s">
        <v>7</v>
      </c>
      <c r="F17" s="13"/>
      <c r="G17" s="45">
        <v>2010</v>
      </c>
      <c r="H17" s="23"/>
      <c r="I17" s="33">
        <f t="shared" si="0"/>
        <v>0.36000000000000004</v>
      </c>
      <c r="J17" s="33">
        <f t="shared" si="0"/>
        <v>0</v>
      </c>
      <c r="K17" s="12"/>
      <c r="L17" s="12"/>
      <c r="M17" s="12"/>
      <c r="N17" s="12" t="s">
        <v>495</v>
      </c>
      <c r="O17" s="12"/>
      <c r="P17" s="15"/>
      <c r="Q17" s="15"/>
      <c r="R17" s="15"/>
      <c r="S17" s="15"/>
      <c r="W17" s="12">
        <v>2010</v>
      </c>
      <c r="X17" s="130">
        <v>0.1</v>
      </c>
      <c r="Y17" s="15">
        <v>0</v>
      </c>
    </row>
    <row r="18" spans="1:25">
      <c r="A18" s="103" t="s">
        <v>76</v>
      </c>
      <c r="B18" s="3"/>
      <c r="C18" s="12" t="s">
        <v>118</v>
      </c>
      <c r="D18" s="12" t="s">
        <v>4</v>
      </c>
      <c r="E18" s="34" t="s">
        <v>7</v>
      </c>
      <c r="F18" s="13"/>
      <c r="G18" s="45">
        <v>2020</v>
      </c>
      <c r="H18" s="23"/>
      <c r="I18" s="33">
        <f t="shared" ref="I18:J21" si="1">X19*3.6</f>
        <v>2.52</v>
      </c>
      <c r="J18" s="33">
        <f t="shared" si="1"/>
        <v>0.252</v>
      </c>
      <c r="K18" s="12"/>
      <c r="L18" s="12"/>
      <c r="M18" s="12"/>
      <c r="N18" s="12" t="s">
        <v>495</v>
      </c>
      <c r="O18" s="12"/>
      <c r="P18" s="15"/>
      <c r="Q18" s="15"/>
      <c r="R18" s="15"/>
      <c r="S18" s="15"/>
      <c r="W18" s="12">
        <v>2015</v>
      </c>
      <c r="X18" s="53">
        <f>AVERAGE(X17,X19)</f>
        <v>0.39999999999999997</v>
      </c>
      <c r="Y18" s="15">
        <v>0</v>
      </c>
    </row>
    <row r="19" spans="1:25">
      <c r="A19" s="62" t="s">
        <v>95</v>
      </c>
      <c r="C19" s="12" t="s">
        <v>118</v>
      </c>
      <c r="D19" s="12" t="s">
        <v>4</v>
      </c>
      <c r="E19" s="34" t="s">
        <v>7</v>
      </c>
      <c r="F19" s="13"/>
      <c r="G19" s="45">
        <v>2030</v>
      </c>
      <c r="H19" s="23"/>
      <c r="I19" s="33">
        <f t="shared" si="1"/>
        <v>3.24</v>
      </c>
      <c r="J19" s="33">
        <f t="shared" si="1"/>
        <v>0.32400000000000007</v>
      </c>
      <c r="K19" s="12"/>
      <c r="L19" s="12"/>
      <c r="M19" s="12"/>
      <c r="N19" s="12" t="s">
        <v>495</v>
      </c>
      <c r="O19" s="12"/>
      <c r="P19" s="15"/>
      <c r="Q19" s="15"/>
      <c r="R19" s="15"/>
      <c r="S19" s="15"/>
      <c r="W19" s="12">
        <v>2020</v>
      </c>
      <c r="X19" s="131">
        <v>0.7</v>
      </c>
      <c r="Y19" s="15">
        <f>X19*0.1</f>
        <v>6.9999999999999993E-2</v>
      </c>
    </row>
    <row r="20" spans="1:25">
      <c r="A20" s="62"/>
      <c r="C20" s="12" t="s">
        <v>118</v>
      </c>
      <c r="D20" s="12" t="s">
        <v>4</v>
      </c>
      <c r="E20" s="34" t="s">
        <v>7</v>
      </c>
      <c r="F20" s="13"/>
      <c r="G20" s="45">
        <v>2050</v>
      </c>
      <c r="H20" s="23"/>
      <c r="I20" s="33">
        <f t="shared" si="1"/>
        <v>4.32</v>
      </c>
      <c r="J20" s="33">
        <f t="shared" si="1"/>
        <v>0.64800000000000002</v>
      </c>
      <c r="K20" s="12"/>
      <c r="L20" s="12"/>
      <c r="M20" s="12"/>
      <c r="N20" s="12" t="s">
        <v>495</v>
      </c>
      <c r="O20" s="12"/>
      <c r="P20" s="15"/>
      <c r="Q20" s="15"/>
      <c r="R20" s="15"/>
      <c r="S20" s="15"/>
      <c r="W20" s="12">
        <v>2030</v>
      </c>
      <c r="X20" s="131">
        <v>0.9</v>
      </c>
      <c r="Y20" s="15">
        <f>X20*0.1</f>
        <v>9.0000000000000011E-2</v>
      </c>
    </row>
    <row r="21" spans="1:25">
      <c r="A21" s="62"/>
      <c r="C21" s="12" t="s">
        <v>118</v>
      </c>
      <c r="D21" s="12" t="s">
        <v>4</v>
      </c>
      <c r="E21" s="34" t="s">
        <v>7</v>
      </c>
      <c r="F21" s="13"/>
      <c r="G21" s="45">
        <v>2100</v>
      </c>
      <c r="H21" s="23"/>
      <c r="I21" s="33">
        <f t="shared" si="1"/>
        <v>5.04</v>
      </c>
      <c r="J21" s="33">
        <f t="shared" si="1"/>
        <v>0.75600000000000001</v>
      </c>
      <c r="K21" s="12"/>
      <c r="L21" s="12"/>
      <c r="M21" s="12"/>
      <c r="N21" s="12" t="s">
        <v>495</v>
      </c>
      <c r="O21" s="12"/>
      <c r="P21" s="15"/>
      <c r="Q21" s="15"/>
      <c r="R21" s="15"/>
      <c r="S21" s="15"/>
      <c r="W21" s="12">
        <v>2050</v>
      </c>
      <c r="X21" s="131">
        <v>1.2</v>
      </c>
      <c r="Y21" s="15">
        <f>X21*0.15</f>
        <v>0.18</v>
      </c>
    </row>
    <row r="22" spans="1:25">
      <c r="A22" s="62"/>
      <c r="C22" s="39"/>
      <c r="D22" s="39"/>
      <c r="E22" s="39" t="s">
        <v>301</v>
      </c>
      <c r="F22" s="39"/>
      <c r="G22" s="111"/>
      <c r="H22" s="39"/>
      <c r="I22" s="61"/>
      <c r="J22" s="61"/>
      <c r="K22" s="39"/>
      <c r="L22" s="39"/>
      <c r="M22" s="39"/>
      <c r="N22" s="39"/>
      <c r="O22" s="39"/>
      <c r="P22" s="39"/>
      <c r="Q22" s="39"/>
      <c r="R22" s="39"/>
      <c r="S22" s="39"/>
      <c r="W22" s="12">
        <v>2100</v>
      </c>
      <c r="X22" s="129">
        <v>1.4</v>
      </c>
      <c r="Y22" s="15">
        <f>X22*0.15</f>
        <v>0.21</v>
      </c>
    </row>
    <row r="23" spans="1:25">
      <c r="A23" s="62" t="s">
        <v>504</v>
      </c>
      <c r="C23" s="12" t="s">
        <v>118</v>
      </c>
      <c r="D23" s="15" t="s">
        <v>244</v>
      </c>
      <c r="E23" s="15" t="s">
        <v>243</v>
      </c>
      <c r="F23" s="15"/>
      <c r="G23" s="101">
        <v>0</v>
      </c>
      <c r="H23" s="15"/>
      <c r="I23" s="109">
        <v>2</v>
      </c>
      <c r="J23" s="109">
        <v>2</v>
      </c>
      <c r="K23" s="15"/>
      <c r="L23" s="15"/>
      <c r="M23" s="15"/>
      <c r="N23" s="15"/>
      <c r="O23" s="15"/>
      <c r="P23" s="15"/>
      <c r="Q23" s="15" t="s">
        <v>26</v>
      </c>
      <c r="R23" s="15"/>
      <c r="S23" s="15"/>
      <c r="W23" s="12">
        <v>2010</v>
      </c>
      <c r="X23" s="131">
        <f t="shared" ref="X23:Y28" si="2">X11+X17</f>
        <v>13.6</v>
      </c>
      <c r="Y23" s="131">
        <f t="shared" si="2"/>
        <v>0</v>
      </c>
    </row>
    <row r="24" spans="1:25">
      <c r="A24" s="62"/>
      <c r="C24" s="12" t="s">
        <v>118</v>
      </c>
      <c r="D24" s="15" t="s">
        <v>244</v>
      </c>
      <c r="E24" s="15" t="s">
        <v>243</v>
      </c>
      <c r="F24" s="15"/>
      <c r="G24" s="101">
        <v>0</v>
      </c>
      <c r="H24" s="15"/>
      <c r="I24" s="109">
        <v>2</v>
      </c>
      <c r="J24" s="109">
        <v>2</v>
      </c>
      <c r="K24" s="15"/>
      <c r="L24" s="15"/>
      <c r="M24" s="15"/>
      <c r="N24" s="15"/>
      <c r="O24" s="15"/>
      <c r="P24" s="15"/>
      <c r="Q24" s="15" t="s">
        <v>503</v>
      </c>
      <c r="R24" s="15"/>
      <c r="S24" s="15"/>
      <c r="W24" s="12">
        <v>2015</v>
      </c>
      <c r="X24" s="131">
        <f t="shared" si="2"/>
        <v>16.899999999999999</v>
      </c>
      <c r="Y24" s="131">
        <f t="shared" si="2"/>
        <v>0</v>
      </c>
    </row>
    <row r="25" spans="1:25">
      <c r="A25" s="62"/>
      <c r="C25" s="12" t="s">
        <v>118</v>
      </c>
      <c r="D25" s="15" t="s">
        <v>244</v>
      </c>
      <c r="E25" s="15" t="s">
        <v>243</v>
      </c>
      <c r="F25" s="15"/>
      <c r="G25" s="101">
        <v>0</v>
      </c>
      <c r="H25" s="15"/>
      <c r="I25" s="109">
        <v>2</v>
      </c>
      <c r="J25" s="109">
        <v>2</v>
      </c>
      <c r="K25" s="15"/>
      <c r="L25" s="15"/>
      <c r="M25" s="15"/>
      <c r="N25" s="15"/>
      <c r="O25" s="15"/>
      <c r="P25" s="15"/>
      <c r="Q25" s="15" t="s">
        <v>249</v>
      </c>
      <c r="R25" s="15"/>
      <c r="S25" s="15"/>
      <c r="W25" s="12">
        <v>2020</v>
      </c>
      <c r="X25" s="131">
        <f t="shared" si="2"/>
        <v>15.283458904109589</v>
      </c>
      <c r="Y25" s="131">
        <f t="shared" si="2"/>
        <v>6.9999999999999993E-2</v>
      </c>
    </row>
    <row r="26" spans="1:25">
      <c r="A26" s="62" t="s">
        <v>245</v>
      </c>
      <c r="C26" s="12" t="s">
        <v>118</v>
      </c>
      <c r="D26" s="15" t="s">
        <v>5</v>
      </c>
      <c r="E26" s="15" t="s">
        <v>7</v>
      </c>
      <c r="F26" s="15"/>
      <c r="G26" s="101">
        <v>2010</v>
      </c>
      <c r="H26" s="15"/>
      <c r="I26" s="53">
        <f>X33*3.6</f>
        <v>1.08</v>
      </c>
      <c r="J26" s="53">
        <v>0</v>
      </c>
      <c r="K26" s="15"/>
      <c r="L26" s="15"/>
      <c r="M26" s="15"/>
      <c r="N26" s="15" t="s">
        <v>496</v>
      </c>
      <c r="O26" s="15"/>
      <c r="P26" s="15"/>
      <c r="Q26" s="15"/>
      <c r="R26" s="15"/>
      <c r="S26" s="15"/>
      <c r="W26" s="12">
        <v>2030</v>
      </c>
      <c r="X26" s="131">
        <f t="shared" si="2"/>
        <v>15.683548904109591</v>
      </c>
      <c r="Y26" s="131">
        <f t="shared" si="2"/>
        <v>9.0000000000000011E-2</v>
      </c>
    </row>
    <row r="27" spans="1:25">
      <c r="A27" s="62" t="s">
        <v>242</v>
      </c>
      <c r="C27" s="12" t="s">
        <v>118</v>
      </c>
      <c r="D27" s="15" t="s">
        <v>5</v>
      </c>
      <c r="E27" s="15" t="s">
        <v>7</v>
      </c>
      <c r="F27" s="15"/>
      <c r="G27" s="101">
        <v>2020</v>
      </c>
      <c r="H27" s="15"/>
      <c r="I27" s="53">
        <f>X34*3.6</f>
        <v>23.400000000000002</v>
      </c>
      <c r="J27" s="53">
        <f>Y34*3.6</f>
        <v>0.18000000000000002</v>
      </c>
      <c r="K27" s="15"/>
      <c r="L27" s="15"/>
      <c r="M27" s="15"/>
      <c r="N27" s="15" t="s">
        <v>496</v>
      </c>
      <c r="O27" s="15"/>
      <c r="P27" s="15"/>
      <c r="Q27" s="15"/>
      <c r="R27" s="15"/>
      <c r="S27" s="15"/>
      <c r="W27" s="12">
        <v>2050</v>
      </c>
      <c r="X27" s="131">
        <f t="shared" si="2"/>
        <v>16.29363990410959</v>
      </c>
      <c r="Y27" s="131">
        <f t="shared" si="2"/>
        <v>0.18</v>
      </c>
    </row>
    <row r="28" spans="1:25">
      <c r="A28" s="62"/>
      <c r="C28" s="12" t="s">
        <v>118</v>
      </c>
      <c r="D28" s="15" t="s">
        <v>5</v>
      </c>
      <c r="E28" s="15" t="s">
        <v>7</v>
      </c>
      <c r="F28" s="15"/>
      <c r="G28" s="101">
        <v>2030</v>
      </c>
      <c r="H28" s="15"/>
      <c r="I28" s="53">
        <f>X35*3.6</f>
        <v>32.4</v>
      </c>
      <c r="J28" s="53">
        <f>Y35*3.6</f>
        <v>0.36000000000000004</v>
      </c>
      <c r="K28" s="15"/>
      <c r="L28" s="15"/>
      <c r="M28" s="15"/>
      <c r="N28" s="15" t="s">
        <v>496</v>
      </c>
      <c r="O28" s="15"/>
      <c r="P28" s="15"/>
      <c r="Q28" s="15"/>
      <c r="R28" s="15"/>
      <c r="S28" s="15"/>
      <c r="W28" s="12">
        <v>2100</v>
      </c>
      <c r="X28" s="131">
        <f t="shared" si="2"/>
        <v>17.799999999999997</v>
      </c>
      <c r="Y28" s="131">
        <f t="shared" si="2"/>
        <v>0.21</v>
      </c>
    </row>
    <row r="29" spans="1:25">
      <c r="A29" s="62"/>
      <c r="C29" s="12" t="s">
        <v>118</v>
      </c>
      <c r="D29" s="15" t="s">
        <v>5</v>
      </c>
      <c r="E29" s="15" t="s">
        <v>7</v>
      </c>
      <c r="F29" s="15"/>
      <c r="G29" s="101">
        <v>2050</v>
      </c>
      <c r="H29" s="15"/>
      <c r="I29" s="53">
        <f>X36*3.6</f>
        <v>46.800000000000004</v>
      </c>
      <c r="J29" s="53">
        <f>Y36*3.6</f>
        <v>0.54</v>
      </c>
      <c r="K29" s="15"/>
      <c r="L29" s="15"/>
      <c r="M29" s="15"/>
      <c r="N29" s="15" t="s">
        <v>496</v>
      </c>
      <c r="O29" s="15"/>
      <c r="P29" s="15"/>
      <c r="Q29" s="15"/>
      <c r="R29" s="15"/>
      <c r="S29" s="15"/>
    </row>
    <row r="30" spans="1:25">
      <c r="A30" s="62"/>
      <c r="C30" s="12" t="s">
        <v>118</v>
      </c>
      <c r="D30" s="15" t="s">
        <v>5</v>
      </c>
      <c r="E30" s="15" t="s">
        <v>7</v>
      </c>
      <c r="F30" s="15"/>
      <c r="G30" s="101">
        <v>0</v>
      </c>
      <c r="H30" s="15"/>
      <c r="I30" s="109">
        <v>5</v>
      </c>
      <c r="J30" s="109">
        <v>5</v>
      </c>
      <c r="K30" s="15"/>
      <c r="L30" s="15"/>
      <c r="M30" s="15"/>
      <c r="N30" s="15" t="s">
        <v>496</v>
      </c>
      <c r="O30" s="15"/>
      <c r="P30" s="15"/>
      <c r="Q30" s="15"/>
      <c r="R30" s="15"/>
      <c r="S30" s="15"/>
    </row>
    <row r="31" spans="1:25">
      <c r="A31" s="62"/>
      <c r="C31" s="39"/>
      <c r="D31" s="39"/>
      <c r="E31" s="39" t="s">
        <v>301</v>
      </c>
      <c r="F31" s="39"/>
      <c r="G31" s="111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25" ht="13.5" thickBot="1">
      <c r="A32" s="62" t="s">
        <v>289</v>
      </c>
      <c r="C32" s="12"/>
      <c r="D32" s="12" t="s">
        <v>4</v>
      </c>
      <c r="E32" s="12" t="s">
        <v>219</v>
      </c>
      <c r="F32" s="15"/>
      <c r="G32" s="101">
        <v>0</v>
      </c>
      <c r="H32" s="15"/>
      <c r="I32" s="15">
        <v>2</v>
      </c>
      <c r="J32" s="15">
        <v>2</v>
      </c>
      <c r="K32" s="66"/>
      <c r="L32" s="66"/>
      <c r="M32" s="15"/>
      <c r="N32" s="15" t="s">
        <v>288</v>
      </c>
      <c r="O32" s="15"/>
      <c r="P32" s="15"/>
      <c r="Q32" s="15"/>
      <c r="R32" s="15"/>
      <c r="S32" s="15"/>
      <c r="W32" s="141" t="s">
        <v>96</v>
      </c>
      <c r="X32" s="11" t="s">
        <v>71</v>
      </c>
      <c r="Y32" s="11" t="s">
        <v>351</v>
      </c>
    </row>
    <row r="33" spans="1:25">
      <c r="A33" s="62"/>
      <c r="C33" s="15"/>
      <c r="D33" s="12" t="s">
        <v>4</v>
      </c>
      <c r="E33" s="12" t="s">
        <v>219</v>
      </c>
      <c r="F33" s="15"/>
      <c r="G33" s="101">
        <v>2030</v>
      </c>
      <c r="H33" s="15"/>
      <c r="I33" s="132">
        <v>1200</v>
      </c>
      <c r="J33" s="132">
        <v>0</v>
      </c>
      <c r="K33" s="15"/>
      <c r="L33" s="15"/>
      <c r="M33" s="15"/>
      <c r="N33" s="15" t="s">
        <v>288</v>
      </c>
      <c r="O33" s="15"/>
      <c r="P33" s="15"/>
      <c r="Q33" s="15"/>
      <c r="R33" s="15"/>
      <c r="S33" s="15"/>
      <c r="W33" s="101">
        <v>2010</v>
      </c>
      <c r="X33" s="126">
        <v>0.3</v>
      </c>
      <c r="Y33" s="101">
        <v>0</v>
      </c>
    </row>
    <row r="34" spans="1:25">
      <c r="A34" s="62"/>
      <c r="C34" s="15"/>
      <c r="D34" s="15" t="s">
        <v>5</v>
      </c>
      <c r="E34" s="12" t="s">
        <v>219</v>
      </c>
      <c r="F34" s="15"/>
      <c r="G34" s="101">
        <v>2030</v>
      </c>
      <c r="H34" s="15"/>
      <c r="I34" s="138">
        <v>1000</v>
      </c>
      <c r="J34" s="138">
        <v>0</v>
      </c>
      <c r="K34" s="66"/>
      <c r="L34" s="66"/>
      <c r="M34" s="15"/>
      <c r="N34" s="15" t="s">
        <v>288</v>
      </c>
      <c r="O34" s="15"/>
      <c r="P34" s="15"/>
      <c r="Q34" s="15"/>
      <c r="R34" s="15"/>
      <c r="S34" s="15"/>
      <c r="W34" s="101">
        <v>2020</v>
      </c>
      <c r="X34" s="126">
        <v>6.5</v>
      </c>
      <c r="Y34" s="101">
        <v>0.05</v>
      </c>
    </row>
    <row r="35" spans="1:25">
      <c r="A35" s="62" t="s">
        <v>227</v>
      </c>
      <c r="C35" s="15"/>
      <c r="D35" s="15" t="s">
        <v>4</v>
      </c>
      <c r="E35" s="15" t="s">
        <v>219</v>
      </c>
      <c r="F35" s="15"/>
      <c r="G35" s="101">
        <v>0</v>
      </c>
      <c r="H35" s="109"/>
      <c r="I35" s="109">
        <v>1</v>
      </c>
      <c r="J35" s="109">
        <v>1</v>
      </c>
      <c r="K35" s="15"/>
      <c r="L35" s="15"/>
      <c r="M35" s="15"/>
      <c r="N35" s="15" t="s">
        <v>224</v>
      </c>
      <c r="O35" s="15"/>
      <c r="P35" s="15"/>
      <c r="Q35" s="15"/>
      <c r="R35" s="15"/>
      <c r="S35" s="15"/>
      <c r="W35" s="101">
        <v>2030</v>
      </c>
      <c r="X35" s="126">
        <v>9</v>
      </c>
      <c r="Y35" s="101">
        <v>0.1</v>
      </c>
    </row>
    <row r="36" spans="1:25">
      <c r="A36" s="62"/>
      <c r="C36" s="15"/>
      <c r="D36" s="15" t="s">
        <v>4</v>
      </c>
      <c r="E36" s="15" t="s">
        <v>219</v>
      </c>
      <c r="F36" s="15"/>
      <c r="G36" s="101">
        <v>2040</v>
      </c>
      <c r="H36" s="15"/>
      <c r="I36" s="15">
        <v>0</v>
      </c>
      <c r="J36" s="15">
        <v>0</v>
      </c>
      <c r="K36" s="15"/>
      <c r="L36" s="15"/>
      <c r="M36" s="15"/>
      <c r="N36" s="15" t="s">
        <v>224</v>
      </c>
      <c r="O36" s="15"/>
      <c r="P36" s="15"/>
      <c r="Q36" s="15"/>
      <c r="R36" s="15"/>
      <c r="S36" s="15"/>
      <c r="W36" s="101">
        <v>2050</v>
      </c>
      <c r="X36" s="126">
        <v>13</v>
      </c>
      <c r="Y36" s="101">
        <v>0.15</v>
      </c>
    </row>
    <row r="37" spans="1:25">
      <c r="A37" s="62"/>
      <c r="C37" s="15"/>
      <c r="D37" s="15" t="s">
        <v>4</v>
      </c>
      <c r="E37" s="15" t="s">
        <v>219</v>
      </c>
      <c r="F37" s="15"/>
      <c r="G37" s="101">
        <v>2100</v>
      </c>
      <c r="H37" s="15"/>
      <c r="I37" s="15">
        <v>10000</v>
      </c>
      <c r="J37" s="15">
        <v>5000</v>
      </c>
      <c r="K37" s="15"/>
      <c r="L37" s="15"/>
      <c r="M37" s="15"/>
      <c r="N37" s="15" t="s">
        <v>224</v>
      </c>
      <c r="O37" s="15"/>
      <c r="P37" s="15"/>
      <c r="Q37" s="15"/>
      <c r="R37" s="15"/>
      <c r="S37" s="15"/>
    </row>
    <row r="38" spans="1:25">
      <c r="A38" s="62"/>
      <c r="C38" s="39"/>
      <c r="D38" s="39"/>
      <c r="E38" s="39" t="s">
        <v>301</v>
      </c>
      <c r="F38" s="114"/>
      <c r="G38" s="111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X38" s="60" t="s">
        <v>363</v>
      </c>
    </row>
    <row r="39" spans="1:25">
      <c r="A39" s="62" t="s">
        <v>413</v>
      </c>
      <c r="C39" s="12" t="s">
        <v>118</v>
      </c>
      <c r="D39" s="15" t="s">
        <v>5</v>
      </c>
      <c r="E39" s="12" t="s">
        <v>7</v>
      </c>
      <c r="F39" s="15"/>
      <c r="G39" s="101">
        <v>2010</v>
      </c>
      <c r="H39" s="15"/>
      <c r="I39" s="112">
        <f>$X39-IF(TRUE,J39)</f>
        <v>0.15000000000000002</v>
      </c>
      <c r="J39" s="108">
        <v>0.35</v>
      </c>
      <c r="K39" s="66"/>
      <c r="L39" s="66"/>
      <c r="M39" s="15"/>
      <c r="N39" s="15" t="s">
        <v>497</v>
      </c>
      <c r="O39" s="15"/>
      <c r="P39" s="15"/>
      <c r="Q39" s="15"/>
      <c r="R39" s="15"/>
      <c r="S39" s="15"/>
      <c r="X39" s="66">
        <v>0.5</v>
      </c>
    </row>
    <row r="40" spans="1:25">
      <c r="A40" s="62"/>
      <c r="C40" s="12" t="s">
        <v>118</v>
      </c>
      <c r="D40" s="15" t="s">
        <v>5</v>
      </c>
      <c r="E40" s="12" t="s">
        <v>7</v>
      </c>
      <c r="F40" s="15"/>
      <c r="G40" s="101">
        <v>2030</v>
      </c>
      <c r="H40" s="15"/>
      <c r="I40" s="112">
        <f>$X40-IF(TRUE,J40)</f>
        <v>1.7999999999999998</v>
      </c>
      <c r="J40" s="108">
        <f>0.75*3.6</f>
        <v>2.7</v>
      </c>
      <c r="K40" s="66"/>
      <c r="L40" s="66"/>
      <c r="M40" s="15"/>
      <c r="N40" s="15" t="s">
        <v>497</v>
      </c>
      <c r="O40" s="15"/>
      <c r="P40" s="15"/>
      <c r="Q40" s="15"/>
      <c r="R40" s="15"/>
      <c r="S40" s="15"/>
      <c r="X40" s="66">
        <f>1.25*3.6</f>
        <v>4.5</v>
      </c>
    </row>
    <row r="41" spans="1:25">
      <c r="A41" s="62"/>
      <c r="C41" s="12" t="s">
        <v>118</v>
      </c>
      <c r="D41" s="15" t="s">
        <v>5</v>
      </c>
      <c r="E41" s="12" t="s">
        <v>7</v>
      </c>
      <c r="F41" s="15"/>
      <c r="G41" s="101">
        <v>0</v>
      </c>
      <c r="H41" s="15"/>
      <c r="I41" s="113">
        <v>5</v>
      </c>
      <c r="J41" s="113">
        <v>5</v>
      </c>
      <c r="K41" s="66"/>
      <c r="L41" s="66"/>
      <c r="M41" s="15"/>
      <c r="N41" s="15" t="s">
        <v>497</v>
      </c>
      <c r="O41" s="15"/>
      <c r="P41" s="15"/>
      <c r="Q41" s="15"/>
      <c r="R41" s="15"/>
      <c r="S41" s="15"/>
    </row>
    <row r="42" spans="1:25">
      <c r="A42" s="62"/>
      <c r="C42" s="39"/>
      <c r="D42" s="39"/>
      <c r="E42" s="39" t="s">
        <v>301</v>
      </c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</row>
    <row r="43" spans="1:25">
      <c r="A43" s="62" t="s">
        <v>591</v>
      </c>
      <c r="C43" s="15"/>
      <c r="D43" s="15"/>
      <c r="E43" s="15" t="s">
        <v>280</v>
      </c>
      <c r="F43" s="15"/>
      <c r="G43" s="15">
        <v>2040</v>
      </c>
      <c r="H43" s="15"/>
      <c r="I43" s="15">
        <v>30</v>
      </c>
      <c r="J43" s="15">
        <v>30</v>
      </c>
      <c r="K43" s="15"/>
      <c r="L43" s="15"/>
      <c r="M43" s="15"/>
      <c r="N43" s="15" t="s">
        <v>19</v>
      </c>
      <c r="O43" s="15"/>
      <c r="P43" s="15"/>
      <c r="Q43" s="15"/>
      <c r="R43" s="15"/>
      <c r="S43" s="15"/>
    </row>
    <row r="44" spans="1:25">
      <c r="A44" s="62"/>
      <c r="C44" s="15"/>
      <c r="D44" s="15"/>
      <c r="E44" s="15" t="s">
        <v>280</v>
      </c>
      <c r="F44" s="15"/>
      <c r="G44" s="15">
        <v>2050</v>
      </c>
      <c r="H44" s="15"/>
      <c r="I44" s="15">
        <v>35</v>
      </c>
      <c r="J44" s="15">
        <v>35</v>
      </c>
      <c r="K44" s="15"/>
      <c r="L44" s="15"/>
      <c r="M44" s="15"/>
      <c r="N44" s="15" t="s">
        <v>19</v>
      </c>
      <c r="O44" s="15"/>
      <c r="P44" s="15"/>
      <c r="Q44" s="15"/>
      <c r="R44" s="15"/>
      <c r="S44" s="15"/>
    </row>
    <row r="45" spans="1:25">
      <c r="A45" s="62"/>
      <c r="C45" s="15"/>
      <c r="D45" s="15"/>
      <c r="E45" s="15" t="s">
        <v>280</v>
      </c>
      <c r="F45" s="15"/>
      <c r="G45" s="15">
        <v>2080</v>
      </c>
      <c r="H45" s="15"/>
      <c r="I45" s="15">
        <v>40</v>
      </c>
      <c r="J45" s="15">
        <v>40</v>
      </c>
      <c r="K45" s="15"/>
      <c r="L45" s="15"/>
      <c r="M45" s="15"/>
      <c r="N45" s="15" t="s">
        <v>19</v>
      </c>
      <c r="O45" s="15"/>
      <c r="P45" s="15"/>
      <c r="Q45" s="15"/>
      <c r="R45" s="15"/>
      <c r="S45" s="15"/>
      <c r="Y45" s="1"/>
    </row>
    <row r="46" spans="1:25">
      <c r="A46" s="62" t="s">
        <v>594</v>
      </c>
      <c r="C46" s="15" t="s">
        <v>118</v>
      </c>
      <c r="D46" s="15"/>
      <c r="E46" s="15" t="s">
        <v>255</v>
      </c>
      <c r="F46" s="101" t="s">
        <v>134</v>
      </c>
      <c r="G46" s="189">
        <v>2020</v>
      </c>
      <c r="H46" s="15"/>
      <c r="I46" s="190">
        <v>0.35199999999999998</v>
      </c>
      <c r="J46" s="15"/>
      <c r="K46" s="15"/>
      <c r="L46" s="15"/>
      <c r="M46" s="15"/>
      <c r="N46" s="15" t="s">
        <v>593</v>
      </c>
      <c r="O46" s="15"/>
      <c r="P46" s="15"/>
      <c r="Q46" s="15"/>
      <c r="R46" s="15"/>
      <c r="S46" s="15"/>
      <c r="Y46" s="1"/>
    </row>
    <row r="47" spans="1:25">
      <c r="A47" s="62" t="s">
        <v>608</v>
      </c>
      <c r="C47" s="15" t="s">
        <v>118</v>
      </c>
      <c r="D47" s="101" t="s">
        <v>244</v>
      </c>
      <c r="E47" s="15" t="s">
        <v>243</v>
      </c>
      <c r="F47" s="15"/>
      <c r="G47" s="15">
        <v>0</v>
      </c>
      <c r="H47" s="15"/>
      <c r="I47" s="15">
        <v>2</v>
      </c>
      <c r="J47" s="15">
        <v>2</v>
      </c>
      <c r="K47" s="15"/>
      <c r="L47" s="15"/>
      <c r="M47" s="15"/>
      <c r="N47" s="15"/>
      <c r="O47" s="15"/>
      <c r="P47" s="15"/>
      <c r="Q47" s="15" t="s">
        <v>28</v>
      </c>
      <c r="R47" s="15"/>
      <c r="S47" s="15"/>
      <c r="Y47" s="1"/>
    </row>
    <row r="48" spans="1:25">
      <c r="A48" s="62"/>
      <c r="C48" s="15" t="s">
        <v>118</v>
      </c>
      <c r="D48" s="101" t="s">
        <v>244</v>
      </c>
      <c r="E48" s="15" t="s">
        <v>243</v>
      </c>
      <c r="F48" s="15"/>
      <c r="G48" s="15">
        <v>0</v>
      </c>
      <c r="H48" s="15"/>
      <c r="I48" s="15">
        <v>2</v>
      </c>
      <c r="J48" s="15">
        <v>2</v>
      </c>
      <c r="K48" s="15"/>
      <c r="L48" s="15"/>
      <c r="M48" s="15"/>
      <c r="N48" s="15"/>
      <c r="O48" s="15"/>
      <c r="P48" s="15"/>
      <c r="Q48" s="15" t="s">
        <v>469</v>
      </c>
      <c r="R48" s="15"/>
      <c r="S48" s="15"/>
      <c r="Y48" s="1"/>
    </row>
    <row r="49" spans="1:25">
      <c r="A49" s="62" t="s">
        <v>609</v>
      </c>
      <c r="C49" s="52"/>
      <c r="D49" s="63"/>
      <c r="E49" s="52" t="s">
        <v>396</v>
      </c>
      <c r="F49" s="52"/>
      <c r="G49" s="52">
        <v>2020</v>
      </c>
      <c r="H49" s="52"/>
      <c r="I49" s="52">
        <v>750</v>
      </c>
      <c r="J49" s="52">
        <v>750</v>
      </c>
      <c r="K49" s="52"/>
      <c r="L49" s="52"/>
      <c r="M49" s="52"/>
      <c r="N49" s="52" t="s">
        <v>470</v>
      </c>
      <c r="O49" s="52"/>
      <c r="P49" s="52"/>
      <c r="Q49" s="52"/>
      <c r="R49" s="52"/>
      <c r="S49" s="63" t="s">
        <v>321</v>
      </c>
      <c r="Y49" s="1"/>
    </row>
    <row r="50" spans="1:25">
      <c r="A50" s="62" t="s">
        <v>610</v>
      </c>
      <c r="C50" s="52"/>
      <c r="D50" s="63"/>
      <c r="E50" s="52" t="s">
        <v>220</v>
      </c>
      <c r="F50" s="52"/>
      <c r="G50" s="52">
        <v>2020</v>
      </c>
      <c r="H50" s="68"/>
      <c r="I50" s="68">
        <v>7.4999999999999997E-2</v>
      </c>
      <c r="J50" s="68">
        <v>7.4999999999999997E-2</v>
      </c>
      <c r="K50" s="52"/>
      <c r="L50" s="52"/>
      <c r="M50" s="52"/>
      <c r="N50" s="52" t="s">
        <v>470</v>
      </c>
      <c r="O50" s="52"/>
      <c r="P50" s="52"/>
      <c r="Q50" s="52"/>
      <c r="R50" s="52"/>
      <c r="S50" s="52"/>
      <c r="Y50" s="1"/>
    </row>
    <row r="51" spans="1:25">
      <c r="A51" s="62"/>
      <c r="C51" s="52"/>
      <c r="D51" s="63"/>
      <c r="E51" s="52" t="s">
        <v>280</v>
      </c>
      <c r="F51" s="52"/>
      <c r="G51" s="52">
        <v>2020</v>
      </c>
      <c r="H51" s="52"/>
      <c r="I51" s="52">
        <v>22</v>
      </c>
      <c r="J51" s="52">
        <v>22</v>
      </c>
      <c r="K51" s="52"/>
      <c r="L51" s="52"/>
      <c r="M51" s="52"/>
      <c r="N51" s="52" t="s">
        <v>470</v>
      </c>
      <c r="O51" s="52"/>
      <c r="P51" s="52"/>
      <c r="Q51" s="52"/>
      <c r="R51" s="52"/>
      <c r="S51" s="52"/>
      <c r="Y51" s="1"/>
    </row>
    <row r="52" spans="1:25">
      <c r="A52" s="62" t="s">
        <v>679</v>
      </c>
      <c r="C52" s="12" t="s">
        <v>118</v>
      </c>
      <c r="D52" s="101" t="s">
        <v>4</v>
      </c>
      <c r="E52" s="12" t="s">
        <v>7</v>
      </c>
      <c r="F52" s="12"/>
      <c r="G52" s="12">
        <v>0</v>
      </c>
      <c r="H52" s="12"/>
      <c r="I52" s="12">
        <v>2</v>
      </c>
      <c r="J52" s="12">
        <v>2</v>
      </c>
      <c r="K52" s="12"/>
      <c r="L52" s="12"/>
      <c r="M52" s="12"/>
      <c r="N52" s="12" t="s">
        <v>678</v>
      </c>
      <c r="O52" s="12"/>
      <c r="P52" s="12"/>
      <c r="Q52" s="12"/>
      <c r="R52" s="12"/>
      <c r="S52" s="12"/>
      <c r="Y52" s="1"/>
    </row>
    <row r="53" spans="1:25">
      <c r="Y53" s="1"/>
    </row>
    <row r="54" spans="1:25">
      <c r="G54" s="6"/>
      <c r="Y54" s="1"/>
    </row>
    <row r="55" spans="1:25">
      <c r="G55" s="6"/>
      <c r="Y55" s="1"/>
    </row>
    <row r="56" spans="1:25">
      <c r="C56" s="7" t="s">
        <v>3</v>
      </c>
      <c r="K56" s="4"/>
      <c r="L56" s="5"/>
      <c r="M56" s="5"/>
      <c r="N56" s="5"/>
      <c r="O56" s="5"/>
      <c r="P56" s="4"/>
      <c r="Q56" s="5"/>
      <c r="R56" s="5"/>
    </row>
    <row r="57" spans="1:25" ht="13.5" thickBot="1">
      <c r="C57" s="8" t="s">
        <v>55</v>
      </c>
      <c r="D57" s="8" t="s">
        <v>56</v>
      </c>
      <c r="E57" s="8" t="s">
        <v>57</v>
      </c>
      <c r="F57" s="8" t="s">
        <v>20</v>
      </c>
      <c r="G57" s="8" t="s">
        <v>58</v>
      </c>
      <c r="H57" s="11" t="s">
        <v>0</v>
      </c>
      <c r="I57" s="11" t="s">
        <v>71</v>
      </c>
      <c r="J57" s="11" t="s">
        <v>351</v>
      </c>
      <c r="K57" s="8" t="s">
        <v>63</v>
      </c>
      <c r="L57" s="9" t="s">
        <v>64</v>
      </c>
      <c r="M57" s="9" t="s">
        <v>65</v>
      </c>
      <c r="N57" s="8" t="s">
        <v>66</v>
      </c>
      <c r="O57" s="9" t="s">
        <v>67</v>
      </c>
      <c r="P57" s="8" t="s">
        <v>68</v>
      </c>
      <c r="Q57" s="9" t="s">
        <v>59</v>
      </c>
      <c r="R57" s="9" t="s">
        <v>69</v>
      </c>
      <c r="S57" s="9" t="s">
        <v>320</v>
      </c>
    </row>
    <row r="58" spans="1:25">
      <c r="A58" s="62" t="s">
        <v>230</v>
      </c>
      <c r="C58" s="15"/>
      <c r="D58" s="15" t="s">
        <v>4</v>
      </c>
      <c r="E58" s="15" t="s">
        <v>21</v>
      </c>
      <c r="F58" s="15" t="s">
        <v>222</v>
      </c>
      <c r="G58" s="77" t="s">
        <v>54</v>
      </c>
      <c r="H58" s="15"/>
      <c r="I58" s="15">
        <v>0.3</v>
      </c>
      <c r="J58" s="15">
        <v>0.6</v>
      </c>
      <c r="K58" s="15" t="s">
        <v>226</v>
      </c>
      <c r="L58" s="15"/>
      <c r="M58" s="15" t="s">
        <v>312</v>
      </c>
      <c r="N58" s="15" t="s">
        <v>295</v>
      </c>
      <c r="O58" s="15"/>
      <c r="P58" s="15"/>
      <c r="Q58" s="15" t="s">
        <v>175</v>
      </c>
      <c r="R58" s="15"/>
      <c r="S58" s="15"/>
    </row>
    <row r="59" spans="1:25">
      <c r="A59" s="62"/>
      <c r="C59" s="15"/>
      <c r="D59" s="15" t="s">
        <v>4</v>
      </c>
      <c r="E59" s="15" t="s">
        <v>21</v>
      </c>
      <c r="F59" s="15" t="s">
        <v>223</v>
      </c>
      <c r="G59" s="77" t="s">
        <v>293</v>
      </c>
      <c r="H59" s="15"/>
      <c r="I59" s="65">
        <f>1/3.375</f>
        <v>0.29629629629629628</v>
      </c>
      <c r="J59" s="65">
        <f>1/2.25</f>
        <v>0.44444444444444442</v>
      </c>
      <c r="K59" s="15"/>
      <c r="L59" s="15"/>
      <c r="M59" s="15"/>
      <c r="N59" s="15" t="s">
        <v>390</v>
      </c>
      <c r="O59" s="15"/>
      <c r="P59" s="15"/>
      <c r="Q59" s="15" t="s">
        <v>101</v>
      </c>
      <c r="R59" s="15"/>
      <c r="S59" s="15"/>
    </row>
    <row r="60" spans="1:25">
      <c r="A60" s="62"/>
      <c r="C60" s="15"/>
      <c r="D60" s="15" t="s">
        <v>4</v>
      </c>
      <c r="E60" s="15" t="s">
        <v>21</v>
      </c>
      <c r="F60" s="15" t="s">
        <v>287</v>
      </c>
      <c r="G60" s="77" t="s">
        <v>137</v>
      </c>
      <c r="H60" s="15"/>
      <c r="I60" s="15">
        <v>0.06</v>
      </c>
      <c r="J60" s="15">
        <v>0.2</v>
      </c>
      <c r="K60" s="15"/>
      <c r="L60" s="15"/>
      <c r="M60" s="15"/>
      <c r="N60" s="52" t="s">
        <v>366</v>
      </c>
      <c r="O60" s="15"/>
      <c r="P60" s="15"/>
      <c r="Q60" s="15" t="s">
        <v>175</v>
      </c>
      <c r="R60" s="15"/>
      <c r="S60" s="15"/>
    </row>
    <row r="61" spans="1:25">
      <c r="A61" s="62" t="s">
        <v>263</v>
      </c>
      <c r="C61" s="15"/>
      <c r="D61" s="15" t="s">
        <v>4</v>
      </c>
      <c r="E61" s="15" t="s">
        <v>264</v>
      </c>
      <c r="F61" s="15"/>
      <c r="G61" s="77" t="s">
        <v>54</v>
      </c>
      <c r="H61" s="15"/>
      <c r="I61" s="15">
        <v>198</v>
      </c>
      <c r="J61" s="15">
        <v>198</v>
      </c>
      <c r="K61" s="15"/>
      <c r="L61" s="15"/>
      <c r="M61" s="15"/>
      <c r="N61" s="15"/>
      <c r="O61" s="15"/>
      <c r="P61" s="15"/>
      <c r="Q61" s="15" t="s">
        <v>258</v>
      </c>
      <c r="R61" s="15"/>
      <c r="S61" s="15"/>
    </row>
    <row r="62" spans="1:25">
      <c r="A62" s="62" t="s">
        <v>246</v>
      </c>
      <c r="C62" s="15"/>
      <c r="D62" s="15"/>
      <c r="E62" s="15" t="s">
        <v>247</v>
      </c>
      <c r="F62" s="15"/>
      <c r="G62" s="101"/>
      <c r="H62" s="15"/>
      <c r="I62" s="15">
        <v>2020</v>
      </c>
      <c r="J62" s="15">
        <v>2020</v>
      </c>
      <c r="K62" s="15"/>
      <c r="L62" s="15"/>
      <c r="M62" s="15"/>
      <c r="N62" s="15" t="s">
        <v>406</v>
      </c>
      <c r="O62" s="15"/>
      <c r="P62" s="15"/>
      <c r="Q62" s="15"/>
      <c r="R62" s="15"/>
      <c r="S62" s="15"/>
    </row>
    <row r="63" spans="1:25">
      <c r="A63" s="62"/>
      <c r="C63" s="15"/>
      <c r="D63" s="15"/>
      <c r="E63" s="15" t="s">
        <v>247</v>
      </c>
      <c r="F63" s="15"/>
      <c r="G63" s="101"/>
      <c r="H63" s="15"/>
      <c r="I63" s="15">
        <v>2020</v>
      </c>
      <c r="J63" s="15">
        <v>2020</v>
      </c>
      <c r="K63" s="15"/>
      <c r="L63" s="15"/>
      <c r="M63" s="15"/>
      <c r="N63" s="15" t="s">
        <v>407</v>
      </c>
      <c r="O63" s="15"/>
      <c r="P63" s="15"/>
      <c r="Q63" s="15"/>
      <c r="R63" s="15"/>
      <c r="S63" s="15"/>
    </row>
    <row r="64" spans="1:25">
      <c r="A64" s="62" t="s">
        <v>259</v>
      </c>
      <c r="C64" s="15"/>
      <c r="D64" s="15" t="s">
        <v>4</v>
      </c>
      <c r="E64" s="15" t="s">
        <v>98</v>
      </c>
      <c r="F64" s="15"/>
      <c r="G64" s="101">
        <v>2030</v>
      </c>
      <c r="H64" s="15"/>
      <c r="I64" s="20">
        <v>0.58399999999999996</v>
      </c>
      <c r="J64" s="20">
        <v>0.58399999999999996</v>
      </c>
      <c r="K64" s="15" t="s">
        <v>226</v>
      </c>
      <c r="L64" s="15" t="s">
        <v>294</v>
      </c>
      <c r="M64" s="15"/>
      <c r="N64" s="15"/>
      <c r="O64" s="15"/>
      <c r="P64" s="15"/>
      <c r="Q64" s="15"/>
      <c r="R64" s="15"/>
      <c r="S64" s="15"/>
    </row>
    <row r="65" spans="1:19">
      <c r="A65" s="62" t="s">
        <v>260</v>
      </c>
      <c r="C65" s="15"/>
      <c r="D65" s="15" t="s">
        <v>4</v>
      </c>
      <c r="E65" s="15" t="s">
        <v>98</v>
      </c>
      <c r="F65" s="15"/>
      <c r="G65" s="101">
        <v>2050</v>
      </c>
      <c r="H65" s="15"/>
      <c r="I65" s="53">
        <v>0.6</v>
      </c>
      <c r="J65" s="53">
        <v>0.6</v>
      </c>
      <c r="K65" s="15" t="s">
        <v>226</v>
      </c>
      <c r="L65" s="15" t="s">
        <v>294</v>
      </c>
      <c r="M65" s="15"/>
      <c r="N65" s="15"/>
      <c r="O65" s="15"/>
      <c r="P65" s="15"/>
      <c r="Q65" s="15"/>
      <c r="R65" s="15"/>
      <c r="S65" s="15"/>
    </row>
    <row r="66" spans="1:19">
      <c r="A66" s="62" t="s">
        <v>408</v>
      </c>
      <c r="C66" s="15" t="s">
        <v>118</v>
      </c>
      <c r="D66" s="15"/>
      <c r="E66" s="15" t="s">
        <v>231</v>
      </c>
      <c r="F66" s="15"/>
      <c r="G66" s="101">
        <v>2010</v>
      </c>
      <c r="H66" s="15"/>
      <c r="I66" s="110">
        <v>6.7999999999999996E-3</v>
      </c>
      <c r="J66" s="110">
        <v>6.7999999999999996E-3</v>
      </c>
      <c r="K66" s="15"/>
      <c r="L66" s="15"/>
      <c r="M66" s="15" t="s">
        <v>312</v>
      </c>
      <c r="N66" s="52" t="s">
        <v>365</v>
      </c>
      <c r="O66" s="15"/>
      <c r="P66" s="15"/>
      <c r="Q66" s="15" t="s">
        <v>261</v>
      </c>
      <c r="R66" s="15"/>
      <c r="S66" s="15" t="s">
        <v>321</v>
      </c>
    </row>
    <row r="67" spans="1:19">
      <c r="A67" s="62"/>
      <c r="C67" s="15" t="s">
        <v>118</v>
      </c>
      <c r="D67" s="15"/>
      <c r="E67" s="15" t="s">
        <v>231</v>
      </c>
      <c r="F67" s="15"/>
      <c r="G67" s="101">
        <v>2010</v>
      </c>
      <c r="H67" s="15"/>
      <c r="I67" s="110">
        <v>6.7999999999999996E-3</v>
      </c>
      <c r="J67" s="110">
        <v>6.7999999999999996E-3</v>
      </c>
      <c r="K67" s="15"/>
      <c r="L67" s="15"/>
      <c r="M67" s="15"/>
      <c r="N67" s="52" t="s">
        <v>365</v>
      </c>
      <c r="O67" s="15"/>
      <c r="P67" s="15"/>
      <c r="Q67" s="15" t="s">
        <v>286</v>
      </c>
      <c r="R67" s="15"/>
      <c r="S67" s="15" t="s">
        <v>321</v>
      </c>
    </row>
    <row r="68" spans="1:19">
      <c r="A68" s="62"/>
      <c r="C68" s="15" t="s">
        <v>118</v>
      </c>
      <c r="D68" s="15"/>
      <c r="E68" s="15" t="s">
        <v>231</v>
      </c>
      <c r="F68" s="15"/>
      <c r="G68" s="101">
        <v>2010</v>
      </c>
      <c r="H68" s="15"/>
      <c r="I68" s="110">
        <v>4.4999999999999997E-3</v>
      </c>
      <c r="J68" s="110">
        <v>4.4999999999999997E-3</v>
      </c>
      <c r="K68" s="15"/>
      <c r="L68" s="15"/>
      <c r="M68" s="15" t="s">
        <v>312</v>
      </c>
      <c r="N68" s="52" t="s">
        <v>389</v>
      </c>
      <c r="O68" s="15"/>
      <c r="P68" s="15"/>
      <c r="Q68" s="15" t="s">
        <v>261</v>
      </c>
      <c r="R68" s="15"/>
      <c r="S68" s="15" t="s">
        <v>321</v>
      </c>
    </row>
    <row r="69" spans="1:19">
      <c r="A69" s="62"/>
      <c r="C69" s="15" t="s">
        <v>118</v>
      </c>
      <c r="D69" s="15"/>
      <c r="E69" s="15" t="s">
        <v>231</v>
      </c>
      <c r="F69" s="15"/>
      <c r="G69" s="101">
        <v>2010</v>
      </c>
      <c r="H69" s="15"/>
      <c r="I69" s="110">
        <v>6.1999999999999998E-3</v>
      </c>
      <c r="J69" s="110">
        <v>6.1999999999999998E-3</v>
      </c>
      <c r="K69" s="15"/>
      <c r="L69" s="15"/>
      <c r="M69" s="15"/>
      <c r="N69" s="15" t="s">
        <v>395</v>
      </c>
      <c r="O69" s="15"/>
      <c r="P69" s="15"/>
      <c r="Q69" s="15" t="s">
        <v>261</v>
      </c>
      <c r="R69" s="15"/>
      <c r="S69" s="15" t="s">
        <v>321</v>
      </c>
    </row>
    <row r="70" spans="1:19">
      <c r="A70" s="62"/>
      <c r="C70" s="15" t="s">
        <v>118</v>
      </c>
      <c r="D70" s="15"/>
      <c r="E70" s="15" t="s">
        <v>231</v>
      </c>
      <c r="F70" s="15"/>
      <c r="G70" s="101">
        <v>2010</v>
      </c>
      <c r="H70" s="15"/>
      <c r="I70" s="110">
        <v>5.9999999999999995E-4</v>
      </c>
      <c r="J70" s="110">
        <v>5.9999999999999995E-4</v>
      </c>
      <c r="K70" s="15"/>
      <c r="L70" s="15"/>
      <c r="M70" s="15"/>
      <c r="N70" s="15" t="s">
        <v>313</v>
      </c>
      <c r="O70" s="15"/>
      <c r="P70" s="15"/>
      <c r="Q70" s="15" t="s">
        <v>261</v>
      </c>
      <c r="R70" s="15"/>
      <c r="S70" s="15" t="s">
        <v>321</v>
      </c>
    </row>
    <row r="71" spans="1:19">
      <c r="A71" s="62"/>
      <c r="C71" s="15" t="s">
        <v>118</v>
      </c>
      <c r="D71" s="15" t="s">
        <v>4</v>
      </c>
      <c r="E71" s="15" t="s">
        <v>61</v>
      </c>
      <c r="F71" s="15"/>
      <c r="G71" s="77">
        <v>2040</v>
      </c>
      <c r="H71" s="15"/>
      <c r="I71" s="15">
        <v>0.3</v>
      </c>
      <c r="J71" s="15">
        <v>0</v>
      </c>
      <c r="K71" s="15"/>
      <c r="L71" s="15"/>
      <c r="M71" s="15"/>
      <c r="N71" s="15" t="s">
        <v>395</v>
      </c>
      <c r="O71" s="15"/>
      <c r="P71" s="15"/>
      <c r="Q71" s="15" t="s">
        <v>262</v>
      </c>
      <c r="R71" s="15"/>
      <c r="S71" s="15"/>
    </row>
    <row r="72" spans="1:19">
      <c r="A72" s="62"/>
      <c r="C72" s="15" t="s">
        <v>118</v>
      </c>
      <c r="D72" s="15" t="s">
        <v>4</v>
      </c>
      <c r="E72" s="15" t="s">
        <v>61</v>
      </c>
      <c r="F72" s="15"/>
      <c r="G72" s="77">
        <v>2050</v>
      </c>
      <c r="H72" s="15"/>
      <c r="I72" s="15">
        <v>0.5</v>
      </c>
      <c r="J72" s="15">
        <v>0</v>
      </c>
      <c r="K72" s="15"/>
      <c r="L72" s="15"/>
      <c r="M72" s="15"/>
      <c r="N72" s="15" t="s">
        <v>395</v>
      </c>
      <c r="O72" s="15"/>
      <c r="P72" s="15"/>
      <c r="Q72" s="15" t="s">
        <v>262</v>
      </c>
      <c r="R72" s="15"/>
      <c r="S72" s="15"/>
    </row>
    <row r="73" spans="1:19">
      <c r="A73" s="62" t="s">
        <v>228</v>
      </c>
      <c r="C73" s="15"/>
      <c r="D73" s="15"/>
      <c r="E73" s="15" t="s">
        <v>220</v>
      </c>
      <c r="F73" s="15"/>
      <c r="G73" s="101"/>
      <c r="H73" s="115"/>
      <c r="I73" s="115">
        <v>7.0000000000000007E-2</v>
      </c>
      <c r="J73" s="115">
        <v>7.0000000000000007E-2</v>
      </c>
      <c r="K73" s="15"/>
      <c r="L73" s="15"/>
      <c r="M73" s="15" t="s">
        <v>225</v>
      </c>
      <c r="N73" s="15"/>
      <c r="O73" s="15"/>
      <c r="P73" s="15"/>
      <c r="Q73" s="15"/>
      <c r="R73" s="15"/>
      <c r="S73" s="15"/>
    </row>
    <row r="74" spans="1:19">
      <c r="A74" s="62" t="s">
        <v>229</v>
      </c>
      <c r="C74" s="15"/>
      <c r="D74" s="15"/>
      <c r="E74" s="15" t="s">
        <v>221</v>
      </c>
      <c r="F74" s="15"/>
      <c r="G74" s="101"/>
      <c r="H74" s="15"/>
      <c r="I74" s="15">
        <v>1</v>
      </c>
      <c r="J74" s="15">
        <v>1</v>
      </c>
      <c r="K74" s="15"/>
      <c r="L74" s="15"/>
      <c r="M74" s="15" t="s">
        <v>681</v>
      </c>
      <c r="N74" s="15" t="s">
        <v>27</v>
      </c>
      <c r="O74" s="15"/>
      <c r="P74" s="15"/>
      <c r="Q74" s="15"/>
      <c r="R74" s="15"/>
      <c r="S74" s="15"/>
    </row>
    <row r="75" spans="1:19">
      <c r="A75" s="62"/>
      <c r="C75" s="15"/>
      <c r="D75" s="15" t="s">
        <v>5</v>
      </c>
      <c r="E75" s="12" t="s">
        <v>98</v>
      </c>
      <c r="F75" s="15"/>
      <c r="G75" s="101">
        <v>2020</v>
      </c>
      <c r="H75" s="15"/>
      <c r="I75" s="51">
        <f>2400/8760</f>
        <v>0.27397260273972601</v>
      </c>
      <c r="J75" s="51">
        <f>2400/8760</f>
        <v>0.27397260273972601</v>
      </c>
      <c r="K75" s="66"/>
      <c r="L75" s="66"/>
      <c r="M75" s="15"/>
      <c r="N75" s="15" t="s">
        <v>387</v>
      </c>
      <c r="O75" s="15"/>
      <c r="P75" s="15"/>
      <c r="Q75" s="15"/>
      <c r="R75" s="15"/>
      <c r="S75" s="15"/>
    </row>
    <row r="76" spans="1:19">
      <c r="A76" s="62"/>
      <c r="C76" s="39"/>
      <c r="D76" s="39"/>
      <c r="E76" s="39" t="s">
        <v>100</v>
      </c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</row>
    <row r="77" spans="1:19">
      <c r="A77" s="62" t="s">
        <v>554</v>
      </c>
      <c r="C77" s="15"/>
      <c r="D77" s="15" t="s">
        <v>5</v>
      </c>
      <c r="E77" s="15" t="s">
        <v>21</v>
      </c>
      <c r="F77" s="15" t="s">
        <v>112</v>
      </c>
      <c r="G77" s="101">
        <v>0</v>
      </c>
      <c r="H77" s="15"/>
      <c r="I77" s="107">
        <v>5</v>
      </c>
      <c r="J77" s="107">
        <v>5</v>
      </c>
      <c r="K77" s="15" t="s">
        <v>102</v>
      </c>
      <c r="L77" s="15" t="s">
        <v>101</v>
      </c>
      <c r="M77" s="15" t="s">
        <v>373</v>
      </c>
      <c r="N77" s="15" t="s">
        <v>374</v>
      </c>
      <c r="O77" s="15"/>
      <c r="P77" s="15"/>
      <c r="Q77" s="15" t="s">
        <v>101</v>
      </c>
      <c r="R77" s="15"/>
      <c r="S77" s="15"/>
    </row>
    <row r="78" spans="1:19">
      <c r="A78" s="62"/>
      <c r="C78" s="15"/>
      <c r="D78" s="15" t="s">
        <v>5</v>
      </c>
      <c r="E78" s="15" t="s">
        <v>21</v>
      </c>
      <c r="F78" s="15" t="s">
        <v>112</v>
      </c>
      <c r="G78" s="101">
        <v>2020</v>
      </c>
      <c r="H78" s="15"/>
      <c r="I78" s="107">
        <v>0</v>
      </c>
      <c r="J78" s="107">
        <v>0</v>
      </c>
      <c r="K78" s="15" t="s">
        <v>102</v>
      </c>
      <c r="L78" s="15" t="s">
        <v>101</v>
      </c>
      <c r="M78" s="15" t="s">
        <v>373</v>
      </c>
      <c r="N78" s="15" t="s">
        <v>374</v>
      </c>
      <c r="O78" s="15"/>
      <c r="P78" s="15"/>
      <c r="Q78" s="15" t="s">
        <v>101</v>
      </c>
      <c r="R78" s="15"/>
      <c r="S78" s="15"/>
    </row>
    <row r="79" spans="1:19">
      <c r="A79" s="62"/>
      <c r="C79" s="15"/>
      <c r="D79" s="15" t="s">
        <v>5</v>
      </c>
      <c r="E79" s="15" t="s">
        <v>21</v>
      </c>
      <c r="F79" s="15" t="s">
        <v>113</v>
      </c>
      <c r="G79" s="101">
        <v>0</v>
      </c>
      <c r="H79" s="15"/>
      <c r="I79" s="107">
        <v>5</v>
      </c>
      <c r="J79" s="61"/>
      <c r="K79" s="15" t="s">
        <v>102</v>
      </c>
      <c r="L79" s="15" t="s">
        <v>164</v>
      </c>
      <c r="M79" s="15" t="s">
        <v>373</v>
      </c>
      <c r="N79" s="15" t="s">
        <v>161</v>
      </c>
      <c r="O79" s="15"/>
      <c r="P79" s="15"/>
      <c r="Q79" s="15" t="s">
        <v>104</v>
      </c>
      <c r="R79" s="15"/>
      <c r="S79" s="15"/>
    </row>
    <row r="80" spans="1:19">
      <c r="A80" s="62"/>
      <c r="C80" s="15"/>
      <c r="D80" s="15" t="s">
        <v>5</v>
      </c>
      <c r="E80" s="15" t="s">
        <v>21</v>
      </c>
      <c r="F80" s="15" t="s">
        <v>113</v>
      </c>
      <c r="G80" s="101">
        <v>2020</v>
      </c>
      <c r="H80" s="15"/>
      <c r="I80" s="107">
        <v>0</v>
      </c>
      <c r="J80" s="61"/>
      <c r="K80" s="15" t="s">
        <v>102</v>
      </c>
      <c r="L80" s="15" t="s">
        <v>164</v>
      </c>
      <c r="M80" s="15" t="s">
        <v>373</v>
      </c>
      <c r="N80" s="15" t="s">
        <v>161</v>
      </c>
      <c r="O80" s="15"/>
      <c r="P80" s="15"/>
      <c r="Q80" s="15" t="s">
        <v>104</v>
      </c>
      <c r="R80" s="15"/>
      <c r="S80" s="15"/>
    </row>
    <row r="81" spans="1:24">
      <c r="A81" s="62"/>
      <c r="C81" s="15"/>
      <c r="D81" s="15" t="s">
        <v>5</v>
      </c>
      <c r="E81" s="15" t="s">
        <v>21</v>
      </c>
      <c r="F81" s="15" t="s">
        <v>114</v>
      </c>
      <c r="G81" s="101">
        <v>0</v>
      </c>
      <c r="H81" s="15"/>
      <c r="I81" s="107">
        <v>5</v>
      </c>
      <c r="J81" s="61"/>
      <c r="K81" s="15" t="s">
        <v>102</v>
      </c>
      <c r="L81" s="15" t="s">
        <v>105</v>
      </c>
      <c r="M81" s="15" t="s">
        <v>373</v>
      </c>
      <c r="N81" s="15" t="s">
        <v>163</v>
      </c>
      <c r="O81" s="15"/>
      <c r="P81" s="15"/>
      <c r="Q81" s="15" t="s">
        <v>105</v>
      </c>
      <c r="R81" s="15"/>
      <c r="S81" s="15"/>
    </row>
    <row r="82" spans="1:24">
      <c r="A82" s="62"/>
      <c r="C82" s="15"/>
      <c r="D82" s="15" t="s">
        <v>5</v>
      </c>
      <c r="E82" s="15" t="s">
        <v>21</v>
      </c>
      <c r="F82" s="15" t="s">
        <v>114</v>
      </c>
      <c r="G82" s="101">
        <v>2020</v>
      </c>
      <c r="H82" s="15"/>
      <c r="I82" s="107">
        <v>0</v>
      </c>
      <c r="J82" s="61"/>
      <c r="K82" s="15" t="s">
        <v>102</v>
      </c>
      <c r="L82" s="15" t="s">
        <v>105</v>
      </c>
      <c r="M82" s="15" t="s">
        <v>373</v>
      </c>
      <c r="N82" s="15" t="s">
        <v>163</v>
      </c>
      <c r="O82" s="15"/>
      <c r="P82" s="15"/>
      <c r="Q82" s="15" t="s">
        <v>105</v>
      </c>
      <c r="R82" s="15"/>
      <c r="S82" s="15"/>
    </row>
    <row r="83" spans="1:24">
      <c r="A83" s="62"/>
      <c r="C83" s="15"/>
      <c r="D83" s="15" t="s">
        <v>5</v>
      </c>
      <c r="E83" s="15" t="s">
        <v>21</v>
      </c>
      <c r="F83" s="15" t="s">
        <v>115</v>
      </c>
      <c r="G83" s="101">
        <v>0</v>
      </c>
      <c r="H83" s="15"/>
      <c r="I83" s="107">
        <v>5</v>
      </c>
      <c r="J83" s="61"/>
      <c r="K83" s="15" t="s">
        <v>102</v>
      </c>
      <c r="L83" s="15" t="s">
        <v>103</v>
      </c>
      <c r="M83" s="15" t="s">
        <v>373</v>
      </c>
      <c r="N83" s="15" t="s">
        <v>162</v>
      </c>
      <c r="O83" s="15"/>
      <c r="P83" s="15"/>
      <c r="Q83" s="15" t="s">
        <v>103</v>
      </c>
      <c r="R83" s="15"/>
      <c r="S83" s="15"/>
    </row>
    <row r="84" spans="1:24">
      <c r="A84" s="62"/>
      <c r="C84" s="15"/>
      <c r="D84" s="15" t="s">
        <v>5</v>
      </c>
      <c r="E84" s="15" t="s">
        <v>21</v>
      </c>
      <c r="F84" s="15" t="s">
        <v>115</v>
      </c>
      <c r="G84" s="101">
        <v>2020</v>
      </c>
      <c r="H84" s="15"/>
      <c r="I84" s="107">
        <v>0</v>
      </c>
      <c r="J84" s="61"/>
      <c r="K84" s="15" t="s">
        <v>102</v>
      </c>
      <c r="L84" s="15" t="s">
        <v>103</v>
      </c>
      <c r="M84" s="15" t="s">
        <v>373</v>
      </c>
      <c r="N84" s="15" t="s">
        <v>162</v>
      </c>
      <c r="O84" s="15"/>
      <c r="P84" s="15"/>
      <c r="Q84" s="15" t="s">
        <v>103</v>
      </c>
      <c r="R84" s="15"/>
      <c r="S84" s="15"/>
    </row>
    <row r="85" spans="1:24">
      <c r="A85" s="62"/>
      <c r="C85" s="15"/>
      <c r="D85" s="15"/>
      <c r="E85" s="15" t="s">
        <v>100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24">
      <c r="A86" s="62"/>
      <c r="C86" s="15"/>
      <c r="D86" s="15" t="s">
        <v>5</v>
      </c>
      <c r="E86" s="15" t="s">
        <v>21</v>
      </c>
      <c r="F86" s="15" t="s">
        <v>489</v>
      </c>
      <c r="G86" s="101">
        <v>0</v>
      </c>
      <c r="H86" s="15"/>
      <c r="I86" s="101">
        <v>2</v>
      </c>
      <c r="J86" s="101">
        <v>2</v>
      </c>
      <c r="K86" s="15" t="s">
        <v>102</v>
      </c>
      <c r="L86" s="15" t="s">
        <v>101</v>
      </c>
      <c r="M86" s="15"/>
      <c r="N86" s="15" t="s">
        <v>367</v>
      </c>
      <c r="O86" s="15"/>
      <c r="P86" s="15"/>
      <c r="Q86" s="15" t="s">
        <v>101</v>
      </c>
      <c r="R86" s="15"/>
      <c r="S86" s="15"/>
    </row>
    <row r="87" spans="1:24">
      <c r="A87" s="62"/>
      <c r="C87" s="15"/>
      <c r="D87" s="15" t="s">
        <v>5</v>
      </c>
      <c r="E87" s="15" t="s">
        <v>21</v>
      </c>
      <c r="F87" s="15" t="s">
        <v>490</v>
      </c>
      <c r="G87" s="101">
        <v>0</v>
      </c>
      <c r="H87" s="15"/>
      <c r="I87" s="101">
        <v>2</v>
      </c>
      <c r="J87" s="137"/>
      <c r="K87" s="15" t="s">
        <v>102</v>
      </c>
      <c r="L87" s="15" t="s">
        <v>164</v>
      </c>
      <c r="M87" s="15"/>
      <c r="N87" s="15" t="s">
        <v>161</v>
      </c>
      <c r="O87" s="15"/>
      <c r="P87" s="15"/>
      <c r="Q87" s="15" t="s">
        <v>104</v>
      </c>
      <c r="R87" s="15"/>
      <c r="S87" s="15"/>
    </row>
    <row r="88" spans="1:24">
      <c r="A88" s="62"/>
      <c r="C88" s="15"/>
      <c r="D88" s="15" t="s">
        <v>5</v>
      </c>
      <c r="E88" s="15" t="s">
        <v>21</v>
      </c>
      <c r="F88" s="15" t="s">
        <v>491</v>
      </c>
      <c r="G88" s="101">
        <v>0</v>
      </c>
      <c r="H88" s="15"/>
      <c r="I88" s="101">
        <v>2</v>
      </c>
      <c r="J88" s="137"/>
      <c r="K88" s="15" t="s">
        <v>102</v>
      </c>
      <c r="L88" s="15" t="s">
        <v>105</v>
      </c>
      <c r="M88" s="15"/>
      <c r="N88" s="15" t="s">
        <v>163</v>
      </c>
      <c r="O88" s="15"/>
      <c r="P88" s="15"/>
      <c r="Q88" s="15" t="s">
        <v>105</v>
      </c>
      <c r="R88" s="15"/>
      <c r="S88" s="15"/>
    </row>
    <row r="89" spans="1:24">
      <c r="A89" s="62"/>
      <c r="C89" s="15"/>
      <c r="D89" s="15" t="s">
        <v>5</v>
      </c>
      <c r="E89" s="15" t="s">
        <v>21</v>
      </c>
      <c r="F89" s="15" t="s">
        <v>492</v>
      </c>
      <c r="G89" s="101">
        <v>0</v>
      </c>
      <c r="H89" s="15"/>
      <c r="I89" s="101">
        <v>2</v>
      </c>
      <c r="J89" s="137"/>
      <c r="K89" s="15" t="s">
        <v>102</v>
      </c>
      <c r="L89" s="15" t="s">
        <v>103</v>
      </c>
      <c r="M89" s="15"/>
      <c r="N89" s="15" t="s">
        <v>162</v>
      </c>
      <c r="O89" s="15"/>
      <c r="P89" s="15"/>
      <c r="Q89" s="15" t="s">
        <v>103</v>
      </c>
      <c r="R89" s="15"/>
      <c r="S89" s="15"/>
    </row>
    <row r="93" spans="1:24">
      <c r="C93" s="25" t="s">
        <v>467</v>
      </c>
      <c r="D93" s="2"/>
      <c r="E93" s="2"/>
      <c r="F93" s="2"/>
      <c r="G93" s="28"/>
      <c r="J93" s="26" t="s">
        <v>78</v>
      </c>
      <c r="K93" s="2"/>
      <c r="L93" s="2"/>
      <c r="M93" s="2"/>
      <c r="N93" s="2"/>
      <c r="O93" s="2"/>
      <c r="P93" s="2"/>
      <c r="Q93" s="2"/>
      <c r="R93" s="2"/>
      <c r="V93" s="2"/>
      <c r="W93" s="60" t="s">
        <v>352</v>
      </c>
    </row>
    <row r="94" spans="1:24" ht="23.25" thickBot="1">
      <c r="C94" s="27" t="s">
        <v>79</v>
      </c>
      <c r="D94" s="27" t="s">
        <v>173</v>
      </c>
      <c r="E94" s="27" t="s">
        <v>84</v>
      </c>
      <c r="F94" s="8" t="s">
        <v>80</v>
      </c>
      <c r="G94" s="30" t="s">
        <v>58</v>
      </c>
      <c r="H94" s="29" t="s">
        <v>56</v>
      </c>
      <c r="I94" s="8" t="s">
        <v>20</v>
      </c>
      <c r="J94" s="27" t="s">
        <v>57</v>
      </c>
      <c r="K94" s="27" t="s">
        <v>0</v>
      </c>
      <c r="L94" s="30" t="s">
        <v>71</v>
      </c>
      <c r="M94" s="30" t="s">
        <v>351</v>
      </c>
      <c r="N94" s="29" t="s">
        <v>81</v>
      </c>
      <c r="O94" s="27" t="s">
        <v>82</v>
      </c>
      <c r="P94" s="27" t="s">
        <v>83</v>
      </c>
      <c r="Q94" s="27"/>
      <c r="W94" s="30" t="s">
        <v>71</v>
      </c>
      <c r="X94" s="30" t="s">
        <v>351</v>
      </c>
    </row>
    <row r="95" spans="1:24">
      <c r="C95" s="116" t="s">
        <v>89</v>
      </c>
      <c r="D95" s="117"/>
      <c r="E95" s="88" t="s">
        <v>494</v>
      </c>
      <c r="F95" s="116"/>
      <c r="G95" s="90">
        <v>2010</v>
      </c>
      <c r="H95" s="118" t="s">
        <v>5</v>
      </c>
      <c r="I95" s="15"/>
      <c r="J95" s="118" t="s">
        <v>87</v>
      </c>
      <c r="K95" s="20"/>
      <c r="L95" s="119">
        <v>0.20948246951219518</v>
      </c>
      <c r="M95" s="80"/>
      <c r="N95" s="120">
        <v>0</v>
      </c>
      <c r="O95" s="121">
        <v>5</v>
      </c>
      <c r="P95" s="122" t="s">
        <v>90</v>
      </c>
      <c r="Q95" s="15"/>
      <c r="W95" s="52"/>
      <c r="X95" s="52"/>
    </row>
    <row r="96" spans="1:24">
      <c r="C96" s="15"/>
      <c r="D96" s="117"/>
      <c r="E96" s="88" t="s">
        <v>85</v>
      </c>
      <c r="F96" s="116"/>
      <c r="G96" s="90">
        <v>2100</v>
      </c>
      <c r="H96" s="118" t="s">
        <v>5</v>
      </c>
      <c r="I96" s="15"/>
      <c r="J96" s="118" t="s">
        <v>86</v>
      </c>
      <c r="K96" s="20"/>
      <c r="L96" s="53">
        <v>-1</v>
      </c>
      <c r="M96" s="80"/>
      <c r="N96" s="101"/>
      <c r="O96" s="101"/>
      <c r="P96" s="15"/>
      <c r="Q96" s="15"/>
      <c r="W96" s="52"/>
      <c r="X96" s="52"/>
    </row>
    <row r="97" spans="3:29">
      <c r="C97" s="116" t="s">
        <v>88</v>
      </c>
      <c r="D97" s="15"/>
      <c r="E97" s="88" t="s">
        <v>494</v>
      </c>
      <c r="F97" s="15"/>
      <c r="G97" s="90">
        <v>2010</v>
      </c>
      <c r="H97" s="118" t="s">
        <v>5</v>
      </c>
      <c r="I97" s="15"/>
      <c r="J97" s="118" t="s">
        <v>87</v>
      </c>
      <c r="K97" s="20"/>
      <c r="L97" s="119">
        <v>1.2957317073170732E-3</v>
      </c>
      <c r="M97" s="80"/>
      <c r="N97" s="120">
        <v>0</v>
      </c>
      <c r="O97" s="121">
        <v>5</v>
      </c>
      <c r="P97" s="122" t="s">
        <v>91</v>
      </c>
      <c r="Q97" s="15"/>
      <c r="W97" s="52"/>
      <c r="X97" s="52"/>
    </row>
    <row r="98" spans="3:29">
      <c r="C98" s="15"/>
      <c r="D98" s="15"/>
      <c r="E98" s="88" t="s">
        <v>92</v>
      </c>
      <c r="F98" s="15"/>
      <c r="G98" s="90">
        <v>2100</v>
      </c>
      <c r="H98" s="118" t="s">
        <v>5</v>
      </c>
      <c r="I98" s="15"/>
      <c r="J98" s="118" t="s">
        <v>86</v>
      </c>
      <c r="K98" s="20"/>
      <c r="L98" s="53">
        <v>-1</v>
      </c>
      <c r="M98" s="80"/>
      <c r="N98" s="101"/>
      <c r="O98" s="101"/>
      <c r="P98" s="15"/>
      <c r="Q98" s="15"/>
      <c r="W98" s="52"/>
      <c r="X98" s="52"/>
    </row>
    <row r="99" spans="3:29">
      <c r="C99" s="116" t="s">
        <v>99</v>
      </c>
      <c r="D99" s="15"/>
      <c r="E99" s="88" t="s">
        <v>494</v>
      </c>
      <c r="F99" s="15"/>
      <c r="G99" s="90">
        <v>2010</v>
      </c>
      <c r="H99" s="118" t="s">
        <v>5</v>
      </c>
      <c r="I99" s="15"/>
      <c r="J99" s="118" t="s">
        <v>87</v>
      </c>
      <c r="K99" s="20"/>
      <c r="L99" s="119">
        <v>7.5457317073170734E-4</v>
      </c>
      <c r="M99" s="80"/>
      <c r="N99" s="120">
        <v>0</v>
      </c>
      <c r="O99" s="121">
        <v>5</v>
      </c>
      <c r="P99" s="15"/>
      <c r="Q99" s="15"/>
      <c r="W99" s="52"/>
      <c r="X99" s="52"/>
    </row>
    <row r="100" spans="3:29">
      <c r="C100" s="15"/>
      <c r="D100" s="15"/>
      <c r="E100" s="88" t="s">
        <v>93</v>
      </c>
      <c r="F100" s="15"/>
      <c r="G100" s="90">
        <v>2100</v>
      </c>
      <c r="H100" s="118" t="s">
        <v>5</v>
      </c>
      <c r="I100" s="15"/>
      <c r="J100" s="118" t="s">
        <v>86</v>
      </c>
      <c r="K100" s="20"/>
      <c r="L100" s="53">
        <v>-1</v>
      </c>
      <c r="M100" s="80"/>
      <c r="N100" s="101"/>
      <c r="O100" s="101"/>
      <c r="P100" s="15"/>
      <c r="Q100" s="15"/>
      <c r="W100" s="52"/>
      <c r="X100" s="52"/>
    </row>
    <row r="101" spans="3:29">
      <c r="C101" s="15" t="s">
        <v>170</v>
      </c>
      <c r="D101" s="15"/>
      <c r="E101" s="15"/>
      <c r="F101" s="15"/>
      <c r="G101" s="74">
        <v>2030</v>
      </c>
      <c r="H101" s="15" t="s">
        <v>4</v>
      </c>
      <c r="I101" s="15"/>
      <c r="J101" s="118" t="s">
        <v>81</v>
      </c>
      <c r="K101" s="15"/>
      <c r="L101" s="109">
        <f>(2800+1600+1200)</f>
        <v>5600</v>
      </c>
      <c r="M101" s="39"/>
      <c r="N101" s="101"/>
      <c r="O101" s="101">
        <v>5</v>
      </c>
      <c r="P101" s="15" t="s">
        <v>169</v>
      </c>
      <c r="Q101" s="15"/>
      <c r="W101" s="52"/>
      <c r="X101" s="52"/>
    </row>
    <row r="102" spans="3:29">
      <c r="C102" s="15"/>
      <c r="D102" s="15"/>
      <c r="E102" s="15"/>
      <c r="F102" s="15"/>
      <c r="G102" s="74">
        <v>2040</v>
      </c>
      <c r="H102" s="15" t="s">
        <v>4</v>
      </c>
      <c r="I102" s="15"/>
      <c r="J102" s="118" t="s">
        <v>81</v>
      </c>
      <c r="K102" s="15"/>
      <c r="L102" s="109">
        <f>(2800+1600+1200)</f>
        <v>5600</v>
      </c>
      <c r="M102" s="39"/>
      <c r="N102" s="101"/>
      <c r="O102" s="101"/>
      <c r="P102" s="15"/>
      <c r="Q102" s="15"/>
      <c r="W102" s="52"/>
      <c r="X102" s="52"/>
    </row>
    <row r="103" spans="3:29">
      <c r="C103" s="15"/>
      <c r="D103" s="15"/>
      <c r="E103" s="15"/>
      <c r="F103" s="15"/>
      <c r="G103" s="74">
        <v>2050</v>
      </c>
      <c r="H103" s="15" t="s">
        <v>4</v>
      </c>
      <c r="I103" s="15"/>
      <c r="J103" s="118" t="s">
        <v>81</v>
      </c>
      <c r="K103" s="15"/>
      <c r="L103" s="109">
        <f>(2800+1600+1200)</f>
        <v>5600</v>
      </c>
      <c r="M103" s="39"/>
      <c r="N103" s="101"/>
      <c r="O103" s="101"/>
      <c r="P103" s="15"/>
      <c r="Q103" s="15"/>
      <c r="W103" s="52"/>
      <c r="X103" s="52"/>
    </row>
    <row r="104" spans="3:29">
      <c r="C104" s="15"/>
      <c r="D104" s="15" t="s">
        <v>172</v>
      </c>
      <c r="E104" s="15" t="s">
        <v>171</v>
      </c>
      <c r="F104" s="15"/>
      <c r="G104" s="74">
        <v>2020</v>
      </c>
      <c r="H104" s="15"/>
      <c r="I104" s="15"/>
      <c r="J104" s="118" t="s">
        <v>86</v>
      </c>
      <c r="K104" s="15"/>
      <c r="L104" s="15">
        <v>1</v>
      </c>
      <c r="M104" s="39"/>
      <c r="N104" s="101"/>
      <c r="O104" s="101"/>
      <c r="P104" s="15"/>
      <c r="Q104" s="15"/>
      <c r="W104" s="52"/>
      <c r="X104" s="52"/>
    </row>
    <row r="105" spans="3:29">
      <c r="C105" s="15" t="s">
        <v>273</v>
      </c>
      <c r="D105" s="15"/>
      <c r="E105" s="15" t="s">
        <v>265</v>
      </c>
      <c r="F105" s="15" t="s">
        <v>23</v>
      </c>
      <c r="G105" s="74">
        <v>2020</v>
      </c>
      <c r="H105" s="15"/>
      <c r="I105" s="15" t="s">
        <v>266</v>
      </c>
      <c r="J105" s="15" t="s">
        <v>269</v>
      </c>
      <c r="K105" s="15"/>
      <c r="L105" s="15">
        <v>1</v>
      </c>
      <c r="M105" s="39"/>
      <c r="N105" s="101"/>
      <c r="O105" s="101"/>
      <c r="P105" s="15" t="s">
        <v>272</v>
      </c>
      <c r="Q105" s="15"/>
      <c r="W105" s="52"/>
      <c r="X105" s="52"/>
    </row>
    <row r="106" spans="3:29">
      <c r="C106" s="15"/>
      <c r="D106" s="15"/>
      <c r="E106" s="15" t="s">
        <v>265</v>
      </c>
      <c r="F106" s="15" t="s">
        <v>267</v>
      </c>
      <c r="G106" s="74">
        <v>2020</v>
      </c>
      <c r="H106" s="15"/>
      <c r="I106" s="15" t="s">
        <v>268</v>
      </c>
      <c r="J106" s="15" t="s">
        <v>270</v>
      </c>
      <c r="K106" s="15"/>
      <c r="L106" s="15">
        <v>-1</v>
      </c>
      <c r="M106" s="39"/>
      <c r="N106" s="101"/>
      <c r="O106" s="101"/>
      <c r="P106" s="15"/>
      <c r="Q106" s="15"/>
      <c r="W106" s="52"/>
      <c r="X106" s="52"/>
    </row>
    <row r="107" spans="3:29">
      <c r="C107" s="15"/>
      <c r="D107" s="15"/>
      <c r="E107" s="15"/>
      <c r="F107" s="15" t="s">
        <v>23</v>
      </c>
      <c r="G107" s="74">
        <v>2020</v>
      </c>
      <c r="H107" s="15"/>
      <c r="I107" s="15"/>
      <c r="J107" s="15" t="s">
        <v>271</v>
      </c>
      <c r="K107" s="15"/>
      <c r="L107" s="15">
        <v>-0.16</v>
      </c>
      <c r="M107" s="39"/>
      <c r="N107" s="101"/>
      <c r="O107" s="101"/>
      <c r="P107" s="15"/>
      <c r="Q107" s="15"/>
      <c r="W107" s="52"/>
      <c r="X107" s="52"/>
    </row>
    <row r="108" spans="3:29">
      <c r="C108" s="15"/>
      <c r="D108" s="15"/>
      <c r="E108" s="15"/>
      <c r="F108" s="15"/>
      <c r="G108" s="74">
        <v>2020</v>
      </c>
      <c r="H108" s="15" t="s">
        <v>4</v>
      </c>
      <c r="I108" s="15"/>
      <c r="J108" s="15" t="s">
        <v>81</v>
      </c>
      <c r="K108" s="15"/>
      <c r="L108" s="15">
        <v>0</v>
      </c>
      <c r="M108" s="39"/>
      <c r="N108" s="101"/>
      <c r="O108" s="101"/>
      <c r="P108" s="15"/>
      <c r="Q108" s="15"/>
      <c r="W108" s="52"/>
      <c r="X108" s="52"/>
    </row>
    <row r="109" spans="3:29">
      <c r="C109" s="15"/>
      <c r="D109" s="15"/>
      <c r="E109" s="15"/>
      <c r="F109" s="15"/>
      <c r="G109" s="74">
        <v>0</v>
      </c>
      <c r="H109" s="15" t="s">
        <v>4</v>
      </c>
      <c r="I109" s="15"/>
      <c r="J109" s="15" t="s">
        <v>81</v>
      </c>
      <c r="K109" s="15"/>
      <c r="L109" s="15">
        <v>5</v>
      </c>
      <c r="M109" s="39"/>
      <c r="N109" s="101"/>
      <c r="O109" s="101"/>
      <c r="P109" s="15"/>
      <c r="Q109" s="15"/>
      <c r="W109" s="59"/>
      <c r="X109" s="59"/>
      <c r="AA109" s="2"/>
    </row>
    <row r="110" spans="3:29">
      <c r="C110" s="15" t="s">
        <v>275</v>
      </c>
      <c r="D110" s="15"/>
      <c r="E110" s="15" t="s">
        <v>364</v>
      </c>
      <c r="F110" s="15" t="s">
        <v>105</v>
      </c>
      <c r="G110" s="74">
        <v>2030</v>
      </c>
      <c r="H110" s="15"/>
      <c r="I110" s="15"/>
      <c r="J110" s="15" t="s">
        <v>276</v>
      </c>
      <c r="K110" s="15"/>
      <c r="L110" s="15">
        <v>1</v>
      </c>
      <c r="M110" s="39"/>
      <c r="N110" s="101"/>
      <c r="O110" s="101"/>
      <c r="P110" s="15" t="s">
        <v>277</v>
      </c>
      <c r="Q110" s="15"/>
      <c r="W110" s="52"/>
      <c r="X110" s="52"/>
    </row>
    <row r="111" spans="3:29">
      <c r="C111" s="15"/>
      <c r="D111" s="15"/>
      <c r="E111" s="15"/>
      <c r="F111" s="15" t="s">
        <v>160</v>
      </c>
      <c r="G111" s="74">
        <v>2030</v>
      </c>
      <c r="H111" s="15"/>
      <c r="I111" s="15"/>
      <c r="J111" s="15" t="s">
        <v>271</v>
      </c>
      <c r="K111" s="15"/>
      <c r="L111" s="15">
        <v>-0.2</v>
      </c>
      <c r="M111" s="39"/>
      <c r="N111" s="101"/>
      <c r="O111" s="101"/>
      <c r="P111" s="15"/>
      <c r="Q111" s="15"/>
      <c r="W111" s="52"/>
      <c r="X111" s="52"/>
      <c r="AB111" s="2"/>
      <c r="AC111" s="2"/>
    </row>
    <row r="112" spans="3:29">
      <c r="C112" s="15"/>
      <c r="D112" s="15"/>
      <c r="E112" s="15"/>
      <c r="F112" s="15"/>
      <c r="G112" s="74">
        <v>2030</v>
      </c>
      <c r="H112" s="15" t="s">
        <v>4</v>
      </c>
      <c r="I112" s="15"/>
      <c r="J112" s="15" t="s">
        <v>81</v>
      </c>
      <c r="K112" s="15"/>
      <c r="L112" s="15">
        <v>0</v>
      </c>
      <c r="M112" s="39"/>
      <c r="N112" s="101"/>
      <c r="O112" s="101"/>
      <c r="P112" s="15"/>
      <c r="Q112" s="15"/>
      <c r="W112" s="52"/>
      <c r="X112" s="52"/>
    </row>
    <row r="113" spans="3:24">
      <c r="C113" s="15"/>
      <c r="D113" s="15"/>
      <c r="E113" s="15"/>
      <c r="F113" s="15"/>
      <c r="G113" s="74">
        <v>0</v>
      </c>
      <c r="H113" s="15" t="s">
        <v>4</v>
      </c>
      <c r="I113" s="15"/>
      <c r="J113" s="15" t="s">
        <v>81</v>
      </c>
      <c r="K113" s="15"/>
      <c r="L113" s="15">
        <v>5</v>
      </c>
      <c r="M113" s="39"/>
      <c r="N113" s="101"/>
      <c r="O113" s="101"/>
      <c r="P113" s="15"/>
      <c r="Q113" s="15"/>
      <c r="W113" s="52"/>
      <c r="X113" s="52"/>
    </row>
    <row r="114" spans="3:24">
      <c r="C114" s="123" t="s">
        <v>53</v>
      </c>
      <c r="D114" s="12"/>
      <c r="E114" s="123" t="s">
        <v>604</v>
      </c>
      <c r="F114" s="123" t="s">
        <v>297</v>
      </c>
      <c r="G114" s="90">
        <v>2010</v>
      </c>
      <c r="H114" s="12" t="s">
        <v>4</v>
      </c>
      <c r="I114" s="12"/>
      <c r="J114" s="12" t="s">
        <v>276</v>
      </c>
      <c r="K114" s="12"/>
      <c r="L114" s="12">
        <v>1</v>
      </c>
      <c r="M114" s="125"/>
      <c r="N114" s="45"/>
      <c r="O114" s="45"/>
      <c r="P114" s="124" t="s">
        <v>300</v>
      </c>
      <c r="Q114" s="15"/>
      <c r="W114" s="52"/>
      <c r="X114" s="52"/>
    </row>
    <row r="115" spans="3:24">
      <c r="C115" s="123" t="s">
        <v>326</v>
      </c>
      <c r="D115" s="15"/>
      <c r="E115" s="15" t="s">
        <v>328</v>
      </c>
      <c r="F115" s="15" t="s">
        <v>279</v>
      </c>
      <c r="G115" s="74">
        <v>2010</v>
      </c>
      <c r="H115" s="15" t="s">
        <v>5</v>
      </c>
      <c r="I115" s="15" t="s">
        <v>266</v>
      </c>
      <c r="J115" s="15" t="s">
        <v>269</v>
      </c>
      <c r="K115" s="15"/>
      <c r="L115" s="15">
        <v>1</v>
      </c>
      <c r="M115" s="39"/>
      <c r="N115" s="120">
        <v>0</v>
      </c>
      <c r="O115" s="101">
        <v>5</v>
      </c>
      <c r="P115" s="15"/>
      <c r="Q115" s="15"/>
      <c r="W115" s="52"/>
      <c r="X115" s="52"/>
    </row>
    <row r="116" spans="3:24">
      <c r="C116" s="15"/>
      <c r="D116" s="15"/>
      <c r="E116" s="15" t="s">
        <v>327</v>
      </c>
      <c r="F116" s="15"/>
      <c r="G116" s="74">
        <v>2010</v>
      </c>
      <c r="H116" s="15"/>
      <c r="I116" s="15"/>
      <c r="J116" s="15" t="s">
        <v>87</v>
      </c>
      <c r="K116" s="15"/>
      <c r="L116" s="15">
        <v>-1</v>
      </c>
      <c r="M116" s="39"/>
      <c r="N116" s="101"/>
      <c r="O116" s="101"/>
      <c r="P116" s="15"/>
      <c r="Q116" s="15"/>
      <c r="W116" s="52"/>
      <c r="X116" s="52"/>
    </row>
    <row r="117" spans="3:24">
      <c r="C117" s="15" t="s">
        <v>330</v>
      </c>
      <c r="D117" s="15"/>
      <c r="E117" s="15" t="s">
        <v>498</v>
      </c>
      <c r="F117" s="15"/>
      <c r="G117" s="74">
        <v>2020</v>
      </c>
      <c r="H117" s="15"/>
      <c r="I117" s="15"/>
      <c r="J117" s="15" t="s">
        <v>87</v>
      </c>
      <c r="K117" s="15"/>
      <c r="L117" s="15">
        <v>1</v>
      </c>
      <c r="M117" s="15">
        <v>1</v>
      </c>
      <c r="N117" s="15"/>
      <c r="O117" s="15"/>
      <c r="P117" s="15" t="s">
        <v>331</v>
      </c>
      <c r="Q117" s="15"/>
      <c r="W117" s="52"/>
      <c r="X117" s="52"/>
    </row>
    <row r="118" spans="3:24">
      <c r="C118" s="15"/>
      <c r="D118" s="15"/>
      <c r="E118" s="15" t="s">
        <v>499</v>
      </c>
      <c r="F118" s="15"/>
      <c r="G118" s="74">
        <v>2020</v>
      </c>
      <c r="H118" s="15"/>
      <c r="I118" s="15"/>
      <c r="J118" s="15" t="s">
        <v>87</v>
      </c>
      <c r="K118" s="15"/>
      <c r="L118" s="15">
        <v>0</v>
      </c>
      <c r="M118" s="15">
        <v>0</v>
      </c>
      <c r="N118" s="15"/>
      <c r="O118" s="15"/>
      <c r="P118" s="15"/>
      <c r="Q118" s="15"/>
      <c r="W118" s="52"/>
      <c r="X118" s="52"/>
    </row>
    <row r="119" spans="3:24">
      <c r="C119" s="15"/>
      <c r="D119" s="15"/>
      <c r="E119" s="15" t="s">
        <v>499</v>
      </c>
      <c r="F119" s="15"/>
      <c r="G119" s="74">
        <v>2040</v>
      </c>
      <c r="H119" s="15"/>
      <c r="I119" s="15"/>
      <c r="J119" s="15" t="s">
        <v>87</v>
      </c>
      <c r="K119" s="15"/>
      <c r="L119" s="15">
        <v>1</v>
      </c>
      <c r="M119" s="15">
        <v>1</v>
      </c>
      <c r="N119" s="15"/>
      <c r="O119" s="15"/>
      <c r="P119" s="15"/>
      <c r="Q119" s="15"/>
      <c r="W119" s="52"/>
      <c r="X119" s="52"/>
    </row>
    <row r="120" spans="3:24">
      <c r="C120" s="15"/>
      <c r="D120" s="15"/>
      <c r="E120" s="15"/>
      <c r="F120" s="15"/>
      <c r="G120" s="74">
        <v>2020</v>
      </c>
      <c r="H120" s="15" t="s">
        <v>5</v>
      </c>
      <c r="I120" s="15"/>
      <c r="J120" s="15" t="s">
        <v>81</v>
      </c>
      <c r="K120" s="15"/>
      <c r="L120" s="15">
        <f>W120-IF(TRUE,$X120,0)</f>
        <v>4.3500000000000005</v>
      </c>
      <c r="M120" s="15">
        <f>X120</f>
        <v>0.6</v>
      </c>
      <c r="N120" s="15"/>
      <c r="O120" s="15"/>
      <c r="P120" s="15"/>
      <c r="Q120" s="15"/>
      <c r="W120" s="52">
        <f>5.95-1</f>
        <v>4.95</v>
      </c>
      <c r="X120" s="52">
        <v>0.6</v>
      </c>
    </row>
    <row r="121" spans="3:24">
      <c r="C121" s="15"/>
      <c r="D121" s="15"/>
      <c r="E121" s="15"/>
      <c r="F121" s="15"/>
      <c r="G121" s="74">
        <v>2050</v>
      </c>
      <c r="H121" s="15" t="s">
        <v>5</v>
      </c>
      <c r="I121" s="15"/>
      <c r="J121" s="15" t="s">
        <v>81</v>
      </c>
      <c r="K121" s="15"/>
      <c r="L121" s="15">
        <f>W121-IF(TRUE,$X121,0)</f>
        <v>2.25</v>
      </c>
      <c r="M121" s="15">
        <f>X121</f>
        <v>0.2</v>
      </c>
      <c r="N121" s="15"/>
      <c r="O121" s="15"/>
      <c r="P121" s="15"/>
      <c r="Q121" s="15"/>
      <c r="W121" s="52">
        <v>2.4500000000000002</v>
      </c>
      <c r="X121" s="52">
        <v>0.2</v>
      </c>
    </row>
    <row r="122" spans="3:24">
      <c r="C122" s="15" t="s">
        <v>375</v>
      </c>
      <c r="D122" s="15"/>
      <c r="E122" s="15" t="s">
        <v>164</v>
      </c>
      <c r="F122" s="15" t="s">
        <v>373</v>
      </c>
      <c r="G122" s="74">
        <v>2020</v>
      </c>
      <c r="H122" s="15" t="s">
        <v>5</v>
      </c>
      <c r="I122" s="15"/>
      <c r="J122" s="12" t="s">
        <v>276</v>
      </c>
      <c r="K122" s="15"/>
      <c r="L122" s="15">
        <v>1</v>
      </c>
      <c r="M122" s="15">
        <v>1</v>
      </c>
      <c r="N122" s="120">
        <v>0</v>
      </c>
      <c r="O122" s="101">
        <v>5</v>
      </c>
      <c r="P122" s="15" t="s">
        <v>379</v>
      </c>
      <c r="Q122" s="15"/>
      <c r="W122" s="52"/>
      <c r="X122" s="52"/>
    </row>
    <row r="123" spans="3:24">
      <c r="C123" s="15"/>
      <c r="D123" s="15"/>
      <c r="E123" s="15"/>
      <c r="F123" s="15" t="s">
        <v>160</v>
      </c>
      <c r="G123" s="74">
        <v>2020</v>
      </c>
      <c r="H123" s="15"/>
      <c r="I123" s="15"/>
      <c r="J123" s="15" t="s">
        <v>271</v>
      </c>
      <c r="K123" s="15"/>
      <c r="L123" s="15">
        <v>-3.1E-2</v>
      </c>
      <c r="M123" s="15">
        <v>-0.03</v>
      </c>
      <c r="N123" s="15"/>
      <c r="O123" s="101"/>
      <c r="P123" s="15"/>
      <c r="Q123" s="15"/>
      <c r="W123" s="52"/>
      <c r="X123" s="52"/>
    </row>
    <row r="124" spans="3:24">
      <c r="C124" s="15"/>
      <c r="D124" s="15"/>
      <c r="E124" s="15"/>
      <c r="F124" s="15" t="s">
        <v>160</v>
      </c>
      <c r="G124" s="74">
        <v>2050</v>
      </c>
      <c r="H124" s="15"/>
      <c r="I124" s="15"/>
      <c r="J124" s="15" t="s">
        <v>271</v>
      </c>
      <c r="K124" s="15"/>
      <c r="L124" s="15">
        <v>-1.2E-2</v>
      </c>
      <c r="M124" s="15">
        <v>-1E-3</v>
      </c>
      <c r="N124" s="15"/>
      <c r="O124" s="101"/>
      <c r="P124" s="15"/>
      <c r="Q124" s="15"/>
      <c r="W124" s="52"/>
      <c r="X124" s="52"/>
    </row>
    <row r="125" spans="3:24">
      <c r="C125" s="15" t="s">
        <v>376</v>
      </c>
      <c r="D125" s="15"/>
      <c r="E125" s="15" t="s">
        <v>377</v>
      </c>
      <c r="F125" s="15" t="s">
        <v>381</v>
      </c>
      <c r="G125" s="74">
        <v>2020</v>
      </c>
      <c r="H125" s="15" t="s">
        <v>5</v>
      </c>
      <c r="I125" s="15"/>
      <c r="J125" s="12" t="s">
        <v>276</v>
      </c>
      <c r="K125" s="15"/>
      <c r="L125" s="15">
        <v>1</v>
      </c>
      <c r="M125" s="15">
        <v>1</v>
      </c>
      <c r="N125" s="120">
        <v>0</v>
      </c>
      <c r="O125" s="101">
        <v>5</v>
      </c>
      <c r="P125" s="15" t="s">
        <v>380</v>
      </c>
      <c r="Q125" s="15"/>
      <c r="W125" s="52"/>
      <c r="X125" s="52"/>
    </row>
    <row r="126" spans="3:24">
      <c r="C126" s="15"/>
      <c r="D126" s="15"/>
      <c r="E126" s="15"/>
      <c r="F126" s="15" t="s">
        <v>378</v>
      </c>
      <c r="G126" s="74">
        <v>2020</v>
      </c>
      <c r="H126" s="15"/>
      <c r="I126" s="15"/>
      <c r="J126" s="15" t="s">
        <v>271</v>
      </c>
      <c r="K126" s="15"/>
      <c r="L126" s="20">
        <f>-6.9/190</f>
        <v>-3.6315789473684211E-2</v>
      </c>
      <c r="M126" s="20">
        <f>$L126</f>
        <v>-3.6315789473684211E-2</v>
      </c>
      <c r="N126" s="15"/>
      <c r="O126" s="15"/>
      <c r="P126" s="15"/>
      <c r="Q126" s="15"/>
      <c r="W126" s="52"/>
      <c r="X126" s="52"/>
    </row>
    <row r="127" spans="3:24">
      <c r="C127" s="15"/>
      <c r="D127" s="15"/>
      <c r="E127" s="15"/>
      <c r="F127" s="15" t="s">
        <v>378</v>
      </c>
      <c r="G127" s="74">
        <v>2030</v>
      </c>
      <c r="H127" s="15"/>
      <c r="I127" s="15"/>
      <c r="J127" s="15" t="s">
        <v>271</v>
      </c>
      <c r="K127" s="15"/>
      <c r="L127" s="20">
        <f>L126*0.6</f>
        <v>-2.1789473684210525E-2</v>
      </c>
      <c r="M127" s="20">
        <f>$L127</f>
        <v>-2.1789473684210525E-2</v>
      </c>
      <c r="N127" s="15"/>
      <c r="O127" s="15"/>
      <c r="P127" s="15"/>
      <c r="Q127" s="15"/>
      <c r="W127" s="52"/>
      <c r="X127" s="52"/>
    </row>
    <row r="128" spans="3:24">
      <c r="C128" s="15"/>
      <c r="D128" s="15"/>
      <c r="E128" s="15"/>
      <c r="F128" s="15" t="s">
        <v>378</v>
      </c>
      <c r="G128" s="74">
        <v>2050</v>
      </c>
      <c r="H128" s="15"/>
      <c r="I128" s="15"/>
      <c r="J128" s="15" t="s">
        <v>271</v>
      </c>
      <c r="K128" s="15"/>
      <c r="L128" s="110">
        <f>L127*0.6</f>
        <v>-1.3073684210526315E-2</v>
      </c>
      <c r="M128" s="20">
        <f>$L128</f>
        <v>-1.3073684210526315E-2</v>
      </c>
      <c r="N128" s="15"/>
      <c r="O128" s="15"/>
      <c r="P128" s="15"/>
      <c r="Q128" s="15"/>
      <c r="W128" s="52"/>
      <c r="X128" s="52"/>
    </row>
    <row r="129" spans="3:24">
      <c r="C129" s="15" t="s">
        <v>382</v>
      </c>
      <c r="D129" s="15"/>
      <c r="E129" s="15" t="s">
        <v>377</v>
      </c>
      <c r="F129" s="15" t="s">
        <v>46</v>
      </c>
      <c r="G129" s="74">
        <v>2020</v>
      </c>
      <c r="H129" s="15" t="s">
        <v>5</v>
      </c>
      <c r="I129" s="15"/>
      <c r="J129" s="12" t="s">
        <v>276</v>
      </c>
      <c r="K129" s="15"/>
      <c r="L129" s="15">
        <v>1</v>
      </c>
      <c r="M129" s="15">
        <v>1</v>
      </c>
      <c r="N129" s="120">
        <v>0</v>
      </c>
      <c r="O129" s="101">
        <v>5</v>
      </c>
      <c r="P129" s="15" t="s">
        <v>380</v>
      </c>
      <c r="Q129" s="15"/>
      <c r="W129" s="52"/>
      <c r="X129" s="52"/>
    </row>
    <row r="130" spans="3:24">
      <c r="C130" s="15"/>
      <c r="D130" s="15"/>
      <c r="E130" s="15" t="s">
        <v>383</v>
      </c>
      <c r="F130" s="15" t="s">
        <v>46</v>
      </c>
      <c r="G130" s="74">
        <v>2020</v>
      </c>
      <c r="H130" s="15"/>
      <c r="I130" s="15"/>
      <c r="J130" s="12" t="s">
        <v>276</v>
      </c>
      <c r="K130" s="15"/>
      <c r="L130" s="15">
        <v>0.5</v>
      </c>
      <c r="M130" s="15">
        <v>0.5</v>
      </c>
      <c r="N130" s="15"/>
      <c r="O130" s="15"/>
      <c r="P130" s="15"/>
      <c r="Q130" s="15"/>
      <c r="W130" s="52"/>
      <c r="X130" s="52"/>
    </row>
    <row r="131" spans="3:24">
      <c r="C131" s="15"/>
      <c r="D131" s="15"/>
      <c r="E131" s="15"/>
      <c r="F131" s="15" t="s">
        <v>378</v>
      </c>
      <c r="G131" s="74">
        <v>2020</v>
      </c>
      <c r="H131" s="15"/>
      <c r="I131" s="15"/>
      <c r="J131" s="15" t="s">
        <v>271</v>
      </c>
      <c r="K131" s="15"/>
      <c r="L131" s="20">
        <f>-16.5/195*0.83</f>
        <v>-7.0230769230769236E-2</v>
      </c>
      <c r="M131" s="20">
        <f>L131</f>
        <v>-7.0230769230769236E-2</v>
      </c>
      <c r="N131" s="15"/>
      <c r="O131" s="15"/>
      <c r="P131" s="15"/>
      <c r="Q131" s="15"/>
      <c r="W131" s="52"/>
      <c r="X131" s="52"/>
    </row>
    <row r="132" spans="3:24">
      <c r="C132" s="15"/>
      <c r="D132" s="15"/>
      <c r="E132" s="15"/>
      <c r="F132" s="15" t="s">
        <v>378</v>
      </c>
      <c r="G132" s="74">
        <v>2030</v>
      </c>
      <c r="H132" s="15"/>
      <c r="I132" s="15"/>
      <c r="J132" s="15" t="s">
        <v>271</v>
      </c>
      <c r="K132" s="15"/>
      <c r="L132" s="20">
        <f>L131*0.67</f>
        <v>-4.7054615384615389E-2</v>
      </c>
      <c r="M132" s="20">
        <f>L132</f>
        <v>-4.7054615384615389E-2</v>
      </c>
      <c r="N132" s="15"/>
      <c r="O132" s="15"/>
      <c r="P132" s="15"/>
      <c r="Q132" s="15"/>
      <c r="W132" s="52"/>
      <c r="X132" s="52"/>
    </row>
    <row r="133" spans="3:24">
      <c r="C133" s="15"/>
      <c r="D133" s="15"/>
      <c r="E133" s="15"/>
      <c r="F133" s="15" t="s">
        <v>378</v>
      </c>
      <c r="G133" s="74">
        <v>2050</v>
      </c>
      <c r="H133" s="15"/>
      <c r="I133" s="15"/>
      <c r="J133" s="15" t="s">
        <v>271</v>
      </c>
      <c r="K133" s="15"/>
      <c r="L133" s="110">
        <f>L132*0.6</f>
        <v>-2.8232769230769231E-2</v>
      </c>
      <c r="M133" s="20">
        <f>L133</f>
        <v>-2.8232769230769231E-2</v>
      </c>
      <c r="N133" s="15"/>
      <c r="O133" s="15"/>
      <c r="P133" s="15"/>
      <c r="Q133" s="15"/>
      <c r="W133" s="52"/>
      <c r="X133" s="52"/>
    </row>
    <row r="134" spans="3:24">
      <c r="C134" s="15" t="s">
        <v>384</v>
      </c>
      <c r="D134" s="15"/>
      <c r="E134" s="15" t="s">
        <v>500</v>
      </c>
      <c r="F134" s="15" t="s">
        <v>385</v>
      </c>
      <c r="G134" s="74">
        <v>2020</v>
      </c>
      <c r="H134" s="15" t="s">
        <v>5</v>
      </c>
      <c r="I134" s="15"/>
      <c r="J134" s="12" t="s">
        <v>276</v>
      </c>
      <c r="K134" s="15"/>
      <c r="L134" s="15">
        <v>1</v>
      </c>
      <c r="M134" s="15">
        <v>1</v>
      </c>
      <c r="N134" s="120">
        <v>0</v>
      </c>
      <c r="O134" s="101">
        <v>5</v>
      </c>
      <c r="P134" s="15" t="s">
        <v>386</v>
      </c>
      <c r="Q134" s="15"/>
      <c r="W134" s="52"/>
      <c r="X134" s="52"/>
    </row>
    <row r="135" spans="3:24">
      <c r="C135" s="15"/>
      <c r="D135" s="15"/>
      <c r="E135" s="15"/>
      <c r="F135" s="15" t="s">
        <v>160</v>
      </c>
      <c r="G135" s="74">
        <v>2020</v>
      </c>
      <c r="H135" s="15"/>
      <c r="I135" s="15"/>
      <c r="J135" s="15" t="s">
        <v>271</v>
      </c>
      <c r="K135" s="15"/>
      <c r="L135" s="15">
        <v>-2.5000000000000001E-2</v>
      </c>
      <c r="M135" s="15">
        <f>L135</f>
        <v>-2.5000000000000001E-2</v>
      </c>
      <c r="N135" s="15"/>
      <c r="O135" s="101"/>
      <c r="P135" s="15"/>
      <c r="Q135" s="15"/>
      <c r="W135" s="52"/>
      <c r="X135" s="52"/>
    </row>
    <row r="136" spans="3:24">
      <c r="C136" s="15"/>
      <c r="D136" s="15"/>
      <c r="E136" s="15"/>
      <c r="F136" s="15" t="s">
        <v>160</v>
      </c>
      <c r="G136" s="74">
        <v>2050</v>
      </c>
      <c r="H136" s="15"/>
      <c r="I136" s="15"/>
      <c r="J136" s="15" t="s">
        <v>271</v>
      </c>
      <c r="K136" s="15"/>
      <c r="L136" s="15">
        <v>-0.01</v>
      </c>
      <c r="M136" s="15">
        <v>-1E-3</v>
      </c>
      <c r="N136" s="15"/>
      <c r="O136" s="101"/>
      <c r="P136" s="15"/>
      <c r="Q136" s="15"/>
      <c r="W136" s="52"/>
      <c r="X136" s="52"/>
    </row>
    <row r="137" spans="3:24">
      <c r="C137" s="15" t="s">
        <v>398</v>
      </c>
      <c r="D137" s="15"/>
      <c r="E137" s="15" t="s">
        <v>399</v>
      </c>
      <c r="F137" s="15"/>
      <c r="G137" s="74">
        <v>2030</v>
      </c>
      <c r="H137" s="15" t="s">
        <v>4</v>
      </c>
      <c r="I137" s="15"/>
      <c r="J137" s="15" t="s">
        <v>87</v>
      </c>
      <c r="K137" s="15"/>
      <c r="L137" s="15">
        <v>1</v>
      </c>
      <c r="M137" s="15">
        <v>1</v>
      </c>
      <c r="N137" s="101">
        <v>0</v>
      </c>
      <c r="O137" s="101">
        <v>5</v>
      </c>
      <c r="P137" s="15" t="s">
        <v>404</v>
      </c>
      <c r="Q137" s="15"/>
      <c r="W137" s="52"/>
      <c r="X137" s="52"/>
    </row>
    <row r="138" spans="3:24">
      <c r="C138" s="15"/>
      <c r="D138" s="15"/>
      <c r="E138" s="15" t="s">
        <v>400</v>
      </c>
      <c r="F138" s="15"/>
      <c r="G138" s="74">
        <v>2030</v>
      </c>
      <c r="H138" s="15"/>
      <c r="I138" s="15"/>
      <c r="J138" s="15" t="s">
        <v>87</v>
      </c>
      <c r="K138" s="15"/>
      <c r="L138" s="20">
        <v>-3.3300000000000003E-2</v>
      </c>
      <c r="M138" s="20">
        <v>-3.3300000000000003E-2</v>
      </c>
      <c r="N138" s="15"/>
      <c r="O138" s="15"/>
      <c r="P138" s="15"/>
      <c r="Q138" s="15"/>
      <c r="W138" s="52"/>
      <c r="X138" s="52"/>
    </row>
    <row r="139" spans="3:24">
      <c r="C139" s="15"/>
      <c r="D139" s="15"/>
      <c r="E139" s="15" t="s">
        <v>400</v>
      </c>
      <c r="F139" s="15"/>
      <c r="G139" s="74">
        <v>2050</v>
      </c>
      <c r="H139" s="15"/>
      <c r="I139" s="15"/>
      <c r="J139" s="15" t="s">
        <v>87</v>
      </c>
      <c r="K139" s="15"/>
      <c r="L139" s="15">
        <v>-0.12</v>
      </c>
      <c r="M139" s="15">
        <v>-0.12</v>
      </c>
      <c r="N139" s="15"/>
      <c r="O139" s="15"/>
      <c r="P139" s="15"/>
      <c r="Q139" s="15"/>
      <c r="W139" s="52"/>
      <c r="X139" s="52"/>
    </row>
    <row r="140" spans="3:24">
      <c r="C140" s="15" t="s">
        <v>403</v>
      </c>
      <c r="D140" s="15"/>
      <c r="E140" s="15" t="s">
        <v>401</v>
      </c>
      <c r="F140" s="15"/>
      <c r="G140" s="74">
        <v>2030</v>
      </c>
      <c r="H140" s="15" t="s">
        <v>4</v>
      </c>
      <c r="I140" s="15"/>
      <c r="J140" s="15" t="s">
        <v>87</v>
      </c>
      <c r="K140" s="15"/>
      <c r="L140" s="15">
        <v>1</v>
      </c>
      <c r="M140" s="15">
        <v>1</v>
      </c>
      <c r="N140" s="101">
        <v>0</v>
      </c>
      <c r="O140" s="101">
        <v>5</v>
      </c>
      <c r="P140" s="15" t="s">
        <v>405</v>
      </c>
      <c r="Q140" s="15"/>
      <c r="W140" s="52"/>
      <c r="X140" s="52"/>
    </row>
    <row r="141" spans="3:24">
      <c r="C141" s="15"/>
      <c r="D141" s="15"/>
      <c r="E141" s="15" t="s">
        <v>402</v>
      </c>
      <c r="F141" s="15"/>
      <c r="G141" s="74">
        <v>2030</v>
      </c>
      <c r="H141" s="15"/>
      <c r="I141" s="15"/>
      <c r="J141" s="15" t="s">
        <v>87</v>
      </c>
      <c r="K141" s="15"/>
      <c r="L141" s="20">
        <v>-3.3300000000000003E-2</v>
      </c>
      <c r="M141" s="20">
        <v>-3.3300000000000003E-2</v>
      </c>
      <c r="N141" s="15"/>
      <c r="O141" s="15"/>
      <c r="P141" s="15"/>
      <c r="Q141" s="15"/>
      <c r="W141" s="52"/>
      <c r="X141" s="52"/>
    </row>
    <row r="142" spans="3:24">
      <c r="C142" s="15"/>
      <c r="D142" s="15"/>
      <c r="E142" s="15" t="s">
        <v>402</v>
      </c>
      <c r="F142" s="15"/>
      <c r="G142" s="74">
        <v>2050</v>
      </c>
      <c r="H142" s="15"/>
      <c r="I142" s="15"/>
      <c r="J142" s="15" t="s">
        <v>87</v>
      </c>
      <c r="K142" s="15"/>
      <c r="L142" s="15">
        <v>-0.12</v>
      </c>
      <c r="M142" s="15">
        <v>-0.12</v>
      </c>
      <c r="N142" s="15"/>
      <c r="O142" s="15"/>
      <c r="P142" s="15"/>
      <c r="Q142" s="15"/>
      <c r="W142" s="52"/>
      <c r="X142" s="52"/>
    </row>
    <row r="143" spans="3:24">
      <c r="C143" s="102" t="s">
        <v>473</v>
      </c>
      <c r="D143" s="103"/>
      <c r="E143" s="102" t="s">
        <v>605</v>
      </c>
      <c r="F143" s="102" t="s">
        <v>474</v>
      </c>
      <c r="G143" s="153">
        <v>2020</v>
      </c>
      <c r="H143" s="103" t="s">
        <v>4</v>
      </c>
      <c r="I143" s="103"/>
      <c r="J143" s="103" t="s">
        <v>276</v>
      </c>
      <c r="K143" s="62"/>
      <c r="L143" s="104">
        <v>5.9063111117792388E-2</v>
      </c>
      <c r="M143" s="104">
        <v>0.14692124402726714</v>
      </c>
      <c r="N143" s="105">
        <v>0</v>
      </c>
      <c r="O143" s="83">
        <v>5</v>
      </c>
      <c r="P143" s="62" t="s">
        <v>475</v>
      </c>
      <c r="Q143" s="62"/>
      <c r="W143" s="52"/>
      <c r="X143" s="52"/>
    </row>
    <row r="144" spans="3:24">
      <c r="C144" s="103"/>
      <c r="D144" s="103"/>
      <c r="E144" s="102" t="s">
        <v>605</v>
      </c>
      <c r="F144" s="102" t="s">
        <v>476</v>
      </c>
      <c r="G144" s="153">
        <v>2020</v>
      </c>
      <c r="H144" s="103"/>
      <c r="I144" s="103"/>
      <c r="J144" s="103" t="s">
        <v>276</v>
      </c>
      <c r="K144" s="62"/>
      <c r="L144" s="104">
        <f>-(1-L143)</f>
        <v>-0.94093688888220761</v>
      </c>
      <c r="M144" s="104">
        <f>-(1-M143)</f>
        <v>-0.85307875597273286</v>
      </c>
      <c r="N144" s="105"/>
      <c r="O144" s="62"/>
      <c r="P144" s="62"/>
      <c r="Q144" s="62"/>
      <c r="W144" s="52"/>
      <c r="X144" s="52"/>
    </row>
    <row r="145" spans="3:24">
      <c r="C145" s="102"/>
      <c r="D145" s="103"/>
      <c r="E145" s="102" t="s">
        <v>605</v>
      </c>
      <c r="F145" s="102" t="s">
        <v>474</v>
      </c>
      <c r="G145" s="153">
        <v>2050</v>
      </c>
      <c r="H145" s="103" t="s">
        <v>4</v>
      </c>
      <c r="I145" s="103"/>
      <c r="J145" s="103" t="s">
        <v>276</v>
      </c>
      <c r="K145" s="62"/>
      <c r="L145" s="104">
        <f>1+L146</f>
        <v>5.9063111117792388E-2</v>
      </c>
      <c r="M145" s="104">
        <f>1+M146</f>
        <v>0.14692124402726714</v>
      </c>
      <c r="N145" s="105">
        <v>0</v>
      </c>
      <c r="O145" s="62"/>
      <c r="P145" s="62"/>
      <c r="Q145" s="62"/>
      <c r="W145" s="52"/>
      <c r="X145" s="52"/>
    </row>
    <row r="146" spans="3:24">
      <c r="C146" s="103"/>
      <c r="D146" s="103"/>
      <c r="E146" s="102" t="s">
        <v>605</v>
      </c>
      <c r="F146" s="102" t="s">
        <v>476</v>
      </c>
      <c r="G146" s="153">
        <v>2050</v>
      </c>
      <c r="H146" s="103"/>
      <c r="I146" s="103"/>
      <c r="J146" s="103" t="s">
        <v>276</v>
      </c>
      <c r="K146" s="62"/>
      <c r="L146" s="104">
        <f>MIN(-0.9,L144)</f>
        <v>-0.94093688888220761</v>
      </c>
      <c r="M146" s="104">
        <f>MIN(-0.58,M144)</f>
        <v>-0.85307875597273286</v>
      </c>
      <c r="N146" s="105"/>
      <c r="O146" s="62"/>
      <c r="P146" s="62"/>
      <c r="Q146" s="62"/>
      <c r="W146" s="52"/>
      <c r="X146" s="52"/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2:R61"/>
  <sheetViews>
    <sheetView zoomScale="75" workbookViewId="0">
      <pane xSplit="6" ySplit="5" topLeftCell="G6" activePane="bottomRight" state="frozen"/>
      <selection pane="topRight" activeCell="F1" sqref="F1"/>
      <selection pane="bottomLeft" activeCell="A5" sqref="A5"/>
      <selection pane="bottomRight"/>
    </sheetView>
  </sheetViews>
  <sheetFormatPr defaultRowHeight="12.75"/>
  <cols>
    <col min="2" max="2" width="4" customWidth="1"/>
    <col min="3" max="3" width="5.28515625" customWidth="1"/>
    <col min="4" max="4" width="11.5703125" customWidth="1"/>
    <col min="5" max="5" width="10" customWidth="1"/>
    <col min="6" max="6" width="8.7109375" customWidth="1"/>
    <col min="7" max="12" width="8.5703125" customWidth="1"/>
    <col min="13" max="13" width="9" customWidth="1"/>
    <col min="14" max="14" width="8.5703125" customWidth="1"/>
    <col min="15" max="15" width="10.7109375" customWidth="1"/>
    <col min="16" max="16" width="9" bestFit="1" customWidth="1"/>
    <col min="17" max="17" width="11.85546875" customWidth="1"/>
    <col min="18" max="18" width="10.28515625" bestFit="1" customWidth="1"/>
    <col min="19" max="19" width="11.85546875" bestFit="1" customWidth="1"/>
    <col min="20" max="20" width="11.42578125" bestFit="1" customWidth="1"/>
  </cols>
  <sheetData>
    <row r="2" spans="1:16">
      <c r="A2" s="7"/>
      <c r="E2" s="140"/>
      <c r="F2" s="7"/>
    </row>
    <row r="3" spans="1:16">
      <c r="B3" s="10"/>
    </row>
    <row r="4" spans="1:16">
      <c r="B4" s="7" t="s">
        <v>3</v>
      </c>
      <c r="I4" s="4"/>
      <c r="J4" s="5"/>
      <c r="K4" s="5"/>
      <c r="L4" s="5"/>
      <c r="M4" s="5"/>
      <c r="N4" s="4"/>
      <c r="O4" s="5"/>
      <c r="P4" s="5"/>
    </row>
    <row r="5" spans="1:16" ht="13.5" thickBot="1">
      <c r="B5" s="8" t="s">
        <v>55</v>
      </c>
      <c r="C5" s="8" t="s">
        <v>56</v>
      </c>
      <c r="D5" s="8" t="s">
        <v>57</v>
      </c>
      <c r="E5" s="8" t="s">
        <v>20</v>
      </c>
      <c r="F5" s="8" t="s">
        <v>58</v>
      </c>
      <c r="G5" s="150" t="s">
        <v>71</v>
      </c>
      <c r="H5" s="11" t="s">
        <v>351</v>
      </c>
      <c r="I5" s="8" t="s">
        <v>63</v>
      </c>
      <c r="J5" s="9" t="s">
        <v>64</v>
      </c>
      <c r="K5" s="9" t="s">
        <v>65</v>
      </c>
      <c r="L5" s="9" t="s">
        <v>66</v>
      </c>
      <c r="M5" s="9" t="s">
        <v>67</v>
      </c>
      <c r="N5" s="8" t="s">
        <v>68</v>
      </c>
      <c r="O5" s="9" t="s">
        <v>59</v>
      </c>
      <c r="P5" s="9" t="s">
        <v>69</v>
      </c>
    </row>
    <row r="6" spans="1:16">
      <c r="B6" s="15"/>
      <c r="C6" s="12" t="s">
        <v>4</v>
      </c>
      <c r="D6" s="17" t="s">
        <v>8</v>
      </c>
      <c r="E6" s="17"/>
      <c r="F6" s="15">
        <v>2020</v>
      </c>
      <c r="G6" s="15">
        <v>0</v>
      </c>
      <c r="H6" s="15">
        <v>0</v>
      </c>
      <c r="I6" s="15"/>
      <c r="J6" s="15"/>
      <c r="K6" s="15"/>
      <c r="L6" s="15" t="s">
        <v>19</v>
      </c>
      <c r="M6" s="15"/>
      <c r="N6" s="15"/>
      <c r="O6" s="15"/>
      <c r="P6" s="15"/>
    </row>
    <row r="7" spans="1:16">
      <c r="B7" s="15"/>
      <c r="C7" s="12" t="s">
        <v>4</v>
      </c>
      <c r="D7" s="17" t="s">
        <v>8</v>
      </c>
      <c r="E7" s="17"/>
      <c r="F7" s="15">
        <v>2050</v>
      </c>
      <c r="G7" s="15">
        <f>FLOOR(G8/4,1)</f>
        <v>2500</v>
      </c>
      <c r="H7" s="15">
        <v>0</v>
      </c>
      <c r="I7" s="15"/>
      <c r="J7" s="15"/>
      <c r="K7" s="15"/>
      <c r="L7" s="15" t="s">
        <v>19</v>
      </c>
      <c r="M7" s="15"/>
      <c r="N7" s="15"/>
      <c r="O7" s="15"/>
      <c r="P7" s="15"/>
    </row>
    <row r="8" spans="1:16">
      <c r="B8" s="15"/>
      <c r="C8" s="12" t="s">
        <v>4</v>
      </c>
      <c r="D8" s="17" t="s">
        <v>8</v>
      </c>
      <c r="E8" s="17"/>
      <c r="F8" s="15">
        <v>2100</v>
      </c>
      <c r="G8" s="15">
        <v>10000</v>
      </c>
      <c r="H8" s="15">
        <v>0</v>
      </c>
      <c r="I8" s="15"/>
      <c r="J8" s="15"/>
      <c r="K8" s="15"/>
      <c r="L8" s="15" t="s">
        <v>19</v>
      </c>
      <c r="M8" s="15"/>
      <c r="N8" s="15"/>
      <c r="O8" s="15"/>
      <c r="P8" s="15"/>
    </row>
    <row r="9" spans="1:16">
      <c r="B9" s="15"/>
      <c r="C9" s="12" t="s">
        <v>4</v>
      </c>
      <c r="D9" s="17" t="s">
        <v>8</v>
      </c>
      <c r="E9" s="17"/>
      <c r="F9" s="15">
        <v>2030</v>
      </c>
      <c r="G9" s="15">
        <v>1200</v>
      </c>
      <c r="H9" s="109">
        <v>300</v>
      </c>
      <c r="I9" s="15"/>
      <c r="J9" s="15" t="s">
        <v>215</v>
      </c>
      <c r="K9" s="15"/>
      <c r="L9" s="15" t="s">
        <v>418</v>
      </c>
      <c r="M9" s="15"/>
      <c r="N9" s="15"/>
      <c r="O9" s="15"/>
      <c r="P9" s="15"/>
    </row>
    <row r="10" spans="1:16">
      <c r="B10" s="15"/>
      <c r="C10" s="12" t="s">
        <v>4</v>
      </c>
      <c r="D10" s="17" t="s">
        <v>8</v>
      </c>
      <c r="E10" s="17"/>
      <c r="F10" s="15">
        <v>2050</v>
      </c>
      <c r="G10" s="15">
        <f>9800-H10</f>
        <v>7800</v>
      </c>
      <c r="H10" s="15">
        <v>2000</v>
      </c>
      <c r="I10" s="15"/>
      <c r="J10" s="15" t="s">
        <v>215</v>
      </c>
      <c r="K10" s="15"/>
      <c r="L10" s="15" t="s">
        <v>418</v>
      </c>
      <c r="M10" s="15"/>
      <c r="N10" s="15"/>
      <c r="O10" s="15"/>
      <c r="P10" s="15"/>
    </row>
    <row r="11" spans="1:16">
      <c r="B11" s="15"/>
      <c r="C11" s="12" t="s">
        <v>4</v>
      </c>
      <c r="D11" s="17" t="s">
        <v>8</v>
      </c>
      <c r="E11" s="17"/>
      <c r="F11" s="15">
        <v>2030</v>
      </c>
      <c r="G11" s="15">
        <v>1000</v>
      </c>
      <c r="H11" s="15">
        <v>500</v>
      </c>
      <c r="I11" s="15"/>
      <c r="J11" s="15" t="s">
        <v>216</v>
      </c>
      <c r="K11" s="15"/>
      <c r="L11" s="15" t="s">
        <v>418</v>
      </c>
      <c r="M11" s="15"/>
      <c r="N11" s="15"/>
      <c r="O11" s="15"/>
      <c r="P11" s="15"/>
    </row>
    <row r="12" spans="1:16">
      <c r="B12" s="15"/>
      <c r="C12" s="12" t="s">
        <v>4</v>
      </c>
      <c r="D12" s="17" t="s">
        <v>8</v>
      </c>
      <c r="E12" s="17"/>
      <c r="F12" s="15">
        <v>2050</v>
      </c>
      <c r="G12" s="109">
        <f>3500-H12</f>
        <v>2500</v>
      </c>
      <c r="H12" s="15">
        <v>1000</v>
      </c>
      <c r="I12" s="15"/>
      <c r="J12" s="15" t="s">
        <v>216</v>
      </c>
      <c r="K12" s="15"/>
      <c r="L12" s="15" t="s">
        <v>418</v>
      </c>
      <c r="M12" s="15"/>
      <c r="N12" s="15"/>
      <c r="O12" s="15"/>
      <c r="P12" s="15"/>
    </row>
    <row r="13" spans="1:16">
      <c r="B13" s="15"/>
      <c r="C13" s="15" t="s">
        <v>4</v>
      </c>
      <c r="D13" s="15" t="s">
        <v>21</v>
      </c>
      <c r="E13" s="15" t="s">
        <v>24</v>
      </c>
      <c r="F13" s="15">
        <v>2030</v>
      </c>
      <c r="G13" s="15">
        <v>0.05</v>
      </c>
      <c r="H13" s="15">
        <v>0.05</v>
      </c>
      <c r="I13" s="15"/>
      <c r="J13" s="15"/>
      <c r="K13" s="15"/>
      <c r="L13" s="15" t="s">
        <v>22</v>
      </c>
      <c r="M13" s="15"/>
      <c r="N13" s="15"/>
      <c r="O13" s="15" t="s">
        <v>23</v>
      </c>
      <c r="P13" s="15"/>
    </row>
    <row r="14" spans="1:16">
      <c r="B14" s="15"/>
      <c r="C14" s="15" t="s">
        <v>4</v>
      </c>
      <c r="D14" s="15" t="s">
        <v>21</v>
      </c>
      <c r="E14" s="15" t="s">
        <v>24</v>
      </c>
      <c r="F14" s="21" t="s">
        <v>25</v>
      </c>
      <c r="G14" s="15">
        <v>0.15</v>
      </c>
      <c r="H14" s="15">
        <v>0.15</v>
      </c>
      <c r="I14" s="15"/>
      <c r="J14" s="15"/>
      <c r="K14" s="15"/>
      <c r="L14" s="15" t="s">
        <v>22</v>
      </c>
      <c r="M14" s="15"/>
      <c r="N14" s="15"/>
      <c r="O14" s="15" t="s">
        <v>23</v>
      </c>
      <c r="P14" s="15"/>
    </row>
    <row r="15" spans="1:16">
      <c r="B15" s="15"/>
      <c r="C15" s="15" t="s">
        <v>4</v>
      </c>
      <c r="D15" s="15" t="s">
        <v>21</v>
      </c>
      <c r="E15" s="15" t="s">
        <v>26</v>
      </c>
      <c r="F15" s="21">
        <v>2010</v>
      </c>
      <c r="G15" s="15">
        <v>0.12</v>
      </c>
      <c r="H15" s="15">
        <v>0.12</v>
      </c>
      <c r="I15" s="15"/>
      <c r="J15" s="15"/>
      <c r="K15" s="15" t="s">
        <v>681</v>
      </c>
      <c r="L15" s="15" t="s">
        <v>27</v>
      </c>
      <c r="M15" s="15"/>
      <c r="N15" s="15"/>
      <c r="O15" s="15" t="s">
        <v>175</v>
      </c>
      <c r="P15" s="15"/>
    </row>
    <row r="16" spans="1:16">
      <c r="B16" s="15"/>
      <c r="C16" s="15" t="s">
        <v>4</v>
      </c>
      <c r="D16" s="15" t="s">
        <v>21</v>
      </c>
      <c r="E16" s="15" t="s">
        <v>26</v>
      </c>
      <c r="F16" s="21">
        <v>2030</v>
      </c>
      <c r="G16" s="20">
        <v>0.254</v>
      </c>
      <c r="H16" s="20">
        <v>0.254</v>
      </c>
      <c r="I16" s="15"/>
      <c r="J16" s="15"/>
      <c r="K16" s="15" t="s">
        <v>681</v>
      </c>
      <c r="L16" s="15" t="s">
        <v>27</v>
      </c>
      <c r="M16" s="15"/>
      <c r="N16" s="15"/>
      <c r="O16" s="15" t="s">
        <v>175</v>
      </c>
      <c r="P16" s="15"/>
    </row>
    <row r="17" spans="2:18">
      <c r="B17" s="15"/>
      <c r="C17" s="15" t="s">
        <v>4</v>
      </c>
      <c r="D17" s="15" t="s">
        <v>21</v>
      </c>
      <c r="E17" s="15" t="s">
        <v>26</v>
      </c>
      <c r="F17" s="21">
        <v>2050</v>
      </c>
      <c r="G17" s="20">
        <v>0.5</v>
      </c>
      <c r="H17" s="20">
        <v>0.4</v>
      </c>
      <c r="I17" s="15"/>
      <c r="J17" s="15"/>
      <c r="K17" s="15" t="s">
        <v>681</v>
      </c>
      <c r="L17" s="15" t="s">
        <v>27</v>
      </c>
      <c r="M17" s="15"/>
      <c r="N17" s="15"/>
      <c r="O17" s="15" t="s">
        <v>175</v>
      </c>
      <c r="P17" s="15"/>
    </row>
    <row r="18" spans="2:18">
      <c r="B18" s="15"/>
      <c r="C18" s="15" t="s">
        <v>4</v>
      </c>
      <c r="D18" s="15" t="s">
        <v>21</v>
      </c>
      <c r="E18" s="15" t="s">
        <v>26</v>
      </c>
      <c r="F18" s="21">
        <v>2100</v>
      </c>
      <c r="G18" s="20">
        <v>0.5</v>
      </c>
      <c r="H18" s="20">
        <v>0.4</v>
      </c>
      <c r="I18" s="15"/>
      <c r="J18" s="15"/>
      <c r="K18" s="15" t="s">
        <v>681</v>
      </c>
      <c r="L18" s="15" t="s">
        <v>27</v>
      </c>
      <c r="M18" s="15"/>
      <c r="N18" s="15"/>
      <c r="O18" s="15" t="s">
        <v>175</v>
      </c>
      <c r="P18" s="15"/>
    </row>
    <row r="19" spans="2:18">
      <c r="B19" s="15"/>
      <c r="C19" s="15" t="s">
        <v>4</v>
      </c>
      <c r="D19" s="15" t="s">
        <v>21</v>
      </c>
      <c r="E19" s="15" t="s">
        <v>28</v>
      </c>
      <c r="F19" s="21">
        <v>2030</v>
      </c>
      <c r="G19" s="110">
        <f>G20*0.5</f>
        <v>0.12</v>
      </c>
      <c r="H19" s="110">
        <f>H20*0.5</f>
        <v>0.12</v>
      </c>
      <c r="I19" s="15"/>
      <c r="J19" s="15"/>
      <c r="K19" s="15" t="s">
        <v>28</v>
      </c>
      <c r="L19" s="15" t="s">
        <v>29</v>
      </c>
      <c r="M19" s="15"/>
      <c r="N19" s="15"/>
      <c r="O19" s="15" t="s">
        <v>175</v>
      </c>
      <c r="P19" s="15"/>
    </row>
    <row r="20" spans="2:18">
      <c r="B20" s="15"/>
      <c r="C20" s="15" t="s">
        <v>4</v>
      </c>
      <c r="D20" s="15" t="s">
        <v>21</v>
      </c>
      <c r="E20" s="15" t="s">
        <v>28</v>
      </c>
      <c r="F20" s="21">
        <v>2050</v>
      </c>
      <c r="G20" s="110">
        <f>G21*2/3</f>
        <v>0.24</v>
      </c>
      <c r="H20" s="110">
        <f>H21*2/3</f>
        <v>0.24</v>
      </c>
      <c r="I20" s="15"/>
      <c r="J20" s="15"/>
      <c r="K20" s="15" t="s">
        <v>28</v>
      </c>
      <c r="L20" s="15" t="s">
        <v>29</v>
      </c>
      <c r="M20" s="15"/>
      <c r="N20" s="15"/>
      <c r="O20" s="15" t="s">
        <v>175</v>
      </c>
      <c r="P20" s="15"/>
    </row>
    <row r="21" spans="2:18">
      <c r="B21" s="15"/>
      <c r="C21" s="15" t="s">
        <v>4</v>
      </c>
      <c r="D21" s="15" t="s">
        <v>21</v>
      </c>
      <c r="E21" s="15" t="s">
        <v>28</v>
      </c>
      <c r="F21" s="21">
        <v>2100</v>
      </c>
      <c r="G21" s="110">
        <v>0.36</v>
      </c>
      <c r="H21" s="110">
        <v>0.36</v>
      </c>
      <c r="I21" s="15"/>
      <c r="J21" s="15"/>
      <c r="K21" s="15" t="s">
        <v>28</v>
      </c>
      <c r="L21" s="15" t="s">
        <v>29</v>
      </c>
      <c r="M21" s="15"/>
      <c r="N21" s="15"/>
      <c r="O21" s="15" t="s">
        <v>175</v>
      </c>
      <c r="P21" s="15"/>
    </row>
    <row r="22" spans="2:18">
      <c r="G22" s="24"/>
    </row>
    <row r="27" spans="2:18">
      <c r="B27" s="7" t="s">
        <v>60</v>
      </c>
    </row>
    <row r="28" spans="2:18" ht="13.5" thickBot="1">
      <c r="B28" s="8" t="s">
        <v>55</v>
      </c>
      <c r="C28" s="8" t="s">
        <v>56</v>
      </c>
      <c r="D28" s="8" t="s">
        <v>57</v>
      </c>
      <c r="E28" s="8" t="s">
        <v>20</v>
      </c>
      <c r="F28" s="8" t="s">
        <v>58</v>
      </c>
      <c r="G28" s="32" t="s">
        <v>71</v>
      </c>
      <c r="H28" s="11" t="s">
        <v>351</v>
      </c>
      <c r="I28" s="8" t="s">
        <v>63</v>
      </c>
      <c r="J28" s="9" t="s">
        <v>64</v>
      </c>
      <c r="K28" s="9" t="s">
        <v>65</v>
      </c>
      <c r="L28" s="9" t="s">
        <v>66</v>
      </c>
      <c r="M28" s="9" t="s">
        <v>67</v>
      </c>
      <c r="N28" s="8" t="s">
        <v>68</v>
      </c>
      <c r="O28" s="9" t="s">
        <v>59</v>
      </c>
      <c r="P28" s="9" t="s">
        <v>69</v>
      </c>
      <c r="R28" s="149" t="s">
        <v>71</v>
      </c>
    </row>
    <row r="29" spans="2:18">
      <c r="B29" s="16"/>
      <c r="C29" s="42" t="s">
        <v>4</v>
      </c>
      <c r="D29" s="43" t="s">
        <v>8</v>
      </c>
      <c r="E29" s="43"/>
      <c r="F29" s="151">
        <v>2030</v>
      </c>
      <c r="G29" s="143">
        <v>399.80824263855948</v>
      </c>
      <c r="H29" s="144">
        <v>0</v>
      </c>
      <c r="I29" s="16"/>
      <c r="J29" s="16"/>
      <c r="K29" s="16"/>
      <c r="L29" s="42" t="s">
        <v>9</v>
      </c>
      <c r="M29" s="16"/>
      <c r="N29" s="16"/>
      <c r="O29" s="16"/>
      <c r="P29" s="16"/>
      <c r="R29" s="142">
        <v>399.80824263855948</v>
      </c>
    </row>
    <row r="30" spans="2:18">
      <c r="B30" s="16"/>
      <c r="C30" s="42" t="s">
        <v>4</v>
      </c>
      <c r="D30" s="43" t="s">
        <v>8</v>
      </c>
      <c r="E30" s="43"/>
      <c r="F30" s="151">
        <v>2050</v>
      </c>
      <c r="G30" s="143">
        <v>707</v>
      </c>
      <c r="H30" s="144">
        <v>0</v>
      </c>
      <c r="I30" s="16"/>
      <c r="J30" s="16"/>
      <c r="K30" s="16"/>
      <c r="L30" s="42" t="s">
        <v>9</v>
      </c>
      <c r="M30" s="16"/>
      <c r="N30" s="16"/>
      <c r="O30" s="16"/>
      <c r="P30" s="16"/>
      <c r="R30" s="142">
        <v>707</v>
      </c>
    </row>
    <row r="31" spans="2:18">
      <c r="B31" s="16"/>
      <c r="C31" s="42" t="s">
        <v>4</v>
      </c>
      <c r="D31" s="43" t="s">
        <v>8</v>
      </c>
      <c r="E31" s="43"/>
      <c r="F31" s="151">
        <v>2100</v>
      </c>
      <c r="G31" s="143">
        <v>835.7</v>
      </c>
      <c r="H31" s="144">
        <v>0</v>
      </c>
      <c r="I31" s="16"/>
      <c r="J31" s="16"/>
      <c r="K31" s="16"/>
      <c r="L31" s="42" t="s">
        <v>9</v>
      </c>
      <c r="M31" s="16"/>
      <c r="N31" s="16"/>
      <c r="O31" s="16"/>
      <c r="P31" s="16"/>
      <c r="R31" s="142">
        <v>835.7</v>
      </c>
    </row>
    <row r="32" spans="2:18">
      <c r="B32" s="16"/>
      <c r="C32" s="42" t="s">
        <v>4</v>
      </c>
      <c r="D32" s="43" t="s">
        <v>8</v>
      </c>
      <c r="E32" s="43"/>
      <c r="F32" s="151">
        <v>2030</v>
      </c>
      <c r="G32" s="143">
        <v>490.562260906208</v>
      </c>
      <c r="H32" s="144">
        <v>0</v>
      </c>
      <c r="I32" s="16"/>
      <c r="J32" s="16"/>
      <c r="K32" s="16"/>
      <c r="L32" s="16" t="s">
        <v>10</v>
      </c>
      <c r="M32" s="16"/>
      <c r="N32" s="16"/>
      <c r="O32" s="16"/>
      <c r="P32" s="16"/>
      <c r="R32" s="142">
        <v>490.562260906208</v>
      </c>
    </row>
    <row r="33" spans="2:18">
      <c r="B33" s="16"/>
      <c r="C33" s="42" t="s">
        <v>4</v>
      </c>
      <c r="D33" s="43" t="s">
        <v>8</v>
      </c>
      <c r="E33" s="43"/>
      <c r="F33" s="151">
        <v>2050</v>
      </c>
      <c r="G33" s="143">
        <v>1000</v>
      </c>
      <c r="H33" s="144">
        <v>0</v>
      </c>
      <c r="I33" s="16"/>
      <c r="J33" s="16"/>
      <c r="K33" s="16"/>
      <c r="L33" s="16" t="s">
        <v>10</v>
      </c>
      <c r="M33" s="16"/>
      <c r="N33" s="16"/>
      <c r="O33" s="16"/>
      <c r="P33" s="16"/>
      <c r="R33" s="142">
        <v>1000</v>
      </c>
    </row>
    <row r="34" spans="2:18">
      <c r="B34" s="16"/>
      <c r="C34" s="42" t="s">
        <v>4</v>
      </c>
      <c r="D34" s="43" t="s">
        <v>8</v>
      </c>
      <c r="E34" s="43"/>
      <c r="F34" s="151">
        <v>2100</v>
      </c>
      <c r="G34" s="143">
        <v>1180</v>
      </c>
      <c r="H34" s="144">
        <v>0</v>
      </c>
      <c r="I34" s="16"/>
      <c r="J34" s="16"/>
      <c r="K34" s="16"/>
      <c r="L34" s="16" t="s">
        <v>10</v>
      </c>
      <c r="M34" s="16"/>
      <c r="N34" s="16"/>
      <c r="O34" s="16"/>
      <c r="P34" s="16"/>
      <c r="R34" s="142">
        <v>1180</v>
      </c>
    </row>
    <row r="35" spans="2:18">
      <c r="B35" s="16"/>
      <c r="C35" s="42" t="s">
        <v>4</v>
      </c>
      <c r="D35" s="43" t="s">
        <v>8</v>
      </c>
      <c r="E35" s="43"/>
      <c r="F35" s="151">
        <v>2030</v>
      </c>
      <c r="G35" s="143">
        <v>1085</v>
      </c>
      <c r="H35" s="144">
        <v>0</v>
      </c>
      <c r="I35" s="16"/>
      <c r="J35" s="16"/>
      <c r="K35" s="16"/>
      <c r="L35" s="16" t="s">
        <v>11</v>
      </c>
      <c r="M35" s="16"/>
      <c r="N35" s="16"/>
      <c r="O35" s="16"/>
      <c r="P35" s="16"/>
      <c r="R35" s="142">
        <v>1085</v>
      </c>
    </row>
    <row r="36" spans="2:18">
      <c r="B36" s="16"/>
      <c r="C36" s="42" t="s">
        <v>4</v>
      </c>
      <c r="D36" s="43" t="s">
        <v>8</v>
      </c>
      <c r="E36" s="43"/>
      <c r="F36" s="151">
        <v>2050</v>
      </c>
      <c r="G36" s="143">
        <v>2300</v>
      </c>
      <c r="H36" s="144">
        <v>0</v>
      </c>
      <c r="I36" s="16"/>
      <c r="J36" s="16"/>
      <c r="K36" s="16"/>
      <c r="L36" s="16" t="s">
        <v>11</v>
      </c>
      <c r="M36" s="16"/>
      <c r="N36" s="16"/>
      <c r="O36" s="16"/>
      <c r="P36" s="16"/>
      <c r="R36" s="142">
        <v>2300</v>
      </c>
    </row>
    <row r="37" spans="2:18">
      <c r="B37" s="16"/>
      <c r="C37" s="42" t="s">
        <v>4</v>
      </c>
      <c r="D37" s="43" t="s">
        <v>8</v>
      </c>
      <c r="E37" s="43"/>
      <c r="F37" s="151">
        <v>2100</v>
      </c>
      <c r="G37" s="143">
        <v>2690</v>
      </c>
      <c r="H37" s="144">
        <v>0</v>
      </c>
      <c r="I37" s="16"/>
      <c r="J37" s="16"/>
      <c r="K37" s="16"/>
      <c r="L37" s="16" t="s">
        <v>11</v>
      </c>
      <c r="M37" s="16"/>
      <c r="N37" s="16"/>
      <c r="O37" s="16"/>
      <c r="P37" s="16"/>
      <c r="R37" s="142">
        <v>2690</v>
      </c>
    </row>
    <row r="38" spans="2:18">
      <c r="B38" s="16"/>
      <c r="C38" s="42" t="s">
        <v>4</v>
      </c>
      <c r="D38" s="43" t="s">
        <v>8</v>
      </c>
      <c r="E38" s="43"/>
      <c r="F38" s="151">
        <v>2030</v>
      </c>
      <c r="G38" s="143">
        <v>2725</v>
      </c>
      <c r="H38" s="144">
        <v>0</v>
      </c>
      <c r="I38" s="16"/>
      <c r="J38" s="16"/>
      <c r="K38" s="16"/>
      <c r="L38" s="16" t="s">
        <v>12</v>
      </c>
      <c r="M38" s="16"/>
      <c r="N38" s="16"/>
      <c r="O38" s="16"/>
      <c r="P38" s="16"/>
      <c r="R38" s="142">
        <v>2725</v>
      </c>
    </row>
    <row r="39" spans="2:18">
      <c r="B39" s="16"/>
      <c r="C39" s="42" t="s">
        <v>4</v>
      </c>
      <c r="D39" s="43" t="s">
        <v>8</v>
      </c>
      <c r="E39" s="43"/>
      <c r="F39" s="151">
        <v>2050</v>
      </c>
      <c r="G39" s="143">
        <v>4300</v>
      </c>
      <c r="H39" s="144">
        <v>0</v>
      </c>
      <c r="I39" s="16"/>
      <c r="J39" s="16"/>
      <c r="K39" s="16"/>
      <c r="L39" s="16" t="s">
        <v>12</v>
      </c>
      <c r="M39" s="16"/>
      <c r="N39" s="16"/>
      <c r="O39" s="16"/>
      <c r="P39" s="16"/>
      <c r="R39" s="142">
        <v>4300</v>
      </c>
    </row>
    <row r="40" spans="2:18">
      <c r="B40" s="44"/>
      <c r="C40" s="42" t="s">
        <v>4</v>
      </c>
      <c r="D40" s="43" t="s">
        <v>8</v>
      </c>
      <c r="E40" s="43"/>
      <c r="F40" s="151">
        <v>2100</v>
      </c>
      <c r="G40" s="143">
        <v>4990</v>
      </c>
      <c r="H40" s="145">
        <v>0</v>
      </c>
      <c r="I40" s="44"/>
      <c r="J40" s="44"/>
      <c r="K40" s="44"/>
      <c r="L40" s="44" t="s">
        <v>12</v>
      </c>
      <c r="M40" s="44"/>
      <c r="N40" s="44"/>
      <c r="O40" s="44"/>
      <c r="P40" s="44"/>
      <c r="R40" s="142">
        <v>4990</v>
      </c>
    </row>
    <row r="41" spans="2:18">
      <c r="B41" s="16"/>
      <c r="C41" s="42" t="s">
        <v>4</v>
      </c>
      <c r="D41" s="43" t="s">
        <v>8</v>
      </c>
      <c r="E41" s="43"/>
      <c r="F41" s="151">
        <v>2030</v>
      </c>
      <c r="G41" s="143">
        <v>1211.25</v>
      </c>
      <c r="H41" s="146">
        <v>127.5</v>
      </c>
      <c r="I41" s="16"/>
      <c r="J41" s="16"/>
      <c r="K41" s="16"/>
      <c r="L41" s="42" t="s">
        <v>13</v>
      </c>
      <c r="M41" s="16"/>
      <c r="N41" s="16"/>
      <c r="O41" s="16"/>
      <c r="P41" s="16"/>
      <c r="R41" s="143">
        <v>1338.75</v>
      </c>
    </row>
    <row r="42" spans="2:18">
      <c r="B42" s="16"/>
      <c r="C42" s="42" t="s">
        <v>4</v>
      </c>
      <c r="D42" s="43" t="s">
        <v>8</v>
      </c>
      <c r="E42" s="43"/>
      <c r="F42" s="151">
        <v>2050</v>
      </c>
      <c r="G42" s="143">
        <v>1615</v>
      </c>
      <c r="H42" s="146">
        <v>170</v>
      </c>
      <c r="I42" s="16"/>
      <c r="J42" s="16"/>
      <c r="K42" s="16"/>
      <c r="L42" s="42" t="s">
        <v>13</v>
      </c>
      <c r="M42" s="16"/>
      <c r="N42" s="16"/>
      <c r="O42" s="16"/>
      <c r="P42" s="16"/>
      <c r="R42" s="143">
        <v>1785</v>
      </c>
    </row>
    <row r="43" spans="2:18">
      <c r="B43" s="16"/>
      <c r="C43" s="42" t="s">
        <v>4</v>
      </c>
      <c r="D43" s="43" t="s">
        <v>8</v>
      </c>
      <c r="E43" s="43"/>
      <c r="F43" s="151">
        <v>2100</v>
      </c>
      <c r="G43" s="143">
        <v>2099.5</v>
      </c>
      <c r="H43" s="146">
        <v>221</v>
      </c>
      <c r="I43" s="16"/>
      <c r="J43" s="16"/>
      <c r="K43" s="16"/>
      <c r="L43" s="42" t="s">
        <v>13</v>
      </c>
      <c r="M43" s="16"/>
      <c r="N43" s="16"/>
      <c r="O43" s="16"/>
      <c r="P43" s="16"/>
      <c r="R43" s="143">
        <v>2320.5</v>
      </c>
    </row>
    <row r="44" spans="2:18">
      <c r="B44" s="16"/>
      <c r="C44" s="42" t="s">
        <v>4</v>
      </c>
      <c r="D44" s="43" t="s">
        <v>8</v>
      </c>
      <c r="E44" s="43"/>
      <c r="F44" s="151">
        <v>2030</v>
      </c>
      <c r="G44" s="143">
        <v>1282.5</v>
      </c>
      <c r="H44" s="146">
        <v>135</v>
      </c>
      <c r="I44" s="16"/>
      <c r="J44" s="16"/>
      <c r="K44" s="16"/>
      <c r="L44" s="16" t="s">
        <v>14</v>
      </c>
      <c r="M44" s="16"/>
      <c r="N44" s="16"/>
      <c r="O44" s="16"/>
      <c r="P44" s="16"/>
      <c r="R44" s="143">
        <v>1417.5</v>
      </c>
    </row>
    <row r="45" spans="2:18">
      <c r="B45" s="16"/>
      <c r="C45" s="42" t="s">
        <v>4</v>
      </c>
      <c r="D45" s="43" t="s">
        <v>8</v>
      </c>
      <c r="E45" s="43"/>
      <c r="F45" s="151">
        <v>2050</v>
      </c>
      <c r="G45" s="143">
        <v>1710</v>
      </c>
      <c r="H45" s="146">
        <v>180</v>
      </c>
      <c r="I45" s="16"/>
      <c r="J45" s="16"/>
      <c r="K45" s="16"/>
      <c r="L45" s="16" t="s">
        <v>14</v>
      </c>
      <c r="M45" s="16"/>
      <c r="N45" s="16"/>
      <c r="O45" s="16"/>
      <c r="P45" s="16"/>
      <c r="R45" s="143">
        <v>1890</v>
      </c>
    </row>
    <row r="46" spans="2:18">
      <c r="B46" s="16"/>
      <c r="C46" s="42" t="s">
        <v>4</v>
      </c>
      <c r="D46" s="43" t="s">
        <v>8</v>
      </c>
      <c r="E46" s="43"/>
      <c r="F46" s="151">
        <v>2100</v>
      </c>
      <c r="G46" s="143">
        <v>2223</v>
      </c>
      <c r="H46" s="146">
        <v>234</v>
      </c>
      <c r="I46" s="16"/>
      <c r="J46" s="16"/>
      <c r="K46" s="16"/>
      <c r="L46" s="16" t="s">
        <v>14</v>
      </c>
      <c r="M46" s="16"/>
      <c r="N46" s="16"/>
      <c r="O46" s="16"/>
      <c r="P46" s="16"/>
      <c r="R46" s="143">
        <v>2457</v>
      </c>
    </row>
    <row r="47" spans="2:18">
      <c r="B47" s="16"/>
      <c r="C47" s="42" t="s">
        <v>4</v>
      </c>
      <c r="D47" s="43" t="s">
        <v>8</v>
      </c>
      <c r="E47" s="43"/>
      <c r="F47" s="151">
        <v>2030</v>
      </c>
      <c r="G47" s="143">
        <v>1425</v>
      </c>
      <c r="H47" s="146">
        <v>150</v>
      </c>
      <c r="I47" s="16"/>
      <c r="J47" s="16"/>
      <c r="K47" s="16"/>
      <c r="L47" s="16" t="s">
        <v>15</v>
      </c>
      <c r="M47" s="16"/>
      <c r="N47" s="16"/>
      <c r="O47" s="16"/>
      <c r="P47" s="16"/>
      <c r="R47" s="143">
        <v>1575</v>
      </c>
    </row>
    <row r="48" spans="2:18">
      <c r="B48" s="16"/>
      <c r="C48" s="42" t="s">
        <v>4</v>
      </c>
      <c r="D48" s="43" t="s">
        <v>8</v>
      </c>
      <c r="E48" s="43"/>
      <c r="F48" s="151">
        <v>2050</v>
      </c>
      <c r="G48" s="143">
        <v>2714.2857142857142</v>
      </c>
      <c r="H48" s="146">
        <v>285.71428571428572</v>
      </c>
      <c r="I48" s="16"/>
      <c r="J48" s="16"/>
      <c r="K48" s="16"/>
      <c r="L48" s="16" t="s">
        <v>15</v>
      </c>
      <c r="M48" s="16"/>
      <c r="N48" s="16"/>
      <c r="O48" s="16"/>
      <c r="P48" s="16"/>
      <c r="R48" s="143">
        <v>3000</v>
      </c>
    </row>
    <row r="49" spans="2:18">
      <c r="B49" s="16"/>
      <c r="C49" s="42" t="s">
        <v>4</v>
      </c>
      <c r="D49" s="43" t="s">
        <v>8</v>
      </c>
      <c r="E49" s="43"/>
      <c r="F49" s="151">
        <v>2100</v>
      </c>
      <c r="G49" s="143">
        <v>3800</v>
      </c>
      <c r="H49" s="146">
        <v>400</v>
      </c>
      <c r="I49" s="16"/>
      <c r="J49" s="16"/>
      <c r="K49" s="16"/>
      <c r="L49" s="16" t="s">
        <v>15</v>
      </c>
      <c r="M49" s="16"/>
      <c r="N49" s="16"/>
      <c r="O49" s="16"/>
      <c r="P49" s="16"/>
      <c r="R49" s="143">
        <v>4200</v>
      </c>
    </row>
    <row r="50" spans="2:18">
      <c r="B50" s="16"/>
      <c r="C50" s="42" t="s">
        <v>4</v>
      </c>
      <c r="D50" s="43" t="s">
        <v>8</v>
      </c>
      <c r="E50" s="43"/>
      <c r="F50" s="151">
        <v>2030</v>
      </c>
      <c r="G50" s="143">
        <v>2137.5</v>
      </c>
      <c r="H50" s="146">
        <v>225</v>
      </c>
      <c r="I50" s="16"/>
      <c r="J50" s="16"/>
      <c r="K50" s="16"/>
      <c r="L50" s="16" t="s">
        <v>16</v>
      </c>
      <c r="M50" s="16"/>
      <c r="N50" s="16"/>
      <c r="O50" s="16"/>
      <c r="P50" s="16"/>
      <c r="R50" s="143">
        <v>2362.5</v>
      </c>
    </row>
    <row r="51" spans="2:18">
      <c r="B51" s="16"/>
      <c r="C51" s="42" t="s">
        <v>4</v>
      </c>
      <c r="D51" s="43" t="s">
        <v>8</v>
      </c>
      <c r="E51" s="43"/>
      <c r="F51" s="151">
        <v>2050</v>
      </c>
      <c r="G51" s="143">
        <v>4523.8095238095239</v>
      </c>
      <c r="H51" s="146">
        <v>476.1904761904762</v>
      </c>
      <c r="I51" s="16"/>
      <c r="J51" s="16"/>
      <c r="K51" s="16"/>
      <c r="L51" s="16" t="s">
        <v>16</v>
      </c>
      <c r="M51" s="16"/>
      <c r="N51" s="16"/>
      <c r="O51" s="16"/>
      <c r="P51" s="16"/>
      <c r="R51" s="143">
        <v>5000</v>
      </c>
    </row>
    <row r="52" spans="2:18">
      <c r="B52" s="16"/>
      <c r="C52" s="42" t="s">
        <v>4</v>
      </c>
      <c r="D52" s="43" t="s">
        <v>8</v>
      </c>
      <c r="E52" s="43"/>
      <c r="F52" s="151">
        <v>2100</v>
      </c>
      <c r="G52" s="143">
        <v>7125</v>
      </c>
      <c r="H52" s="146">
        <v>750</v>
      </c>
      <c r="I52" s="16"/>
      <c r="J52" s="16"/>
      <c r="K52" s="16"/>
      <c r="L52" s="16" t="s">
        <v>16</v>
      </c>
      <c r="M52" s="16"/>
      <c r="N52" s="16"/>
      <c r="O52" s="16"/>
      <c r="P52" s="16"/>
      <c r="R52" s="143">
        <v>7875</v>
      </c>
    </row>
    <row r="53" spans="2:18">
      <c r="B53" s="16"/>
      <c r="C53" s="42" t="s">
        <v>4</v>
      </c>
      <c r="D53" s="43" t="s">
        <v>8</v>
      </c>
      <c r="E53" s="43"/>
      <c r="F53" s="151">
        <v>2030</v>
      </c>
      <c r="G53" s="143">
        <v>3562.5</v>
      </c>
      <c r="H53" s="146">
        <v>375</v>
      </c>
      <c r="I53" s="16"/>
      <c r="J53" s="16"/>
      <c r="K53" s="16"/>
      <c r="L53" s="16" t="s">
        <v>17</v>
      </c>
      <c r="M53" s="16"/>
      <c r="N53" s="16"/>
      <c r="O53" s="16"/>
      <c r="P53" s="16"/>
      <c r="R53" s="143">
        <v>3937.5</v>
      </c>
    </row>
    <row r="54" spans="2:18">
      <c r="B54" s="16"/>
      <c r="C54" s="42" t="s">
        <v>4</v>
      </c>
      <c r="D54" s="43" t="s">
        <v>8</v>
      </c>
      <c r="E54" s="43"/>
      <c r="F54" s="151">
        <v>2050</v>
      </c>
      <c r="G54" s="143">
        <v>8142.8571428571431</v>
      </c>
      <c r="H54" s="146">
        <v>857.14285714285711</v>
      </c>
      <c r="I54" s="16"/>
      <c r="J54" s="16"/>
      <c r="K54" s="16"/>
      <c r="L54" s="16" t="s">
        <v>17</v>
      </c>
      <c r="M54" s="16"/>
      <c r="N54" s="16"/>
      <c r="O54" s="16"/>
      <c r="P54" s="16"/>
      <c r="R54" s="143">
        <v>9000</v>
      </c>
    </row>
    <row r="55" spans="2:18">
      <c r="B55" s="16"/>
      <c r="C55" s="42" t="s">
        <v>4</v>
      </c>
      <c r="D55" s="43" t="s">
        <v>8</v>
      </c>
      <c r="E55" s="43"/>
      <c r="F55" s="151">
        <v>2100</v>
      </c>
      <c r="G55" s="143">
        <v>12540</v>
      </c>
      <c r="H55" s="146">
        <v>1320</v>
      </c>
      <c r="I55" s="16"/>
      <c r="J55" s="16"/>
      <c r="K55" s="16"/>
      <c r="L55" s="16" t="s">
        <v>17</v>
      </c>
      <c r="M55" s="16"/>
      <c r="N55" s="16"/>
      <c r="O55" s="16"/>
      <c r="P55" s="16"/>
      <c r="R55" s="143">
        <v>13860</v>
      </c>
    </row>
    <row r="56" spans="2:18">
      <c r="B56" s="16"/>
      <c r="C56" s="42" t="s">
        <v>4</v>
      </c>
      <c r="D56" s="43" t="s">
        <v>8</v>
      </c>
      <c r="E56" s="43"/>
      <c r="F56" s="151">
        <v>2020</v>
      </c>
      <c r="G56" s="147">
        <v>100</v>
      </c>
      <c r="H56" s="146">
        <v>20</v>
      </c>
      <c r="I56" s="16"/>
      <c r="J56" s="16"/>
      <c r="K56" s="16"/>
      <c r="L56" s="42" t="s">
        <v>18</v>
      </c>
      <c r="M56" s="16"/>
      <c r="N56" s="16"/>
      <c r="O56" s="16"/>
      <c r="P56" s="16"/>
    </row>
    <row r="57" spans="2:18">
      <c r="B57" s="16"/>
      <c r="C57" s="42" t="s">
        <v>4</v>
      </c>
      <c r="D57" s="43" t="s">
        <v>8</v>
      </c>
      <c r="E57" s="43"/>
      <c r="F57" s="151">
        <v>2040</v>
      </c>
      <c r="G57" s="147">
        <v>471.42857142857144</v>
      </c>
      <c r="H57" s="146">
        <v>78.571428571428569</v>
      </c>
      <c r="I57" s="16"/>
      <c r="J57" s="16"/>
      <c r="K57" s="16"/>
      <c r="L57" s="42" t="s">
        <v>18</v>
      </c>
      <c r="M57" s="16"/>
      <c r="N57" s="16"/>
      <c r="O57" s="16"/>
      <c r="P57" s="16"/>
    </row>
    <row r="58" spans="2:18">
      <c r="B58" s="16"/>
      <c r="C58" s="42" t="s">
        <v>4</v>
      </c>
      <c r="D58" s="43" t="s">
        <v>8</v>
      </c>
      <c r="E58" s="43"/>
      <c r="F58" s="151">
        <v>2050</v>
      </c>
      <c r="G58" s="147">
        <v>931.0344827586207</v>
      </c>
      <c r="H58" s="146">
        <v>148.9655172413793</v>
      </c>
      <c r="I58" s="16"/>
      <c r="J58" s="16"/>
      <c r="K58" s="16"/>
      <c r="L58" s="42" t="s">
        <v>18</v>
      </c>
      <c r="M58" s="16"/>
      <c r="N58" s="16"/>
      <c r="O58" s="16"/>
      <c r="P58" s="16"/>
    </row>
    <row r="59" spans="2:18">
      <c r="B59" s="16"/>
      <c r="C59" s="42" t="s">
        <v>4</v>
      </c>
      <c r="D59" s="43" t="s">
        <v>8</v>
      </c>
      <c r="E59" s="43"/>
      <c r="F59" s="151">
        <v>2100</v>
      </c>
      <c r="G59" s="147">
        <v>1028.5714285714287</v>
      </c>
      <c r="H59" s="146">
        <v>171.42857142857142</v>
      </c>
      <c r="I59" s="16"/>
      <c r="J59" s="16"/>
      <c r="K59" s="16"/>
      <c r="L59" s="42" t="s">
        <v>18</v>
      </c>
      <c r="M59" s="16"/>
      <c r="N59" s="16"/>
      <c r="O59" s="16"/>
      <c r="P59" s="16"/>
    </row>
    <row r="60" spans="2:18">
      <c r="B60" s="16"/>
      <c r="C60" s="42" t="s">
        <v>4</v>
      </c>
      <c r="D60" s="43" t="s">
        <v>8</v>
      </c>
      <c r="E60" s="43"/>
      <c r="F60" s="151">
        <v>2030</v>
      </c>
      <c r="G60" s="147">
        <v>2500</v>
      </c>
      <c r="H60" s="148">
        <v>0</v>
      </c>
      <c r="I60" s="16"/>
      <c r="J60" s="16"/>
      <c r="K60" s="16"/>
      <c r="L60" s="42" t="s">
        <v>420</v>
      </c>
      <c r="M60" s="16"/>
      <c r="N60" s="16"/>
      <c r="O60" s="16"/>
      <c r="P60" s="16"/>
      <c r="R60" t="s">
        <v>506</v>
      </c>
    </row>
    <row r="61" spans="2:18">
      <c r="B61" s="16"/>
      <c r="C61" s="42" t="s">
        <v>4</v>
      </c>
      <c r="D61" s="43" t="s">
        <v>8</v>
      </c>
      <c r="E61" s="43"/>
      <c r="F61" s="151">
        <v>2050</v>
      </c>
      <c r="G61" s="147">
        <v>4800</v>
      </c>
      <c r="H61" s="148">
        <v>0</v>
      </c>
      <c r="I61" s="16"/>
      <c r="J61" s="16"/>
      <c r="K61" s="16"/>
      <c r="L61" s="42" t="s">
        <v>420</v>
      </c>
      <c r="M61" s="16"/>
      <c r="N61" s="16"/>
      <c r="O61" s="16"/>
      <c r="P61" s="16"/>
      <c r="R61" t="s">
        <v>506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Q120"/>
  <sheetViews>
    <sheetView zoomScale="80" workbookViewId="0">
      <pane xSplit="5" ySplit="3" topLeftCell="F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75"/>
  <cols>
    <col min="1" max="1" width="9" customWidth="1"/>
    <col min="2" max="2" width="8.42578125" customWidth="1"/>
    <col min="3" max="3" width="7.140625" customWidth="1"/>
    <col min="4" max="4" width="10.85546875" customWidth="1"/>
    <col min="5" max="5" width="9.85546875" customWidth="1"/>
    <col min="6" max="6" width="16.7109375" customWidth="1"/>
    <col min="7" max="10" width="7.28515625" customWidth="1"/>
    <col min="11" max="11" width="15.85546875" customWidth="1"/>
    <col min="12" max="12" width="10.28515625" customWidth="1"/>
    <col min="14" max="14" width="12" customWidth="1"/>
  </cols>
  <sheetData>
    <row r="2" spans="2:17">
      <c r="B2" s="7" t="s">
        <v>6</v>
      </c>
    </row>
    <row r="3" spans="2:17" ht="13.5" thickBot="1">
      <c r="B3" s="8" t="s">
        <v>55</v>
      </c>
      <c r="C3" s="8" t="s">
        <v>56</v>
      </c>
      <c r="D3" s="8" t="s">
        <v>57</v>
      </c>
      <c r="E3" s="11" t="s">
        <v>58</v>
      </c>
      <c r="F3" s="8" t="s">
        <v>20</v>
      </c>
      <c r="G3" s="8" t="s">
        <v>71</v>
      </c>
      <c r="H3" s="8" t="s">
        <v>351</v>
      </c>
      <c r="I3" s="8" t="s">
        <v>63</v>
      </c>
      <c r="J3" s="8" t="s">
        <v>66</v>
      </c>
      <c r="K3" s="8" t="s">
        <v>67</v>
      </c>
      <c r="L3" s="8" t="s">
        <v>64</v>
      </c>
      <c r="M3" s="8" t="s">
        <v>65</v>
      </c>
      <c r="N3" s="8" t="s">
        <v>68</v>
      </c>
      <c r="O3" s="8" t="s">
        <v>59</v>
      </c>
      <c r="P3" s="8" t="s">
        <v>69</v>
      </c>
      <c r="Q3" s="8" t="s">
        <v>296</v>
      </c>
    </row>
    <row r="4" spans="2:17">
      <c r="B4" s="16" t="s">
        <v>118</v>
      </c>
      <c r="C4" s="16"/>
      <c r="D4" s="16" t="s">
        <v>119</v>
      </c>
      <c r="E4" s="38"/>
      <c r="F4" s="16"/>
      <c r="G4" s="39">
        <f>0.5/(0.3/0.075+0.2/0.1)</f>
        <v>8.3333333333333329E-2</v>
      </c>
      <c r="H4" s="39">
        <f>0.5/(0.3/0.075+0.2/0.1)</f>
        <v>8.3333333333333329E-2</v>
      </c>
      <c r="I4" s="16"/>
      <c r="J4" s="16" t="s">
        <v>141</v>
      </c>
      <c r="K4" s="16"/>
      <c r="L4" s="16"/>
      <c r="M4" s="16"/>
      <c r="N4" s="16"/>
      <c r="O4" s="16"/>
    </row>
    <row r="5" spans="2:17">
      <c r="B5" s="16" t="s">
        <v>118</v>
      </c>
      <c r="C5" s="16"/>
      <c r="D5" s="16" t="s">
        <v>119</v>
      </c>
      <c r="E5" s="38"/>
      <c r="F5" s="16"/>
      <c r="G5" s="39">
        <f>0.5/(0.3/0.14+0.2/0.18)</f>
        <v>0.15365853658536585</v>
      </c>
      <c r="H5" s="39">
        <f>0.5/(0.3/0.14+0.2/0.18)</f>
        <v>0.15365853658536585</v>
      </c>
      <c r="I5" s="16"/>
      <c r="J5" s="16" t="s">
        <v>142</v>
      </c>
      <c r="K5" s="16"/>
      <c r="L5" s="16"/>
      <c r="M5" s="16"/>
      <c r="N5" s="16"/>
      <c r="O5" s="16"/>
    </row>
    <row r="6" spans="2:17">
      <c r="B6" s="16" t="s">
        <v>118</v>
      </c>
      <c r="C6" s="16"/>
      <c r="D6" s="16" t="s">
        <v>119</v>
      </c>
      <c r="E6" s="38"/>
      <c r="F6" s="16"/>
      <c r="G6" s="39">
        <f>0.5/(0.3/0.135+0.2/0.17)</f>
        <v>0.14711538461538465</v>
      </c>
      <c r="H6" s="39">
        <f>0.5/(0.3/0.135+0.2/0.17)</f>
        <v>0.14711538461538465</v>
      </c>
      <c r="I6" s="16"/>
      <c r="J6" s="16" t="s">
        <v>120</v>
      </c>
      <c r="K6" s="16"/>
      <c r="L6" s="16"/>
      <c r="M6" s="16"/>
      <c r="N6" s="16"/>
      <c r="O6" s="16"/>
    </row>
    <row r="7" spans="2:17">
      <c r="B7" s="16" t="s">
        <v>118</v>
      </c>
      <c r="C7" s="16"/>
      <c r="D7" s="16" t="s">
        <v>119</v>
      </c>
      <c r="E7" s="54"/>
      <c r="F7" s="16"/>
      <c r="G7" s="39">
        <v>0.1</v>
      </c>
      <c r="H7" s="39">
        <v>0.1</v>
      </c>
      <c r="I7" s="16"/>
      <c r="J7" s="16" t="s">
        <v>437</v>
      </c>
      <c r="K7" s="16"/>
      <c r="L7" s="16"/>
      <c r="M7" s="16"/>
      <c r="N7" s="16"/>
      <c r="O7" s="16"/>
    </row>
    <row r="8" spans="2:17">
      <c r="B8" s="16" t="s">
        <v>118</v>
      </c>
      <c r="C8" s="16"/>
      <c r="D8" s="16" t="s">
        <v>119</v>
      </c>
      <c r="E8" s="54"/>
      <c r="F8" s="16"/>
      <c r="G8" s="39">
        <v>0.2</v>
      </c>
      <c r="H8" s="39">
        <v>0.2</v>
      </c>
      <c r="I8" s="16"/>
      <c r="J8" s="16" t="s">
        <v>438</v>
      </c>
      <c r="K8" s="16"/>
      <c r="L8" s="16"/>
      <c r="M8" s="16"/>
      <c r="N8" s="16"/>
      <c r="O8" s="16"/>
    </row>
    <row r="11" spans="2:17">
      <c r="B11" s="7" t="s">
        <v>3</v>
      </c>
    </row>
    <row r="12" spans="2:17" ht="13.5" thickBot="1">
      <c r="B12" s="8" t="s">
        <v>55</v>
      </c>
      <c r="C12" s="8" t="s">
        <v>56</v>
      </c>
      <c r="D12" s="8" t="s">
        <v>57</v>
      </c>
      <c r="E12" s="11" t="s">
        <v>58</v>
      </c>
      <c r="F12" s="8" t="s">
        <v>20</v>
      </c>
      <c r="G12" s="8" t="s">
        <v>71</v>
      </c>
      <c r="H12" s="8" t="s">
        <v>351</v>
      </c>
      <c r="I12" s="8" t="s">
        <v>63</v>
      </c>
      <c r="J12" s="8" t="s">
        <v>66</v>
      </c>
      <c r="K12" s="8" t="s">
        <v>67</v>
      </c>
      <c r="L12" s="8" t="s">
        <v>64</v>
      </c>
      <c r="M12" s="8" t="s">
        <v>65</v>
      </c>
      <c r="N12" s="8" t="s">
        <v>68</v>
      </c>
      <c r="O12" s="8" t="s">
        <v>59</v>
      </c>
      <c r="P12" s="8" t="s">
        <v>69</v>
      </c>
      <c r="Q12" s="8" t="s">
        <v>296</v>
      </c>
    </row>
    <row r="13" spans="2:17">
      <c r="B13" s="15"/>
      <c r="C13" s="15" t="s">
        <v>4</v>
      </c>
      <c r="D13" s="15" t="s">
        <v>21</v>
      </c>
      <c r="E13" s="127" t="s">
        <v>427</v>
      </c>
      <c r="F13" s="15" t="s">
        <v>180</v>
      </c>
      <c r="G13" s="39">
        <v>1</v>
      </c>
      <c r="H13" s="39">
        <v>1</v>
      </c>
      <c r="I13" s="15"/>
      <c r="J13" s="15" t="s">
        <v>181</v>
      </c>
      <c r="K13" s="15"/>
      <c r="L13" s="15" t="s">
        <v>182</v>
      </c>
      <c r="M13" s="15" t="s">
        <v>183</v>
      </c>
      <c r="N13" s="15"/>
      <c r="O13" s="15" t="s">
        <v>184</v>
      </c>
      <c r="P13" s="15"/>
      <c r="Q13" s="15"/>
    </row>
    <row r="14" spans="2:17">
      <c r="B14" s="15"/>
      <c r="C14" s="15" t="s">
        <v>4</v>
      </c>
      <c r="D14" s="15" t="s">
        <v>21</v>
      </c>
      <c r="E14" s="127" t="s">
        <v>427</v>
      </c>
      <c r="F14" s="15" t="s">
        <v>185</v>
      </c>
      <c r="G14" s="39">
        <v>1</v>
      </c>
      <c r="H14" s="39">
        <v>1</v>
      </c>
      <c r="I14" s="15"/>
      <c r="J14" s="15" t="s">
        <v>186</v>
      </c>
      <c r="K14" s="15"/>
      <c r="L14" s="15" t="s">
        <v>187</v>
      </c>
      <c r="M14" s="15" t="s">
        <v>188</v>
      </c>
      <c r="N14" s="15"/>
      <c r="O14" s="15" t="s">
        <v>189</v>
      </c>
      <c r="P14" s="15"/>
      <c r="Q14" s="15"/>
    </row>
    <row r="15" spans="2:17">
      <c r="B15" s="15"/>
      <c r="C15" s="15" t="s">
        <v>4</v>
      </c>
      <c r="D15" s="15" t="s">
        <v>21</v>
      </c>
      <c r="E15" s="127" t="s">
        <v>427</v>
      </c>
      <c r="F15" s="15" t="s">
        <v>190</v>
      </c>
      <c r="G15" s="39">
        <v>1</v>
      </c>
      <c r="H15" s="39">
        <v>1</v>
      </c>
      <c r="I15" s="15"/>
      <c r="J15" s="15" t="s">
        <v>186</v>
      </c>
      <c r="K15" s="15"/>
      <c r="L15" s="15" t="s">
        <v>187</v>
      </c>
      <c r="M15" s="15" t="s">
        <v>123</v>
      </c>
      <c r="N15" s="15"/>
      <c r="O15" s="15" t="s">
        <v>189</v>
      </c>
      <c r="P15" s="15"/>
      <c r="Q15" s="15"/>
    </row>
    <row r="16" spans="2:17">
      <c r="B16" s="15"/>
      <c r="C16" s="15" t="s">
        <v>4</v>
      </c>
      <c r="D16" s="15" t="s">
        <v>21</v>
      </c>
      <c r="E16" s="127" t="s">
        <v>427</v>
      </c>
      <c r="F16" s="15" t="s">
        <v>191</v>
      </c>
      <c r="G16" s="39">
        <v>1</v>
      </c>
      <c r="H16" s="39">
        <v>1</v>
      </c>
      <c r="I16" s="15"/>
      <c r="J16" s="15" t="s">
        <v>186</v>
      </c>
      <c r="K16" s="15"/>
      <c r="L16" s="15" t="s">
        <v>187</v>
      </c>
      <c r="M16" s="15" t="s">
        <v>192</v>
      </c>
      <c r="N16" s="15"/>
      <c r="O16" s="15" t="s">
        <v>189</v>
      </c>
      <c r="P16" s="15"/>
      <c r="Q16" s="15"/>
    </row>
    <row r="17" spans="2:17">
      <c r="B17" s="15"/>
      <c r="C17" s="15" t="s">
        <v>4</v>
      </c>
      <c r="D17" s="15" t="s">
        <v>21</v>
      </c>
      <c r="E17" s="127" t="s">
        <v>427</v>
      </c>
      <c r="F17" s="15" t="s">
        <v>193</v>
      </c>
      <c r="G17" s="39">
        <v>1</v>
      </c>
      <c r="H17" s="39">
        <v>1</v>
      </c>
      <c r="I17" s="15"/>
      <c r="J17" s="15" t="s">
        <v>194</v>
      </c>
      <c r="K17" s="15"/>
      <c r="L17" s="15" t="s">
        <v>195</v>
      </c>
      <c r="M17" s="15" t="s">
        <v>196</v>
      </c>
      <c r="N17" s="15"/>
      <c r="O17" s="15" t="s">
        <v>195</v>
      </c>
      <c r="P17" s="15"/>
      <c r="Q17" s="15"/>
    </row>
    <row r="18" spans="2:17">
      <c r="B18" s="15"/>
      <c r="C18" s="15" t="s">
        <v>4</v>
      </c>
      <c r="D18" s="15" t="s">
        <v>21</v>
      </c>
      <c r="E18" s="127" t="s">
        <v>427</v>
      </c>
      <c r="F18" s="15" t="s">
        <v>197</v>
      </c>
      <c r="G18" s="39">
        <v>1</v>
      </c>
      <c r="H18" s="39">
        <v>1</v>
      </c>
      <c r="I18" s="15"/>
      <c r="J18" s="15" t="s">
        <v>198</v>
      </c>
      <c r="K18" s="15"/>
      <c r="L18" s="15" t="s">
        <v>199</v>
      </c>
      <c r="M18" s="15" t="s">
        <v>480</v>
      </c>
      <c r="N18" s="15"/>
      <c r="O18" s="15" t="s">
        <v>199</v>
      </c>
      <c r="P18" s="15"/>
      <c r="Q18" s="15"/>
    </row>
    <row r="19" spans="2:17">
      <c r="B19" s="15"/>
      <c r="C19" s="15" t="s">
        <v>4</v>
      </c>
      <c r="D19" s="15" t="s">
        <v>21</v>
      </c>
      <c r="E19" s="127" t="s">
        <v>427</v>
      </c>
      <c r="F19" s="15" t="s">
        <v>200</v>
      </c>
      <c r="G19" s="39">
        <v>1</v>
      </c>
      <c r="H19" s="39">
        <v>1</v>
      </c>
      <c r="I19" s="15"/>
      <c r="J19" s="15" t="s">
        <v>198</v>
      </c>
      <c r="K19" s="15"/>
      <c r="L19" s="15" t="s">
        <v>199</v>
      </c>
      <c r="M19" s="15" t="s">
        <v>128</v>
      </c>
      <c r="N19" s="15"/>
      <c r="O19" s="15" t="s">
        <v>199</v>
      </c>
      <c r="P19" s="15"/>
      <c r="Q19" s="15"/>
    </row>
    <row r="20" spans="2:17">
      <c r="B20" s="15"/>
      <c r="C20" s="15" t="s">
        <v>4</v>
      </c>
      <c r="D20" s="15" t="s">
        <v>21</v>
      </c>
      <c r="E20" s="127" t="s">
        <v>427</v>
      </c>
      <c r="F20" s="15" t="s">
        <v>201</v>
      </c>
      <c r="G20" s="39">
        <v>1</v>
      </c>
      <c r="H20" s="39">
        <v>1</v>
      </c>
      <c r="I20" s="15"/>
      <c r="J20" s="15" t="s">
        <v>198</v>
      </c>
      <c r="K20" s="15"/>
      <c r="L20" s="15" t="s">
        <v>199</v>
      </c>
      <c r="M20" s="15" t="s">
        <v>202</v>
      </c>
      <c r="N20" s="15"/>
      <c r="O20" s="15" t="s">
        <v>199</v>
      </c>
      <c r="P20" s="15"/>
      <c r="Q20" s="15"/>
    </row>
    <row r="21" spans="2:17">
      <c r="B21" s="15"/>
      <c r="C21" s="15" t="s">
        <v>4</v>
      </c>
      <c r="D21" s="15" t="s">
        <v>21</v>
      </c>
      <c r="E21" s="127" t="s">
        <v>427</v>
      </c>
      <c r="F21" s="15" t="s">
        <v>203</v>
      </c>
      <c r="G21" s="39">
        <v>1</v>
      </c>
      <c r="H21" s="39">
        <v>1</v>
      </c>
      <c r="I21" s="15"/>
      <c r="J21" s="15" t="s">
        <v>204</v>
      </c>
      <c r="K21" s="15"/>
      <c r="L21" s="15" t="s">
        <v>205</v>
      </c>
      <c r="M21" s="15" t="s">
        <v>206</v>
      </c>
      <c r="N21" s="15"/>
      <c r="O21" s="15" t="s">
        <v>205</v>
      </c>
      <c r="P21" s="15"/>
      <c r="Q21" s="15"/>
    </row>
    <row r="22" spans="2:17">
      <c r="B22" s="15"/>
      <c r="C22" s="15" t="s">
        <v>4</v>
      </c>
      <c r="D22" s="15" t="s">
        <v>21</v>
      </c>
      <c r="E22" s="127" t="s">
        <v>427</v>
      </c>
      <c r="F22" s="15" t="s">
        <v>207</v>
      </c>
      <c r="G22" s="39">
        <v>1</v>
      </c>
      <c r="H22" s="39">
        <v>1</v>
      </c>
      <c r="I22" s="15"/>
      <c r="J22" s="15" t="s">
        <v>204</v>
      </c>
      <c r="K22" s="15"/>
      <c r="L22" s="15" t="s">
        <v>205</v>
      </c>
      <c r="M22" s="15" t="s">
        <v>72</v>
      </c>
      <c r="N22" s="15"/>
      <c r="O22" s="15" t="s">
        <v>205</v>
      </c>
      <c r="P22" s="15"/>
      <c r="Q22" s="15"/>
    </row>
    <row r="23" spans="2:17">
      <c r="B23" s="15"/>
      <c r="C23" s="15" t="s">
        <v>4</v>
      </c>
      <c r="D23" s="15" t="s">
        <v>21</v>
      </c>
      <c r="E23" s="127" t="s">
        <v>427</v>
      </c>
      <c r="F23" s="15" t="s">
        <v>208</v>
      </c>
      <c r="G23" s="39">
        <v>1</v>
      </c>
      <c r="H23" s="39">
        <v>1</v>
      </c>
      <c r="I23" s="15"/>
      <c r="J23" s="15" t="s">
        <v>204</v>
      </c>
      <c r="K23" s="15"/>
      <c r="L23" s="15" t="s">
        <v>205</v>
      </c>
      <c r="M23" s="15" t="s">
        <v>482</v>
      </c>
      <c r="N23" s="15"/>
      <c r="O23" s="15" t="s">
        <v>205</v>
      </c>
      <c r="P23" s="15"/>
      <c r="Q23" s="15"/>
    </row>
    <row r="24" spans="2:17">
      <c r="B24" s="15"/>
      <c r="C24" s="15" t="s">
        <v>5</v>
      </c>
      <c r="D24" s="15" t="s">
        <v>21</v>
      </c>
      <c r="E24" s="127">
        <v>0</v>
      </c>
      <c r="F24" s="15" t="s">
        <v>209</v>
      </c>
      <c r="G24" s="16">
        <v>2</v>
      </c>
      <c r="H24" s="16">
        <v>2</v>
      </c>
      <c r="I24" s="15"/>
      <c r="J24" s="15" t="s">
        <v>210</v>
      </c>
      <c r="K24" s="15"/>
      <c r="L24" s="15"/>
      <c r="M24" s="15" t="s">
        <v>130</v>
      </c>
      <c r="N24" s="15"/>
      <c r="O24" s="15" t="s">
        <v>184</v>
      </c>
      <c r="P24" s="15"/>
      <c r="Q24" s="15"/>
    </row>
    <row r="25" spans="2:17">
      <c r="B25" s="15"/>
      <c r="C25" s="15" t="s">
        <v>5</v>
      </c>
      <c r="D25" s="15" t="s">
        <v>21</v>
      </c>
      <c r="E25" s="127">
        <v>0</v>
      </c>
      <c r="F25" s="15" t="s">
        <v>211</v>
      </c>
      <c r="G25" s="16">
        <v>2</v>
      </c>
      <c r="H25" s="16">
        <v>2</v>
      </c>
      <c r="I25" s="15"/>
      <c r="J25" s="15" t="s">
        <v>186</v>
      </c>
      <c r="K25" s="15"/>
      <c r="L25" s="15" t="s">
        <v>187</v>
      </c>
      <c r="M25" s="15" t="s">
        <v>130</v>
      </c>
      <c r="N25" s="15"/>
      <c r="O25" s="15" t="s">
        <v>189</v>
      </c>
      <c r="P25" s="15"/>
      <c r="Q25" s="15"/>
    </row>
    <row r="26" spans="2:17">
      <c r="B26" s="15"/>
      <c r="C26" s="15" t="s">
        <v>5</v>
      </c>
      <c r="D26" s="15" t="s">
        <v>21</v>
      </c>
      <c r="E26" s="127">
        <v>0</v>
      </c>
      <c r="F26" s="15" t="s">
        <v>212</v>
      </c>
      <c r="G26" s="16">
        <v>2</v>
      </c>
      <c r="H26" s="16">
        <v>2</v>
      </c>
      <c r="I26" s="15"/>
      <c r="J26" s="15" t="s">
        <v>213</v>
      </c>
      <c r="K26" s="15"/>
      <c r="L26" s="15" t="s">
        <v>195</v>
      </c>
      <c r="M26" s="15" t="s">
        <v>132</v>
      </c>
      <c r="N26" s="15"/>
      <c r="O26" s="15" t="s">
        <v>195</v>
      </c>
      <c r="P26" s="15"/>
      <c r="Q26" s="15"/>
    </row>
    <row r="27" spans="2:17">
      <c r="B27" s="15"/>
      <c r="C27" s="15" t="s">
        <v>5</v>
      </c>
      <c r="D27" s="15" t="s">
        <v>21</v>
      </c>
      <c r="E27" s="127">
        <v>0</v>
      </c>
      <c r="F27" s="15" t="s">
        <v>251</v>
      </c>
      <c r="G27" s="16">
        <v>2</v>
      </c>
      <c r="H27" s="16">
        <v>2</v>
      </c>
      <c r="I27" s="15"/>
      <c r="J27" s="15" t="s">
        <v>252</v>
      </c>
      <c r="K27" s="15"/>
      <c r="L27" s="15" t="s">
        <v>250</v>
      </c>
      <c r="M27" s="15" t="s">
        <v>132</v>
      </c>
      <c r="N27" s="15"/>
      <c r="O27" s="15" t="s">
        <v>250</v>
      </c>
      <c r="P27" s="15"/>
      <c r="Q27" s="15"/>
    </row>
    <row r="28" spans="2:17">
      <c r="B28" s="15"/>
      <c r="C28" s="15" t="s">
        <v>5</v>
      </c>
      <c r="D28" s="15" t="s">
        <v>21</v>
      </c>
      <c r="E28" s="127">
        <v>0</v>
      </c>
      <c r="F28" s="15" t="s">
        <v>214</v>
      </c>
      <c r="G28" s="16">
        <v>2</v>
      </c>
      <c r="H28" s="16">
        <v>2</v>
      </c>
      <c r="I28" s="15"/>
      <c r="J28" s="15" t="s">
        <v>204</v>
      </c>
      <c r="K28" s="15"/>
      <c r="L28" s="15" t="s">
        <v>205</v>
      </c>
      <c r="M28" s="15" t="s">
        <v>684</v>
      </c>
      <c r="N28" s="15"/>
      <c r="O28" s="15" t="s">
        <v>205</v>
      </c>
      <c r="P28" s="15"/>
      <c r="Q28" s="15"/>
    </row>
    <row r="29" spans="2:17">
      <c r="B29" s="15"/>
      <c r="C29" s="15" t="s">
        <v>5</v>
      </c>
      <c r="D29" s="15" t="s">
        <v>21</v>
      </c>
      <c r="E29" s="127">
        <v>0</v>
      </c>
      <c r="F29" s="15" t="s">
        <v>409</v>
      </c>
      <c r="G29" s="16">
        <v>2</v>
      </c>
      <c r="H29" s="16">
        <v>2</v>
      </c>
      <c r="I29" s="15"/>
      <c r="J29" s="15" t="s">
        <v>204</v>
      </c>
      <c r="K29" s="15"/>
      <c r="L29" s="15" t="s">
        <v>205</v>
      </c>
      <c r="M29" s="15" t="s">
        <v>410</v>
      </c>
      <c r="N29" s="15"/>
      <c r="O29" s="15" t="s">
        <v>205</v>
      </c>
      <c r="P29" s="15"/>
      <c r="Q29" s="15"/>
    </row>
    <row r="30" spans="2:17">
      <c r="B30" s="15"/>
      <c r="C30" s="15" t="s">
        <v>5</v>
      </c>
      <c r="D30" s="15" t="s">
        <v>61</v>
      </c>
      <c r="E30" s="101">
        <v>0</v>
      </c>
      <c r="F30" s="15"/>
      <c r="G30" s="76">
        <v>2019</v>
      </c>
      <c r="H30" s="76">
        <v>2019</v>
      </c>
      <c r="I30" s="15"/>
      <c r="J30" s="15" t="s">
        <v>209</v>
      </c>
      <c r="K30" s="15"/>
      <c r="L30" s="15"/>
      <c r="M30" s="15"/>
      <c r="N30" s="15"/>
      <c r="O30" s="15" t="str">
        <f>O24</f>
        <v>G-RL+</v>
      </c>
      <c r="P30" s="15"/>
      <c r="Q30" s="15"/>
    </row>
    <row r="31" spans="2:17">
      <c r="B31" s="15"/>
      <c r="C31" s="15" t="s">
        <v>5</v>
      </c>
      <c r="D31" s="15" t="s">
        <v>61</v>
      </c>
      <c r="E31" s="101">
        <v>0</v>
      </c>
      <c r="F31" s="15"/>
      <c r="G31" s="76">
        <v>2019</v>
      </c>
      <c r="H31" s="76">
        <v>2019</v>
      </c>
      <c r="I31" s="15"/>
      <c r="J31" s="15" t="s">
        <v>211</v>
      </c>
      <c r="K31" s="15"/>
      <c r="L31" s="15"/>
      <c r="M31" s="15"/>
      <c r="N31" s="15"/>
      <c r="O31" s="15" t="str">
        <f>O25</f>
        <v>G-RK+</v>
      </c>
      <c r="P31" s="15"/>
      <c r="Q31" s="15"/>
    </row>
    <row r="32" spans="2:17">
      <c r="B32" s="15"/>
      <c r="C32" s="15" t="s">
        <v>5</v>
      </c>
      <c r="D32" s="15" t="s">
        <v>61</v>
      </c>
      <c r="E32" s="101">
        <v>0</v>
      </c>
      <c r="F32" s="15"/>
      <c r="G32" s="76">
        <v>2019</v>
      </c>
      <c r="H32" s="76">
        <v>2019</v>
      </c>
      <c r="I32" s="15"/>
      <c r="J32" s="15" t="s">
        <v>212</v>
      </c>
      <c r="K32" s="15"/>
      <c r="L32" s="15"/>
      <c r="M32" s="15"/>
      <c r="N32" s="15"/>
      <c r="O32" s="15" t="str">
        <f>O26</f>
        <v>CLA</v>
      </c>
      <c r="P32" s="15"/>
      <c r="Q32" s="15"/>
    </row>
    <row r="33" spans="2:17">
      <c r="B33" s="15"/>
      <c r="C33" s="15" t="s">
        <v>5</v>
      </c>
      <c r="D33" s="15" t="s">
        <v>61</v>
      </c>
      <c r="E33" s="101">
        <v>0</v>
      </c>
      <c r="F33" s="15"/>
      <c r="G33" s="76">
        <v>2019</v>
      </c>
      <c r="H33" s="76">
        <v>2019</v>
      </c>
      <c r="I33" s="15"/>
      <c r="J33" s="15" t="s">
        <v>251</v>
      </c>
      <c r="K33" s="15"/>
      <c r="L33" s="15"/>
      <c r="M33" s="15"/>
      <c r="N33" s="15"/>
      <c r="O33" s="15" t="s">
        <v>250</v>
      </c>
      <c r="P33" s="15"/>
      <c r="Q33" s="15"/>
    </row>
    <row r="34" spans="2:17">
      <c r="B34" s="15"/>
      <c r="C34" s="15" t="s">
        <v>5</v>
      </c>
      <c r="D34" s="15" t="s">
        <v>61</v>
      </c>
      <c r="E34" s="101">
        <v>0</v>
      </c>
      <c r="F34" s="15"/>
      <c r="G34" s="76">
        <v>2019</v>
      </c>
      <c r="H34" s="76">
        <v>2019</v>
      </c>
      <c r="I34" s="15"/>
      <c r="J34" s="15" t="s">
        <v>214</v>
      </c>
      <c r="K34" s="15"/>
      <c r="L34" s="15"/>
      <c r="M34" s="15"/>
      <c r="N34" s="15"/>
      <c r="O34" s="15" t="str">
        <f>O28</f>
        <v>AGRLTH</v>
      </c>
      <c r="P34" s="15"/>
      <c r="Q34" s="15"/>
    </row>
    <row r="35" spans="2:17">
      <c r="B35" s="15"/>
      <c r="C35" s="15" t="s">
        <v>5</v>
      </c>
      <c r="D35" s="15" t="s">
        <v>61</v>
      </c>
      <c r="E35" s="101">
        <v>0</v>
      </c>
      <c r="F35" s="15"/>
      <c r="G35" s="76">
        <v>2019</v>
      </c>
      <c r="H35" s="76">
        <v>2019</v>
      </c>
      <c r="I35" s="15"/>
      <c r="J35" s="15" t="s">
        <v>409</v>
      </c>
      <c r="K35" s="15"/>
      <c r="L35" s="15"/>
      <c r="M35" s="15"/>
      <c r="N35" s="15"/>
      <c r="O35" s="15" t="str">
        <f>O29</f>
        <v>AGRLTH</v>
      </c>
      <c r="P35" s="15"/>
      <c r="Q35" s="15"/>
    </row>
    <row r="36" spans="2:17">
      <c r="B36" s="15"/>
      <c r="C36" s="15" t="s">
        <v>4</v>
      </c>
      <c r="D36" s="15" t="s">
        <v>21</v>
      </c>
      <c r="E36" s="127" t="s">
        <v>427</v>
      </c>
      <c r="F36" s="15" t="s">
        <v>121</v>
      </c>
      <c r="G36" s="39">
        <v>1</v>
      </c>
      <c r="H36" s="39">
        <v>1</v>
      </c>
      <c r="I36" s="15"/>
      <c r="J36" s="15" t="s">
        <v>136</v>
      </c>
      <c r="K36" s="15"/>
      <c r="L36" s="15" t="s">
        <v>144</v>
      </c>
      <c r="M36" s="15" t="s">
        <v>73</v>
      </c>
      <c r="N36" s="15"/>
      <c r="O36" s="15" t="s">
        <v>143</v>
      </c>
      <c r="P36" s="15"/>
      <c r="Q36" s="15"/>
    </row>
    <row r="37" spans="2:17">
      <c r="B37" s="15"/>
      <c r="C37" s="15" t="s">
        <v>4</v>
      </c>
      <c r="D37" s="15" t="s">
        <v>21</v>
      </c>
      <c r="E37" s="127" t="s">
        <v>427</v>
      </c>
      <c r="F37" s="15" t="s">
        <v>479</v>
      </c>
      <c r="G37" s="39">
        <v>1</v>
      </c>
      <c r="H37" s="39">
        <v>1</v>
      </c>
      <c r="I37" s="15"/>
      <c r="J37" s="15" t="s">
        <v>136</v>
      </c>
      <c r="K37" s="15"/>
      <c r="L37" s="15" t="s">
        <v>144</v>
      </c>
      <c r="M37" s="15" t="s">
        <v>481</v>
      </c>
      <c r="N37" s="15"/>
      <c r="O37" s="15" t="s">
        <v>143</v>
      </c>
      <c r="P37" s="15"/>
      <c r="Q37" s="15"/>
    </row>
    <row r="38" spans="2:17">
      <c r="B38" s="15"/>
      <c r="C38" s="15" t="s">
        <v>4</v>
      </c>
      <c r="D38" s="15" t="s">
        <v>21</v>
      </c>
      <c r="E38" s="127" t="s">
        <v>427</v>
      </c>
      <c r="F38" s="15" t="s">
        <v>158</v>
      </c>
      <c r="G38" s="39">
        <v>1</v>
      </c>
      <c r="H38" s="39">
        <v>1</v>
      </c>
      <c r="I38" s="15"/>
      <c r="J38" s="15" t="s">
        <v>136</v>
      </c>
      <c r="K38" s="15"/>
      <c r="L38" s="15" t="s">
        <v>144</v>
      </c>
      <c r="M38" s="15" t="s">
        <v>159</v>
      </c>
      <c r="N38" s="15"/>
      <c r="O38" s="15" t="s">
        <v>143</v>
      </c>
      <c r="P38" s="15"/>
      <c r="Q38" s="15"/>
    </row>
    <row r="39" spans="2:17">
      <c r="B39" s="15"/>
      <c r="C39" s="15" t="s">
        <v>4</v>
      </c>
      <c r="D39" s="15" t="s">
        <v>21</v>
      </c>
      <c r="E39" s="127" t="s">
        <v>427</v>
      </c>
      <c r="F39" s="15" t="s">
        <v>122</v>
      </c>
      <c r="G39" s="39">
        <v>1</v>
      </c>
      <c r="H39" s="39">
        <v>1</v>
      </c>
      <c r="I39" s="15"/>
      <c r="J39" s="15" t="s">
        <v>136</v>
      </c>
      <c r="K39" s="15"/>
      <c r="L39" s="15" t="s">
        <v>144</v>
      </c>
      <c r="M39" s="15" t="s">
        <v>123</v>
      </c>
      <c r="N39" s="15"/>
      <c r="O39" s="15" t="s">
        <v>143</v>
      </c>
      <c r="P39" s="15"/>
      <c r="Q39" s="15"/>
    </row>
    <row r="40" spans="2:17">
      <c r="B40" s="15"/>
      <c r="C40" s="15" t="s">
        <v>4</v>
      </c>
      <c r="D40" s="15" t="s">
        <v>21</v>
      </c>
      <c r="E40" s="127" t="s">
        <v>427</v>
      </c>
      <c r="F40" s="15" t="s">
        <v>154</v>
      </c>
      <c r="G40" s="39">
        <v>1</v>
      </c>
      <c r="H40" s="39">
        <v>1</v>
      </c>
      <c r="I40" s="15"/>
      <c r="J40" s="15" t="s">
        <v>136</v>
      </c>
      <c r="K40" s="15"/>
      <c r="L40" s="15" t="s">
        <v>146</v>
      </c>
      <c r="M40" s="15" t="s">
        <v>73</v>
      </c>
      <c r="N40" s="15"/>
      <c r="O40" s="15" t="s">
        <v>145</v>
      </c>
      <c r="P40" s="15"/>
      <c r="Q40" s="15"/>
    </row>
    <row r="41" spans="2:17">
      <c r="B41" s="15"/>
      <c r="C41" s="15" t="s">
        <v>4</v>
      </c>
      <c r="D41" s="15" t="s">
        <v>21</v>
      </c>
      <c r="E41" s="127" t="s">
        <v>427</v>
      </c>
      <c r="F41" s="15" t="s">
        <v>477</v>
      </c>
      <c r="G41" s="39">
        <v>1</v>
      </c>
      <c r="H41" s="39">
        <v>1</v>
      </c>
      <c r="I41" s="15"/>
      <c r="J41" s="15" t="s">
        <v>136</v>
      </c>
      <c r="K41" s="15"/>
      <c r="L41" s="15" t="s">
        <v>146</v>
      </c>
      <c r="M41" s="15" t="s">
        <v>481</v>
      </c>
      <c r="N41" s="15"/>
      <c r="O41" s="15" t="s">
        <v>145</v>
      </c>
      <c r="P41" s="15"/>
      <c r="Q41" s="15"/>
    </row>
    <row r="42" spans="2:17">
      <c r="B42" s="15"/>
      <c r="C42" s="15" t="s">
        <v>4</v>
      </c>
      <c r="D42" s="15" t="s">
        <v>21</v>
      </c>
      <c r="E42" s="127" t="s">
        <v>427</v>
      </c>
      <c r="F42" s="15" t="s">
        <v>157</v>
      </c>
      <c r="G42" s="39">
        <v>1</v>
      </c>
      <c r="H42" s="39">
        <v>1</v>
      </c>
      <c r="I42" s="15"/>
      <c r="J42" s="15" t="s">
        <v>136</v>
      </c>
      <c r="K42" s="15"/>
      <c r="L42" s="15" t="s">
        <v>146</v>
      </c>
      <c r="M42" s="15" t="s">
        <v>159</v>
      </c>
      <c r="N42" s="15"/>
      <c r="O42" s="15" t="s">
        <v>145</v>
      </c>
      <c r="P42" s="15"/>
      <c r="Q42" s="15"/>
    </row>
    <row r="43" spans="2:17">
      <c r="B43" s="15"/>
      <c r="C43" s="15" t="s">
        <v>4</v>
      </c>
      <c r="D43" s="15" t="s">
        <v>21</v>
      </c>
      <c r="E43" s="127" t="s">
        <v>427</v>
      </c>
      <c r="F43" s="15" t="s">
        <v>155</v>
      </c>
      <c r="G43" s="39">
        <v>1</v>
      </c>
      <c r="H43" s="39">
        <v>1</v>
      </c>
      <c r="I43" s="15"/>
      <c r="J43" s="15" t="s">
        <v>136</v>
      </c>
      <c r="K43" s="15"/>
      <c r="L43" s="15" t="s">
        <v>146</v>
      </c>
      <c r="M43" s="15" t="s">
        <v>123</v>
      </c>
      <c r="N43" s="15"/>
      <c r="O43" s="15" t="s">
        <v>145</v>
      </c>
      <c r="P43" s="15"/>
      <c r="Q43" s="15"/>
    </row>
    <row r="44" spans="2:17">
      <c r="B44" s="15"/>
      <c r="C44" s="15" t="s">
        <v>4</v>
      </c>
      <c r="D44" s="15" t="s">
        <v>21</v>
      </c>
      <c r="E44" s="127" t="s">
        <v>427</v>
      </c>
      <c r="F44" s="15" t="s">
        <v>124</v>
      </c>
      <c r="G44" s="39">
        <v>1</v>
      </c>
      <c r="H44" s="39">
        <v>1</v>
      </c>
      <c r="I44" s="15"/>
      <c r="J44" s="15" t="s">
        <v>125</v>
      </c>
      <c r="K44" s="15"/>
      <c r="L44" s="15" t="s">
        <v>147</v>
      </c>
      <c r="M44" s="15" t="s">
        <v>74</v>
      </c>
      <c r="N44" s="15"/>
      <c r="O44" s="15" t="s">
        <v>126</v>
      </c>
      <c r="P44" s="15"/>
      <c r="Q44" s="15"/>
    </row>
    <row r="45" spans="2:17">
      <c r="B45" s="15"/>
      <c r="C45" s="15" t="s">
        <v>4</v>
      </c>
      <c r="D45" s="15" t="s">
        <v>21</v>
      </c>
      <c r="E45" s="127" t="s">
        <v>427</v>
      </c>
      <c r="F45" s="15" t="s">
        <v>478</v>
      </c>
      <c r="G45" s="39">
        <v>1</v>
      </c>
      <c r="H45" s="39">
        <v>1</v>
      </c>
      <c r="I45" s="15"/>
      <c r="J45" s="15" t="s">
        <v>125</v>
      </c>
      <c r="K45" s="15"/>
      <c r="L45" s="15" t="s">
        <v>147</v>
      </c>
      <c r="M45" s="15" t="s">
        <v>483</v>
      </c>
      <c r="N45" s="15"/>
      <c r="O45" s="15" t="s">
        <v>126</v>
      </c>
      <c r="P45" s="15"/>
      <c r="Q45" s="15"/>
    </row>
    <row r="46" spans="2:17">
      <c r="B46" s="15"/>
      <c r="C46" s="15" t="s">
        <v>4</v>
      </c>
      <c r="D46" s="15" t="s">
        <v>21</v>
      </c>
      <c r="E46" s="127" t="s">
        <v>427</v>
      </c>
      <c r="F46" s="15" t="s">
        <v>127</v>
      </c>
      <c r="G46" s="39">
        <v>1</v>
      </c>
      <c r="H46" s="39">
        <v>1</v>
      </c>
      <c r="I46" s="15"/>
      <c r="J46" s="15" t="s">
        <v>125</v>
      </c>
      <c r="K46" s="15"/>
      <c r="L46" s="15" t="s">
        <v>147</v>
      </c>
      <c r="M46" s="15" t="s">
        <v>128</v>
      </c>
      <c r="N46" s="15"/>
      <c r="O46" s="15" t="s">
        <v>126</v>
      </c>
      <c r="P46" s="15"/>
      <c r="Q46" s="15"/>
    </row>
    <row r="47" spans="2:17">
      <c r="B47" s="15"/>
      <c r="C47" s="15" t="s">
        <v>5</v>
      </c>
      <c r="D47" s="15" t="s">
        <v>21</v>
      </c>
      <c r="E47" s="106" t="s">
        <v>436</v>
      </c>
      <c r="F47" s="15" t="s">
        <v>129</v>
      </c>
      <c r="G47" s="39">
        <v>0</v>
      </c>
      <c r="H47" s="39">
        <v>0</v>
      </c>
      <c r="I47" s="15"/>
      <c r="J47" s="15" t="s">
        <v>136</v>
      </c>
      <c r="K47" s="15"/>
      <c r="L47" s="15" t="s">
        <v>144</v>
      </c>
      <c r="M47" s="15" t="s">
        <v>130</v>
      </c>
      <c r="N47" s="15"/>
      <c r="O47" s="15" t="s">
        <v>143</v>
      </c>
      <c r="P47" s="15"/>
      <c r="Q47" s="15"/>
    </row>
    <row r="48" spans="2:17">
      <c r="B48" s="15"/>
      <c r="C48" s="15" t="s">
        <v>5</v>
      </c>
      <c r="D48" s="15" t="s">
        <v>21</v>
      </c>
      <c r="E48" s="127">
        <v>0</v>
      </c>
      <c r="F48" s="15" t="s">
        <v>281</v>
      </c>
      <c r="G48" s="16">
        <v>2</v>
      </c>
      <c r="H48" s="16">
        <v>2</v>
      </c>
      <c r="I48" s="15"/>
      <c r="J48" s="15" t="s">
        <v>282</v>
      </c>
      <c r="K48" s="15"/>
      <c r="L48" s="15" t="s">
        <v>167</v>
      </c>
      <c r="M48" s="15" t="s">
        <v>130</v>
      </c>
      <c r="N48" s="15"/>
      <c r="O48" s="15" t="s">
        <v>167</v>
      </c>
      <c r="P48" s="15"/>
      <c r="Q48" s="15"/>
    </row>
    <row r="49" spans="2:17">
      <c r="B49" s="15"/>
      <c r="C49" s="15" t="s">
        <v>5</v>
      </c>
      <c r="D49" s="15" t="s">
        <v>21</v>
      </c>
      <c r="E49" s="127">
        <v>0</v>
      </c>
      <c r="F49" s="15" t="s">
        <v>121</v>
      </c>
      <c r="G49" s="16">
        <v>2</v>
      </c>
      <c r="H49" s="16">
        <v>2</v>
      </c>
      <c r="I49" s="15"/>
      <c r="J49" s="15" t="s">
        <v>136</v>
      </c>
      <c r="K49" s="15"/>
      <c r="L49" s="15" t="s">
        <v>144</v>
      </c>
      <c r="M49" s="15" t="s">
        <v>73</v>
      </c>
      <c r="N49" s="15"/>
      <c r="O49" s="15" t="s">
        <v>143</v>
      </c>
      <c r="P49" s="15"/>
      <c r="Q49" s="15"/>
    </row>
    <row r="50" spans="2:17">
      <c r="B50" s="15"/>
      <c r="C50" s="15" t="s">
        <v>5</v>
      </c>
      <c r="D50" s="15" t="s">
        <v>21</v>
      </c>
      <c r="E50" s="127">
        <v>0</v>
      </c>
      <c r="F50" s="15" t="s">
        <v>416</v>
      </c>
      <c r="G50" s="16">
        <v>2</v>
      </c>
      <c r="H50" s="16">
        <v>2</v>
      </c>
      <c r="I50" s="15"/>
      <c r="J50" s="15" t="s">
        <v>136</v>
      </c>
      <c r="K50" s="15"/>
      <c r="L50" s="15" t="s">
        <v>144</v>
      </c>
      <c r="M50" s="15" t="s">
        <v>417</v>
      </c>
      <c r="N50" s="15"/>
      <c r="O50" s="15" t="s">
        <v>143</v>
      </c>
      <c r="P50" s="15"/>
      <c r="Q50" s="15"/>
    </row>
    <row r="51" spans="2:17">
      <c r="B51" s="15"/>
      <c r="C51" s="15" t="s">
        <v>5</v>
      </c>
      <c r="D51" s="15" t="s">
        <v>21</v>
      </c>
      <c r="E51" s="127">
        <v>0</v>
      </c>
      <c r="F51" s="15" t="s">
        <v>156</v>
      </c>
      <c r="G51" s="16">
        <v>2</v>
      </c>
      <c r="H51" s="16">
        <v>2</v>
      </c>
      <c r="I51" s="15"/>
      <c r="J51" s="15" t="s">
        <v>136</v>
      </c>
      <c r="K51" s="15"/>
      <c r="L51" s="15" t="s">
        <v>146</v>
      </c>
      <c r="M51" s="15" t="s">
        <v>130</v>
      </c>
      <c r="N51" s="15"/>
      <c r="O51" s="15" t="s">
        <v>145</v>
      </c>
      <c r="P51" s="15"/>
      <c r="Q51" s="15"/>
    </row>
    <row r="52" spans="2:17">
      <c r="B52" s="15"/>
      <c r="C52" s="15" t="s">
        <v>5</v>
      </c>
      <c r="D52" s="15" t="s">
        <v>21</v>
      </c>
      <c r="E52" s="127">
        <v>0</v>
      </c>
      <c r="F52" s="15" t="s">
        <v>154</v>
      </c>
      <c r="G52" s="16">
        <v>2</v>
      </c>
      <c r="H52" s="16">
        <v>2</v>
      </c>
      <c r="I52" s="15"/>
      <c r="J52" s="15" t="s">
        <v>136</v>
      </c>
      <c r="K52" s="15"/>
      <c r="L52" s="15" t="s">
        <v>146</v>
      </c>
      <c r="M52" s="15" t="s">
        <v>73</v>
      </c>
      <c r="N52" s="15"/>
      <c r="O52" s="15" t="s">
        <v>145</v>
      </c>
      <c r="P52" s="15"/>
      <c r="Q52" s="15"/>
    </row>
    <row r="53" spans="2:17">
      <c r="B53" s="15"/>
      <c r="C53" s="15" t="s">
        <v>5</v>
      </c>
      <c r="D53" s="15" t="s">
        <v>21</v>
      </c>
      <c r="E53" s="127">
        <v>0</v>
      </c>
      <c r="F53" s="15" t="s">
        <v>131</v>
      </c>
      <c r="G53" s="16">
        <v>2</v>
      </c>
      <c r="H53" s="16">
        <v>2</v>
      </c>
      <c r="I53" s="15"/>
      <c r="J53" s="15" t="s">
        <v>125</v>
      </c>
      <c r="K53" s="15"/>
      <c r="L53" s="15" t="s">
        <v>147</v>
      </c>
      <c r="M53" s="15" t="s">
        <v>132</v>
      </c>
      <c r="N53" s="15"/>
      <c r="O53" s="15" t="s">
        <v>126</v>
      </c>
      <c r="P53" s="15"/>
      <c r="Q53" s="15"/>
    </row>
    <row r="54" spans="2:17">
      <c r="B54" s="15"/>
      <c r="C54" s="15" t="s">
        <v>5</v>
      </c>
      <c r="D54" s="15" t="s">
        <v>21</v>
      </c>
      <c r="E54" s="127">
        <v>0</v>
      </c>
      <c r="F54" s="15" t="s">
        <v>124</v>
      </c>
      <c r="G54" s="16">
        <v>2</v>
      </c>
      <c r="H54" s="16">
        <v>2</v>
      </c>
      <c r="I54" s="15"/>
      <c r="J54" s="15" t="s">
        <v>125</v>
      </c>
      <c r="K54" s="15"/>
      <c r="L54" s="15" t="s">
        <v>147</v>
      </c>
      <c r="M54" s="15" t="s">
        <v>74</v>
      </c>
      <c r="N54" s="15"/>
      <c r="O54" s="15" t="s">
        <v>126</v>
      </c>
      <c r="P54" s="15"/>
      <c r="Q54" s="15"/>
    </row>
    <row r="55" spans="2:17">
      <c r="B55" s="15"/>
      <c r="C55" s="15" t="s">
        <v>5</v>
      </c>
      <c r="D55" s="15" t="s">
        <v>61</v>
      </c>
      <c r="E55" s="101">
        <v>0</v>
      </c>
      <c r="F55" s="15"/>
      <c r="G55" s="52">
        <v>5</v>
      </c>
      <c r="H55" s="52">
        <v>5</v>
      </c>
      <c r="I55" s="15"/>
      <c r="J55" s="15" t="s">
        <v>129</v>
      </c>
      <c r="K55" s="15"/>
      <c r="L55" s="15"/>
      <c r="M55" s="15"/>
      <c r="N55" s="15"/>
      <c r="O55" s="15" t="s">
        <v>143</v>
      </c>
      <c r="P55" s="15"/>
      <c r="Q55" s="15"/>
    </row>
    <row r="56" spans="2:17">
      <c r="B56" s="15"/>
      <c r="C56" s="15" t="s">
        <v>5</v>
      </c>
      <c r="D56" s="15" t="s">
        <v>61</v>
      </c>
      <c r="E56" s="101">
        <v>0</v>
      </c>
      <c r="F56" s="15"/>
      <c r="G56" s="76">
        <v>2019</v>
      </c>
      <c r="H56" s="76">
        <v>2019</v>
      </c>
      <c r="I56" s="15"/>
      <c r="J56" s="15" t="s">
        <v>281</v>
      </c>
      <c r="K56" s="15"/>
      <c r="L56" s="15"/>
      <c r="M56" s="15"/>
      <c r="N56" s="15"/>
      <c r="O56" s="15" t="s">
        <v>167</v>
      </c>
      <c r="P56" s="15"/>
      <c r="Q56" s="15"/>
    </row>
    <row r="57" spans="2:17">
      <c r="B57" s="15"/>
      <c r="C57" s="15" t="s">
        <v>5</v>
      </c>
      <c r="D57" s="15" t="s">
        <v>61</v>
      </c>
      <c r="E57" s="101">
        <v>0</v>
      </c>
      <c r="F57" s="15"/>
      <c r="G57" s="76">
        <v>2019</v>
      </c>
      <c r="H57" s="76">
        <v>2019</v>
      </c>
      <c r="I57" s="15"/>
      <c r="J57" s="15" t="s">
        <v>121</v>
      </c>
      <c r="K57" s="15"/>
      <c r="L57" s="15"/>
      <c r="M57" s="15"/>
      <c r="N57" s="15"/>
      <c r="O57" s="15" t="s">
        <v>143</v>
      </c>
      <c r="P57" s="15"/>
      <c r="Q57" s="15"/>
    </row>
    <row r="58" spans="2:17">
      <c r="B58" s="15"/>
      <c r="C58" s="15" t="s">
        <v>5</v>
      </c>
      <c r="D58" s="15" t="s">
        <v>61</v>
      </c>
      <c r="E58" s="101">
        <v>0</v>
      </c>
      <c r="F58" s="15"/>
      <c r="G58" s="76">
        <v>2019</v>
      </c>
      <c r="H58" s="76">
        <v>2019</v>
      </c>
      <c r="I58" s="15"/>
      <c r="J58" s="15" t="s">
        <v>416</v>
      </c>
      <c r="K58" s="15"/>
      <c r="L58" s="15"/>
      <c r="M58" s="15"/>
      <c r="N58" s="15"/>
      <c r="O58" s="15" t="s">
        <v>143</v>
      </c>
      <c r="P58" s="15"/>
      <c r="Q58" s="15"/>
    </row>
    <row r="59" spans="2:17">
      <c r="B59" s="15"/>
      <c r="C59" s="15" t="s">
        <v>5</v>
      </c>
      <c r="D59" s="15" t="s">
        <v>61</v>
      </c>
      <c r="E59" s="101">
        <v>0</v>
      </c>
      <c r="F59" s="15"/>
      <c r="G59" s="76">
        <v>2019</v>
      </c>
      <c r="H59" s="76">
        <v>2019</v>
      </c>
      <c r="I59" s="15"/>
      <c r="J59" s="15" t="s">
        <v>156</v>
      </c>
      <c r="K59" s="15"/>
      <c r="L59" s="15"/>
      <c r="M59" s="15"/>
      <c r="N59" s="15"/>
      <c r="O59" s="15" t="s">
        <v>145</v>
      </c>
      <c r="P59" s="15"/>
      <c r="Q59" s="15"/>
    </row>
    <row r="60" spans="2:17">
      <c r="B60" s="15"/>
      <c r="C60" s="15" t="s">
        <v>5</v>
      </c>
      <c r="D60" s="15" t="s">
        <v>61</v>
      </c>
      <c r="E60" s="101">
        <v>0</v>
      </c>
      <c r="F60" s="15"/>
      <c r="G60" s="76">
        <v>2019</v>
      </c>
      <c r="H60" s="76">
        <v>2019</v>
      </c>
      <c r="I60" s="15"/>
      <c r="J60" s="15" t="s">
        <v>154</v>
      </c>
      <c r="K60" s="15"/>
      <c r="L60" s="15"/>
      <c r="M60" s="15"/>
      <c r="N60" s="15"/>
      <c r="O60" s="15" t="s">
        <v>145</v>
      </c>
      <c r="P60" s="15"/>
      <c r="Q60" s="15"/>
    </row>
    <row r="61" spans="2:17">
      <c r="B61" s="15"/>
      <c r="C61" s="15" t="s">
        <v>5</v>
      </c>
      <c r="D61" s="15" t="s">
        <v>61</v>
      </c>
      <c r="E61" s="101">
        <v>0</v>
      </c>
      <c r="F61" s="15"/>
      <c r="G61" s="76">
        <v>2019</v>
      </c>
      <c r="H61" s="76">
        <v>2019</v>
      </c>
      <c r="I61" s="15"/>
      <c r="J61" s="15" t="s">
        <v>131</v>
      </c>
      <c r="K61" s="15"/>
      <c r="L61" s="15"/>
      <c r="M61" s="15"/>
      <c r="N61" s="15"/>
      <c r="O61" s="15" t="str">
        <f>O53</f>
        <v>G-CH+</v>
      </c>
      <c r="P61" s="15"/>
      <c r="Q61" s="15"/>
    </row>
    <row r="62" spans="2:17">
      <c r="B62" s="15"/>
      <c r="C62" s="15" t="s">
        <v>5</v>
      </c>
      <c r="D62" s="15" t="s">
        <v>61</v>
      </c>
      <c r="E62" s="101">
        <v>0</v>
      </c>
      <c r="F62" s="15"/>
      <c r="G62" s="76">
        <v>2019</v>
      </c>
      <c r="H62" s="76">
        <v>2019</v>
      </c>
      <c r="I62" s="15"/>
      <c r="J62" s="15" t="s">
        <v>124</v>
      </c>
      <c r="K62" s="15"/>
      <c r="L62" s="15"/>
      <c r="M62" s="15"/>
      <c r="N62" s="15"/>
      <c r="O62" s="15" t="str">
        <f>O54</f>
        <v>G-CH+</v>
      </c>
      <c r="P62" s="15"/>
      <c r="Q62" s="15"/>
    </row>
    <row r="63" spans="2:17">
      <c r="B63" s="16" t="s">
        <v>118</v>
      </c>
      <c r="C63" s="16"/>
      <c r="D63" s="16" t="s">
        <v>133</v>
      </c>
      <c r="E63" s="38">
        <v>2010</v>
      </c>
      <c r="F63" s="16" t="s">
        <v>134</v>
      </c>
      <c r="G63" s="39">
        <v>1</v>
      </c>
      <c r="H63" s="39">
        <v>1</v>
      </c>
      <c r="I63" s="16"/>
      <c r="J63" s="16" t="s">
        <v>141</v>
      </c>
      <c r="K63" s="16"/>
      <c r="L63" s="16"/>
      <c r="M63" s="16"/>
      <c r="N63" s="16"/>
      <c r="O63" s="16" t="s">
        <v>165</v>
      </c>
      <c r="P63" s="16"/>
      <c r="Q63" s="16"/>
    </row>
    <row r="64" spans="2:17">
      <c r="B64" s="16" t="s">
        <v>118</v>
      </c>
      <c r="C64" s="16"/>
      <c r="D64" s="16" t="s">
        <v>133</v>
      </c>
      <c r="E64" s="38">
        <v>2010</v>
      </c>
      <c r="F64" s="16" t="s">
        <v>134</v>
      </c>
      <c r="G64" s="39">
        <v>1</v>
      </c>
      <c r="H64" s="39">
        <v>1</v>
      </c>
      <c r="I64" s="16"/>
      <c r="J64" s="16" t="s">
        <v>142</v>
      </c>
      <c r="K64" s="16"/>
      <c r="L64" s="16"/>
      <c r="M64" s="16"/>
      <c r="N64" s="16"/>
      <c r="O64" s="16" t="s">
        <v>166</v>
      </c>
      <c r="P64" s="16"/>
      <c r="Q64" s="16"/>
    </row>
    <row r="65" spans="2:17">
      <c r="B65" s="16" t="s">
        <v>118</v>
      </c>
      <c r="C65" s="16"/>
      <c r="D65" s="16" t="s">
        <v>133</v>
      </c>
      <c r="E65" s="38">
        <v>2010</v>
      </c>
      <c r="F65" s="16" t="s">
        <v>134</v>
      </c>
      <c r="G65" s="39">
        <v>1</v>
      </c>
      <c r="H65" s="39">
        <v>1</v>
      </c>
      <c r="I65" s="16"/>
      <c r="J65" s="16" t="s">
        <v>120</v>
      </c>
      <c r="K65" s="16"/>
      <c r="L65" s="16"/>
      <c r="M65" s="16"/>
      <c r="N65" s="16"/>
      <c r="O65" s="16" t="s">
        <v>501</v>
      </c>
      <c r="P65" s="16"/>
      <c r="Q65" s="16"/>
    </row>
    <row r="66" spans="2:17">
      <c r="B66" s="15"/>
      <c r="C66" s="15" t="s">
        <v>4</v>
      </c>
      <c r="D66" s="15" t="s">
        <v>21</v>
      </c>
      <c r="E66" s="101">
        <v>2010</v>
      </c>
      <c r="F66" s="15" t="s">
        <v>135</v>
      </c>
      <c r="G66" s="15">
        <v>0.15</v>
      </c>
      <c r="H66" s="15">
        <v>0.15</v>
      </c>
      <c r="I66" s="15"/>
      <c r="J66" s="15" t="s">
        <v>148</v>
      </c>
      <c r="K66" s="15"/>
      <c r="L66" s="15" t="s">
        <v>2</v>
      </c>
      <c r="M66" s="15"/>
      <c r="N66" s="15"/>
      <c r="O66" s="15" t="s">
        <v>143</v>
      </c>
      <c r="P66" s="15"/>
      <c r="Q66" s="15"/>
    </row>
    <row r="67" spans="2:17">
      <c r="B67" s="15"/>
      <c r="C67" s="15" t="s">
        <v>4</v>
      </c>
      <c r="D67" s="15" t="s">
        <v>21</v>
      </c>
      <c r="E67" s="101">
        <v>2030</v>
      </c>
      <c r="F67" s="15" t="s">
        <v>135</v>
      </c>
      <c r="G67" s="15">
        <v>0.35</v>
      </c>
      <c r="H67" s="15">
        <v>0.35</v>
      </c>
      <c r="I67" s="15"/>
      <c r="J67" s="15" t="s">
        <v>148</v>
      </c>
      <c r="K67" s="15"/>
      <c r="L67" s="15" t="s">
        <v>2</v>
      </c>
      <c r="M67" s="15"/>
      <c r="N67" s="15"/>
      <c r="O67" s="15" t="s">
        <v>143</v>
      </c>
      <c r="P67" s="15"/>
      <c r="Q67" s="15"/>
    </row>
    <row r="68" spans="2:17">
      <c r="B68" s="15"/>
      <c r="C68" s="15" t="s">
        <v>4</v>
      </c>
      <c r="D68" s="15" t="s">
        <v>21</v>
      </c>
      <c r="E68" s="101">
        <v>2050</v>
      </c>
      <c r="F68" s="15" t="s">
        <v>135</v>
      </c>
      <c r="G68" s="15">
        <v>0.5</v>
      </c>
      <c r="H68" s="15">
        <v>0.5</v>
      </c>
      <c r="I68" s="15"/>
      <c r="J68" s="15" t="s">
        <v>148</v>
      </c>
      <c r="K68" s="15"/>
      <c r="L68" s="15" t="s">
        <v>2</v>
      </c>
      <c r="M68" s="15"/>
      <c r="N68" s="15"/>
      <c r="O68" s="15" t="s">
        <v>143</v>
      </c>
      <c r="P68" s="15"/>
      <c r="Q68" s="15"/>
    </row>
    <row r="69" spans="2:17">
      <c r="B69" s="15"/>
      <c r="C69" s="15" t="s">
        <v>4</v>
      </c>
      <c r="D69" s="15" t="s">
        <v>21</v>
      </c>
      <c r="E69" s="101">
        <v>2100</v>
      </c>
      <c r="F69" s="15" t="s">
        <v>135</v>
      </c>
      <c r="G69" s="15">
        <v>0.65</v>
      </c>
      <c r="H69" s="15">
        <v>0.65</v>
      </c>
      <c r="I69" s="15"/>
      <c r="J69" s="15" t="s">
        <v>148</v>
      </c>
      <c r="K69" s="15"/>
      <c r="L69" s="15" t="s">
        <v>2</v>
      </c>
      <c r="M69" s="15"/>
      <c r="N69" s="15"/>
      <c r="O69" s="15" t="s">
        <v>143</v>
      </c>
      <c r="P69" s="15"/>
      <c r="Q69" s="15"/>
    </row>
    <row r="70" spans="2:17">
      <c r="B70" s="15"/>
      <c r="C70" s="15"/>
      <c r="D70" s="15" t="s">
        <v>100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2:17">
      <c r="B71" s="15"/>
      <c r="C71" s="15" t="s">
        <v>4</v>
      </c>
      <c r="D71" s="15" t="s">
        <v>21</v>
      </c>
      <c r="E71" s="21">
        <v>2020</v>
      </c>
      <c r="F71" s="15" t="s">
        <v>138</v>
      </c>
      <c r="G71" s="15">
        <v>0.15</v>
      </c>
      <c r="H71" s="15">
        <v>0.15</v>
      </c>
      <c r="I71" s="15"/>
      <c r="J71" s="15" t="s">
        <v>422</v>
      </c>
      <c r="K71" s="15"/>
      <c r="L71" s="15" t="s">
        <v>147</v>
      </c>
      <c r="M71" s="15" t="s">
        <v>132</v>
      </c>
      <c r="N71" s="15"/>
      <c r="O71" s="15" t="s">
        <v>126</v>
      </c>
      <c r="P71" s="15"/>
      <c r="Q71" s="15"/>
    </row>
    <row r="72" spans="2:17">
      <c r="B72" s="15"/>
      <c r="C72" s="15" t="s">
        <v>4</v>
      </c>
      <c r="D72" s="15" t="s">
        <v>21</v>
      </c>
      <c r="E72" s="21" t="s">
        <v>52</v>
      </c>
      <c r="F72" s="15" t="s">
        <v>138</v>
      </c>
      <c r="G72" s="15">
        <v>0.4</v>
      </c>
      <c r="H72" s="15">
        <v>0.4</v>
      </c>
      <c r="I72" s="15"/>
      <c r="J72" s="15" t="s">
        <v>422</v>
      </c>
      <c r="K72" s="15"/>
      <c r="L72" s="15" t="s">
        <v>147</v>
      </c>
      <c r="M72" s="15" t="s">
        <v>132</v>
      </c>
      <c r="N72" s="15"/>
      <c r="O72" s="15" t="s">
        <v>126</v>
      </c>
      <c r="P72" s="15"/>
      <c r="Q72" s="15"/>
    </row>
    <row r="73" spans="2:17">
      <c r="B73" s="15"/>
      <c r="C73" s="15" t="s">
        <v>4</v>
      </c>
      <c r="D73" s="15" t="s">
        <v>21</v>
      </c>
      <c r="E73" s="21">
        <v>2020</v>
      </c>
      <c r="F73" s="15" t="s">
        <v>139</v>
      </c>
      <c r="G73" s="15">
        <v>0.05</v>
      </c>
      <c r="H73" s="15">
        <v>0.05</v>
      </c>
      <c r="I73" s="15"/>
      <c r="J73" s="15" t="s">
        <v>140</v>
      </c>
      <c r="K73" s="15"/>
      <c r="L73" s="15" t="s">
        <v>147</v>
      </c>
      <c r="M73" s="15" t="s">
        <v>132</v>
      </c>
      <c r="N73" s="15"/>
      <c r="O73" s="15" t="s">
        <v>126</v>
      </c>
      <c r="P73" s="15"/>
      <c r="Q73" s="15"/>
    </row>
    <row r="74" spans="2:17">
      <c r="B74" s="15"/>
      <c r="C74" s="15" t="s">
        <v>4</v>
      </c>
      <c r="D74" s="15" t="s">
        <v>21</v>
      </c>
      <c r="E74" s="21" t="s">
        <v>52</v>
      </c>
      <c r="F74" s="15" t="s">
        <v>139</v>
      </c>
      <c r="G74" s="15">
        <v>0.2</v>
      </c>
      <c r="H74" s="15">
        <v>0.2</v>
      </c>
      <c r="I74" s="15"/>
      <c r="J74" s="15" t="s">
        <v>140</v>
      </c>
      <c r="K74" s="15"/>
      <c r="L74" s="15" t="s">
        <v>147</v>
      </c>
      <c r="M74" s="15" t="s">
        <v>132</v>
      </c>
      <c r="N74" s="15"/>
      <c r="O74" s="15" t="s">
        <v>126</v>
      </c>
      <c r="P74" s="15"/>
      <c r="Q74" s="15"/>
    </row>
    <row r="75" spans="2:17">
      <c r="B75" s="15"/>
      <c r="C75" s="15" t="s">
        <v>4</v>
      </c>
      <c r="D75" s="15" t="s">
        <v>21</v>
      </c>
      <c r="E75" s="21">
        <v>2020</v>
      </c>
      <c r="F75" s="15" t="s">
        <v>149</v>
      </c>
      <c r="G75" s="15">
        <v>0.15</v>
      </c>
      <c r="H75" s="15">
        <v>0.15</v>
      </c>
      <c r="I75" s="15"/>
      <c r="J75" s="15" t="s">
        <v>369</v>
      </c>
      <c r="K75" s="15"/>
      <c r="L75" s="15" t="s">
        <v>144</v>
      </c>
      <c r="M75" s="15" t="s">
        <v>130</v>
      </c>
      <c r="N75" s="15"/>
      <c r="O75" s="15" t="s">
        <v>143</v>
      </c>
      <c r="P75" s="15"/>
      <c r="Q75" s="15"/>
    </row>
    <row r="76" spans="2:17">
      <c r="B76" s="15"/>
      <c r="C76" s="15" t="s">
        <v>4</v>
      </c>
      <c r="D76" s="15" t="s">
        <v>21</v>
      </c>
      <c r="E76" s="21" t="s">
        <v>52</v>
      </c>
      <c r="F76" s="15" t="s">
        <v>149</v>
      </c>
      <c r="G76" s="15">
        <v>0.4</v>
      </c>
      <c r="H76" s="15">
        <v>0.4</v>
      </c>
      <c r="I76" s="15"/>
      <c r="J76" s="15" t="s">
        <v>369</v>
      </c>
      <c r="K76" s="15"/>
      <c r="L76" s="15" t="s">
        <v>144</v>
      </c>
      <c r="M76" s="15" t="s">
        <v>130</v>
      </c>
      <c r="N76" s="15"/>
      <c r="O76" s="15" t="s">
        <v>143</v>
      </c>
      <c r="P76" s="15"/>
      <c r="Q76" s="15"/>
    </row>
    <row r="77" spans="2:17">
      <c r="B77" s="15"/>
      <c r="C77" s="15" t="s">
        <v>4</v>
      </c>
      <c r="D77" s="15" t="s">
        <v>21</v>
      </c>
      <c r="E77" s="21">
        <v>2020</v>
      </c>
      <c r="F77" s="15" t="s">
        <v>150</v>
      </c>
      <c r="G77" s="15">
        <v>0.1</v>
      </c>
      <c r="H77" s="15">
        <v>0.1</v>
      </c>
      <c r="I77" s="15"/>
      <c r="J77" s="15" t="s">
        <v>370</v>
      </c>
      <c r="K77" s="15"/>
      <c r="L77" s="15" t="s">
        <v>146</v>
      </c>
      <c r="M77" s="15" t="s">
        <v>130</v>
      </c>
      <c r="N77" s="15"/>
      <c r="O77" s="15" t="s">
        <v>145</v>
      </c>
      <c r="P77" s="15"/>
      <c r="Q77" s="15"/>
    </row>
    <row r="78" spans="2:17">
      <c r="B78" s="15"/>
      <c r="C78" s="15" t="s">
        <v>4</v>
      </c>
      <c r="D78" s="15" t="s">
        <v>21</v>
      </c>
      <c r="E78" s="21" t="s">
        <v>52</v>
      </c>
      <c r="F78" s="15" t="s">
        <v>150</v>
      </c>
      <c r="G78" s="53">
        <v>0.3</v>
      </c>
      <c r="H78" s="15">
        <v>0.3</v>
      </c>
      <c r="I78" s="15"/>
      <c r="J78" s="15" t="s">
        <v>370</v>
      </c>
      <c r="K78" s="15"/>
      <c r="L78" s="15" t="s">
        <v>146</v>
      </c>
      <c r="M78" s="15" t="s">
        <v>130</v>
      </c>
      <c r="N78" s="15"/>
      <c r="O78" s="15" t="s">
        <v>145</v>
      </c>
      <c r="P78" s="15"/>
      <c r="Q78" s="15"/>
    </row>
    <row r="79" spans="2:17">
      <c r="B79" s="15"/>
      <c r="C79" s="15" t="s">
        <v>4</v>
      </c>
      <c r="D79" s="15" t="s">
        <v>21</v>
      </c>
      <c r="E79" s="21">
        <v>2020</v>
      </c>
      <c r="F79" s="15" t="s">
        <v>151</v>
      </c>
      <c r="G79" s="15">
        <v>0.25</v>
      </c>
      <c r="H79" s="15">
        <v>0.25</v>
      </c>
      <c r="I79" s="15"/>
      <c r="J79" s="15" t="s">
        <v>371</v>
      </c>
      <c r="K79" s="15"/>
      <c r="L79" s="15" t="s">
        <v>144</v>
      </c>
      <c r="M79" s="15" t="s">
        <v>130</v>
      </c>
      <c r="N79" s="15"/>
      <c r="O79" s="15" t="s">
        <v>143</v>
      </c>
      <c r="P79" s="15"/>
      <c r="Q79" s="15"/>
    </row>
    <row r="80" spans="2:17">
      <c r="B80" s="15"/>
      <c r="C80" s="15" t="s">
        <v>4</v>
      </c>
      <c r="D80" s="15" t="s">
        <v>21</v>
      </c>
      <c r="E80" s="21" t="s">
        <v>52</v>
      </c>
      <c r="F80" s="15" t="s">
        <v>151</v>
      </c>
      <c r="G80" s="15">
        <v>0.55000000000000004</v>
      </c>
      <c r="H80" s="15">
        <v>0.55000000000000004</v>
      </c>
      <c r="I80" s="15"/>
      <c r="J80" s="15" t="s">
        <v>371</v>
      </c>
      <c r="K80" s="15"/>
      <c r="L80" s="15" t="s">
        <v>144</v>
      </c>
      <c r="M80" s="15" t="s">
        <v>130</v>
      </c>
      <c r="N80" s="15"/>
      <c r="O80" s="15" t="s">
        <v>143</v>
      </c>
      <c r="P80" s="15"/>
      <c r="Q80" s="15"/>
    </row>
    <row r="81" spans="2:17">
      <c r="B81" s="15"/>
      <c r="C81" s="15" t="s">
        <v>4</v>
      </c>
      <c r="D81" s="15" t="s">
        <v>21</v>
      </c>
      <c r="E81" s="21">
        <v>2020</v>
      </c>
      <c r="F81" s="15" t="s">
        <v>152</v>
      </c>
      <c r="G81" s="15">
        <v>0.04</v>
      </c>
      <c r="H81" s="15">
        <v>0.04</v>
      </c>
      <c r="I81" s="15"/>
      <c r="J81" s="15" t="s">
        <v>372</v>
      </c>
      <c r="K81" s="15"/>
      <c r="L81" s="15" t="s">
        <v>146</v>
      </c>
      <c r="M81" s="15" t="s">
        <v>130</v>
      </c>
      <c r="N81" s="15"/>
      <c r="O81" s="15" t="s">
        <v>145</v>
      </c>
      <c r="P81" s="15"/>
      <c r="Q81" s="15"/>
    </row>
    <row r="82" spans="2:17">
      <c r="B82" s="15"/>
      <c r="C82" s="15" t="s">
        <v>4</v>
      </c>
      <c r="D82" s="15" t="s">
        <v>21</v>
      </c>
      <c r="E82" s="21" t="s">
        <v>52</v>
      </c>
      <c r="F82" s="15" t="s">
        <v>152</v>
      </c>
      <c r="G82" s="20">
        <v>0.2</v>
      </c>
      <c r="H82" s="15">
        <v>0.25</v>
      </c>
      <c r="I82" s="15"/>
      <c r="J82" s="15" t="s">
        <v>372</v>
      </c>
      <c r="K82" s="15"/>
      <c r="L82" s="15" t="s">
        <v>146</v>
      </c>
      <c r="M82" s="15" t="s">
        <v>130</v>
      </c>
      <c r="N82" s="15"/>
      <c r="O82" s="15" t="s">
        <v>145</v>
      </c>
      <c r="P82" s="15"/>
      <c r="Q82" s="15"/>
    </row>
    <row r="83" spans="2:17">
      <c r="B83" s="15"/>
      <c r="C83" s="15" t="s">
        <v>4</v>
      </c>
      <c r="D83" s="15" t="s">
        <v>21</v>
      </c>
      <c r="E83" s="21" t="s">
        <v>54</v>
      </c>
      <c r="F83" s="15" t="s">
        <v>153</v>
      </c>
      <c r="G83" s="15">
        <v>1</v>
      </c>
      <c r="H83" s="15">
        <v>1</v>
      </c>
      <c r="I83" s="15"/>
      <c r="J83" s="40" t="s">
        <v>174</v>
      </c>
      <c r="K83" s="15"/>
      <c r="L83" s="15" t="s">
        <v>2</v>
      </c>
      <c r="M83" s="15" t="s">
        <v>123</v>
      </c>
      <c r="N83" s="15"/>
      <c r="O83" s="15" t="s">
        <v>143</v>
      </c>
      <c r="P83" s="15"/>
      <c r="Q83" s="15"/>
    </row>
    <row r="84" spans="2:17">
      <c r="B84" s="15"/>
      <c r="C84" s="15" t="s">
        <v>5</v>
      </c>
      <c r="D84" s="15" t="s">
        <v>21</v>
      </c>
      <c r="E84" s="21" t="s">
        <v>426</v>
      </c>
      <c r="F84" s="15" t="s">
        <v>423</v>
      </c>
      <c r="G84" s="15">
        <v>0.2</v>
      </c>
      <c r="H84" s="53">
        <v>0.08</v>
      </c>
      <c r="I84" s="15"/>
      <c r="J84" s="40" t="s">
        <v>424</v>
      </c>
      <c r="K84" s="15"/>
      <c r="L84" s="15"/>
      <c r="M84" s="15"/>
      <c r="N84" s="15"/>
      <c r="O84" s="15" t="s">
        <v>425</v>
      </c>
      <c r="P84" s="15"/>
      <c r="Q84" s="15"/>
    </row>
    <row r="85" spans="2:17">
      <c r="B85" s="39"/>
      <c r="C85" s="39"/>
      <c r="D85" s="39" t="s">
        <v>100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</row>
    <row r="90" spans="2:17">
      <c r="B90" s="7" t="s">
        <v>60</v>
      </c>
    </row>
    <row r="91" spans="2:17" ht="13.5" thickBot="1">
      <c r="B91" s="8" t="s">
        <v>55</v>
      </c>
      <c r="C91" s="8" t="s">
        <v>56</v>
      </c>
      <c r="D91" s="8" t="s">
        <v>57</v>
      </c>
      <c r="E91" s="11" t="s">
        <v>58</v>
      </c>
      <c r="F91" s="8" t="s">
        <v>20</v>
      </c>
      <c r="G91" s="11" t="s">
        <v>71</v>
      </c>
      <c r="H91" s="11" t="s">
        <v>351</v>
      </c>
      <c r="I91" s="8" t="s">
        <v>63</v>
      </c>
      <c r="J91" s="8" t="s">
        <v>66</v>
      </c>
      <c r="K91" s="8" t="s">
        <v>67</v>
      </c>
      <c r="L91" s="8" t="s">
        <v>64</v>
      </c>
      <c r="M91" s="8" t="s">
        <v>65</v>
      </c>
      <c r="N91" s="8" t="s">
        <v>68</v>
      </c>
      <c r="O91" s="8" t="s">
        <v>59</v>
      </c>
      <c r="P91" s="8" t="s">
        <v>69</v>
      </c>
    </row>
    <row r="92" spans="2:17">
      <c r="B92" s="15"/>
      <c r="C92" s="15"/>
      <c r="D92" s="15" t="s">
        <v>280</v>
      </c>
      <c r="E92" s="101">
        <v>2020</v>
      </c>
      <c r="F92" s="15"/>
      <c r="G92" s="126">
        <v>1</v>
      </c>
      <c r="H92" s="126">
        <v>1</v>
      </c>
      <c r="I92" s="15"/>
      <c r="J92" s="15" t="s">
        <v>484</v>
      </c>
      <c r="K92" s="15"/>
      <c r="L92" s="15"/>
      <c r="M92" s="15"/>
      <c r="N92" s="15"/>
      <c r="O92" s="15"/>
      <c r="P92" s="15"/>
    </row>
    <row r="93" spans="2:17">
      <c r="B93" s="15"/>
      <c r="C93" s="15"/>
      <c r="D93" s="15" t="s">
        <v>280</v>
      </c>
      <c r="E93" s="101">
        <v>2020</v>
      </c>
      <c r="F93" s="15"/>
      <c r="G93" s="126">
        <v>1</v>
      </c>
      <c r="H93" s="126">
        <v>1</v>
      </c>
      <c r="I93" s="15"/>
      <c r="J93" s="15" t="s">
        <v>485</v>
      </c>
      <c r="K93" s="15"/>
      <c r="L93" s="15"/>
      <c r="M93" s="15"/>
      <c r="N93" s="15"/>
      <c r="O93" s="15"/>
      <c r="P93" s="15"/>
    </row>
    <row r="94" spans="2:17">
      <c r="B94" s="52"/>
      <c r="C94" s="52" t="s">
        <v>4</v>
      </c>
      <c r="D94" s="52" t="s">
        <v>219</v>
      </c>
      <c r="E94" s="210">
        <v>0</v>
      </c>
      <c r="F94" s="52"/>
      <c r="G94" s="100">
        <v>2</v>
      </c>
      <c r="H94" s="100">
        <v>2</v>
      </c>
      <c r="I94" s="52"/>
      <c r="J94" s="52" t="s">
        <v>214</v>
      </c>
      <c r="K94" s="52"/>
      <c r="L94" s="52"/>
      <c r="M94" s="52"/>
      <c r="N94" s="52"/>
      <c r="O94" s="52"/>
      <c r="P94" s="52"/>
    </row>
    <row r="95" spans="2:17">
      <c r="B95" s="52"/>
      <c r="C95" s="52" t="s">
        <v>4</v>
      </c>
      <c r="D95" s="52" t="s">
        <v>219</v>
      </c>
      <c r="E95" s="210" t="s">
        <v>616</v>
      </c>
      <c r="F95" s="52"/>
      <c r="G95" s="100">
        <v>4</v>
      </c>
      <c r="H95" s="100">
        <v>1</v>
      </c>
      <c r="I95" s="52"/>
      <c r="J95" s="52" t="s">
        <v>214</v>
      </c>
      <c r="K95" s="52"/>
      <c r="L95" s="52"/>
      <c r="M95" s="52"/>
      <c r="N95" s="52"/>
      <c r="O95" s="52"/>
      <c r="P95" s="52"/>
    </row>
    <row r="96" spans="2:17">
      <c r="B96" s="15" t="s">
        <v>118</v>
      </c>
      <c r="C96" s="15"/>
      <c r="D96" s="15" t="s">
        <v>255</v>
      </c>
      <c r="E96" s="127" t="s">
        <v>304</v>
      </c>
      <c r="F96" s="15" t="s">
        <v>256</v>
      </c>
      <c r="G96" s="15">
        <v>1</v>
      </c>
      <c r="H96" s="15">
        <v>1</v>
      </c>
      <c r="I96" s="15"/>
      <c r="J96" s="15" t="s">
        <v>253</v>
      </c>
      <c r="K96" s="15"/>
      <c r="L96" s="15"/>
      <c r="M96" s="15"/>
      <c r="N96" s="15"/>
      <c r="O96" s="15" t="s">
        <v>23</v>
      </c>
      <c r="P96" s="15"/>
    </row>
    <row r="97" spans="2:16">
      <c r="B97" s="15" t="s">
        <v>118</v>
      </c>
      <c r="C97" s="15"/>
      <c r="D97" s="15" t="s">
        <v>255</v>
      </c>
      <c r="E97" s="101">
        <v>2100</v>
      </c>
      <c r="F97" s="15" t="s">
        <v>256</v>
      </c>
      <c r="G97" s="15">
        <v>1.7</v>
      </c>
      <c r="H97" s="15">
        <v>1.7</v>
      </c>
      <c r="I97" s="15"/>
      <c r="J97" s="15" t="s">
        <v>253</v>
      </c>
      <c r="K97" s="15"/>
      <c r="L97" s="15"/>
      <c r="M97" s="15"/>
      <c r="N97" s="15"/>
      <c r="O97" s="15" t="s">
        <v>23</v>
      </c>
      <c r="P97" s="15"/>
    </row>
    <row r="98" spans="2:16">
      <c r="B98" s="15"/>
      <c r="C98" s="15" t="s">
        <v>4</v>
      </c>
      <c r="D98" s="15" t="s">
        <v>61</v>
      </c>
      <c r="E98" s="101">
        <v>2040</v>
      </c>
      <c r="F98" s="15"/>
      <c r="G98" s="15">
        <v>0.5</v>
      </c>
      <c r="H98" s="15">
        <v>0.5</v>
      </c>
      <c r="I98" s="15"/>
      <c r="J98" s="15" t="s">
        <v>254</v>
      </c>
      <c r="K98" s="15"/>
      <c r="L98" s="15"/>
      <c r="M98" s="15"/>
      <c r="N98" s="15"/>
      <c r="O98" s="15" t="s">
        <v>195</v>
      </c>
      <c r="P98" s="15"/>
    </row>
    <row r="99" spans="2:16">
      <c r="B99" s="15"/>
      <c r="C99" s="15" t="s">
        <v>4</v>
      </c>
      <c r="D99" s="15" t="s">
        <v>61</v>
      </c>
      <c r="E99" s="101">
        <v>2030</v>
      </c>
      <c r="F99" s="15"/>
      <c r="G99" s="53">
        <v>0.35</v>
      </c>
      <c r="H99" s="53">
        <v>0.35</v>
      </c>
      <c r="I99" s="15"/>
      <c r="J99" s="15" t="s">
        <v>685</v>
      </c>
      <c r="K99" s="15"/>
      <c r="L99" s="15"/>
      <c r="M99" s="15"/>
      <c r="N99" s="15"/>
      <c r="O99" s="15" t="s">
        <v>195</v>
      </c>
      <c r="P99" s="15"/>
    </row>
    <row r="100" spans="2:16">
      <c r="B100" s="15"/>
      <c r="C100" s="15" t="s">
        <v>4</v>
      </c>
      <c r="D100" s="15" t="s">
        <v>61</v>
      </c>
      <c r="E100" s="101">
        <v>2050</v>
      </c>
      <c r="F100" s="15"/>
      <c r="G100" s="15">
        <v>0.75</v>
      </c>
      <c r="H100" s="15">
        <v>0.75</v>
      </c>
      <c r="I100" s="15"/>
      <c r="J100" s="15" t="s">
        <v>685</v>
      </c>
      <c r="K100" s="15"/>
      <c r="L100" s="15"/>
      <c r="M100" s="15"/>
      <c r="N100" s="15"/>
      <c r="O100" s="15" t="s">
        <v>195</v>
      </c>
      <c r="P100" s="15"/>
    </row>
    <row r="101" spans="2:16">
      <c r="B101" s="15"/>
      <c r="C101" s="15" t="s">
        <v>4</v>
      </c>
      <c r="D101" s="15" t="s">
        <v>61</v>
      </c>
      <c r="E101" s="101">
        <v>2010</v>
      </c>
      <c r="F101" s="15"/>
      <c r="G101" s="15">
        <v>0.65</v>
      </c>
      <c r="H101" s="15">
        <v>0.65</v>
      </c>
      <c r="I101" s="15"/>
      <c r="J101" s="15" t="s">
        <v>283</v>
      </c>
      <c r="K101" s="15"/>
      <c r="L101" s="15"/>
      <c r="M101" s="15"/>
      <c r="N101" s="15"/>
      <c r="O101" s="15" t="s">
        <v>1</v>
      </c>
      <c r="P101" s="15"/>
    </row>
    <row r="102" spans="2:16">
      <c r="B102" s="15"/>
      <c r="C102" s="15"/>
      <c r="D102" s="15" t="s">
        <v>301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2:16">
      <c r="B103" s="15"/>
      <c r="C103" s="15" t="s">
        <v>302</v>
      </c>
      <c r="D103" s="15" t="s">
        <v>219</v>
      </c>
      <c r="E103" s="128">
        <v>0</v>
      </c>
      <c r="F103" s="15"/>
      <c r="G103" s="15">
        <v>2110</v>
      </c>
      <c r="H103" s="15">
        <v>2110</v>
      </c>
      <c r="I103" s="15"/>
      <c r="J103" s="15" t="s">
        <v>303</v>
      </c>
      <c r="K103" s="15"/>
      <c r="L103" s="15"/>
      <c r="M103" s="15"/>
      <c r="N103" s="15"/>
      <c r="O103" s="15"/>
      <c r="P103" s="15"/>
    </row>
    <row r="104" spans="2:16">
      <c r="B104" s="15" t="s">
        <v>118</v>
      </c>
      <c r="C104" s="15" t="s">
        <v>4</v>
      </c>
      <c r="D104" s="15" t="s">
        <v>314</v>
      </c>
      <c r="E104" s="128">
        <v>2010</v>
      </c>
      <c r="F104" s="15"/>
      <c r="G104" s="15">
        <v>4</v>
      </c>
      <c r="H104" s="15">
        <v>2</v>
      </c>
      <c r="I104" s="15"/>
      <c r="J104" s="15" t="s">
        <v>315</v>
      </c>
      <c r="K104" s="15"/>
      <c r="L104" s="15"/>
      <c r="M104" s="15"/>
      <c r="N104" s="15"/>
      <c r="O104" s="15" t="s">
        <v>316</v>
      </c>
      <c r="P104" s="15"/>
    </row>
    <row r="109" spans="2:16">
      <c r="B109" s="25" t="s">
        <v>467</v>
      </c>
      <c r="C109" s="14"/>
      <c r="D109" s="14"/>
      <c r="E109" s="14"/>
      <c r="F109" s="46"/>
      <c r="H109" s="47" t="s">
        <v>78</v>
      </c>
      <c r="I109" s="14"/>
      <c r="J109" s="14"/>
      <c r="K109" s="14"/>
      <c r="L109" s="14"/>
    </row>
    <row r="110" spans="2:16" ht="30" customHeight="1" thickBot="1">
      <c r="B110" s="48" t="s">
        <v>79</v>
      </c>
      <c r="C110" s="48" t="s">
        <v>232</v>
      </c>
      <c r="D110" s="48" t="s">
        <v>233</v>
      </c>
      <c r="E110" s="48" t="s">
        <v>58</v>
      </c>
      <c r="F110" s="48" t="s">
        <v>57</v>
      </c>
      <c r="G110" s="27" t="s">
        <v>459</v>
      </c>
      <c r="H110" s="49" t="s">
        <v>56</v>
      </c>
      <c r="I110" s="185" t="s">
        <v>71</v>
      </c>
      <c r="J110" s="186" t="s">
        <v>351</v>
      </c>
      <c r="K110" s="48" t="s">
        <v>82</v>
      </c>
      <c r="L110" s="48" t="s">
        <v>83</v>
      </c>
    </row>
    <row r="111" spans="2:16">
      <c r="B111" s="88" t="s">
        <v>236</v>
      </c>
      <c r="C111" s="88" t="s">
        <v>235</v>
      </c>
      <c r="D111" s="89" t="s">
        <v>234</v>
      </c>
      <c r="E111" s="90">
        <v>2010</v>
      </c>
      <c r="F111" s="88" t="s">
        <v>87</v>
      </c>
      <c r="G111" s="15"/>
      <c r="H111" s="18" t="s">
        <v>4</v>
      </c>
      <c r="I111" s="187">
        <v>0.24</v>
      </c>
      <c r="J111" s="187">
        <v>0.24</v>
      </c>
      <c r="K111" s="74">
        <v>2</v>
      </c>
      <c r="L111" s="91" t="s">
        <v>240</v>
      </c>
    </row>
    <row r="112" spans="2:16">
      <c r="B112" s="88"/>
      <c r="C112" s="88" t="s">
        <v>116</v>
      </c>
      <c r="D112" s="89"/>
      <c r="E112" s="90">
        <v>2010</v>
      </c>
      <c r="F112" s="88" t="s">
        <v>87</v>
      </c>
      <c r="G112" s="15"/>
      <c r="H112" s="18"/>
      <c r="I112" s="187">
        <v>-1</v>
      </c>
      <c r="J112" s="187">
        <v>-1</v>
      </c>
      <c r="K112" s="74"/>
      <c r="L112" s="91"/>
    </row>
    <row r="113" spans="2:12">
      <c r="B113" s="88" t="s">
        <v>237</v>
      </c>
      <c r="C113" s="88" t="s">
        <v>238</v>
      </c>
      <c r="D113" s="89" t="s">
        <v>239</v>
      </c>
      <c r="E113" s="90">
        <v>2010</v>
      </c>
      <c r="F113" s="88" t="s">
        <v>87</v>
      </c>
      <c r="G113" s="15"/>
      <c r="H113" s="18" t="s">
        <v>4</v>
      </c>
      <c r="I113" s="74">
        <v>0.3</v>
      </c>
      <c r="J113" s="74">
        <v>0.3</v>
      </c>
      <c r="K113" s="74">
        <v>2</v>
      </c>
      <c r="L113" s="91" t="s">
        <v>241</v>
      </c>
    </row>
    <row r="114" spans="2:12">
      <c r="B114" s="18"/>
      <c r="C114" s="88" t="s">
        <v>117</v>
      </c>
      <c r="D114" s="89"/>
      <c r="E114" s="90">
        <v>2010</v>
      </c>
      <c r="F114" s="88" t="s">
        <v>87</v>
      </c>
      <c r="G114" s="15"/>
      <c r="H114" s="18"/>
      <c r="I114" s="187">
        <v>-1</v>
      </c>
      <c r="J114" s="187">
        <v>-1</v>
      </c>
      <c r="K114" s="18"/>
      <c r="L114" s="18"/>
    </row>
    <row r="115" spans="2:12">
      <c r="B115" s="62" t="s">
        <v>512</v>
      </c>
      <c r="C115" s="62"/>
      <c r="D115" s="62"/>
      <c r="E115" s="82"/>
      <c r="F115" s="62" t="s">
        <v>447</v>
      </c>
      <c r="G115" s="62"/>
      <c r="H115" s="62" t="s">
        <v>4</v>
      </c>
      <c r="I115" s="83">
        <v>1</v>
      </c>
      <c r="J115" s="83"/>
      <c r="K115" s="62"/>
      <c r="L115" s="62"/>
    </row>
    <row r="116" spans="2:12">
      <c r="B116" s="62" t="s">
        <v>448</v>
      </c>
      <c r="C116" s="62"/>
      <c r="D116" s="62"/>
      <c r="E116" s="82"/>
      <c r="F116" s="62" t="s">
        <v>447</v>
      </c>
      <c r="G116" s="62"/>
      <c r="H116" s="62" t="s">
        <v>5</v>
      </c>
      <c r="I116" s="83">
        <v>1</v>
      </c>
      <c r="J116" s="83"/>
      <c r="K116" s="62"/>
      <c r="L116" s="62"/>
    </row>
    <row r="117" spans="2:12">
      <c r="B117" s="62"/>
      <c r="C117" s="62" t="s">
        <v>460</v>
      </c>
      <c r="D117" s="62"/>
      <c r="E117" s="84">
        <v>2030</v>
      </c>
      <c r="F117" s="85" t="s">
        <v>87</v>
      </c>
      <c r="G117" s="86" t="s">
        <v>461</v>
      </c>
      <c r="H117" s="62"/>
      <c r="I117" s="87">
        <v>0.97</v>
      </c>
      <c r="J117" s="83"/>
      <c r="K117" s="62"/>
      <c r="L117" s="62"/>
    </row>
    <row r="118" spans="2:12">
      <c r="B118" s="62"/>
      <c r="C118" s="62" t="s">
        <v>460</v>
      </c>
      <c r="D118" s="62"/>
      <c r="E118" s="84">
        <v>2040</v>
      </c>
      <c r="F118" s="85" t="s">
        <v>87</v>
      </c>
      <c r="G118" s="86" t="s">
        <v>461</v>
      </c>
      <c r="H118" s="62"/>
      <c r="I118" s="87">
        <v>0.9</v>
      </c>
      <c r="J118" s="83"/>
      <c r="K118" s="62"/>
      <c r="L118" s="62"/>
    </row>
    <row r="119" spans="2:12">
      <c r="B119" s="62"/>
      <c r="C119" s="62" t="s">
        <v>460</v>
      </c>
      <c r="D119" s="62"/>
      <c r="E119" s="84">
        <v>2020</v>
      </c>
      <c r="F119" s="85" t="s">
        <v>87</v>
      </c>
      <c r="G119" s="86" t="s">
        <v>462</v>
      </c>
      <c r="H119" s="62"/>
      <c r="I119" s="87">
        <v>0</v>
      </c>
      <c r="J119" s="83"/>
      <c r="K119" s="62"/>
      <c r="L119" s="62"/>
    </row>
    <row r="120" spans="2:12">
      <c r="E120" s="81"/>
      <c r="G120" s="41"/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3:W105"/>
  <sheetViews>
    <sheetView zoomScale="90" workbookViewId="0"/>
  </sheetViews>
  <sheetFormatPr defaultRowHeight="12.75"/>
  <cols>
    <col min="2" max="2" width="10.85546875" customWidth="1"/>
    <col min="4" max="4" width="13.28515625" customWidth="1"/>
    <col min="5" max="5" width="10" customWidth="1"/>
    <col min="6" max="6" width="17.5703125" customWidth="1"/>
  </cols>
  <sheetData>
    <row r="3" spans="2:16">
      <c r="B3" s="7" t="s">
        <v>60</v>
      </c>
    </row>
    <row r="4" spans="2:16" ht="13.5" thickBot="1">
      <c r="B4" s="8" t="s">
        <v>55</v>
      </c>
      <c r="C4" s="8" t="s">
        <v>56</v>
      </c>
      <c r="D4" s="8" t="s">
        <v>57</v>
      </c>
      <c r="E4" s="11" t="s">
        <v>58</v>
      </c>
      <c r="F4" s="8" t="s">
        <v>20</v>
      </c>
      <c r="G4" s="8" t="s">
        <v>71</v>
      </c>
      <c r="H4" s="8" t="s">
        <v>351</v>
      </c>
      <c r="I4" s="8" t="s">
        <v>63</v>
      </c>
      <c r="J4" s="8" t="s">
        <v>66</v>
      </c>
      <c r="K4" s="8" t="s">
        <v>67</v>
      </c>
      <c r="L4" s="8" t="s">
        <v>64</v>
      </c>
      <c r="M4" s="8" t="s">
        <v>65</v>
      </c>
      <c r="N4" s="8" t="s">
        <v>68</v>
      </c>
      <c r="O4" s="8" t="s">
        <v>59</v>
      </c>
      <c r="P4" s="8" t="s">
        <v>69</v>
      </c>
    </row>
    <row r="5" spans="2:16">
      <c r="B5" s="15"/>
      <c r="C5" s="15" t="s">
        <v>4</v>
      </c>
      <c r="D5" s="15" t="s">
        <v>8</v>
      </c>
      <c r="E5" s="101">
        <v>2050</v>
      </c>
      <c r="F5" s="15"/>
      <c r="G5" s="15">
        <v>15</v>
      </c>
      <c r="H5" s="15">
        <v>5</v>
      </c>
      <c r="I5" s="15"/>
      <c r="J5" s="15" t="s">
        <v>486</v>
      </c>
      <c r="K5" s="15"/>
      <c r="L5" s="15"/>
      <c r="M5" s="15"/>
      <c r="N5" s="15"/>
      <c r="O5" s="15"/>
      <c r="P5" s="15"/>
    </row>
    <row r="6" spans="2:16">
      <c r="B6" s="15"/>
      <c r="C6" s="15" t="s">
        <v>5</v>
      </c>
      <c r="D6" s="15" t="s">
        <v>61</v>
      </c>
      <c r="E6" s="101">
        <v>2010</v>
      </c>
      <c r="F6" s="15"/>
      <c r="G6" s="15">
        <v>6.4000000000000001E-2</v>
      </c>
      <c r="H6" s="15">
        <v>6.4000000000000001E-2</v>
      </c>
      <c r="I6" s="15"/>
      <c r="J6" s="15" t="s">
        <v>487</v>
      </c>
      <c r="K6" s="15"/>
      <c r="L6" s="15"/>
      <c r="M6" s="15"/>
      <c r="N6" s="15"/>
      <c r="O6" s="15" t="s">
        <v>310</v>
      </c>
      <c r="P6" s="15"/>
    </row>
    <row r="7" spans="2:16">
      <c r="B7" s="15" t="s">
        <v>118</v>
      </c>
      <c r="C7" s="15" t="s">
        <v>5</v>
      </c>
      <c r="D7" s="15" t="s">
        <v>278</v>
      </c>
      <c r="E7" s="101">
        <v>2010</v>
      </c>
      <c r="F7" s="15" t="str">
        <f>J7&amp;"_NRGI"</f>
        <v>FT-TRADST5_NRGI</v>
      </c>
      <c r="G7" s="20">
        <v>3.6999999999999998E-2</v>
      </c>
      <c r="H7" s="20">
        <v>3.6999999999999998E-2</v>
      </c>
      <c r="I7" s="15"/>
      <c r="J7" s="15" t="s">
        <v>488</v>
      </c>
      <c r="K7" s="15"/>
      <c r="L7" s="15"/>
      <c r="M7" s="15"/>
      <c r="N7" s="15"/>
      <c r="O7" s="15" t="s">
        <v>279</v>
      </c>
      <c r="P7" s="15"/>
    </row>
    <row r="8" spans="2:16">
      <c r="B8" s="15" t="s">
        <v>118</v>
      </c>
      <c r="C8" s="15" t="s">
        <v>5</v>
      </c>
      <c r="D8" s="15" t="s">
        <v>278</v>
      </c>
      <c r="E8" s="101">
        <v>2030</v>
      </c>
      <c r="F8" s="15" t="str">
        <f>J8&amp;"_NRGI"</f>
        <v>FT-TRADST5_NRGI</v>
      </c>
      <c r="G8" s="15">
        <v>0.15</v>
      </c>
      <c r="H8" s="15">
        <v>0.15</v>
      </c>
      <c r="I8" s="15"/>
      <c r="J8" s="15" t="s">
        <v>488</v>
      </c>
      <c r="K8" s="15"/>
      <c r="L8" s="15"/>
      <c r="M8" s="15"/>
      <c r="N8" s="15"/>
      <c r="O8" s="15" t="s">
        <v>279</v>
      </c>
      <c r="P8" s="15"/>
    </row>
    <row r="9" spans="2:16">
      <c r="B9" s="15" t="s">
        <v>118</v>
      </c>
      <c r="C9" s="15" t="s">
        <v>4</v>
      </c>
      <c r="D9" s="15" t="s">
        <v>278</v>
      </c>
      <c r="E9" s="101">
        <v>2020</v>
      </c>
      <c r="F9" s="15" t="str">
        <f>J9&amp;"_NRGI"</f>
        <v>FT-TRADST5_NRGI</v>
      </c>
      <c r="G9" s="15">
        <v>0.33</v>
      </c>
      <c r="H9" s="15">
        <v>0.33</v>
      </c>
      <c r="I9" s="15"/>
      <c r="J9" s="15" t="s">
        <v>488</v>
      </c>
      <c r="K9" s="15"/>
      <c r="L9" s="15"/>
      <c r="M9" s="15"/>
      <c r="N9" s="15"/>
      <c r="O9" s="15" t="s">
        <v>279</v>
      </c>
      <c r="P9" s="15"/>
    </row>
    <row r="10" spans="2:16">
      <c r="B10" s="15" t="s">
        <v>118</v>
      </c>
      <c r="C10" s="15" t="s">
        <v>4</v>
      </c>
      <c r="D10" s="15" t="s">
        <v>278</v>
      </c>
      <c r="E10" s="101">
        <v>2030</v>
      </c>
      <c r="F10" s="15" t="str">
        <f>J10&amp;"_NRGI"</f>
        <v>FT-TRADST5_NRGI</v>
      </c>
      <c r="G10" s="15">
        <v>0.6</v>
      </c>
      <c r="H10" s="15">
        <v>0.6</v>
      </c>
      <c r="I10" s="15"/>
      <c r="J10" s="15" t="s">
        <v>488</v>
      </c>
      <c r="K10" s="15"/>
      <c r="L10" s="15"/>
      <c r="M10" s="15"/>
      <c r="N10" s="15"/>
      <c r="O10" s="15" t="s">
        <v>279</v>
      </c>
      <c r="P10" s="15"/>
    </row>
    <row r="11" spans="2:16">
      <c r="B11" s="15" t="s">
        <v>118</v>
      </c>
      <c r="C11" s="15" t="s">
        <v>4</v>
      </c>
      <c r="D11" s="15" t="s">
        <v>278</v>
      </c>
      <c r="E11" s="101">
        <v>2050</v>
      </c>
      <c r="F11" s="15" t="str">
        <f>J11&amp;"_NRGI"</f>
        <v>FT-TRADST5_NRGI</v>
      </c>
      <c r="G11" s="15">
        <v>0.9</v>
      </c>
      <c r="H11" s="15">
        <v>0.9</v>
      </c>
      <c r="I11" s="15"/>
      <c r="J11" s="15" t="s">
        <v>488</v>
      </c>
      <c r="K11" s="15"/>
      <c r="L11" s="15"/>
      <c r="M11" s="15"/>
      <c r="N11" s="15"/>
      <c r="O11" s="15" t="s">
        <v>279</v>
      </c>
      <c r="P11" s="15"/>
    </row>
    <row r="12" spans="2:16">
      <c r="B12" s="39"/>
      <c r="C12" s="39"/>
      <c r="D12" s="39" t="s">
        <v>301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 spans="2:16">
      <c r="B13" s="15"/>
      <c r="C13" s="15" t="s">
        <v>5</v>
      </c>
      <c r="D13" s="15" t="s">
        <v>61</v>
      </c>
      <c r="E13" s="101">
        <v>0</v>
      </c>
      <c r="F13" s="15"/>
      <c r="G13" s="15">
        <v>2020</v>
      </c>
      <c r="H13" s="15">
        <v>2020</v>
      </c>
      <c r="I13" s="15"/>
      <c r="J13" s="15" t="s">
        <v>439</v>
      </c>
      <c r="K13" s="15"/>
      <c r="L13" s="15"/>
      <c r="M13" s="15"/>
      <c r="N13" s="15"/>
      <c r="O13" s="15" t="s">
        <v>440</v>
      </c>
      <c r="P13" s="15"/>
    </row>
    <row r="14" spans="2:16">
      <c r="B14" s="15"/>
      <c r="C14" s="15" t="s">
        <v>5</v>
      </c>
      <c r="D14" s="15" t="s">
        <v>61</v>
      </c>
      <c r="E14" s="101">
        <v>0</v>
      </c>
      <c r="F14" s="15"/>
      <c r="G14" s="15">
        <v>2020</v>
      </c>
      <c r="H14" s="15">
        <v>2020</v>
      </c>
      <c r="I14" s="15"/>
      <c r="J14" s="15" t="s">
        <v>441</v>
      </c>
      <c r="K14" s="15"/>
      <c r="L14" s="15"/>
      <c r="M14" s="15"/>
      <c r="N14" s="15"/>
      <c r="O14" s="15" t="s">
        <v>440</v>
      </c>
      <c r="P14" s="15"/>
    </row>
    <row r="15" spans="2:16">
      <c r="B15" s="15"/>
      <c r="C15" s="15" t="s">
        <v>5</v>
      </c>
      <c r="D15" s="15" t="s">
        <v>61</v>
      </c>
      <c r="E15" s="101">
        <v>0</v>
      </c>
      <c r="F15" s="15"/>
      <c r="G15" s="15">
        <v>2020</v>
      </c>
      <c r="H15" s="15">
        <v>2020</v>
      </c>
      <c r="I15" s="15"/>
      <c r="J15" s="15" t="s">
        <v>442</v>
      </c>
      <c r="K15" s="15"/>
      <c r="L15" s="15"/>
      <c r="M15" s="15"/>
      <c r="N15" s="15"/>
      <c r="O15" s="15" t="s">
        <v>333</v>
      </c>
      <c r="P15" s="15"/>
    </row>
    <row r="16" spans="2:16">
      <c r="B16" s="15"/>
      <c r="C16" s="15" t="s">
        <v>5</v>
      </c>
      <c r="D16" s="15" t="s">
        <v>61</v>
      </c>
      <c r="E16" s="101">
        <v>0</v>
      </c>
      <c r="F16" s="15"/>
      <c r="G16" s="15">
        <v>2020</v>
      </c>
      <c r="H16" s="15">
        <v>2020</v>
      </c>
      <c r="I16" s="15"/>
      <c r="J16" s="15" t="s">
        <v>443</v>
      </c>
      <c r="K16" s="15"/>
      <c r="L16" s="15"/>
      <c r="M16" s="15"/>
      <c r="N16" s="15"/>
      <c r="O16" s="15" t="s">
        <v>333</v>
      </c>
      <c r="P16" s="15"/>
    </row>
    <row r="17" spans="2:16">
      <c r="B17" s="15"/>
      <c r="C17" s="15" t="s">
        <v>5</v>
      </c>
      <c r="D17" s="15" t="s">
        <v>61</v>
      </c>
      <c r="E17" s="101">
        <v>0</v>
      </c>
      <c r="F17" s="15"/>
      <c r="G17" s="15">
        <v>2020</v>
      </c>
      <c r="H17" s="15">
        <v>2020</v>
      </c>
      <c r="I17" s="15"/>
      <c r="J17" s="15" t="s">
        <v>444</v>
      </c>
      <c r="K17" s="15"/>
      <c r="L17" s="15"/>
      <c r="M17" s="15"/>
      <c r="N17" s="15"/>
      <c r="O17" s="15" t="s">
        <v>343</v>
      </c>
      <c r="P17" s="15"/>
    </row>
    <row r="18" spans="2:16">
      <c r="B18" s="15"/>
      <c r="C18" s="15" t="s">
        <v>5</v>
      </c>
      <c r="D18" s="15" t="s">
        <v>61</v>
      </c>
      <c r="E18" s="101">
        <v>0</v>
      </c>
      <c r="F18" s="15"/>
      <c r="G18" s="15">
        <v>2020</v>
      </c>
      <c r="H18" s="15">
        <v>2020</v>
      </c>
      <c r="I18" s="15"/>
      <c r="J18" s="15" t="s">
        <v>445</v>
      </c>
      <c r="K18" s="15"/>
      <c r="L18" s="15"/>
      <c r="M18" s="15"/>
      <c r="N18" s="15"/>
      <c r="O18" s="15" t="s">
        <v>337</v>
      </c>
      <c r="P18" s="15"/>
    </row>
    <row r="19" spans="2:16">
      <c r="B19" s="15"/>
      <c r="C19" s="15" t="s">
        <v>5</v>
      </c>
      <c r="D19" s="15" t="s">
        <v>61</v>
      </c>
      <c r="E19" s="101">
        <v>0</v>
      </c>
      <c r="F19" s="15"/>
      <c r="G19" s="15">
        <v>2020</v>
      </c>
      <c r="H19" s="15">
        <v>2020</v>
      </c>
      <c r="I19" s="15"/>
      <c r="J19" s="15" t="s">
        <v>446</v>
      </c>
      <c r="K19" s="15"/>
      <c r="L19" s="15"/>
      <c r="M19" s="15"/>
      <c r="N19" s="15"/>
      <c r="O19" s="15" t="s">
        <v>340</v>
      </c>
      <c r="P19" s="15"/>
    </row>
    <row r="20" spans="2:16">
      <c r="B20" s="39"/>
      <c r="C20" s="39"/>
      <c r="D20" s="39" t="s">
        <v>301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2:16">
      <c r="B21" s="62" t="s">
        <v>118</v>
      </c>
      <c r="C21" s="62"/>
      <c r="D21" s="62" t="s">
        <v>255</v>
      </c>
      <c r="E21" s="83">
        <v>2030</v>
      </c>
      <c r="F21" s="62" t="s">
        <v>134</v>
      </c>
      <c r="G21" s="188">
        <v>1.1000000000000001</v>
      </c>
      <c r="H21" s="188">
        <v>1.1000000000000001</v>
      </c>
      <c r="I21" s="83"/>
      <c r="J21" s="62" t="s">
        <v>592</v>
      </c>
      <c r="K21" s="62"/>
      <c r="L21" s="62"/>
      <c r="M21" s="62"/>
      <c r="N21" s="62"/>
      <c r="O21" s="62"/>
      <c r="P21" s="62"/>
    </row>
    <row r="22" spans="2:16">
      <c r="B22" s="62" t="s">
        <v>118</v>
      </c>
      <c r="C22" s="62"/>
      <c r="D22" s="62" t="s">
        <v>255</v>
      </c>
      <c r="E22" s="83">
        <v>2050</v>
      </c>
      <c r="F22" s="62" t="s">
        <v>134</v>
      </c>
      <c r="G22" s="188">
        <v>1.3</v>
      </c>
      <c r="H22" s="188">
        <v>1.3</v>
      </c>
      <c r="I22" s="83"/>
      <c r="J22" s="62" t="s">
        <v>592</v>
      </c>
      <c r="K22" s="62"/>
      <c r="L22" s="62"/>
      <c r="M22" s="62"/>
      <c r="N22" s="62"/>
      <c r="O22" s="62"/>
      <c r="P22" s="62"/>
    </row>
    <row r="26" spans="2:16">
      <c r="B26" s="7" t="s">
        <v>3</v>
      </c>
    </row>
    <row r="27" spans="2:16" ht="13.5" thickBot="1">
      <c r="B27" s="8" t="s">
        <v>55</v>
      </c>
      <c r="C27" s="8" t="s">
        <v>56</v>
      </c>
      <c r="D27" s="8" t="s">
        <v>57</v>
      </c>
      <c r="E27" s="11" t="s">
        <v>58</v>
      </c>
      <c r="F27" s="8" t="s">
        <v>20</v>
      </c>
      <c r="G27" s="8" t="s">
        <v>71</v>
      </c>
      <c r="H27" s="8" t="s">
        <v>351</v>
      </c>
      <c r="I27" s="8" t="s">
        <v>63</v>
      </c>
      <c r="J27" s="8" t="s">
        <v>66</v>
      </c>
      <c r="K27" s="8" t="s">
        <v>67</v>
      </c>
      <c r="L27" s="8" t="s">
        <v>64</v>
      </c>
      <c r="M27" s="8" t="s">
        <v>65</v>
      </c>
      <c r="N27" s="8" t="s">
        <v>68</v>
      </c>
      <c r="O27" s="8" t="s">
        <v>59</v>
      </c>
      <c r="P27" s="8" t="s">
        <v>69</v>
      </c>
    </row>
    <row r="28" spans="2:16">
      <c r="B28" s="15"/>
      <c r="C28" s="15" t="s">
        <v>5</v>
      </c>
      <c r="D28" s="15" t="s">
        <v>21</v>
      </c>
      <c r="E28" s="15" t="s">
        <v>449</v>
      </c>
      <c r="F28" s="15" t="s">
        <v>439</v>
      </c>
      <c r="G28" s="15">
        <v>0</v>
      </c>
      <c r="H28" s="15">
        <v>0</v>
      </c>
      <c r="I28" s="15"/>
      <c r="J28" s="15" t="s">
        <v>450</v>
      </c>
      <c r="K28" s="15"/>
      <c r="L28" s="15"/>
      <c r="M28" s="15" t="s">
        <v>310</v>
      </c>
      <c r="N28" s="15"/>
      <c r="O28" s="15" t="s">
        <v>440</v>
      </c>
      <c r="P28" s="15"/>
    </row>
    <row r="29" spans="2:16">
      <c r="B29" s="15"/>
      <c r="C29" s="15" t="s">
        <v>5</v>
      </c>
      <c r="D29" s="15" t="s">
        <v>21</v>
      </c>
      <c r="E29" s="15" t="s">
        <v>449</v>
      </c>
      <c r="F29" s="15" t="s">
        <v>441</v>
      </c>
      <c r="G29" s="15">
        <v>0</v>
      </c>
      <c r="H29" s="15">
        <v>0</v>
      </c>
      <c r="I29" s="15"/>
      <c r="J29" s="15" t="s">
        <v>450</v>
      </c>
      <c r="K29" s="15"/>
      <c r="L29" s="15"/>
      <c r="M29" s="15" t="s">
        <v>451</v>
      </c>
      <c r="N29" s="15"/>
      <c r="O29" s="15" t="s">
        <v>440</v>
      </c>
      <c r="P29" s="15"/>
    </row>
    <row r="30" spans="2:16">
      <c r="B30" s="15"/>
      <c r="C30" s="15" t="s">
        <v>5</v>
      </c>
      <c r="D30" s="15" t="s">
        <v>21</v>
      </c>
      <c r="E30" s="15" t="s">
        <v>449</v>
      </c>
      <c r="F30" s="15" t="s">
        <v>442</v>
      </c>
      <c r="G30" s="15">
        <v>0</v>
      </c>
      <c r="H30" s="15">
        <v>0</v>
      </c>
      <c r="I30" s="15"/>
      <c r="J30" s="15" t="s">
        <v>452</v>
      </c>
      <c r="K30" s="15"/>
      <c r="L30" s="15"/>
      <c r="M30" s="15" t="s">
        <v>310</v>
      </c>
      <c r="N30" s="15"/>
      <c r="O30" s="15" t="s">
        <v>333</v>
      </c>
      <c r="P30" s="15"/>
    </row>
    <row r="31" spans="2:16">
      <c r="B31" s="15"/>
      <c r="C31" s="15" t="s">
        <v>5</v>
      </c>
      <c r="D31" s="15" t="s">
        <v>21</v>
      </c>
      <c r="E31" s="15" t="s">
        <v>449</v>
      </c>
      <c r="F31" s="15" t="s">
        <v>443</v>
      </c>
      <c r="G31" s="15">
        <v>0</v>
      </c>
      <c r="H31" s="15">
        <v>0</v>
      </c>
      <c r="I31" s="15"/>
      <c r="J31" s="15" t="s">
        <v>452</v>
      </c>
      <c r="K31" s="15"/>
      <c r="L31" s="15"/>
      <c r="M31" s="15" t="s">
        <v>451</v>
      </c>
      <c r="N31" s="15"/>
      <c r="O31" s="15" t="s">
        <v>333</v>
      </c>
      <c r="P31" s="15"/>
    </row>
    <row r="32" spans="2:16">
      <c r="B32" s="15"/>
      <c r="C32" s="15" t="s">
        <v>5</v>
      </c>
      <c r="D32" s="15" t="s">
        <v>21</v>
      </c>
      <c r="E32" s="15" t="s">
        <v>449</v>
      </c>
      <c r="F32" s="15" t="s">
        <v>444</v>
      </c>
      <c r="G32" s="15">
        <v>0</v>
      </c>
      <c r="H32" s="15">
        <v>0</v>
      </c>
      <c r="I32" s="15"/>
      <c r="J32" s="15" t="s">
        <v>453</v>
      </c>
      <c r="K32" s="15"/>
      <c r="L32" s="15"/>
      <c r="M32" s="15" t="s">
        <v>451</v>
      </c>
      <c r="N32" s="15"/>
      <c r="O32" s="15" t="s">
        <v>343</v>
      </c>
      <c r="P32" s="15"/>
    </row>
    <row r="33" spans="2:16">
      <c r="B33" s="15"/>
      <c r="C33" s="15" t="s">
        <v>5</v>
      </c>
      <c r="D33" s="15" t="s">
        <v>21</v>
      </c>
      <c r="E33" s="15" t="s">
        <v>449</v>
      </c>
      <c r="F33" s="15" t="s">
        <v>445</v>
      </c>
      <c r="G33" s="15">
        <v>0</v>
      </c>
      <c r="H33" s="15">
        <v>0</v>
      </c>
      <c r="I33" s="15"/>
      <c r="J33" s="15" t="s">
        <v>454</v>
      </c>
      <c r="K33" s="15"/>
      <c r="L33" s="15"/>
      <c r="M33" s="15" t="s">
        <v>451</v>
      </c>
      <c r="N33" s="15"/>
      <c r="O33" s="15" t="s">
        <v>337</v>
      </c>
      <c r="P33" s="15"/>
    </row>
    <row r="34" spans="2:16">
      <c r="B34" s="15"/>
      <c r="C34" s="15" t="s">
        <v>5</v>
      </c>
      <c r="D34" s="15" t="s">
        <v>21</v>
      </c>
      <c r="E34" s="15" t="s">
        <v>449</v>
      </c>
      <c r="F34" s="15" t="s">
        <v>446</v>
      </c>
      <c r="G34" s="15">
        <v>0</v>
      </c>
      <c r="H34" s="15">
        <v>0</v>
      </c>
      <c r="I34" s="15"/>
      <c r="J34" s="15" t="s">
        <v>455</v>
      </c>
      <c r="K34" s="15"/>
      <c r="L34" s="15"/>
      <c r="M34" s="15" t="s">
        <v>451</v>
      </c>
      <c r="N34" s="15"/>
      <c r="O34" s="15" t="s">
        <v>340</v>
      </c>
      <c r="P34" s="15"/>
    </row>
    <row r="35" spans="2:16">
      <c r="B35" s="15"/>
      <c r="C35" s="15" t="s">
        <v>4</v>
      </c>
      <c r="D35" s="15" t="s">
        <v>21</v>
      </c>
      <c r="E35" s="15">
        <v>2020</v>
      </c>
      <c r="F35" s="15" t="s">
        <v>456</v>
      </c>
      <c r="G35" s="16">
        <v>0.1</v>
      </c>
      <c r="H35" s="16">
        <v>0.1</v>
      </c>
      <c r="I35" s="15"/>
      <c r="J35" s="15" t="s">
        <v>450</v>
      </c>
      <c r="K35" s="15"/>
      <c r="L35" s="15"/>
      <c r="M35" s="15" t="s">
        <v>218</v>
      </c>
      <c r="N35" s="15"/>
      <c r="O35" s="15" t="s">
        <v>440</v>
      </c>
      <c r="P35" s="15"/>
    </row>
    <row r="36" spans="2:16">
      <c r="B36" s="15"/>
      <c r="C36" s="15" t="s">
        <v>4</v>
      </c>
      <c r="D36" s="15" t="s">
        <v>21</v>
      </c>
      <c r="E36" s="15">
        <v>2030</v>
      </c>
      <c r="F36" s="15" t="s">
        <v>456</v>
      </c>
      <c r="G36" s="16">
        <v>0.3</v>
      </c>
      <c r="H36" s="16">
        <v>0.3</v>
      </c>
      <c r="I36" s="15"/>
      <c r="J36" s="15" t="s">
        <v>450</v>
      </c>
      <c r="K36" s="15"/>
      <c r="L36" s="15"/>
      <c r="M36" s="15" t="s">
        <v>218</v>
      </c>
      <c r="N36" s="15"/>
      <c r="O36" s="15" t="s">
        <v>440</v>
      </c>
      <c r="P36" s="15"/>
    </row>
    <row r="37" spans="2:16">
      <c r="B37" s="15"/>
      <c r="C37" s="15" t="s">
        <v>4</v>
      </c>
      <c r="D37" s="15" t="s">
        <v>21</v>
      </c>
      <c r="E37" s="15">
        <v>2040</v>
      </c>
      <c r="F37" s="15" t="s">
        <v>456</v>
      </c>
      <c r="G37" s="16">
        <v>0.7</v>
      </c>
      <c r="H37" s="16">
        <v>0.7</v>
      </c>
      <c r="I37" s="15"/>
      <c r="J37" s="15" t="s">
        <v>450</v>
      </c>
      <c r="K37" s="15"/>
      <c r="L37" s="15"/>
      <c r="M37" s="15" t="s">
        <v>218</v>
      </c>
      <c r="N37" s="15"/>
      <c r="O37" s="15" t="s">
        <v>440</v>
      </c>
      <c r="P37" s="15"/>
    </row>
    <row r="38" spans="2:16">
      <c r="B38" s="15"/>
      <c r="C38" s="15" t="s">
        <v>4</v>
      </c>
      <c r="D38" s="15" t="s">
        <v>21</v>
      </c>
      <c r="E38" s="15">
        <v>2050</v>
      </c>
      <c r="F38" s="15" t="s">
        <v>456</v>
      </c>
      <c r="G38" s="16">
        <v>0.9</v>
      </c>
      <c r="H38" s="176">
        <v>0.9</v>
      </c>
      <c r="I38" s="15"/>
      <c r="J38" s="15" t="s">
        <v>450</v>
      </c>
      <c r="K38" s="15"/>
      <c r="L38" s="15"/>
      <c r="M38" s="15" t="s">
        <v>218</v>
      </c>
      <c r="N38" s="15"/>
      <c r="O38" s="15" t="s">
        <v>440</v>
      </c>
      <c r="P38" s="15"/>
    </row>
    <row r="39" spans="2:16">
      <c r="B39" s="15"/>
      <c r="C39" s="15" t="s">
        <v>4</v>
      </c>
      <c r="D39" s="15" t="s">
        <v>21</v>
      </c>
      <c r="E39" s="15">
        <v>2080</v>
      </c>
      <c r="F39" s="15" t="s">
        <v>456</v>
      </c>
      <c r="G39" s="16">
        <v>0.95</v>
      </c>
      <c r="H39" s="16">
        <v>0.95</v>
      </c>
      <c r="I39" s="15"/>
      <c r="J39" s="15" t="s">
        <v>450</v>
      </c>
      <c r="K39" s="15"/>
      <c r="L39" s="15"/>
      <c r="M39" s="15" t="s">
        <v>218</v>
      </c>
      <c r="N39" s="15"/>
      <c r="O39" s="15" t="s">
        <v>440</v>
      </c>
      <c r="P39" s="15"/>
    </row>
    <row r="40" spans="2:16">
      <c r="B40" s="15"/>
      <c r="C40" s="15" t="s">
        <v>4</v>
      </c>
      <c r="D40" s="15" t="s">
        <v>21</v>
      </c>
      <c r="E40" s="15">
        <v>2020</v>
      </c>
      <c r="F40" s="15" t="s">
        <v>457</v>
      </c>
      <c r="G40" s="16">
        <v>0.03</v>
      </c>
      <c r="H40" s="16">
        <v>0.03</v>
      </c>
      <c r="I40" s="15"/>
      <c r="J40" s="15" t="s">
        <v>450</v>
      </c>
      <c r="K40" s="15" t="s">
        <v>458</v>
      </c>
      <c r="L40" s="15"/>
      <c r="M40" s="15"/>
      <c r="N40" s="15"/>
      <c r="O40" s="15" t="s">
        <v>440</v>
      </c>
      <c r="P40" s="15"/>
    </row>
    <row r="41" spans="2:16">
      <c r="B41" s="15"/>
      <c r="C41" s="15" t="s">
        <v>4</v>
      </c>
      <c r="D41" s="15" t="s">
        <v>21</v>
      </c>
      <c r="E41" s="15">
        <v>2030</v>
      </c>
      <c r="F41" s="15" t="s">
        <v>457</v>
      </c>
      <c r="G41" s="16">
        <v>0.2</v>
      </c>
      <c r="H41" s="16">
        <v>0.2</v>
      </c>
      <c r="I41" s="15"/>
      <c r="J41" s="15" t="s">
        <v>450</v>
      </c>
      <c r="K41" s="15" t="s">
        <v>458</v>
      </c>
      <c r="L41" s="15"/>
      <c r="M41" s="15"/>
      <c r="N41" s="15"/>
      <c r="O41" s="15" t="s">
        <v>440</v>
      </c>
      <c r="P41" s="15"/>
    </row>
    <row r="42" spans="2:16">
      <c r="B42" s="15"/>
      <c r="C42" s="15" t="s">
        <v>4</v>
      </c>
      <c r="D42" s="15" t="s">
        <v>21</v>
      </c>
      <c r="E42" s="15">
        <v>2050</v>
      </c>
      <c r="F42" s="15" t="s">
        <v>457</v>
      </c>
      <c r="G42" s="16">
        <v>0.7</v>
      </c>
      <c r="H42" s="16">
        <v>0.7</v>
      </c>
      <c r="I42" s="15"/>
      <c r="J42" s="15" t="s">
        <v>450</v>
      </c>
      <c r="K42" s="15" t="s">
        <v>458</v>
      </c>
      <c r="L42" s="15"/>
      <c r="M42" s="15"/>
      <c r="N42" s="15"/>
      <c r="O42" s="15" t="s">
        <v>440</v>
      </c>
      <c r="P42" s="15"/>
    </row>
    <row r="46" spans="2:16">
      <c r="B46" s="99" t="s">
        <v>467</v>
      </c>
      <c r="C46" s="95"/>
      <c r="E46" s="98"/>
      <c r="F46" s="95"/>
      <c r="G46" s="95"/>
      <c r="H46" s="97" t="s">
        <v>78</v>
      </c>
      <c r="I46" s="96"/>
      <c r="J46" s="96"/>
      <c r="K46" s="96"/>
      <c r="L46" s="95"/>
    </row>
    <row r="47" spans="2:16" ht="23.25" thickBot="1">
      <c r="B47" s="92" t="s">
        <v>79</v>
      </c>
      <c r="C47" s="92" t="s">
        <v>80</v>
      </c>
      <c r="D47" s="92" t="s">
        <v>466</v>
      </c>
      <c r="E47" s="94" t="s">
        <v>173</v>
      </c>
      <c r="F47" s="94" t="s">
        <v>57</v>
      </c>
      <c r="G47" s="94" t="s">
        <v>58</v>
      </c>
      <c r="H47" s="92" t="s">
        <v>56</v>
      </c>
      <c r="I47" s="93" t="s">
        <v>71</v>
      </c>
      <c r="J47" s="93" t="s">
        <v>351</v>
      </c>
      <c r="K47" s="93" t="s">
        <v>81</v>
      </c>
      <c r="L47" s="93" t="s">
        <v>82</v>
      </c>
      <c r="M47" s="92" t="s">
        <v>83</v>
      </c>
    </row>
    <row r="48" spans="2:16">
      <c r="B48" s="15" t="s">
        <v>465</v>
      </c>
      <c r="C48" s="15" t="s">
        <v>451</v>
      </c>
      <c r="D48" s="15"/>
      <c r="E48" s="15"/>
      <c r="F48" s="15" t="s">
        <v>271</v>
      </c>
      <c r="G48" s="15">
        <v>2020</v>
      </c>
      <c r="H48" s="15" t="s">
        <v>5</v>
      </c>
      <c r="I48" s="101">
        <v>-1</v>
      </c>
      <c r="J48" s="101">
        <v>-1</v>
      </c>
      <c r="K48" s="101">
        <v>0</v>
      </c>
      <c r="L48" s="101">
        <v>5</v>
      </c>
      <c r="M48" s="15" t="s">
        <v>464</v>
      </c>
    </row>
    <row r="49" spans="2:21">
      <c r="B49" s="15"/>
      <c r="C49" s="15" t="s">
        <v>463</v>
      </c>
      <c r="D49" s="15"/>
      <c r="E49" s="15"/>
      <c r="F49" s="15" t="s">
        <v>271</v>
      </c>
      <c r="G49" s="15">
        <v>2020</v>
      </c>
      <c r="H49" s="15"/>
      <c r="I49" s="101">
        <v>-1</v>
      </c>
      <c r="J49" s="101">
        <v>-1</v>
      </c>
      <c r="K49" s="15"/>
      <c r="L49" s="15"/>
      <c r="M49" s="15"/>
    </row>
    <row r="50" spans="2:21">
      <c r="B50" s="15"/>
      <c r="C50" s="15" t="s">
        <v>217</v>
      </c>
      <c r="D50" s="15"/>
      <c r="E50" s="15"/>
      <c r="F50" s="15" t="s">
        <v>271</v>
      </c>
      <c r="G50" s="15">
        <v>2020</v>
      </c>
      <c r="H50" s="15"/>
      <c r="I50" s="101">
        <v>-1</v>
      </c>
      <c r="J50" s="101">
        <v>-1</v>
      </c>
      <c r="K50" s="15"/>
      <c r="L50" s="15"/>
      <c r="M50" s="15"/>
    </row>
    <row r="51" spans="2:21">
      <c r="B51" s="15"/>
      <c r="C51" s="15" t="s">
        <v>310</v>
      </c>
      <c r="D51" s="15"/>
      <c r="E51" s="15"/>
      <c r="F51" s="15" t="s">
        <v>271</v>
      </c>
      <c r="G51" s="15">
        <v>2020</v>
      </c>
      <c r="H51" s="15"/>
      <c r="I51" s="126">
        <v>2.1</v>
      </c>
      <c r="J51" s="126">
        <f>I51</f>
        <v>2.1</v>
      </c>
      <c r="K51" s="15"/>
      <c r="L51" s="15"/>
      <c r="M51" s="15"/>
    </row>
    <row r="52" spans="2:21">
      <c r="B52" s="15"/>
      <c r="C52" s="15" t="s">
        <v>310</v>
      </c>
      <c r="D52" s="15"/>
      <c r="E52" s="15"/>
      <c r="F52" s="15" t="s">
        <v>271</v>
      </c>
      <c r="G52" s="15">
        <v>2030</v>
      </c>
      <c r="H52" s="15"/>
      <c r="I52" s="126">
        <v>2.6</v>
      </c>
      <c r="J52" s="126">
        <f>I52</f>
        <v>2.6</v>
      </c>
      <c r="K52" s="15"/>
      <c r="L52" s="15"/>
      <c r="M52" s="15"/>
    </row>
    <row r="53" spans="2:21">
      <c r="B53" s="15"/>
      <c r="C53" s="15" t="s">
        <v>310</v>
      </c>
      <c r="D53" s="15"/>
      <c r="E53" s="15"/>
      <c r="F53" s="15" t="s">
        <v>271</v>
      </c>
      <c r="G53" s="15">
        <v>2050</v>
      </c>
      <c r="H53" s="15"/>
      <c r="I53" s="126">
        <f>1/0.1</f>
        <v>10</v>
      </c>
      <c r="J53" s="126">
        <f>1/0.1</f>
        <v>10</v>
      </c>
      <c r="K53" s="15"/>
      <c r="L53" s="15"/>
      <c r="M53" s="15"/>
    </row>
    <row r="54" spans="2:21">
      <c r="B54" s="15"/>
      <c r="C54" s="15" t="s">
        <v>310</v>
      </c>
      <c r="D54" s="15"/>
      <c r="E54" s="15"/>
      <c r="F54" s="15" t="s">
        <v>271</v>
      </c>
      <c r="G54" s="15">
        <v>2100</v>
      </c>
      <c r="H54" s="15"/>
      <c r="I54" s="126">
        <f>1/0.05</f>
        <v>20</v>
      </c>
      <c r="J54" s="126">
        <f>1/0.05</f>
        <v>20</v>
      </c>
      <c r="K54" s="15"/>
      <c r="L54" s="15"/>
      <c r="M54" s="15"/>
    </row>
    <row r="58" spans="2:21">
      <c r="B58" s="7" t="s">
        <v>6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 spans="2:21">
      <c r="B59" s="161" t="s">
        <v>55</v>
      </c>
      <c r="C59" s="161" t="s">
        <v>56</v>
      </c>
      <c r="D59" s="161" t="s">
        <v>57</v>
      </c>
      <c r="E59" s="161" t="s">
        <v>58</v>
      </c>
      <c r="F59" s="161" t="s">
        <v>20</v>
      </c>
      <c r="G59" s="162" t="s">
        <v>71</v>
      </c>
      <c r="H59" s="162" t="s">
        <v>351</v>
      </c>
      <c r="I59" s="161" t="s">
        <v>63</v>
      </c>
      <c r="J59" s="161" t="s">
        <v>66</v>
      </c>
      <c r="K59" s="161" t="s">
        <v>67</v>
      </c>
      <c r="L59" s="161" t="s">
        <v>64</v>
      </c>
      <c r="M59" s="161" t="s">
        <v>65</v>
      </c>
      <c r="N59" s="161" t="s">
        <v>68</v>
      </c>
      <c r="O59" s="161" t="s">
        <v>59</v>
      </c>
      <c r="P59" s="161" t="s">
        <v>69</v>
      </c>
    </row>
    <row r="60" spans="2:21">
      <c r="B60" s="159"/>
      <c r="C60" s="159"/>
      <c r="D60" s="157" t="s">
        <v>280</v>
      </c>
      <c r="E60" s="84"/>
      <c r="F60" s="159"/>
      <c r="G60" s="84">
        <v>20</v>
      </c>
      <c r="H60" s="84">
        <v>20</v>
      </c>
      <c r="I60" s="159"/>
      <c r="J60" s="159" t="s">
        <v>513</v>
      </c>
      <c r="K60" s="159"/>
      <c r="L60" s="159"/>
      <c r="M60" s="163"/>
      <c r="N60" s="163"/>
      <c r="O60" s="163"/>
      <c r="P60" s="163"/>
    </row>
    <row r="61" spans="2:21">
      <c r="B61" s="159"/>
      <c r="C61" s="159"/>
      <c r="D61" s="157" t="s">
        <v>280</v>
      </c>
      <c r="E61" s="84"/>
      <c r="F61" s="159"/>
      <c r="G61" s="84">
        <v>20</v>
      </c>
      <c r="H61" s="84">
        <v>20</v>
      </c>
      <c r="I61" s="159"/>
      <c r="J61" s="159" t="s">
        <v>514</v>
      </c>
      <c r="K61" s="159"/>
      <c r="L61" s="159"/>
      <c r="M61" s="159"/>
      <c r="N61" s="159"/>
      <c r="O61" s="159"/>
      <c r="P61" s="159"/>
    </row>
    <row r="62" spans="2:21">
      <c r="B62" s="156"/>
      <c r="C62" s="156"/>
      <c r="D62" s="157" t="s">
        <v>280</v>
      </c>
      <c r="E62" s="84"/>
      <c r="F62" s="156"/>
      <c r="G62" s="84">
        <v>20</v>
      </c>
      <c r="H62" s="84">
        <v>20</v>
      </c>
      <c r="I62" s="159"/>
      <c r="J62" s="159" t="s">
        <v>515</v>
      </c>
      <c r="K62" s="159"/>
      <c r="L62" s="159"/>
      <c r="M62" s="159"/>
      <c r="N62" s="159"/>
      <c r="O62" s="159"/>
      <c r="P62" s="159"/>
    </row>
    <row r="63" spans="2:21">
      <c r="B63" s="156"/>
      <c r="C63" s="156"/>
      <c r="D63" s="157" t="s">
        <v>280</v>
      </c>
      <c r="E63" s="84"/>
      <c r="F63" s="156"/>
      <c r="G63" s="84">
        <v>20</v>
      </c>
      <c r="H63" s="84">
        <v>20</v>
      </c>
      <c r="I63" s="159"/>
      <c r="J63" s="159" t="s">
        <v>516</v>
      </c>
      <c r="K63" s="159"/>
      <c r="L63" s="159"/>
      <c r="M63" s="159"/>
      <c r="N63" s="159"/>
      <c r="O63" s="159"/>
      <c r="P63" s="159"/>
    </row>
    <row r="64" spans="2:21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</row>
    <row r="67" spans="2:23">
      <c r="B67" s="7" t="s">
        <v>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</row>
    <row r="68" spans="2:23">
      <c r="B68" s="161" t="s">
        <v>55</v>
      </c>
      <c r="C68" s="161" t="s">
        <v>56</v>
      </c>
      <c r="D68" s="161" t="s">
        <v>57</v>
      </c>
      <c r="E68" s="161" t="s">
        <v>58</v>
      </c>
      <c r="F68" s="161" t="s">
        <v>20</v>
      </c>
      <c r="G68" s="162" t="s">
        <v>71</v>
      </c>
      <c r="H68" s="162" t="s">
        <v>351</v>
      </c>
      <c r="I68" s="161" t="s">
        <v>63</v>
      </c>
      <c r="J68" s="161" t="s">
        <v>66</v>
      </c>
      <c r="K68" s="161" t="s">
        <v>67</v>
      </c>
      <c r="L68" s="161" t="s">
        <v>64</v>
      </c>
      <c r="M68" s="161" t="s">
        <v>65</v>
      </c>
      <c r="N68" s="161" t="s">
        <v>68</v>
      </c>
      <c r="O68" s="161" t="s">
        <v>59</v>
      </c>
      <c r="P68" s="161" t="s">
        <v>69</v>
      </c>
      <c r="T68" s="154" t="s">
        <v>521</v>
      </c>
      <c r="U68" s="154" t="s">
        <v>522</v>
      </c>
      <c r="V68" s="154" t="s">
        <v>523</v>
      </c>
      <c r="W68" s="154" t="s">
        <v>524</v>
      </c>
    </row>
    <row r="69" spans="2:23">
      <c r="B69" s="156"/>
      <c r="C69" s="156"/>
      <c r="D69" s="157" t="s">
        <v>518</v>
      </c>
      <c r="E69" s="158">
        <v>2050</v>
      </c>
      <c r="F69" s="156"/>
      <c r="G69" s="159">
        <v>14</v>
      </c>
      <c r="H69" s="159">
        <v>14</v>
      </c>
      <c r="I69" s="159"/>
      <c r="J69" s="159" t="s">
        <v>517</v>
      </c>
      <c r="K69" s="159"/>
      <c r="L69" s="159"/>
      <c r="M69" s="159"/>
      <c r="N69" s="159"/>
      <c r="O69" s="159"/>
      <c r="P69" s="159"/>
      <c r="S69" s="6">
        <v>1</v>
      </c>
      <c r="T69" s="155">
        <v>1.0597148476156535</v>
      </c>
      <c r="U69" s="155">
        <v>1.0734075930071769</v>
      </c>
      <c r="V69" s="155">
        <v>1.1967059683589427</v>
      </c>
      <c r="W69" s="155">
        <v>1.3108552364990986</v>
      </c>
    </row>
    <row r="70" spans="2:23">
      <c r="B70" s="156"/>
      <c r="C70" s="156"/>
      <c r="D70" s="157" t="s">
        <v>519</v>
      </c>
      <c r="E70" s="84">
        <v>2050</v>
      </c>
      <c r="F70" s="156"/>
      <c r="G70" s="159">
        <v>25</v>
      </c>
      <c r="H70" s="159">
        <v>25</v>
      </c>
      <c r="I70" s="159"/>
      <c r="J70" s="159" t="s">
        <v>517</v>
      </c>
      <c r="K70" s="159"/>
      <c r="L70" s="159"/>
      <c r="M70" s="159"/>
      <c r="N70" s="159"/>
      <c r="O70" s="159"/>
      <c r="P70" s="159"/>
      <c r="S70" s="6">
        <v>3</v>
      </c>
      <c r="T70" s="155">
        <v>1.0176327726275418</v>
      </c>
      <c r="U70" s="155">
        <v>1.0318728492505471</v>
      </c>
      <c r="V70" s="155">
        <v>1.1284937281624832</v>
      </c>
      <c r="W70" s="155">
        <v>1.2479341851471419</v>
      </c>
    </row>
    <row r="71" spans="2:23">
      <c r="B71" s="156"/>
      <c r="C71" s="156"/>
      <c r="D71" s="157" t="s">
        <v>221</v>
      </c>
      <c r="E71" s="84">
        <v>2050</v>
      </c>
      <c r="F71" s="156"/>
      <c r="G71" s="159">
        <v>21</v>
      </c>
      <c r="H71" s="159">
        <v>21</v>
      </c>
      <c r="I71" s="159"/>
      <c r="J71" s="159" t="s">
        <v>513</v>
      </c>
      <c r="K71" s="159"/>
      <c r="L71" s="159"/>
      <c r="M71" s="159"/>
      <c r="N71" s="159"/>
      <c r="O71" s="159"/>
      <c r="P71" s="159"/>
      <c r="S71" s="6">
        <v>5</v>
      </c>
      <c r="T71" s="155">
        <v>0.96167164387894111</v>
      </c>
      <c r="U71" s="155">
        <v>0.97375912467359493</v>
      </c>
      <c r="V71" s="155">
        <v>1.0353337586436444</v>
      </c>
      <c r="W71" s="155">
        <v>1.1207812272067295</v>
      </c>
    </row>
    <row r="72" spans="2:23">
      <c r="B72" s="156"/>
      <c r="C72" s="156"/>
      <c r="D72" s="157" t="s">
        <v>221</v>
      </c>
      <c r="E72" s="84">
        <v>2050</v>
      </c>
      <c r="F72" s="156"/>
      <c r="G72" s="159">
        <v>22</v>
      </c>
      <c r="H72" s="159">
        <v>22</v>
      </c>
      <c r="I72" s="159"/>
      <c r="J72" s="159" t="s">
        <v>514</v>
      </c>
      <c r="K72" s="159"/>
      <c r="L72" s="159"/>
      <c r="M72" s="159"/>
      <c r="N72" s="159"/>
      <c r="O72" s="159"/>
      <c r="P72" s="159"/>
      <c r="S72" s="6">
        <v>10</v>
      </c>
      <c r="T72" s="155">
        <v>0.8218819784133613</v>
      </c>
      <c r="U72" s="155">
        <v>0.81091789428272065</v>
      </c>
      <c r="V72" s="155">
        <v>0.80555723742396468</v>
      </c>
      <c r="W72" s="155">
        <v>0.79181424047586157</v>
      </c>
    </row>
    <row r="73" spans="2:23">
      <c r="B73" s="156"/>
      <c r="C73" s="156"/>
      <c r="D73" s="157" t="s">
        <v>221</v>
      </c>
      <c r="E73" s="84">
        <v>2050</v>
      </c>
      <c r="F73" s="156"/>
      <c r="G73" s="159">
        <v>23</v>
      </c>
      <c r="H73" s="159">
        <v>23</v>
      </c>
      <c r="I73" s="159"/>
      <c r="J73" s="159" t="s">
        <v>515</v>
      </c>
      <c r="K73" s="159"/>
      <c r="L73" s="159"/>
      <c r="M73" s="159"/>
      <c r="N73" s="159"/>
      <c r="O73" s="159"/>
      <c r="P73" s="159"/>
      <c r="S73" s="6">
        <v>15</v>
      </c>
      <c r="T73" s="155">
        <v>0.62290545979489842</v>
      </c>
      <c r="U73" s="155">
        <v>0.5900236172409471</v>
      </c>
      <c r="V73" s="155">
        <v>0.56117491986046419</v>
      </c>
      <c r="W73" s="155">
        <v>0.42390436637907852</v>
      </c>
    </row>
    <row r="74" spans="2:23">
      <c r="B74" s="156"/>
      <c r="C74" s="156"/>
      <c r="D74" s="157" t="s">
        <v>221</v>
      </c>
      <c r="E74" s="84">
        <v>2050</v>
      </c>
      <c r="F74" s="156"/>
      <c r="G74" s="159">
        <v>24</v>
      </c>
      <c r="H74" s="159">
        <v>24</v>
      </c>
      <c r="I74" s="159"/>
      <c r="J74" s="159" t="s">
        <v>516</v>
      </c>
      <c r="K74" s="159"/>
      <c r="L74" s="159"/>
      <c r="M74" s="159"/>
      <c r="N74" s="159"/>
      <c r="O74" s="159"/>
      <c r="P74" s="159"/>
      <c r="S74" s="6">
        <v>20</v>
      </c>
      <c r="T74" s="155">
        <v>0.24228435076626861</v>
      </c>
      <c r="U74" s="155">
        <v>0.27420167582938682</v>
      </c>
      <c r="V74" s="155">
        <v>0.26075385356363512</v>
      </c>
      <c r="W74" s="155">
        <v>0.10621335639257597</v>
      </c>
    </row>
    <row r="75" spans="2:23">
      <c r="B75" s="156"/>
      <c r="C75" s="156"/>
      <c r="D75" s="157" t="s">
        <v>525</v>
      </c>
      <c r="E75" s="160">
        <v>2020</v>
      </c>
      <c r="F75" s="156"/>
      <c r="G75" s="159">
        <v>0.1</v>
      </c>
      <c r="H75" s="159">
        <v>0.1</v>
      </c>
      <c r="I75" s="159"/>
      <c r="J75" s="159" t="s">
        <v>513</v>
      </c>
      <c r="K75" s="159"/>
      <c r="L75" s="159"/>
      <c r="M75" s="159"/>
      <c r="N75" s="159"/>
      <c r="O75" s="159"/>
      <c r="P75" s="159"/>
    </row>
    <row r="76" spans="2:23">
      <c r="B76" s="156"/>
      <c r="C76" s="156"/>
      <c r="D76" s="157" t="s">
        <v>525</v>
      </c>
      <c r="E76" s="160">
        <v>2020</v>
      </c>
      <c r="F76" s="156"/>
      <c r="G76" s="159">
        <v>0.1</v>
      </c>
      <c r="H76" s="159">
        <v>0.1</v>
      </c>
      <c r="I76" s="159"/>
      <c r="J76" s="159" t="s">
        <v>514</v>
      </c>
      <c r="K76" s="159"/>
      <c r="L76" s="159"/>
      <c r="M76" s="159"/>
      <c r="N76" s="159"/>
      <c r="O76" s="159"/>
      <c r="P76" s="159"/>
    </row>
    <row r="77" spans="2:23">
      <c r="B77" s="159"/>
      <c r="C77" s="159"/>
      <c r="D77" s="157" t="s">
        <v>525</v>
      </c>
      <c r="E77" s="160">
        <v>2020</v>
      </c>
      <c r="F77" s="159"/>
      <c r="G77" s="159">
        <v>0.1</v>
      </c>
      <c r="H77" s="159">
        <v>0.1</v>
      </c>
      <c r="I77" s="159"/>
      <c r="J77" s="159" t="s">
        <v>515</v>
      </c>
      <c r="K77" s="159"/>
      <c r="L77" s="159"/>
      <c r="M77" s="159"/>
      <c r="N77" s="159"/>
      <c r="O77" s="159"/>
      <c r="P77" s="159"/>
    </row>
    <row r="78" spans="2:23">
      <c r="B78" s="159"/>
      <c r="C78" s="159"/>
      <c r="D78" s="157" t="s">
        <v>525</v>
      </c>
      <c r="E78" s="160">
        <v>2020</v>
      </c>
      <c r="F78" s="159"/>
      <c r="G78" s="159">
        <v>0.1</v>
      </c>
      <c r="H78" s="159">
        <v>0.1</v>
      </c>
      <c r="I78" s="159"/>
      <c r="J78" s="159" t="s">
        <v>516</v>
      </c>
      <c r="K78" s="159"/>
      <c r="L78" s="159"/>
      <c r="M78" s="159"/>
      <c r="N78" s="159"/>
      <c r="O78" s="159"/>
      <c r="P78" s="159"/>
    </row>
    <row r="79" spans="2:23">
      <c r="B79" s="159"/>
      <c r="C79" s="159"/>
      <c r="D79" s="159" t="s">
        <v>520</v>
      </c>
      <c r="E79" s="84">
        <v>1</v>
      </c>
      <c r="F79" s="159">
        <v>21</v>
      </c>
      <c r="G79" s="159">
        <f t="array" ref="G79:G84">INDEX($T$69:$W$74,0,1)</f>
        <v>1.0597148476156535</v>
      </c>
      <c r="H79" s="159">
        <f t="array" ref="H79:H84">INDEX($T$69:$W$74,0,1)</f>
        <v>1.0597148476156535</v>
      </c>
      <c r="I79" s="159"/>
      <c r="J79" s="159"/>
      <c r="K79" s="159"/>
      <c r="L79" s="159"/>
      <c r="M79" s="159"/>
      <c r="N79" s="159"/>
      <c r="O79" s="159"/>
      <c r="P79" s="159"/>
    </row>
    <row r="80" spans="2:23">
      <c r="B80" s="159"/>
      <c r="C80" s="159"/>
      <c r="D80" s="159" t="s">
        <v>520</v>
      </c>
      <c r="E80" s="84">
        <v>3</v>
      </c>
      <c r="F80" s="159">
        <v>21</v>
      </c>
      <c r="G80" s="159">
        <v>1.0176327726275418</v>
      </c>
      <c r="H80" s="159">
        <v>1.0176327726275418</v>
      </c>
      <c r="I80" s="159"/>
      <c r="J80" s="159"/>
      <c r="K80" s="159"/>
      <c r="L80" s="159"/>
      <c r="M80" s="159"/>
      <c r="N80" s="159"/>
      <c r="O80" s="159"/>
      <c r="P80" s="159"/>
    </row>
    <row r="81" spans="2:16">
      <c r="B81" s="159"/>
      <c r="C81" s="159"/>
      <c r="D81" s="159" t="s">
        <v>520</v>
      </c>
      <c r="E81" s="84">
        <v>5</v>
      </c>
      <c r="F81" s="159">
        <v>21</v>
      </c>
      <c r="G81" s="159">
        <v>0.96167164387894111</v>
      </c>
      <c r="H81" s="159">
        <v>0.96167164387894111</v>
      </c>
      <c r="I81" s="159"/>
      <c r="J81" s="159"/>
      <c r="K81" s="159"/>
      <c r="L81" s="159"/>
      <c r="M81" s="159"/>
      <c r="N81" s="159"/>
      <c r="O81" s="159"/>
      <c r="P81" s="159"/>
    </row>
    <row r="82" spans="2:16">
      <c r="B82" s="159"/>
      <c r="C82" s="159"/>
      <c r="D82" s="159" t="s">
        <v>520</v>
      </c>
      <c r="E82" s="84">
        <v>10</v>
      </c>
      <c r="F82" s="159">
        <v>21</v>
      </c>
      <c r="G82" s="159">
        <v>0.8218819784133613</v>
      </c>
      <c r="H82" s="159">
        <v>0.8218819784133613</v>
      </c>
      <c r="I82" s="159"/>
      <c r="J82" s="159"/>
      <c r="K82" s="159"/>
      <c r="L82" s="159"/>
      <c r="M82" s="159"/>
      <c r="N82" s="159"/>
      <c r="O82" s="159"/>
      <c r="P82" s="159"/>
    </row>
    <row r="83" spans="2:16">
      <c r="B83" s="159"/>
      <c r="C83" s="159"/>
      <c r="D83" s="159" t="s">
        <v>520</v>
      </c>
      <c r="E83" s="84">
        <v>15</v>
      </c>
      <c r="F83" s="159">
        <v>21</v>
      </c>
      <c r="G83" s="159">
        <v>0.62290545979489842</v>
      </c>
      <c r="H83" s="159">
        <v>0.62290545979489842</v>
      </c>
      <c r="I83" s="159"/>
      <c r="J83" s="159"/>
      <c r="K83" s="159"/>
      <c r="L83" s="159"/>
      <c r="M83" s="159"/>
      <c r="N83" s="159"/>
      <c r="O83" s="159"/>
      <c r="P83" s="159"/>
    </row>
    <row r="84" spans="2:16">
      <c r="B84" s="159"/>
      <c r="C84" s="159"/>
      <c r="D84" s="159" t="s">
        <v>520</v>
      </c>
      <c r="E84" s="84">
        <v>20</v>
      </c>
      <c r="F84" s="159">
        <v>21</v>
      </c>
      <c r="G84" s="159">
        <v>0.24228435076626861</v>
      </c>
      <c r="H84" s="159">
        <v>0.24228435076626861</v>
      </c>
      <c r="I84" s="159"/>
      <c r="J84" s="159"/>
      <c r="K84" s="159"/>
      <c r="L84" s="159"/>
      <c r="M84" s="159"/>
      <c r="N84" s="159"/>
      <c r="O84" s="159"/>
      <c r="P84" s="159"/>
    </row>
    <row r="85" spans="2:16">
      <c r="B85" s="159"/>
      <c r="C85" s="159"/>
      <c r="D85" s="159" t="s">
        <v>520</v>
      </c>
      <c r="E85" s="84">
        <v>1</v>
      </c>
      <c r="F85" s="159">
        <v>22</v>
      </c>
      <c r="G85" s="159">
        <f t="array" ref="G85:G90">INDEX($T$69:$W$74,0,2)</f>
        <v>1.0734075930071769</v>
      </c>
      <c r="H85" s="159">
        <f t="array" ref="H85:H90">INDEX($T$69:$W$74,0,2)</f>
        <v>1.0734075930071769</v>
      </c>
      <c r="I85" s="159"/>
      <c r="J85" s="159"/>
      <c r="K85" s="159"/>
      <c r="L85" s="159"/>
      <c r="M85" s="159"/>
      <c r="N85" s="159"/>
      <c r="O85" s="159"/>
      <c r="P85" s="159"/>
    </row>
    <row r="86" spans="2:16">
      <c r="B86" s="159"/>
      <c r="C86" s="159"/>
      <c r="D86" s="159" t="s">
        <v>520</v>
      </c>
      <c r="E86" s="84">
        <v>3</v>
      </c>
      <c r="F86" s="159">
        <v>22</v>
      </c>
      <c r="G86" s="159">
        <v>1.0318728492505471</v>
      </c>
      <c r="H86" s="159">
        <v>1.0318728492505471</v>
      </c>
      <c r="I86" s="159"/>
      <c r="J86" s="159"/>
      <c r="K86" s="159"/>
      <c r="L86" s="159"/>
      <c r="M86" s="159"/>
      <c r="N86" s="159"/>
      <c r="O86" s="159"/>
      <c r="P86" s="159"/>
    </row>
    <row r="87" spans="2:16">
      <c r="B87" s="159"/>
      <c r="C87" s="159"/>
      <c r="D87" s="159" t="s">
        <v>520</v>
      </c>
      <c r="E87" s="84">
        <v>5</v>
      </c>
      <c r="F87" s="159">
        <v>22</v>
      </c>
      <c r="G87" s="159">
        <v>0.97375912467359493</v>
      </c>
      <c r="H87" s="159">
        <v>0.97375912467359493</v>
      </c>
      <c r="I87" s="159"/>
      <c r="J87" s="159"/>
      <c r="K87" s="159"/>
      <c r="L87" s="159"/>
      <c r="M87" s="159"/>
      <c r="N87" s="159"/>
      <c r="O87" s="159"/>
      <c r="P87" s="159"/>
    </row>
    <row r="88" spans="2:16">
      <c r="B88" s="159"/>
      <c r="C88" s="159"/>
      <c r="D88" s="159" t="s">
        <v>520</v>
      </c>
      <c r="E88" s="84">
        <v>10</v>
      </c>
      <c r="F88" s="159">
        <v>22</v>
      </c>
      <c r="G88" s="159">
        <v>0.81091789428272065</v>
      </c>
      <c r="H88" s="159">
        <v>0.81091789428272065</v>
      </c>
      <c r="I88" s="159"/>
      <c r="J88" s="159"/>
      <c r="K88" s="159"/>
      <c r="L88" s="159"/>
      <c r="M88" s="159"/>
      <c r="N88" s="159"/>
      <c r="O88" s="159"/>
      <c r="P88" s="159"/>
    </row>
    <row r="89" spans="2:16">
      <c r="B89" s="159"/>
      <c r="C89" s="159"/>
      <c r="D89" s="159" t="s">
        <v>520</v>
      </c>
      <c r="E89" s="84">
        <v>15</v>
      </c>
      <c r="F89" s="159">
        <v>22</v>
      </c>
      <c r="G89" s="159">
        <v>0.5900236172409471</v>
      </c>
      <c r="H89" s="159">
        <v>0.5900236172409471</v>
      </c>
      <c r="I89" s="159"/>
      <c r="J89" s="159"/>
      <c r="K89" s="159"/>
      <c r="L89" s="159"/>
      <c r="M89" s="159"/>
      <c r="N89" s="159"/>
      <c r="O89" s="159"/>
      <c r="P89" s="159"/>
    </row>
    <row r="90" spans="2:16">
      <c r="B90" s="159"/>
      <c r="C90" s="159"/>
      <c r="D90" s="159" t="s">
        <v>520</v>
      </c>
      <c r="E90" s="84">
        <v>20</v>
      </c>
      <c r="F90" s="159">
        <v>22</v>
      </c>
      <c r="G90" s="159">
        <v>0.27420167582938682</v>
      </c>
      <c r="H90" s="159">
        <v>0.27420167582938682</v>
      </c>
      <c r="I90" s="159"/>
      <c r="J90" s="159"/>
      <c r="K90" s="159"/>
      <c r="L90" s="159"/>
      <c r="M90" s="159"/>
      <c r="N90" s="159"/>
      <c r="O90" s="159"/>
      <c r="P90" s="159"/>
    </row>
    <row r="91" spans="2:16">
      <c r="B91" s="159"/>
      <c r="C91" s="159"/>
      <c r="D91" s="159" t="s">
        <v>520</v>
      </c>
      <c r="E91" s="84">
        <v>1</v>
      </c>
      <c r="F91" s="159">
        <v>23</v>
      </c>
      <c r="G91" s="159">
        <f t="array" ref="G91:G96">INDEX($T$69:$W$74,0,3)</f>
        <v>1.1967059683589427</v>
      </c>
      <c r="H91" s="159">
        <f t="array" ref="H91:H96">INDEX($T$69:$W$74,0,3)</f>
        <v>1.1967059683589427</v>
      </c>
      <c r="I91" s="159"/>
      <c r="J91" s="159"/>
      <c r="K91" s="159"/>
      <c r="L91" s="159"/>
      <c r="M91" s="159"/>
      <c r="N91" s="159"/>
      <c r="O91" s="159"/>
      <c r="P91" s="159"/>
    </row>
    <row r="92" spans="2:16">
      <c r="B92" s="159"/>
      <c r="C92" s="159"/>
      <c r="D92" s="159" t="s">
        <v>520</v>
      </c>
      <c r="E92" s="84">
        <v>3</v>
      </c>
      <c r="F92" s="159">
        <v>23</v>
      </c>
      <c r="G92" s="159">
        <v>1.1284937281624832</v>
      </c>
      <c r="H92" s="159">
        <v>1.1284937281624832</v>
      </c>
      <c r="I92" s="159"/>
      <c r="J92" s="159"/>
      <c r="K92" s="159"/>
      <c r="L92" s="159"/>
      <c r="M92" s="159"/>
      <c r="N92" s="159"/>
      <c r="O92" s="159"/>
      <c r="P92" s="159"/>
    </row>
    <row r="93" spans="2:16">
      <c r="B93" s="159"/>
      <c r="C93" s="159"/>
      <c r="D93" s="159" t="s">
        <v>520</v>
      </c>
      <c r="E93" s="84">
        <v>5</v>
      </c>
      <c r="F93" s="159">
        <v>23</v>
      </c>
      <c r="G93" s="159">
        <v>1.0353337586436444</v>
      </c>
      <c r="H93" s="159">
        <v>1.0353337586436444</v>
      </c>
      <c r="I93" s="159"/>
      <c r="J93" s="159"/>
      <c r="K93" s="159"/>
      <c r="L93" s="159"/>
      <c r="M93" s="159"/>
      <c r="N93" s="159"/>
      <c r="O93" s="159"/>
      <c r="P93" s="159"/>
    </row>
    <row r="94" spans="2:16">
      <c r="B94" s="159"/>
      <c r="C94" s="159"/>
      <c r="D94" s="159" t="s">
        <v>520</v>
      </c>
      <c r="E94" s="84">
        <v>10</v>
      </c>
      <c r="F94" s="159">
        <v>23</v>
      </c>
      <c r="G94" s="159">
        <v>0.80555723742396468</v>
      </c>
      <c r="H94" s="159">
        <v>0.80555723742396468</v>
      </c>
      <c r="I94" s="159"/>
      <c r="J94" s="159"/>
      <c r="K94" s="159"/>
      <c r="L94" s="159"/>
      <c r="M94" s="159"/>
      <c r="N94" s="159"/>
      <c r="O94" s="159"/>
      <c r="P94" s="159"/>
    </row>
    <row r="95" spans="2:16">
      <c r="B95" s="159"/>
      <c r="C95" s="159"/>
      <c r="D95" s="159" t="s">
        <v>520</v>
      </c>
      <c r="E95" s="84">
        <v>15</v>
      </c>
      <c r="F95" s="159">
        <v>23</v>
      </c>
      <c r="G95" s="159">
        <v>0.56117491986046419</v>
      </c>
      <c r="H95" s="159">
        <v>0.56117491986046419</v>
      </c>
      <c r="I95" s="159"/>
      <c r="J95" s="159"/>
      <c r="K95" s="159"/>
      <c r="L95" s="159"/>
      <c r="M95" s="159"/>
      <c r="N95" s="159"/>
      <c r="O95" s="159"/>
      <c r="P95" s="159"/>
    </row>
    <row r="96" spans="2:16">
      <c r="B96" s="159"/>
      <c r="C96" s="159"/>
      <c r="D96" s="159" t="s">
        <v>520</v>
      </c>
      <c r="E96" s="84">
        <v>20</v>
      </c>
      <c r="F96" s="159">
        <v>23</v>
      </c>
      <c r="G96" s="159">
        <v>0.26075385356363512</v>
      </c>
      <c r="H96" s="159">
        <v>0.26075385356363512</v>
      </c>
      <c r="I96" s="159"/>
      <c r="J96" s="159"/>
      <c r="K96" s="159"/>
      <c r="L96" s="159"/>
      <c r="M96" s="159"/>
      <c r="N96" s="159"/>
      <c r="O96" s="159"/>
      <c r="P96" s="159"/>
    </row>
    <row r="97" spans="2:16">
      <c r="B97" s="159"/>
      <c r="C97" s="159"/>
      <c r="D97" s="159" t="s">
        <v>520</v>
      </c>
      <c r="E97" s="84">
        <v>1</v>
      </c>
      <c r="F97" s="159">
        <v>24</v>
      </c>
      <c r="G97" s="159">
        <f t="array" ref="G97:G102">INDEX($T$69:$W$74,0,4)</f>
        <v>1.3108552364990986</v>
      </c>
      <c r="H97" s="159">
        <f t="array" ref="H97:H102">INDEX($T$69:$W$74,0,4)</f>
        <v>1.3108552364990986</v>
      </c>
      <c r="I97" s="159"/>
      <c r="J97" s="159"/>
      <c r="K97" s="159"/>
      <c r="L97" s="159"/>
      <c r="M97" s="159"/>
      <c r="N97" s="159"/>
      <c r="O97" s="159"/>
      <c r="P97" s="159"/>
    </row>
    <row r="98" spans="2:16">
      <c r="B98" s="159"/>
      <c r="C98" s="159"/>
      <c r="D98" s="159" t="s">
        <v>520</v>
      </c>
      <c r="E98" s="84">
        <v>3</v>
      </c>
      <c r="F98" s="159">
        <v>24</v>
      </c>
      <c r="G98" s="159">
        <v>1.2479341851471419</v>
      </c>
      <c r="H98" s="159">
        <v>1.2479341851471419</v>
      </c>
      <c r="I98" s="159"/>
      <c r="J98" s="159"/>
      <c r="K98" s="159"/>
      <c r="L98" s="159"/>
      <c r="M98" s="159"/>
      <c r="N98" s="159"/>
      <c r="O98" s="159"/>
      <c r="P98" s="159"/>
    </row>
    <row r="99" spans="2:16">
      <c r="B99" s="159"/>
      <c r="C99" s="159"/>
      <c r="D99" s="159" t="s">
        <v>520</v>
      </c>
      <c r="E99" s="84">
        <v>5</v>
      </c>
      <c r="F99" s="159">
        <v>24</v>
      </c>
      <c r="G99" s="159">
        <v>1.1207812272067295</v>
      </c>
      <c r="H99" s="159">
        <v>1.1207812272067295</v>
      </c>
      <c r="I99" s="159"/>
      <c r="J99" s="159"/>
      <c r="K99" s="159"/>
      <c r="L99" s="159"/>
      <c r="M99" s="159"/>
      <c r="N99" s="159"/>
      <c r="O99" s="159"/>
      <c r="P99" s="159"/>
    </row>
    <row r="100" spans="2:16">
      <c r="B100" s="159"/>
      <c r="C100" s="159"/>
      <c r="D100" s="159" t="s">
        <v>520</v>
      </c>
      <c r="E100" s="84">
        <v>10</v>
      </c>
      <c r="F100" s="159">
        <v>24</v>
      </c>
      <c r="G100" s="159">
        <v>0.79181424047586157</v>
      </c>
      <c r="H100" s="159">
        <v>0.79181424047586157</v>
      </c>
      <c r="I100" s="159"/>
      <c r="J100" s="159"/>
      <c r="K100" s="159"/>
      <c r="L100" s="159"/>
      <c r="M100" s="159"/>
      <c r="N100" s="159"/>
      <c r="O100" s="159"/>
      <c r="P100" s="159"/>
    </row>
    <row r="101" spans="2:16">
      <c r="B101" s="159"/>
      <c r="C101" s="159"/>
      <c r="D101" s="159" t="s">
        <v>520</v>
      </c>
      <c r="E101" s="84">
        <v>15</v>
      </c>
      <c r="F101" s="159">
        <v>24</v>
      </c>
      <c r="G101" s="159">
        <v>0.42390436637907852</v>
      </c>
      <c r="H101" s="159">
        <v>0.42390436637907852</v>
      </c>
      <c r="I101" s="159"/>
      <c r="J101" s="159"/>
      <c r="K101" s="159"/>
      <c r="L101" s="159"/>
      <c r="M101" s="159"/>
      <c r="N101" s="159"/>
      <c r="O101" s="159"/>
      <c r="P101" s="159"/>
    </row>
    <row r="102" spans="2:16">
      <c r="B102" s="159"/>
      <c r="C102" s="159"/>
      <c r="D102" s="159" t="s">
        <v>520</v>
      </c>
      <c r="E102" s="84">
        <v>20</v>
      </c>
      <c r="F102" s="159">
        <v>24</v>
      </c>
      <c r="G102" s="159">
        <v>0.10621335639257597</v>
      </c>
      <c r="H102" s="159">
        <v>0.10621335639257597</v>
      </c>
      <c r="I102" s="159"/>
      <c r="J102" s="159"/>
      <c r="K102" s="159"/>
      <c r="L102" s="159"/>
      <c r="M102" s="159"/>
      <c r="N102" s="159"/>
      <c r="O102" s="159"/>
      <c r="P102" s="159"/>
    </row>
    <row r="103" spans="2:16">
      <c r="B103" s="159"/>
      <c r="C103" s="159"/>
      <c r="D103" s="159" t="s">
        <v>520</v>
      </c>
      <c r="E103" s="84">
        <v>1</v>
      </c>
      <c r="F103" s="159">
        <v>25</v>
      </c>
      <c r="G103" s="159">
        <v>1</v>
      </c>
      <c r="H103" s="159">
        <v>1</v>
      </c>
      <c r="I103" s="159"/>
      <c r="J103" s="159"/>
      <c r="K103" s="159"/>
      <c r="L103" s="159"/>
      <c r="M103" s="159"/>
      <c r="N103" s="159"/>
      <c r="O103" s="159"/>
      <c r="P103" s="159"/>
    </row>
    <row r="104" spans="2:16">
      <c r="B104" s="159"/>
      <c r="C104" s="159"/>
      <c r="D104" s="159" t="s">
        <v>520</v>
      </c>
      <c r="E104" s="84">
        <v>15</v>
      </c>
      <c r="F104" s="159">
        <v>25</v>
      </c>
      <c r="G104" s="159">
        <v>1</v>
      </c>
      <c r="H104" s="159">
        <v>1</v>
      </c>
      <c r="I104" s="159"/>
      <c r="J104" s="159"/>
      <c r="K104" s="159"/>
      <c r="L104" s="159"/>
      <c r="M104" s="159"/>
      <c r="N104" s="159"/>
      <c r="O104" s="159"/>
      <c r="P104" s="159"/>
    </row>
    <row r="105" spans="2:16">
      <c r="B105" s="159"/>
      <c r="C105" s="159"/>
      <c r="D105" s="159" t="s">
        <v>520</v>
      </c>
      <c r="E105" s="84">
        <v>16</v>
      </c>
      <c r="F105" s="159">
        <v>25</v>
      </c>
      <c r="G105" s="159">
        <v>0</v>
      </c>
      <c r="H105" s="159">
        <v>0</v>
      </c>
      <c r="I105" s="159"/>
      <c r="J105" s="159"/>
      <c r="K105" s="159"/>
      <c r="L105" s="159"/>
      <c r="M105" s="159"/>
      <c r="N105" s="159"/>
      <c r="O105" s="159"/>
      <c r="P105" s="159"/>
    </row>
  </sheetData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3"/>
  <sheetViews>
    <sheetView tabSelected="1" zoomScale="90" workbookViewId="0"/>
  </sheetViews>
  <sheetFormatPr defaultRowHeight="12.75"/>
  <cols>
    <col min="2" max="2" width="9.85546875" customWidth="1"/>
    <col min="3" max="3" width="10.5703125" customWidth="1"/>
    <col min="4" max="4" width="11.140625" customWidth="1"/>
    <col min="5" max="5" width="10.42578125" customWidth="1"/>
  </cols>
  <sheetData>
    <row r="1" spans="2:15"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</row>
    <row r="2" spans="2:15"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2:15">
      <c r="C3" s="7" t="s">
        <v>60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</row>
    <row r="4" spans="2:15" ht="15">
      <c r="C4" s="173" t="s">
        <v>55</v>
      </c>
      <c r="D4" s="173" t="s">
        <v>57</v>
      </c>
      <c r="E4" s="174" t="s">
        <v>58</v>
      </c>
      <c r="F4" s="173" t="s">
        <v>20</v>
      </c>
      <c r="G4" s="174" t="s">
        <v>71</v>
      </c>
      <c r="H4" s="174" t="s">
        <v>351</v>
      </c>
      <c r="I4" s="175" t="s">
        <v>66</v>
      </c>
      <c r="J4" s="175" t="s">
        <v>68</v>
      </c>
      <c r="K4" s="175" t="s">
        <v>59</v>
      </c>
      <c r="L4" s="175" t="s">
        <v>69</v>
      </c>
      <c r="N4" s="172"/>
    </row>
    <row r="5" spans="2:15" ht="15">
      <c r="C5" s="202"/>
      <c r="D5" s="202" t="s">
        <v>301</v>
      </c>
      <c r="E5" s="203">
        <v>2010</v>
      </c>
      <c r="F5" s="202" t="s">
        <v>555</v>
      </c>
      <c r="G5" s="203">
        <v>0</v>
      </c>
      <c r="H5" s="203">
        <v>0</v>
      </c>
      <c r="I5" s="203"/>
      <c r="J5" s="202"/>
      <c r="K5" s="202"/>
      <c r="L5" s="202"/>
      <c r="N5" s="172"/>
    </row>
    <row r="6" spans="2:15">
      <c r="C6" s="176"/>
      <c r="D6" s="176" t="s">
        <v>50</v>
      </c>
      <c r="E6" s="177">
        <v>2010</v>
      </c>
      <c r="F6" s="176" t="s">
        <v>556</v>
      </c>
      <c r="G6" s="177">
        <v>1E-3</v>
      </c>
      <c r="H6" s="177">
        <v>1E-3</v>
      </c>
      <c r="I6" s="177"/>
      <c r="J6" s="176"/>
      <c r="K6" s="176" t="s">
        <v>557</v>
      </c>
      <c r="L6" s="176"/>
      <c r="N6" s="216" t="str">
        <f t="shared" ref="N6:N39" si="0">MID(K6,4,3)</f>
        <v>CH4</v>
      </c>
    </row>
    <row r="7" spans="2:15">
      <c r="C7" s="176"/>
      <c r="D7" s="176" t="s">
        <v>50</v>
      </c>
      <c r="E7" s="177">
        <v>2010</v>
      </c>
      <c r="F7" s="176" t="s">
        <v>556</v>
      </c>
      <c r="G7" s="177">
        <v>1E-3</v>
      </c>
      <c r="H7" s="177">
        <v>1E-3</v>
      </c>
      <c r="I7" s="177"/>
      <c r="J7" s="176"/>
      <c r="K7" s="176" t="s">
        <v>558</v>
      </c>
      <c r="L7" s="176"/>
      <c r="N7" s="216" t="str">
        <f t="shared" si="0"/>
        <v>CH4</v>
      </c>
    </row>
    <row r="8" spans="2:15">
      <c r="C8" s="176"/>
      <c r="D8" s="176" t="s">
        <v>50</v>
      </c>
      <c r="E8" s="177">
        <v>2010</v>
      </c>
      <c r="F8" s="176" t="s">
        <v>556</v>
      </c>
      <c r="G8" s="177">
        <v>1E-3</v>
      </c>
      <c r="H8" s="177">
        <v>1E-3</v>
      </c>
      <c r="I8" s="177"/>
      <c r="J8" s="176"/>
      <c r="K8" s="176" t="s">
        <v>559</v>
      </c>
      <c r="L8" s="176"/>
      <c r="N8" s="216" t="str">
        <f t="shared" si="0"/>
        <v>CH4</v>
      </c>
    </row>
    <row r="9" spans="2:15">
      <c r="C9" s="176"/>
      <c r="D9" s="176" t="s">
        <v>50</v>
      </c>
      <c r="E9" s="177">
        <v>2010</v>
      </c>
      <c r="F9" s="176" t="s">
        <v>556</v>
      </c>
      <c r="G9" s="177">
        <v>1E-3</v>
      </c>
      <c r="H9" s="177">
        <v>1E-3</v>
      </c>
      <c r="I9" s="177"/>
      <c r="J9" s="176"/>
      <c r="K9" s="176" t="s">
        <v>560</v>
      </c>
      <c r="L9" s="176"/>
      <c r="N9" s="216" t="str">
        <f t="shared" si="0"/>
        <v>CH4</v>
      </c>
    </row>
    <row r="10" spans="2:15">
      <c r="C10" s="176"/>
      <c r="D10" s="176" t="s">
        <v>50</v>
      </c>
      <c r="E10" s="177">
        <v>2010</v>
      </c>
      <c r="F10" s="176" t="s">
        <v>556</v>
      </c>
      <c r="G10" s="177">
        <v>1E-3</v>
      </c>
      <c r="H10" s="177">
        <v>1E-3</v>
      </c>
      <c r="I10" s="177"/>
      <c r="J10" s="176"/>
      <c r="K10" s="176" t="s">
        <v>561</v>
      </c>
      <c r="L10" s="176"/>
      <c r="N10" s="216" t="str">
        <f t="shared" si="0"/>
        <v>CH4</v>
      </c>
    </row>
    <row r="11" spans="2:15">
      <c r="C11" s="176"/>
      <c r="D11" s="176" t="s">
        <v>50</v>
      </c>
      <c r="E11" s="177">
        <v>2010</v>
      </c>
      <c r="F11" s="176" t="s">
        <v>556</v>
      </c>
      <c r="G11" s="177">
        <v>1E-3</v>
      </c>
      <c r="H11" s="177">
        <v>1E-3</v>
      </c>
      <c r="I11" s="177"/>
      <c r="J11" s="176"/>
      <c r="K11" s="176" t="s">
        <v>562</v>
      </c>
      <c r="L11" s="176"/>
      <c r="N11" s="216" t="str">
        <f t="shared" si="0"/>
        <v>CH4</v>
      </c>
    </row>
    <row r="12" spans="2:15">
      <c r="C12" s="176"/>
      <c r="D12" s="176" t="s">
        <v>50</v>
      </c>
      <c r="E12" s="177">
        <v>2010</v>
      </c>
      <c r="F12" s="176" t="s">
        <v>556</v>
      </c>
      <c r="G12" s="177">
        <v>1E-3</v>
      </c>
      <c r="H12" s="177">
        <v>1E-3</v>
      </c>
      <c r="I12" s="177"/>
      <c r="J12" s="176"/>
      <c r="K12" s="176" t="s">
        <v>563</v>
      </c>
      <c r="L12" s="176"/>
      <c r="N12" s="216" t="str">
        <f t="shared" si="0"/>
        <v>CH4</v>
      </c>
    </row>
    <row r="13" spans="2:15">
      <c r="C13" s="176"/>
      <c r="D13" s="176" t="s">
        <v>50</v>
      </c>
      <c r="E13" s="177">
        <v>2010</v>
      </c>
      <c r="F13" s="176" t="s">
        <v>556</v>
      </c>
      <c r="G13" s="177">
        <v>1E-3</v>
      </c>
      <c r="H13" s="177">
        <v>1E-3</v>
      </c>
      <c r="I13" s="177"/>
      <c r="J13" s="176"/>
      <c r="K13" s="176" t="s">
        <v>564</v>
      </c>
      <c r="L13" s="176"/>
      <c r="N13" s="216" t="str">
        <f t="shared" si="0"/>
        <v>CH4</v>
      </c>
    </row>
    <row r="14" spans="2:15">
      <c r="C14" s="176"/>
      <c r="D14" s="176" t="s">
        <v>50</v>
      </c>
      <c r="E14" s="177">
        <v>2010</v>
      </c>
      <c r="F14" s="176" t="s">
        <v>556</v>
      </c>
      <c r="G14" s="177">
        <v>1E-3</v>
      </c>
      <c r="H14" s="177">
        <v>1E-3</v>
      </c>
      <c r="I14" s="177"/>
      <c r="J14" s="176"/>
      <c r="K14" s="176" t="s">
        <v>565</v>
      </c>
      <c r="L14" s="176"/>
      <c r="N14" s="216" t="str">
        <f t="shared" si="0"/>
        <v>CH4</v>
      </c>
    </row>
    <row r="15" spans="2:15">
      <c r="C15" s="176"/>
      <c r="D15" s="176" t="s">
        <v>50</v>
      </c>
      <c r="E15" s="177">
        <v>2010</v>
      </c>
      <c r="F15" s="176" t="s">
        <v>556</v>
      </c>
      <c r="G15" s="177">
        <v>1E-3</v>
      </c>
      <c r="H15" s="177">
        <v>1E-3</v>
      </c>
      <c r="I15" s="177"/>
      <c r="J15" s="176"/>
      <c r="K15" s="176" t="s">
        <v>566</v>
      </c>
      <c r="L15" s="176"/>
      <c r="N15" s="216" t="str">
        <f t="shared" si="0"/>
        <v>CH4</v>
      </c>
    </row>
    <row r="16" spans="2:15">
      <c r="C16" s="176"/>
      <c r="D16" s="176" t="s">
        <v>50</v>
      </c>
      <c r="E16" s="177">
        <v>2010</v>
      </c>
      <c r="F16" s="176" t="s">
        <v>556</v>
      </c>
      <c r="G16" s="177">
        <v>1E-3</v>
      </c>
      <c r="H16" s="177">
        <v>1E-3</v>
      </c>
      <c r="I16" s="177"/>
      <c r="J16" s="176"/>
      <c r="K16" s="176" t="s">
        <v>567</v>
      </c>
      <c r="L16" s="176"/>
      <c r="N16" s="216" t="str">
        <f t="shared" si="0"/>
        <v>CH4</v>
      </c>
    </row>
    <row r="17" spans="3:14">
      <c r="C17" s="178"/>
      <c r="D17" s="178" t="s">
        <v>50</v>
      </c>
      <c r="E17" s="179">
        <v>2010</v>
      </c>
      <c r="F17" s="178" t="s">
        <v>325</v>
      </c>
      <c r="G17" s="179">
        <v>1</v>
      </c>
      <c r="H17" s="179">
        <v>1</v>
      </c>
      <c r="I17" s="179"/>
      <c r="J17" s="178"/>
      <c r="K17" s="178" t="s">
        <v>568</v>
      </c>
      <c r="L17" s="178"/>
      <c r="N17" s="216" t="str">
        <f t="shared" si="0"/>
        <v>CO2</v>
      </c>
    </row>
    <row r="18" spans="3:14">
      <c r="C18" s="178"/>
      <c r="D18" s="178" t="s">
        <v>50</v>
      </c>
      <c r="E18" s="179">
        <v>2010</v>
      </c>
      <c r="F18" s="178" t="s">
        <v>325</v>
      </c>
      <c r="G18" s="179">
        <v>1</v>
      </c>
      <c r="H18" s="179">
        <v>1</v>
      </c>
      <c r="I18" s="179"/>
      <c r="J18" s="178"/>
      <c r="K18" s="178" t="s">
        <v>569</v>
      </c>
      <c r="L18" s="178"/>
      <c r="N18" s="216" t="str">
        <f t="shared" si="0"/>
        <v>CO2</v>
      </c>
    </row>
    <row r="19" spans="3:14">
      <c r="C19" s="178"/>
      <c r="D19" s="178" t="s">
        <v>50</v>
      </c>
      <c r="E19" s="179">
        <v>2010</v>
      </c>
      <c r="F19" s="178" t="s">
        <v>325</v>
      </c>
      <c r="G19" s="179">
        <v>1</v>
      </c>
      <c r="H19" s="179">
        <v>1</v>
      </c>
      <c r="I19" s="179"/>
      <c r="J19" s="178"/>
      <c r="K19" s="178" t="s">
        <v>570</v>
      </c>
      <c r="L19" s="178"/>
      <c r="N19" s="216" t="str">
        <f t="shared" si="0"/>
        <v>CO2</v>
      </c>
    </row>
    <row r="20" spans="3:14">
      <c r="C20" s="178"/>
      <c r="D20" s="178" t="s">
        <v>50</v>
      </c>
      <c r="E20" s="179">
        <v>2010</v>
      </c>
      <c r="F20" s="178" t="s">
        <v>325</v>
      </c>
      <c r="G20" s="179">
        <v>1</v>
      </c>
      <c r="H20" s="179">
        <v>1</v>
      </c>
      <c r="I20" s="179"/>
      <c r="J20" s="178"/>
      <c r="K20" s="178" t="s">
        <v>571</v>
      </c>
      <c r="L20" s="178"/>
      <c r="N20" s="216" t="str">
        <f t="shared" si="0"/>
        <v>CO2</v>
      </c>
    </row>
    <row r="21" spans="3:14">
      <c r="C21" s="178"/>
      <c r="D21" s="178" t="s">
        <v>50</v>
      </c>
      <c r="E21" s="179">
        <v>2010</v>
      </c>
      <c r="F21" s="178" t="s">
        <v>325</v>
      </c>
      <c r="G21" s="179">
        <v>1</v>
      </c>
      <c r="H21" s="179">
        <v>1</v>
      </c>
      <c r="I21" s="179"/>
      <c r="J21" s="178"/>
      <c r="K21" s="178" t="s">
        <v>572</v>
      </c>
      <c r="L21" s="178"/>
      <c r="N21" s="216" t="str">
        <f t="shared" si="0"/>
        <v>CO2</v>
      </c>
    </row>
    <row r="22" spans="3:14">
      <c r="C22" s="178"/>
      <c r="D22" s="178" t="s">
        <v>50</v>
      </c>
      <c r="E22" s="179">
        <v>2010</v>
      </c>
      <c r="F22" s="178" t="s">
        <v>325</v>
      </c>
      <c r="G22" s="179">
        <v>1</v>
      </c>
      <c r="H22" s="179">
        <v>1</v>
      </c>
      <c r="I22" s="179"/>
      <c r="J22" s="178"/>
      <c r="K22" s="178" t="s">
        <v>573</v>
      </c>
      <c r="L22" s="178"/>
      <c r="N22" s="216" t="str">
        <f t="shared" si="0"/>
        <v>CO2</v>
      </c>
    </row>
    <row r="23" spans="3:14">
      <c r="C23" s="178"/>
      <c r="D23" s="178" t="s">
        <v>50</v>
      </c>
      <c r="E23" s="179">
        <v>2010</v>
      </c>
      <c r="F23" s="178" t="s">
        <v>325</v>
      </c>
      <c r="G23" s="179">
        <v>1</v>
      </c>
      <c r="H23" s="179">
        <v>1</v>
      </c>
      <c r="I23" s="179"/>
      <c r="J23" s="178"/>
      <c r="K23" s="178" t="s">
        <v>574</v>
      </c>
      <c r="L23" s="178"/>
      <c r="N23" s="216" t="str">
        <f t="shared" si="0"/>
        <v>CO2</v>
      </c>
    </row>
    <row r="24" spans="3:14">
      <c r="C24" s="178"/>
      <c r="D24" s="178" t="s">
        <v>50</v>
      </c>
      <c r="E24" s="179">
        <v>2010</v>
      </c>
      <c r="F24" s="178" t="s">
        <v>325</v>
      </c>
      <c r="G24" s="179">
        <v>1</v>
      </c>
      <c r="H24" s="179">
        <v>1</v>
      </c>
      <c r="I24" s="179"/>
      <c r="J24" s="178"/>
      <c r="K24" s="178" t="s">
        <v>575</v>
      </c>
      <c r="L24" s="178"/>
      <c r="N24" s="216" t="str">
        <f t="shared" si="0"/>
        <v>CO2</v>
      </c>
    </row>
    <row r="25" spans="3:14">
      <c r="C25" s="178"/>
      <c r="D25" s="178" t="s">
        <v>50</v>
      </c>
      <c r="E25" s="179">
        <v>2010</v>
      </c>
      <c r="F25" s="178" t="s">
        <v>325</v>
      </c>
      <c r="G25" s="179">
        <v>1</v>
      </c>
      <c r="H25" s="179">
        <v>1</v>
      </c>
      <c r="I25" s="179"/>
      <c r="J25" s="178"/>
      <c r="K25" s="178" t="s">
        <v>576</v>
      </c>
      <c r="L25" s="178"/>
      <c r="N25" s="216" t="str">
        <f t="shared" si="0"/>
        <v>CO2</v>
      </c>
    </row>
    <row r="26" spans="3:14">
      <c r="C26" s="178"/>
      <c r="D26" s="178" t="s">
        <v>50</v>
      </c>
      <c r="E26" s="179">
        <v>2010</v>
      </c>
      <c r="F26" s="178" t="s">
        <v>325</v>
      </c>
      <c r="G26" s="179">
        <v>1</v>
      </c>
      <c r="H26" s="179">
        <v>1</v>
      </c>
      <c r="I26" s="179"/>
      <c r="J26" s="178"/>
      <c r="K26" s="178" t="s">
        <v>577</v>
      </c>
      <c r="L26" s="178"/>
      <c r="N26" s="216" t="str">
        <f t="shared" si="0"/>
        <v>CO2</v>
      </c>
    </row>
    <row r="27" spans="3:14">
      <c r="C27" s="178"/>
      <c r="D27" s="178" t="s">
        <v>50</v>
      </c>
      <c r="E27" s="179">
        <v>2010</v>
      </c>
      <c r="F27" s="178" t="s">
        <v>325</v>
      </c>
      <c r="G27" s="179">
        <v>1</v>
      </c>
      <c r="H27" s="179">
        <v>1</v>
      </c>
      <c r="I27" s="179"/>
      <c r="J27" s="178"/>
      <c r="K27" s="178" t="s">
        <v>434</v>
      </c>
      <c r="L27" s="178"/>
      <c r="N27" s="216" t="str">
        <f t="shared" si="0"/>
        <v>CO2</v>
      </c>
    </row>
    <row r="28" spans="3:14">
      <c r="C28" s="178"/>
      <c r="D28" s="178" t="s">
        <v>50</v>
      </c>
      <c r="E28" s="179">
        <v>2010</v>
      </c>
      <c r="F28" s="178" t="s">
        <v>325</v>
      </c>
      <c r="G28" s="179">
        <v>1</v>
      </c>
      <c r="H28" s="179">
        <v>1</v>
      </c>
      <c r="I28" s="179"/>
      <c r="J28" s="178"/>
      <c r="K28" s="178" t="s">
        <v>388</v>
      </c>
      <c r="L28" s="178"/>
      <c r="N28" s="216" t="str">
        <f t="shared" si="0"/>
        <v>CO2</v>
      </c>
    </row>
    <row r="29" spans="3:14">
      <c r="C29" s="176"/>
      <c r="D29" s="176" t="s">
        <v>50</v>
      </c>
      <c r="E29" s="177">
        <v>2010</v>
      </c>
      <c r="F29" s="176" t="s">
        <v>578</v>
      </c>
      <c r="G29" s="177">
        <v>1E-3</v>
      </c>
      <c r="H29" s="177">
        <v>1E-3</v>
      </c>
      <c r="I29" s="177"/>
      <c r="J29" s="176"/>
      <c r="K29" s="176" t="s">
        <v>579</v>
      </c>
      <c r="L29" s="176"/>
      <c r="N29" s="216" t="str">
        <f t="shared" si="0"/>
        <v>N2O</v>
      </c>
    </row>
    <row r="30" spans="3:14">
      <c r="C30" s="176"/>
      <c r="D30" s="176" t="s">
        <v>50</v>
      </c>
      <c r="E30" s="177">
        <v>2010</v>
      </c>
      <c r="F30" s="176" t="s">
        <v>578</v>
      </c>
      <c r="G30" s="177">
        <v>1E-3</v>
      </c>
      <c r="H30" s="177">
        <v>1E-3</v>
      </c>
      <c r="I30" s="177"/>
      <c r="J30" s="176"/>
      <c r="K30" s="176" t="s">
        <v>350</v>
      </c>
      <c r="L30" s="176"/>
      <c r="N30" s="216" t="str">
        <f t="shared" si="0"/>
        <v>N2O</v>
      </c>
    </row>
    <row r="31" spans="3:14">
      <c r="C31" s="176"/>
      <c r="D31" s="176" t="s">
        <v>50</v>
      </c>
      <c r="E31" s="177">
        <v>2010</v>
      </c>
      <c r="F31" s="176" t="s">
        <v>578</v>
      </c>
      <c r="G31" s="177">
        <v>1E-3</v>
      </c>
      <c r="H31" s="177">
        <v>1E-3</v>
      </c>
      <c r="I31" s="177"/>
      <c r="J31" s="176"/>
      <c r="K31" s="176" t="s">
        <v>580</v>
      </c>
      <c r="L31" s="176"/>
      <c r="N31" s="216" t="str">
        <f t="shared" si="0"/>
        <v>N2O</v>
      </c>
    </row>
    <row r="32" spans="3:14">
      <c r="C32" s="176"/>
      <c r="D32" s="176" t="s">
        <v>50</v>
      </c>
      <c r="E32" s="177">
        <v>2010</v>
      </c>
      <c r="F32" s="176" t="s">
        <v>578</v>
      </c>
      <c r="G32" s="177">
        <v>1E-3</v>
      </c>
      <c r="H32" s="177">
        <v>1E-3</v>
      </c>
      <c r="I32" s="177"/>
      <c r="J32" s="176"/>
      <c r="K32" s="176" t="s">
        <v>581</v>
      </c>
      <c r="L32" s="176"/>
      <c r="N32" s="216" t="str">
        <f t="shared" si="0"/>
        <v>N2O</v>
      </c>
    </row>
    <row r="33" spans="3:14">
      <c r="C33" s="176"/>
      <c r="D33" s="176" t="s">
        <v>50</v>
      </c>
      <c r="E33" s="177">
        <v>2010</v>
      </c>
      <c r="F33" s="176" t="s">
        <v>578</v>
      </c>
      <c r="G33" s="177">
        <v>1E-3</v>
      </c>
      <c r="H33" s="177">
        <v>1E-3</v>
      </c>
      <c r="I33" s="177"/>
      <c r="J33" s="176"/>
      <c r="K33" s="176" t="s">
        <v>582</v>
      </c>
      <c r="L33" s="176"/>
      <c r="N33" s="216" t="str">
        <f t="shared" si="0"/>
        <v>N2O</v>
      </c>
    </row>
    <row r="34" spans="3:14">
      <c r="C34" s="176"/>
      <c r="D34" s="176" t="s">
        <v>50</v>
      </c>
      <c r="E34" s="177">
        <v>2010</v>
      </c>
      <c r="F34" s="176" t="s">
        <v>578</v>
      </c>
      <c r="G34" s="177">
        <v>1E-3</v>
      </c>
      <c r="H34" s="177">
        <v>1E-3</v>
      </c>
      <c r="I34" s="177"/>
      <c r="J34" s="176"/>
      <c r="K34" s="176" t="s">
        <v>583</v>
      </c>
      <c r="L34" s="176"/>
      <c r="N34" s="216" t="str">
        <f t="shared" si="0"/>
        <v>N2O</v>
      </c>
    </row>
    <row r="35" spans="3:14">
      <c r="C35" s="176"/>
      <c r="D35" s="176" t="s">
        <v>50</v>
      </c>
      <c r="E35" s="177">
        <v>2010</v>
      </c>
      <c r="F35" s="176" t="s">
        <v>578</v>
      </c>
      <c r="G35" s="177">
        <v>1E-3</v>
      </c>
      <c r="H35" s="177">
        <v>1E-3</v>
      </c>
      <c r="I35" s="177"/>
      <c r="J35" s="176"/>
      <c r="K35" s="176" t="s">
        <v>584</v>
      </c>
      <c r="L35" s="176"/>
      <c r="N35" s="216" t="str">
        <f t="shared" si="0"/>
        <v>N2O</v>
      </c>
    </row>
    <row r="36" spans="3:14">
      <c r="C36" s="176"/>
      <c r="D36" s="176" t="s">
        <v>50</v>
      </c>
      <c r="E36" s="177">
        <v>2010</v>
      </c>
      <c r="F36" s="176" t="s">
        <v>578</v>
      </c>
      <c r="G36" s="177">
        <v>1E-3</v>
      </c>
      <c r="H36" s="177">
        <v>1E-3</v>
      </c>
      <c r="I36" s="177"/>
      <c r="J36" s="176"/>
      <c r="K36" s="176" t="s">
        <v>585</v>
      </c>
      <c r="L36" s="176"/>
      <c r="N36" s="216" t="str">
        <f t="shared" si="0"/>
        <v>N2O</v>
      </c>
    </row>
    <row r="37" spans="3:14">
      <c r="C37" s="176"/>
      <c r="D37" s="176" t="s">
        <v>50</v>
      </c>
      <c r="E37" s="177">
        <v>2010</v>
      </c>
      <c r="F37" s="176" t="s">
        <v>578</v>
      </c>
      <c r="G37" s="177">
        <v>1E-3</v>
      </c>
      <c r="H37" s="177">
        <v>1E-3</v>
      </c>
      <c r="I37" s="177"/>
      <c r="J37" s="176"/>
      <c r="K37" s="176" t="s">
        <v>586</v>
      </c>
      <c r="L37" s="176"/>
      <c r="N37" s="216" t="str">
        <f t="shared" si="0"/>
        <v>N2O</v>
      </c>
    </row>
    <row r="38" spans="3:14">
      <c r="C38" s="176"/>
      <c r="D38" s="176" t="s">
        <v>50</v>
      </c>
      <c r="E38" s="177">
        <v>2010</v>
      </c>
      <c r="F38" s="176" t="s">
        <v>578</v>
      </c>
      <c r="G38" s="177">
        <v>1E-3</v>
      </c>
      <c r="H38" s="177">
        <v>1E-3</v>
      </c>
      <c r="I38" s="177"/>
      <c r="J38" s="176"/>
      <c r="K38" s="176" t="s">
        <v>587</v>
      </c>
      <c r="L38" s="176"/>
      <c r="N38" s="216" t="str">
        <f t="shared" si="0"/>
        <v>N2O</v>
      </c>
    </row>
    <row r="39" spans="3:14">
      <c r="C39" s="176"/>
      <c r="D39" s="176" t="s">
        <v>50</v>
      </c>
      <c r="E39" s="177">
        <v>2010</v>
      </c>
      <c r="F39" s="176" t="s">
        <v>578</v>
      </c>
      <c r="G39" s="177">
        <v>1E-3</v>
      </c>
      <c r="H39" s="177">
        <v>1E-3</v>
      </c>
      <c r="I39" s="177"/>
      <c r="J39" s="176"/>
      <c r="K39" s="176" t="s">
        <v>588</v>
      </c>
      <c r="L39" s="176"/>
      <c r="N39" s="216" t="str">
        <f t="shared" si="0"/>
        <v>N2O</v>
      </c>
    </row>
    <row r="40" spans="3:14">
      <c r="C40" s="217"/>
      <c r="D40" s="217" t="s">
        <v>50</v>
      </c>
      <c r="E40" s="218">
        <v>2010</v>
      </c>
      <c r="F40" s="217" t="s">
        <v>589</v>
      </c>
      <c r="G40" s="218">
        <v>25</v>
      </c>
      <c r="H40" s="218">
        <v>25</v>
      </c>
      <c r="I40" s="218"/>
      <c r="J40" s="217"/>
      <c r="K40" s="217" t="s">
        <v>556</v>
      </c>
      <c r="L40" s="217"/>
      <c r="N40" s="172"/>
    </row>
    <row r="41" spans="3:14">
      <c r="C41" s="217"/>
      <c r="D41" s="217" t="s">
        <v>50</v>
      </c>
      <c r="E41" s="218">
        <v>2010</v>
      </c>
      <c r="F41" s="217" t="s">
        <v>589</v>
      </c>
      <c r="G41" s="218">
        <v>298</v>
      </c>
      <c r="H41" s="218">
        <v>298</v>
      </c>
      <c r="I41" s="218"/>
      <c r="J41" s="217"/>
      <c r="K41" s="217" t="s">
        <v>578</v>
      </c>
      <c r="L41" s="217"/>
      <c r="N41" s="172"/>
    </row>
    <row r="42" spans="3:14">
      <c r="C42" s="178"/>
      <c r="D42" s="178" t="s">
        <v>50</v>
      </c>
      <c r="E42" s="179">
        <v>2010</v>
      </c>
      <c r="F42" s="178" t="s">
        <v>555</v>
      </c>
      <c r="G42" s="179">
        <v>1E-3</v>
      </c>
      <c r="H42" s="179">
        <v>1E-3</v>
      </c>
      <c r="I42" s="179"/>
      <c r="J42" s="178"/>
      <c r="K42" s="178" t="s">
        <v>325</v>
      </c>
      <c r="L42" s="178"/>
      <c r="N42" s="172"/>
    </row>
    <row r="43" spans="3:14">
      <c r="C43" s="178"/>
      <c r="D43" s="178" t="s">
        <v>50</v>
      </c>
      <c r="E43" s="179">
        <v>2010</v>
      </c>
      <c r="F43" s="178" t="s">
        <v>555</v>
      </c>
      <c r="G43" s="179">
        <f>G40/1000</f>
        <v>2.5000000000000001E-2</v>
      </c>
      <c r="H43" s="179">
        <f>H40/1000</f>
        <v>2.5000000000000001E-2</v>
      </c>
      <c r="I43" s="179"/>
      <c r="J43" s="178"/>
      <c r="K43" s="178" t="s">
        <v>556</v>
      </c>
      <c r="L43" s="178"/>
      <c r="N43" s="172"/>
    </row>
    <row r="44" spans="3:14">
      <c r="C44" s="178"/>
      <c r="D44" s="178" t="s">
        <v>50</v>
      </c>
      <c r="E44" s="179">
        <v>2010</v>
      </c>
      <c r="F44" s="178" t="s">
        <v>555</v>
      </c>
      <c r="G44" s="179">
        <f>G41/1000</f>
        <v>0.29799999999999999</v>
      </c>
      <c r="H44" s="179">
        <f>H41/1000</f>
        <v>0.29799999999999999</v>
      </c>
      <c r="I44" s="179"/>
      <c r="J44" s="178"/>
      <c r="K44" s="178" t="s">
        <v>578</v>
      </c>
      <c r="L44" s="178"/>
      <c r="N44" s="172"/>
    </row>
    <row r="45" spans="3:14">
      <c r="C45" s="178"/>
      <c r="D45" s="178" t="s">
        <v>50</v>
      </c>
      <c r="E45" s="179">
        <v>2010</v>
      </c>
      <c r="F45" s="178" t="s">
        <v>555</v>
      </c>
      <c r="G45" s="179">
        <v>1E-3</v>
      </c>
      <c r="H45" s="179">
        <v>1E-3</v>
      </c>
      <c r="I45" s="179"/>
      <c r="J45" s="178"/>
      <c r="K45" s="178" t="s">
        <v>590</v>
      </c>
      <c r="L45" s="178"/>
      <c r="N45" s="172"/>
    </row>
    <row r="46" spans="3:14">
      <c r="C46" s="219"/>
      <c r="D46" s="219" t="s">
        <v>301</v>
      </c>
      <c r="E46" s="219"/>
      <c r="F46" s="219"/>
      <c r="G46" s="219"/>
      <c r="H46" s="219"/>
      <c r="I46" s="219"/>
      <c r="J46" s="219"/>
      <c r="K46" s="219"/>
      <c r="L46" s="219"/>
      <c r="M46" s="172"/>
      <c r="N46" s="172"/>
    </row>
    <row r="47" spans="3:14">
      <c r="C47" s="212" t="s">
        <v>118</v>
      </c>
      <c r="D47" s="212" t="s">
        <v>133</v>
      </c>
      <c r="E47" s="213">
        <v>2020</v>
      </c>
      <c r="F47" s="212" t="s">
        <v>617</v>
      </c>
      <c r="G47" s="215">
        <v>39.906680000000001</v>
      </c>
      <c r="H47" s="215">
        <v>39.906680000000001</v>
      </c>
      <c r="I47" s="212" t="s">
        <v>619</v>
      </c>
      <c r="J47" s="212"/>
      <c r="K47" s="214" t="s">
        <v>618</v>
      </c>
      <c r="L47" s="212"/>
      <c r="M47" s="172"/>
      <c r="N47" s="172"/>
    </row>
    <row r="48" spans="3:14">
      <c r="C48" s="212" t="s">
        <v>118</v>
      </c>
      <c r="D48" s="212" t="s">
        <v>133</v>
      </c>
      <c r="E48" s="213">
        <v>2020</v>
      </c>
      <c r="F48" s="212" t="s">
        <v>617</v>
      </c>
      <c r="G48" s="215">
        <v>39.906680000000001</v>
      </c>
      <c r="H48" s="215">
        <v>39.906680000000001</v>
      </c>
      <c r="I48" s="212" t="s">
        <v>620</v>
      </c>
      <c r="J48" s="212"/>
      <c r="K48" s="214" t="s">
        <v>618</v>
      </c>
      <c r="L48" s="212"/>
      <c r="M48" s="172"/>
      <c r="N48" s="172"/>
    </row>
    <row r="52" spans="1:17" ht="15">
      <c r="A52" s="71"/>
      <c r="B52" s="71"/>
      <c r="C52" s="222" t="s">
        <v>60</v>
      </c>
      <c r="D52" s="223"/>
      <c r="E52" s="223"/>
      <c r="F52" s="223"/>
      <c r="G52" s="223"/>
      <c r="H52" s="223"/>
      <c r="I52" s="223"/>
      <c r="J52" s="223"/>
      <c r="K52" s="223"/>
      <c r="L52" s="223"/>
      <c r="M52" s="223"/>
      <c r="N52" s="224"/>
      <c r="O52" s="225"/>
      <c r="P52" s="225"/>
      <c r="Q52" s="225"/>
    </row>
    <row r="53" spans="1:17" ht="15.75" thickBot="1">
      <c r="A53" s="71"/>
      <c r="B53" s="71"/>
      <c r="C53" s="226" t="s">
        <v>55</v>
      </c>
      <c r="D53" s="226" t="s">
        <v>57</v>
      </c>
      <c r="E53" s="226" t="s">
        <v>20</v>
      </c>
      <c r="F53" s="226" t="s">
        <v>58</v>
      </c>
      <c r="G53" s="227" t="s">
        <v>71</v>
      </c>
      <c r="H53" s="227" t="s">
        <v>351</v>
      </c>
      <c r="I53" s="226" t="s">
        <v>66</v>
      </c>
      <c r="J53" s="228" t="s">
        <v>67</v>
      </c>
      <c r="K53" s="226" t="s">
        <v>68</v>
      </c>
      <c r="L53" s="228" t="s">
        <v>59</v>
      </c>
      <c r="Q53" s="71"/>
    </row>
    <row r="54" spans="1:17" ht="15">
      <c r="A54" s="71" t="s">
        <v>622</v>
      </c>
      <c r="B54" s="71"/>
      <c r="C54" s="15"/>
      <c r="D54" s="15" t="s">
        <v>50</v>
      </c>
      <c r="E54" s="15" t="s">
        <v>623</v>
      </c>
      <c r="F54" s="77">
        <v>2005</v>
      </c>
      <c r="G54" s="15">
        <v>1</v>
      </c>
      <c r="H54" s="15">
        <v>1</v>
      </c>
      <c r="I54" s="15"/>
      <c r="J54" s="15"/>
      <c r="K54" s="15"/>
      <c r="L54" s="15" t="s">
        <v>577</v>
      </c>
      <c r="Q54" s="71"/>
    </row>
    <row r="55" spans="1:17" ht="15">
      <c r="A55" s="71" t="s">
        <v>624</v>
      </c>
      <c r="B55" s="71"/>
      <c r="C55" s="15"/>
      <c r="D55" s="15" t="s">
        <v>50</v>
      </c>
      <c r="E55" s="15" t="s">
        <v>623</v>
      </c>
      <c r="F55" s="101">
        <v>2005</v>
      </c>
      <c r="G55" s="15">
        <v>1</v>
      </c>
      <c r="H55" s="15">
        <v>1</v>
      </c>
      <c r="I55" s="15"/>
      <c r="J55" s="15"/>
      <c r="K55" s="15"/>
      <c r="L55" s="15" t="s">
        <v>568</v>
      </c>
      <c r="Q55" s="71"/>
    </row>
    <row r="56" spans="1:17" ht="15">
      <c r="A56" s="71"/>
      <c r="B56" s="71"/>
      <c r="C56" s="15"/>
      <c r="D56" s="15" t="s">
        <v>50</v>
      </c>
      <c r="E56" s="15" t="s">
        <v>623</v>
      </c>
      <c r="F56" s="101">
        <v>2005</v>
      </c>
      <c r="G56" s="15">
        <v>1</v>
      </c>
      <c r="H56" s="15">
        <v>1</v>
      </c>
      <c r="I56" s="15"/>
      <c r="J56" s="15"/>
      <c r="K56" s="15"/>
      <c r="L56" s="15" t="s">
        <v>569</v>
      </c>
      <c r="Q56" s="71"/>
    </row>
    <row r="57" spans="1:17" ht="15">
      <c r="A57" s="71"/>
      <c r="B57" s="71"/>
      <c r="C57" s="15"/>
      <c r="D57" s="15" t="s">
        <v>50</v>
      </c>
      <c r="E57" s="15" t="s">
        <v>623</v>
      </c>
      <c r="F57" s="77">
        <v>2005</v>
      </c>
      <c r="G57" s="15">
        <v>1</v>
      </c>
      <c r="H57" s="15">
        <v>1</v>
      </c>
      <c r="I57" s="15"/>
      <c r="J57" s="15"/>
      <c r="K57" s="15"/>
      <c r="L57" s="15" t="s">
        <v>575</v>
      </c>
      <c r="Q57" s="71"/>
    </row>
    <row r="58" spans="1:17" ht="15">
      <c r="A58" s="71"/>
      <c r="B58" s="71"/>
      <c r="C58" s="15"/>
      <c r="D58" s="15" t="s">
        <v>50</v>
      </c>
      <c r="E58" s="15" t="s">
        <v>623</v>
      </c>
      <c r="F58" s="101">
        <v>2005</v>
      </c>
      <c r="G58" s="15">
        <v>1</v>
      </c>
      <c r="H58" s="15">
        <v>1</v>
      </c>
      <c r="I58" s="15"/>
      <c r="J58" s="15"/>
      <c r="K58" s="15"/>
      <c r="L58" s="15" t="s">
        <v>576</v>
      </c>
      <c r="Q58" s="71"/>
    </row>
    <row r="59" spans="1:17" ht="15">
      <c r="A59" s="71"/>
      <c r="B59" s="71"/>
      <c r="C59" s="15"/>
      <c r="D59" s="15" t="s">
        <v>50</v>
      </c>
      <c r="E59" s="15" t="s">
        <v>623</v>
      </c>
      <c r="F59" s="101">
        <v>2005</v>
      </c>
      <c r="G59" s="15">
        <v>1</v>
      </c>
      <c r="H59" s="15">
        <v>1</v>
      </c>
      <c r="I59" s="15"/>
      <c r="J59" s="15"/>
      <c r="K59" s="15"/>
      <c r="L59" s="15" t="s">
        <v>570</v>
      </c>
      <c r="Q59" s="71"/>
    </row>
    <row r="60" spans="1:17" ht="15">
      <c r="A60" s="71"/>
      <c r="B60" s="71"/>
      <c r="C60" s="15"/>
      <c r="D60" s="15" t="s">
        <v>50</v>
      </c>
      <c r="E60" s="15" t="s">
        <v>623</v>
      </c>
      <c r="F60" s="101">
        <v>2005</v>
      </c>
      <c r="G60" s="15">
        <v>0</v>
      </c>
      <c r="H60" s="15">
        <v>0</v>
      </c>
      <c r="I60" s="15"/>
      <c r="J60" s="15"/>
      <c r="K60" s="15"/>
      <c r="L60" s="15" t="s">
        <v>556</v>
      </c>
      <c r="Q60" s="71"/>
    </row>
    <row r="61" spans="1:17" ht="15">
      <c r="A61" s="71"/>
      <c r="B61" s="71"/>
      <c r="C61" s="15"/>
      <c r="D61" s="15" t="s">
        <v>50</v>
      </c>
      <c r="E61" s="15" t="s">
        <v>623</v>
      </c>
      <c r="F61" s="101">
        <v>2005</v>
      </c>
      <c r="G61" s="15">
        <v>0</v>
      </c>
      <c r="H61" s="15">
        <v>0</v>
      </c>
      <c r="I61" s="15"/>
      <c r="J61" s="15"/>
      <c r="K61" s="15"/>
      <c r="L61" s="15" t="s">
        <v>578</v>
      </c>
      <c r="Q61" s="71"/>
    </row>
    <row r="62" spans="1:17" ht="15">
      <c r="A62" s="71"/>
      <c r="B62" s="71"/>
      <c r="C62" s="15"/>
      <c r="D62" s="15" t="s">
        <v>50</v>
      </c>
      <c r="E62" s="15" t="s">
        <v>623</v>
      </c>
      <c r="F62" s="101">
        <v>2005</v>
      </c>
      <c r="G62" s="15">
        <v>2.5000000000000001E-2</v>
      </c>
      <c r="H62" s="15">
        <v>2.5000000000000001E-2</v>
      </c>
      <c r="I62" s="15"/>
      <c r="J62" s="15"/>
      <c r="K62" s="15"/>
      <c r="L62" s="15" t="s">
        <v>560</v>
      </c>
      <c r="Q62" s="71"/>
    </row>
    <row r="63" spans="1:17" ht="15">
      <c r="A63" s="71"/>
      <c r="B63" s="71"/>
      <c r="C63" s="15"/>
      <c r="D63" s="15" t="s">
        <v>50</v>
      </c>
      <c r="E63" s="15" t="s">
        <v>623</v>
      </c>
      <c r="F63" s="101">
        <v>2005</v>
      </c>
      <c r="G63" s="15">
        <v>2.5000000000000001E-2</v>
      </c>
      <c r="H63" s="15">
        <v>2.5000000000000001E-2</v>
      </c>
      <c r="I63" s="15"/>
      <c r="J63" s="15"/>
      <c r="K63" s="15"/>
      <c r="L63" s="15" t="s">
        <v>566</v>
      </c>
      <c r="Q63" s="71"/>
    </row>
    <row r="64" spans="1:17" ht="15">
      <c r="A64" s="71"/>
      <c r="B64" s="71"/>
      <c r="C64" s="15"/>
      <c r="D64" s="15" t="s">
        <v>50</v>
      </c>
      <c r="E64" s="15" t="s">
        <v>623</v>
      </c>
      <c r="F64" s="101">
        <v>2005</v>
      </c>
      <c r="G64" s="15">
        <v>2.5000000000000001E-2</v>
      </c>
      <c r="H64" s="15">
        <v>2.5000000000000001E-2</v>
      </c>
      <c r="I64" s="15"/>
      <c r="J64" s="15"/>
      <c r="K64" s="15"/>
      <c r="L64" s="15" t="s">
        <v>567</v>
      </c>
      <c r="Q64" s="71"/>
    </row>
    <row r="65" spans="1:17" ht="15">
      <c r="A65" s="71"/>
      <c r="B65" s="71"/>
      <c r="C65" s="15"/>
      <c r="D65" s="15" t="s">
        <v>50</v>
      </c>
      <c r="E65" s="15" t="s">
        <v>623</v>
      </c>
      <c r="F65" s="101">
        <v>2005</v>
      </c>
      <c r="G65" s="15">
        <v>2.5000000000000001E-2</v>
      </c>
      <c r="H65" s="15">
        <v>2.5000000000000001E-2</v>
      </c>
      <c r="I65" s="15"/>
      <c r="J65" s="15"/>
      <c r="K65" s="15"/>
      <c r="L65" s="15" t="s">
        <v>563</v>
      </c>
      <c r="Q65" s="71"/>
    </row>
    <row r="66" spans="1:17" ht="15">
      <c r="A66" s="71"/>
      <c r="B66" s="71"/>
      <c r="C66" s="15"/>
      <c r="D66" s="15" t="s">
        <v>50</v>
      </c>
      <c r="E66" s="15" t="s">
        <v>623</v>
      </c>
      <c r="F66" s="101">
        <v>2005</v>
      </c>
      <c r="G66" s="15">
        <v>2.5000000000000001E-2</v>
      </c>
      <c r="H66" s="15">
        <v>2.5000000000000001E-2</v>
      </c>
      <c r="I66" s="15"/>
      <c r="J66" s="15"/>
      <c r="K66" s="15"/>
      <c r="L66" s="15" t="s">
        <v>564</v>
      </c>
      <c r="Q66" s="71"/>
    </row>
    <row r="67" spans="1:17" ht="15">
      <c r="A67" s="71"/>
      <c r="B67" s="71"/>
      <c r="C67" s="15"/>
      <c r="D67" s="15" t="s">
        <v>50</v>
      </c>
      <c r="E67" s="15" t="s">
        <v>623</v>
      </c>
      <c r="F67" s="101">
        <v>2005</v>
      </c>
      <c r="G67" s="15">
        <v>2.5000000000000001E-2</v>
      </c>
      <c r="H67" s="15">
        <v>2.5000000000000001E-2</v>
      </c>
      <c r="I67" s="15"/>
      <c r="J67" s="15"/>
      <c r="K67" s="15"/>
      <c r="L67" s="15" t="s">
        <v>557</v>
      </c>
      <c r="Q67" s="71"/>
    </row>
    <row r="68" spans="1:17" ht="15">
      <c r="A68" s="71"/>
      <c r="B68" s="71"/>
      <c r="C68" s="15"/>
      <c r="D68" s="15" t="s">
        <v>50</v>
      </c>
      <c r="E68" s="15" t="s">
        <v>623</v>
      </c>
      <c r="F68" s="101">
        <v>2005</v>
      </c>
      <c r="G68" s="15">
        <v>2.5000000000000001E-2</v>
      </c>
      <c r="H68" s="15">
        <v>2.5000000000000001E-2</v>
      </c>
      <c r="I68" s="15"/>
      <c r="J68" s="15"/>
      <c r="K68" s="15"/>
      <c r="L68" s="15" t="s">
        <v>558</v>
      </c>
      <c r="Q68" s="71"/>
    </row>
    <row r="69" spans="1:17" ht="15">
      <c r="A69" s="71"/>
      <c r="B69" s="71"/>
      <c r="C69" s="15"/>
      <c r="D69" s="15" t="s">
        <v>50</v>
      </c>
      <c r="E69" s="15" t="s">
        <v>623</v>
      </c>
      <c r="F69" s="101">
        <v>2005</v>
      </c>
      <c r="G69" s="15">
        <v>2.5000000000000001E-2</v>
      </c>
      <c r="H69" s="15">
        <v>2.5000000000000001E-2</v>
      </c>
      <c r="I69" s="15"/>
      <c r="J69" s="15"/>
      <c r="K69" s="15"/>
      <c r="L69" s="15" t="s">
        <v>559</v>
      </c>
      <c r="Q69" s="71"/>
    </row>
    <row r="70" spans="1:17" ht="15">
      <c r="A70" s="71"/>
      <c r="B70" s="71"/>
      <c r="C70" s="15"/>
      <c r="D70" s="15" t="s">
        <v>50</v>
      </c>
      <c r="E70" s="15" t="s">
        <v>623</v>
      </c>
      <c r="F70" s="101">
        <v>2005</v>
      </c>
      <c r="G70" s="15">
        <v>2.5000000000000001E-2</v>
      </c>
      <c r="H70" s="15">
        <v>2.5000000000000001E-2</v>
      </c>
      <c r="I70" s="15"/>
      <c r="J70" s="15"/>
      <c r="K70" s="15"/>
      <c r="L70" s="15" t="s">
        <v>565</v>
      </c>
      <c r="Q70" s="71"/>
    </row>
    <row r="71" spans="1:17" ht="15">
      <c r="A71" s="71"/>
      <c r="B71" s="71"/>
      <c r="C71" s="15"/>
      <c r="D71" s="15" t="s">
        <v>50</v>
      </c>
      <c r="E71" s="15" t="s">
        <v>623</v>
      </c>
      <c r="F71" s="101">
        <v>2005</v>
      </c>
      <c r="G71" s="15">
        <v>2.5000000000000001E-2</v>
      </c>
      <c r="H71" s="15">
        <v>2.5000000000000001E-2</v>
      </c>
      <c r="I71" s="15"/>
      <c r="J71" s="15"/>
      <c r="K71" s="15"/>
      <c r="L71" s="15" t="s">
        <v>562</v>
      </c>
      <c r="Q71" s="71"/>
    </row>
    <row r="72" spans="1:17" ht="15">
      <c r="A72" s="71"/>
      <c r="B72" s="71"/>
      <c r="C72" s="15"/>
      <c r="D72" s="15" t="s">
        <v>50</v>
      </c>
      <c r="E72" s="15" t="s">
        <v>623</v>
      </c>
      <c r="F72" s="101">
        <v>2005</v>
      </c>
      <c r="G72" s="15">
        <v>0.29799999999999999</v>
      </c>
      <c r="H72" s="15">
        <v>0.29799999999999999</v>
      </c>
      <c r="I72" s="15"/>
      <c r="J72" s="15"/>
      <c r="K72" s="15"/>
      <c r="L72" s="15" t="s">
        <v>581</v>
      </c>
      <c r="Q72" s="71"/>
    </row>
    <row r="73" spans="1:17" ht="15">
      <c r="A73" s="71"/>
      <c r="B73" s="71"/>
      <c r="C73" s="15"/>
      <c r="D73" s="15" t="s">
        <v>50</v>
      </c>
      <c r="E73" s="15" t="s">
        <v>623</v>
      </c>
      <c r="F73" s="101">
        <v>2005</v>
      </c>
      <c r="G73" s="15">
        <v>0.29799999999999999</v>
      </c>
      <c r="H73" s="15">
        <v>0.29799999999999999</v>
      </c>
      <c r="I73" s="15"/>
      <c r="J73" s="15"/>
      <c r="K73" s="15"/>
      <c r="L73" s="15" t="s">
        <v>587</v>
      </c>
      <c r="Q73" s="71"/>
    </row>
    <row r="74" spans="1:17" ht="15">
      <c r="A74" s="71"/>
      <c r="B74" s="71"/>
      <c r="C74" s="15"/>
      <c r="D74" s="15" t="s">
        <v>50</v>
      </c>
      <c r="E74" s="15" t="s">
        <v>623</v>
      </c>
      <c r="F74" s="101">
        <v>2005</v>
      </c>
      <c r="G74" s="15">
        <v>0.29799999999999999</v>
      </c>
      <c r="H74" s="15">
        <v>0.29799999999999999</v>
      </c>
      <c r="I74" s="15"/>
      <c r="J74" s="15"/>
      <c r="K74" s="15"/>
      <c r="L74" s="15" t="s">
        <v>584</v>
      </c>
      <c r="Q74" s="71"/>
    </row>
    <row r="75" spans="1:17" ht="15">
      <c r="A75" s="71"/>
      <c r="B75" s="71"/>
      <c r="C75" s="15"/>
      <c r="D75" s="15" t="s">
        <v>50</v>
      </c>
      <c r="E75" s="15" t="s">
        <v>623</v>
      </c>
      <c r="F75" s="101">
        <v>2005</v>
      </c>
      <c r="G75" s="15">
        <v>0.29799999999999999</v>
      </c>
      <c r="H75" s="15">
        <v>0.29799999999999999</v>
      </c>
      <c r="I75" s="15"/>
      <c r="J75" s="15"/>
      <c r="K75" s="15"/>
      <c r="L75" s="15" t="s">
        <v>585</v>
      </c>
      <c r="Q75" s="71"/>
    </row>
    <row r="76" spans="1:17" ht="15">
      <c r="A76" s="71"/>
      <c r="B76" s="71"/>
      <c r="C76" s="15"/>
      <c r="D76" s="15" t="s">
        <v>50</v>
      </c>
      <c r="E76" s="15" t="s">
        <v>623</v>
      </c>
      <c r="F76" s="101">
        <v>2005</v>
      </c>
      <c r="G76" s="15">
        <v>0.29799999999999999</v>
      </c>
      <c r="H76" s="15">
        <v>0.29799999999999999</v>
      </c>
      <c r="I76" s="15"/>
      <c r="J76" s="15"/>
      <c r="K76" s="15"/>
      <c r="L76" s="15" t="s">
        <v>579</v>
      </c>
      <c r="Q76" s="71"/>
    </row>
    <row r="77" spans="1:17" ht="15">
      <c r="A77" s="71"/>
      <c r="B77" s="71"/>
      <c r="C77" s="15"/>
      <c r="D77" s="15" t="s">
        <v>50</v>
      </c>
      <c r="E77" s="15" t="s">
        <v>623</v>
      </c>
      <c r="F77" s="101">
        <v>2005</v>
      </c>
      <c r="G77" s="15">
        <v>0.29799999999999999</v>
      </c>
      <c r="H77" s="15">
        <v>0.29799999999999999</v>
      </c>
      <c r="I77" s="15"/>
      <c r="J77" s="15"/>
      <c r="K77" s="15"/>
      <c r="L77" s="15" t="s">
        <v>350</v>
      </c>
      <c r="Q77" s="71"/>
    </row>
    <row r="78" spans="1:17" ht="15">
      <c r="A78" s="71"/>
      <c r="B78" s="71"/>
      <c r="C78" s="15"/>
      <c r="D78" s="15" t="s">
        <v>50</v>
      </c>
      <c r="E78" s="15" t="s">
        <v>623</v>
      </c>
      <c r="F78" s="101">
        <v>2005</v>
      </c>
      <c r="G78" s="15">
        <v>0.29799999999999999</v>
      </c>
      <c r="H78" s="15">
        <v>0.29799999999999999</v>
      </c>
      <c r="I78" s="15"/>
      <c r="J78" s="15"/>
      <c r="K78" s="15"/>
      <c r="L78" s="15" t="s">
        <v>580</v>
      </c>
      <c r="Q78" s="71"/>
    </row>
    <row r="79" spans="1:17" ht="15">
      <c r="A79" s="71"/>
      <c r="B79" s="71"/>
      <c r="C79" s="15"/>
      <c r="D79" s="15" t="s">
        <v>50</v>
      </c>
      <c r="E79" s="15" t="s">
        <v>623</v>
      </c>
      <c r="F79" s="101">
        <v>2005</v>
      </c>
      <c r="G79" s="15">
        <v>0.29799999999999999</v>
      </c>
      <c r="H79" s="15">
        <v>0.29799999999999999</v>
      </c>
      <c r="I79" s="15"/>
      <c r="J79" s="15"/>
      <c r="K79" s="15"/>
      <c r="L79" s="15" t="s">
        <v>586</v>
      </c>
      <c r="Q79" s="71"/>
    </row>
    <row r="80" spans="1:17" ht="15">
      <c r="A80" s="71"/>
      <c r="B80" s="71"/>
      <c r="C80" s="15"/>
      <c r="D80" s="15" t="s">
        <v>50</v>
      </c>
      <c r="E80" s="15" t="s">
        <v>623</v>
      </c>
      <c r="F80" s="101">
        <v>2005</v>
      </c>
      <c r="G80" s="15">
        <v>0.29799999999999999</v>
      </c>
      <c r="H80" s="15">
        <v>0.29799999999999999</v>
      </c>
      <c r="I80" s="15"/>
      <c r="J80" s="15"/>
      <c r="K80" s="15"/>
      <c r="L80" s="15" t="s">
        <v>582</v>
      </c>
      <c r="Q80" s="71"/>
    </row>
    <row r="81" spans="1:17" ht="15">
      <c r="A81" s="71"/>
      <c r="B81" s="71"/>
      <c r="C81" s="15"/>
      <c r="D81" s="15" t="s">
        <v>50</v>
      </c>
      <c r="E81" s="15" t="s">
        <v>623</v>
      </c>
      <c r="F81" s="101">
        <v>2005</v>
      </c>
      <c r="G81" s="15">
        <v>1</v>
      </c>
      <c r="H81" s="15">
        <v>1</v>
      </c>
      <c r="I81" s="15"/>
      <c r="J81" s="15"/>
      <c r="K81" s="15"/>
      <c r="L81" s="15" t="s">
        <v>590</v>
      </c>
      <c r="Q81" s="71"/>
    </row>
    <row r="82" spans="1:17" ht="15">
      <c r="A82" s="71"/>
      <c r="B82" s="71"/>
      <c r="C82" s="15"/>
      <c r="D82" s="15" t="s">
        <v>50</v>
      </c>
      <c r="E82" s="15" t="s">
        <v>623</v>
      </c>
      <c r="F82" s="101">
        <v>2005</v>
      </c>
      <c r="G82" s="20">
        <v>9.6000000000000002E-2</v>
      </c>
      <c r="H82" s="20">
        <v>9.6000000000000002E-2</v>
      </c>
      <c r="I82" s="15"/>
      <c r="J82" s="15"/>
      <c r="K82" s="15"/>
      <c r="L82" s="15" t="s">
        <v>573</v>
      </c>
      <c r="Q82" s="71"/>
    </row>
    <row r="83" spans="1:17" ht="15">
      <c r="A83" s="71"/>
      <c r="B83" s="71"/>
      <c r="C83" s="15"/>
      <c r="D83" s="15" t="s">
        <v>50</v>
      </c>
      <c r="E83" s="15" t="s">
        <v>623</v>
      </c>
      <c r="F83" s="101">
        <v>2005</v>
      </c>
      <c r="G83" s="15">
        <v>0</v>
      </c>
      <c r="H83" s="15">
        <v>0</v>
      </c>
      <c r="I83" s="15"/>
      <c r="J83" s="15"/>
      <c r="K83" s="15"/>
      <c r="L83" s="15" t="s">
        <v>583</v>
      </c>
      <c r="Q83" s="71"/>
    </row>
    <row r="84" spans="1:17" ht="15">
      <c r="A84" s="71"/>
      <c r="B84" s="71"/>
      <c r="C84" s="15"/>
      <c r="D84" s="15" t="s">
        <v>50</v>
      </c>
      <c r="E84" s="15" t="s">
        <v>623</v>
      </c>
      <c r="F84" s="101">
        <v>2005</v>
      </c>
      <c r="G84" s="15">
        <f>-1*0</f>
        <v>0</v>
      </c>
      <c r="H84" s="178">
        <f>-1*0</f>
        <v>0</v>
      </c>
      <c r="I84" s="15"/>
      <c r="J84" s="15"/>
      <c r="K84" s="15"/>
      <c r="L84" s="15" t="s">
        <v>625</v>
      </c>
      <c r="Q84" s="71"/>
    </row>
    <row r="85" spans="1:17" ht="15">
      <c r="A85" s="71" t="s">
        <v>688</v>
      </c>
      <c r="B85" s="71"/>
      <c r="C85" s="15" t="s">
        <v>118</v>
      </c>
      <c r="D85" s="15" t="s">
        <v>133</v>
      </c>
      <c r="E85" s="15" t="s">
        <v>292</v>
      </c>
      <c r="F85" s="101">
        <v>2005</v>
      </c>
      <c r="G85" s="15">
        <f>-73.1</f>
        <v>-73.099999999999994</v>
      </c>
      <c r="H85" s="178">
        <f t="shared" ref="H85:H86" si="1">-73.1</f>
        <v>-73.099999999999994</v>
      </c>
      <c r="I85" s="15" t="s">
        <v>626</v>
      </c>
      <c r="J85" s="15"/>
      <c r="K85" s="15"/>
      <c r="L85" s="15" t="s">
        <v>623</v>
      </c>
      <c r="Q85" s="71"/>
    </row>
    <row r="86" spans="1:17" ht="15">
      <c r="A86" s="71" t="s">
        <v>689</v>
      </c>
      <c r="B86" s="71"/>
      <c r="C86" s="15" t="s">
        <v>118</v>
      </c>
      <c r="D86" s="15" t="s">
        <v>133</v>
      </c>
      <c r="E86" s="15" t="s">
        <v>292</v>
      </c>
      <c r="F86" s="101">
        <v>2005</v>
      </c>
      <c r="G86" s="178">
        <f>-73.1</f>
        <v>-73.099999999999994</v>
      </c>
      <c r="H86" s="178">
        <f t="shared" si="1"/>
        <v>-73.099999999999994</v>
      </c>
      <c r="I86" s="15" t="s">
        <v>627</v>
      </c>
      <c r="J86" s="15"/>
      <c r="K86" s="15"/>
      <c r="L86" s="15" t="s">
        <v>623</v>
      </c>
      <c r="Q86" s="71"/>
    </row>
    <row r="87" spans="1:17" ht="15">
      <c r="A87" s="71"/>
      <c r="B87" s="71"/>
      <c r="C87" s="71"/>
      <c r="D87" s="71"/>
      <c r="E87" s="71"/>
      <c r="F87" s="71"/>
      <c r="G87" s="229"/>
      <c r="H87" s="71"/>
      <c r="I87" s="71"/>
      <c r="J87" s="71"/>
      <c r="K87" s="71"/>
      <c r="L87" s="71"/>
      <c r="M87" s="71"/>
      <c r="N87" s="71"/>
      <c r="O87" s="71"/>
      <c r="P87" s="71"/>
      <c r="Q87" s="71"/>
    </row>
    <row r="88" spans="1:17" ht="15">
      <c r="A88" s="71"/>
      <c r="B88" s="71"/>
      <c r="C88" s="71"/>
      <c r="D88" s="71"/>
      <c r="F88" s="71"/>
      <c r="G88" s="6"/>
      <c r="Q88" s="71"/>
    </row>
    <row r="89" spans="1:17" ht="15">
      <c r="A89" s="71"/>
      <c r="B89" s="71"/>
      <c r="C89" s="7" t="s">
        <v>3</v>
      </c>
    </row>
    <row r="90" spans="1:17" ht="15.75" thickBot="1">
      <c r="A90" s="71"/>
      <c r="B90" s="71"/>
      <c r="C90" s="8" t="s">
        <v>55</v>
      </c>
      <c r="D90" s="8" t="s">
        <v>57</v>
      </c>
      <c r="E90" s="8" t="s">
        <v>20</v>
      </c>
      <c r="F90" s="8" t="s">
        <v>58</v>
      </c>
      <c r="G90" s="8" t="s">
        <v>71</v>
      </c>
      <c r="H90" s="8" t="s">
        <v>351</v>
      </c>
      <c r="I90" s="9" t="s">
        <v>64</v>
      </c>
      <c r="J90" s="9" t="s">
        <v>65</v>
      </c>
      <c r="K90" s="8" t="s">
        <v>66</v>
      </c>
      <c r="L90" s="9" t="s">
        <v>67</v>
      </c>
      <c r="M90" s="8" t="s">
        <v>68</v>
      </c>
      <c r="N90" s="9" t="s">
        <v>59</v>
      </c>
      <c r="O90" s="228" t="s">
        <v>320</v>
      </c>
    </row>
    <row r="91" spans="1:17" ht="15">
      <c r="A91" s="71"/>
      <c r="B91" s="71"/>
      <c r="C91" s="15"/>
      <c r="D91" s="15" t="s">
        <v>133</v>
      </c>
      <c r="E91" s="15" t="s">
        <v>630</v>
      </c>
      <c r="F91" s="77" t="s">
        <v>631</v>
      </c>
      <c r="G91" s="15">
        <v>77.400000000000006</v>
      </c>
      <c r="H91" s="15">
        <v>77.400000000000006</v>
      </c>
      <c r="I91" s="15"/>
      <c r="J91" s="15" t="s">
        <v>630</v>
      </c>
      <c r="K91" s="15" t="s">
        <v>632</v>
      </c>
      <c r="L91" s="15"/>
      <c r="M91" s="15"/>
      <c r="N91" s="15" t="s">
        <v>639</v>
      </c>
      <c r="O91" s="15"/>
    </row>
    <row r="92" spans="1:17" ht="15">
      <c r="A92" s="71"/>
      <c r="B92" s="71"/>
      <c r="C92" s="15"/>
      <c r="D92" s="15" t="s">
        <v>133</v>
      </c>
      <c r="E92" s="15" t="s">
        <v>46</v>
      </c>
      <c r="F92" s="77"/>
      <c r="G92" s="15">
        <v>55.8</v>
      </c>
      <c r="H92" s="15">
        <v>55.8</v>
      </c>
      <c r="I92" s="15"/>
      <c r="J92" s="15" t="s">
        <v>46</v>
      </c>
      <c r="K92" s="15" t="s">
        <v>632</v>
      </c>
      <c r="L92" s="15"/>
      <c r="M92" s="15"/>
      <c r="N92" s="15" t="s">
        <v>639</v>
      </c>
      <c r="O92" s="15"/>
    </row>
    <row r="93" spans="1:17" ht="15">
      <c r="A93" s="71"/>
      <c r="B93" s="71"/>
      <c r="C93" s="15"/>
      <c r="D93" s="15" t="s">
        <v>133</v>
      </c>
      <c r="E93" s="15" t="s">
        <v>36</v>
      </c>
      <c r="F93" s="77"/>
      <c r="G93" s="15">
        <v>94</v>
      </c>
      <c r="H93" s="15">
        <v>94</v>
      </c>
      <c r="I93" s="15"/>
      <c r="J93" s="15" t="s">
        <v>36</v>
      </c>
      <c r="K93" s="15" t="s">
        <v>632</v>
      </c>
      <c r="L93" s="15"/>
      <c r="M93" s="15"/>
      <c r="N93" s="15" t="s">
        <v>639</v>
      </c>
      <c r="O93" s="15"/>
    </row>
    <row r="94" spans="1:17" ht="15">
      <c r="A94" s="71"/>
      <c r="B94" s="71"/>
      <c r="C94" s="15"/>
      <c r="D94" s="15" t="s">
        <v>133</v>
      </c>
      <c r="E94" s="15" t="s">
        <v>633</v>
      </c>
      <c r="F94" s="77"/>
      <c r="G94" s="15">
        <v>102</v>
      </c>
      <c r="H94" s="15">
        <v>102</v>
      </c>
      <c r="I94" s="15"/>
      <c r="J94" s="15" t="s">
        <v>633</v>
      </c>
      <c r="K94" s="15" t="s">
        <v>632</v>
      </c>
      <c r="L94" s="15"/>
      <c r="M94" s="15"/>
      <c r="N94" s="15" t="s">
        <v>639</v>
      </c>
      <c r="O94" s="15"/>
    </row>
    <row r="95" spans="1:17" ht="15">
      <c r="A95" s="71"/>
      <c r="B95" s="71"/>
      <c r="C95" s="15"/>
      <c r="D95" s="15" t="s">
        <v>133</v>
      </c>
      <c r="E95" s="15" t="s">
        <v>634</v>
      </c>
      <c r="F95" s="15"/>
      <c r="G95" s="15">
        <v>104.9</v>
      </c>
      <c r="H95" s="15">
        <v>104.9</v>
      </c>
      <c r="I95" s="15"/>
      <c r="J95" s="15" t="s">
        <v>634</v>
      </c>
      <c r="K95" s="15" t="s">
        <v>632</v>
      </c>
      <c r="L95" s="15"/>
      <c r="M95" s="15"/>
      <c r="N95" s="15" t="s">
        <v>639</v>
      </c>
      <c r="O95" s="15"/>
    </row>
    <row r="96" spans="1:17" ht="15">
      <c r="A96" s="71"/>
      <c r="B96" s="71"/>
      <c r="C96" s="15"/>
      <c r="D96" s="15" t="s">
        <v>133</v>
      </c>
      <c r="E96" s="15" t="s">
        <v>635</v>
      </c>
      <c r="F96" s="15"/>
      <c r="G96" s="15">
        <v>62</v>
      </c>
      <c r="H96" s="15">
        <v>62</v>
      </c>
      <c r="I96" s="15"/>
      <c r="J96" s="15" t="s">
        <v>635</v>
      </c>
      <c r="K96" s="15" t="s">
        <v>632</v>
      </c>
      <c r="L96" s="15"/>
      <c r="M96" s="15"/>
      <c r="N96" s="15" t="s">
        <v>639</v>
      </c>
      <c r="O96" s="15"/>
    </row>
    <row r="97" spans="1:15" ht="15">
      <c r="A97" s="71"/>
      <c r="B97" s="71"/>
      <c r="C97" s="15"/>
      <c r="D97" s="15" t="s">
        <v>133</v>
      </c>
      <c r="E97" s="15" t="s">
        <v>636</v>
      </c>
      <c r="F97" s="15"/>
      <c r="G97" s="15">
        <v>44.4</v>
      </c>
      <c r="H97" s="15">
        <v>44.4</v>
      </c>
      <c r="I97" s="15"/>
      <c r="J97" s="15" t="s">
        <v>636</v>
      </c>
      <c r="K97" s="15" t="s">
        <v>632</v>
      </c>
      <c r="L97" s="15"/>
      <c r="M97" s="15"/>
      <c r="N97" s="15" t="s">
        <v>639</v>
      </c>
      <c r="O97" s="15"/>
    </row>
    <row r="98" spans="1:15" ht="15">
      <c r="A98" s="71"/>
      <c r="B98" s="71"/>
      <c r="C98" s="15"/>
      <c r="D98" s="15" t="s">
        <v>133</v>
      </c>
      <c r="E98" s="15" t="s">
        <v>637</v>
      </c>
      <c r="F98" s="15"/>
      <c r="G98" s="15">
        <v>97.5</v>
      </c>
      <c r="H98" s="15">
        <v>97.5</v>
      </c>
      <c r="I98" s="15"/>
      <c r="J98" s="15" t="s">
        <v>637</v>
      </c>
      <c r="K98" s="15" t="s">
        <v>632</v>
      </c>
      <c r="L98" s="15"/>
      <c r="M98" s="15"/>
      <c r="N98" s="15" t="s">
        <v>639</v>
      </c>
      <c r="O98" s="15"/>
    </row>
    <row r="99" spans="1:15" ht="15">
      <c r="A99" s="71"/>
      <c r="B99" s="71"/>
      <c r="C99" s="15" t="s">
        <v>118</v>
      </c>
      <c r="D99" s="15" t="s">
        <v>133</v>
      </c>
      <c r="E99" s="15" t="s">
        <v>628</v>
      </c>
      <c r="F99" s="101">
        <v>2010</v>
      </c>
      <c r="G99" s="53">
        <v>74.05</v>
      </c>
      <c r="H99" s="53">
        <v>74.05</v>
      </c>
      <c r="I99" s="15"/>
      <c r="J99" s="15"/>
      <c r="K99" s="15" t="s">
        <v>629</v>
      </c>
      <c r="L99" s="15"/>
      <c r="M99" s="15"/>
      <c r="N99" s="15" t="s">
        <v>639</v>
      </c>
      <c r="O99" s="15"/>
    </row>
    <row r="100" spans="1:15" ht="15">
      <c r="A100" s="71"/>
      <c r="B100" s="71"/>
      <c r="C100" s="15" t="s">
        <v>118</v>
      </c>
      <c r="D100" s="15" t="s">
        <v>133</v>
      </c>
      <c r="E100" s="15" t="s">
        <v>574</v>
      </c>
      <c r="F100" s="101">
        <v>2010</v>
      </c>
      <c r="G100" s="15">
        <v>1</v>
      </c>
      <c r="H100" s="39"/>
      <c r="I100" s="15"/>
      <c r="J100" s="15"/>
      <c r="K100" s="15" t="s">
        <v>533</v>
      </c>
      <c r="L100" s="15"/>
      <c r="M100" s="15"/>
      <c r="N100" s="15" t="s">
        <v>623</v>
      </c>
      <c r="O100" s="15"/>
    </row>
    <row r="101" spans="1:15" ht="15">
      <c r="A101" s="71"/>
      <c r="B101" s="71"/>
      <c r="C101" s="15" t="s">
        <v>118</v>
      </c>
      <c r="D101" s="15" t="s">
        <v>133</v>
      </c>
      <c r="E101" s="15" t="s">
        <v>574</v>
      </c>
      <c r="F101" s="101">
        <v>2010</v>
      </c>
      <c r="G101" s="15">
        <v>1</v>
      </c>
      <c r="H101" s="39"/>
      <c r="I101" s="15"/>
      <c r="J101" s="15"/>
      <c r="K101" s="15" t="s">
        <v>602</v>
      </c>
      <c r="L101" s="15"/>
      <c r="M101" s="15"/>
      <c r="N101" s="15" t="s">
        <v>623</v>
      </c>
      <c r="O101" s="15"/>
    </row>
    <row r="102" spans="1:15" ht="15">
      <c r="A102" s="71"/>
      <c r="B102" s="71"/>
      <c r="C102" s="15" t="s">
        <v>118</v>
      </c>
      <c r="D102" s="15" t="s">
        <v>133</v>
      </c>
      <c r="E102" s="15" t="s">
        <v>573</v>
      </c>
      <c r="F102" s="101">
        <v>2010</v>
      </c>
      <c r="G102" s="15">
        <v>1</v>
      </c>
      <c r="H102" s="15">
        <v>1</v>
      </c>
      <c r="I102" s="15"/>
      <c r="J102" s="15"/>
      <c r="K102" s="15" t="s">
        <v>638</v>
      </c>
      <c r="L102" s="15"/>
      <c r="M102" s="15"/>
      <c r="N102" s="15" t="s">
        <v>639</v>
      </c>
      <c r="O102" s="15"/>
    </row>
    <row r="103" spans="1:15">
      <c r="C103" s="250"/>
      <c r="D103" s="250" t="s">
        <v>686</v>
      </c>
      <c r="E103" s="250"/>
      <c r="F103" s="251">
        <v>2020</v>
      </c>
      <c r="G103" s="250">
        <v>100</v>
      </c>
      <c r="H103" s="250">
        <v>100</v>
      </c>
      <c r="I103" s="250"/>
      <c r="J103" s="250"/>
      <c r="K103" s="250" t="s">
        <v>687</v>
      </c>
      <c r="L103" s="250"/>
      <c r="M103" s="250"/>
      <c r="N103" s="250"/>
      <c r="O103" s="250" t="s">
        <v>321</v>
      </c>
    </row>
  </sheetData>
  <phoneticPr fontId="6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S4"/>
  <sheetViews>
    <sheetView zoomScale="80" workbookViewId="0">
      <selection activeCell="G15" sqref="G15"/>
    </sheetView>
  </sheetViews>
  <sheetFormatPr defaultRowHeight="12.75"/>
  <cols>
    <col min="1" max="1" width="6.7109375" customWidth="1"/>
    <col min="3" max="3" width="7.42578125" customWidth="1"/>
    <col min="5" max="5" width="11.28515625" customWidth="1"/>
    <col min="6" max="6" width="7.85546875" customWidth="1"/>
    <col min="8" max="9" width="7.28515625" customWidth="1"/>
    <col min="10" max="11" width="8.42578125" customWidth="1"/>
  </cols>
  <sheetData>
    <row r="2" spans="1:19">
      <c r="A2" t="s">
        <v>106</v>
      </c>
    </row>
    <row r="3" spans="1:19" ht="15.75" thickBot="1">
      <c r="A3" s="35" t="s">
        <v>107</v>
      </c>
      <c r="B3" s="35" t="s">
        <v>108</v>
      </c>
      <c r="C3" s="36" t="s">
        <v>55</v>
      </c>
      <c r="D3" s="36" t="s">
        <v>56</v>
      </c>
      <c r="E3" s="36" t="s">
        <v>57</v>
      </c>
      <c r="F3" s="36" t="s">
        <v>58</v>
      </c>
      <c r="G3" s="36" t="s">
        <v>20</v>
      </c>
      <c r="H3" s="37" t="s">
        <v>109</v>
      </c>
      <c r="I3" s="37" t="s">
        <v>110</v>
      </c>
      <c r="J3" s="11" t="s">
        <v>71</v>
      </c>
      <c r="K3" s="11" t="s">
        <v>351</v>
      </c>
      <c r="L3" s="36" t="s">
        <v>63</v>
      </c>
      <c r="M3" s="36" t="s">
        <v>66</v>
      </c>
      <c r="N3" s="36" t="s">
        <v>67</v>
      </c>
      <c r="O3" s="36" t="s">
        <v>64</v>
      </c>
      <c r="P3" s="36" t="s">
        <v>65</v>
      </c>
      <c r="Q3" s="36" t="s">
        <v>68</v>
      </c>
      <c r="R3" s="36" t="s">
        <v>59</v>
      </c>
      <c r="S3" s="36" t="s">
        <v>69</v>
      </c>
    </row>
    <row r="4" spans="1:19">
      <c r="A4" t="s">
        <v>298</v>
      </c>
      <c r="B4" s="60" t="s">
        <v>111</v>
      </c>
      <c r="E4" t="s">
        <v>299</v>
      </c>
      <c r="F4">
        <v>2010</v>
      </c>
      <c r="J4" s="70">
        <v>27.7066473609129</v>
      </c>
      <c r="K4" s="70">
        <v>11.7053842148197</v>
      </c>
      <c r="R4" t="s">
        <v>36</v>
      </c>
    </row>
  </sheetData>
  <phoneticPr fontId="6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4:N34"/>
  <sheetViews>
    <sheetView zoomScale="91" zoomScaleNormal="91" workbookViewId="0">
      <selection activeCell="E24" sqref="E24:F34"/>
    </sheetView>
  </sheetViews>
  <sheetFormatPr defaultRowHeight="12.75"/>
  <cols>
    <col min="1" max="1" width="9.140625" style="232"/>
    <col min="2" max="2" width="13" style="232" customWidth="1"/>
    <col min="3" max="3" width="7.42578125" style="232" customWidth="1"/>
    <col min="4" max="4" width="8.42578125" style="232" customWidth="1"/>
    <col min="5" max="5" width="11.28515625" style="232" customWidth="1"/>
    <col min="6" max="9" width="9.140625" style="232"/>
    <col min="10" max="10" width="10.28515625" style="232" customWidth="1"/>
    <col min="11" max="11" width="10.42578125" style="232" customWidth="1"/>
    <col min="12" max="16384" width="9.140625" style="232"/>
  </cols>
  <sheetData>
    <row r="4" spans="2:14">
      <c r="B4" s="230" t="s">
        <v>640</v>
      </c>
      <c r="C4" s="231"/>
      <c r="D4" s="231"/>
      <c r="E4" s="231"/>
      <c r="F4" s="231"/>
      <c r="G4" s="231"/>
      <c r="H4" s="231"/>
    </row>
    <row r="5" spans="2:14" ht="13.5" thickBot="1">
      <c r="B5" s="233" t="s">
        <v>57</v>
      </c>
      <c r="C5" s="233" t="s">
        <v>58</v>
      </c>
      <c r="D5" s="234" t="s">
        <v>71</v>
      </c>
      <c r="E5" s="233" t="s">
        <v>641</v>
      </c>
      <c r="K5" s="233" t="s">
        <v>642</v>
      </c>
      <c r="L5" s="234">
        <f ca="1">MATCH(K5,OFFSET(TRADLDAT!$A$1,0,1,1,20),0)</f>
        <v>4</v>
      </c>
    </row>
    <row r="6" spans="2:14">
      <c r="B6" s="235" t="s">
        <v>643</v>
      </c>
      <c r="C6" s="231"/>
      <c r="D6" s="236">
        <v>1</v>
      </c>
      <c r="E6" s="231" t="s">
        <v>644</v>
      </c>
      <c r="K6" s="237">
        <v>2010</v>
      </c>
      <c r="L6" s="237">
        <f ca="1">MATCH(K6,OFFSET(TRADLDAT!$A$1,0,1,1,20),0)</f>
        <v>11</v>
      </c>
    </row>
    <row r="7" spans="2:14">
      <c r="B7" s="231"/>
      <c r="C7" s="231"/>
      <c r="D7" s="231"/>
      <c r="E7" s="231"/>
      <c r="F7" s="231"/>
      <c r="G7" s="231"/>
      <c r="H7" s="231"/>
      <c r="K7" s="237">
        <v>2017</v>
      </c>
      <c r="L7" s="237">
        <f ca="1">MATCH(K7,OFFSET(TRADLDAT!$A$1,0,1,1,20),0)</f>
        <v>12</v>
      </c>
    </row>
    <row r="11" spans="2:14">
      <c r="B11" s="230" t="s">
        <v>645</v>
      </c>
      <c r="M11" s="230" t="s">
        <v>646</v>
      </c>
    </row>
    <row r="12" spans="2:14" ht="13.5" thickBot="1">
      <c r="B12" s="233" t="s">
        <v>57</v>
      </c>
      <c r="C12" s="233" t="s">
        <v>20</v>
      </c>
      <c r="D12" s="234" t="s">
        <v>317</v>
      </c>
      <c r="E12" s="234">
        <v>2010</v>
      </c>
      <c r="F12" s="234">
        <v>2017</v>
      </c>
      <c r="G12" s="233" t="s">
        <v>66</v>
      </c>
      <c r="H12" s="238" t="s">
        <v>59</v>
      </c>
      <c r="K12" s="238" t="s">
        <v>647</v>
      </c>
      <c r="L12" s="239" t="s">
        <v>648</v>
      </c>
      <c r="M12" s="239">
        <v>2010</v>
      </c>
      <c r="N12" s="239">
        <v>2017</v>
      </c>
    </row>
    <row r="13" spans="2:14">
      <c r="B13" s="235" t="s">
        <v>133</v>
      </c>
      <c r="C13" s="235" t="s">
        <v>134</v>
      </c>
      <c r="D13" s="240" t="s">
        <v>71</v>
      </c>
      <c r="E13" s="246">
        <f ca="1">IF(ISNA(L13),$M13,OFFSET(TRADLDAT!$A$1,$L13,VLOOKUP(E$12,$K$6:$L$7,2,0)))*1000</f>
        <v>1600</v>
      </c>
      <c r="F13" s="246">
        <f ca="1">IF(ISNA(M13),$M13,OFFSET(TRADLDAT!$A$1,$L13,VLOOKUP(F$12,$K$6:$L$7,2,0)))*1000</f>
        <v>1600</v>
      </c>
      <c r="G13" s="235" t="s">
        <v>450</v>
      </c>
      <c r="H13" s="235" t="s">
        <v>649</v>
      </c>
      <c r="K13" s="235" t="s">
        <v>440</v>
      </c>
      <c r="L13" s="240">
        <f ca="1">MATCH(K13,OFFSET(TRADLDAT!$A$1,1,$L$5,50),0)</f>
        <v>8</v>
      </c>
      <c r="M13" s="241">
        <v>1.6</v>
      </c>
      <c r="N13" s="241">
        <v>1.6</v>
      </c>
    </row>
    <row r="14" spans="2:14">
      <c r="B14" s="235" t="s">
        <v>133</v>
      </c>
      <c r="C14" s="235" t="s">
        <v>134</v>
      </c>
      <c r="D14" s="240" t="s">
        <v>71</v>
      </c>
      <c r="E14" s="246">
        <f ca="1">IF(ISNA(L14),$M14,OFFSET(TRADLDAT!$A$1,$L14,VLOOKUP(E$12,$K$6:$L$7,2,0)))*1000</f>
        <v>13000</v>
      </c>
      <c r="F14" s="246">
        <f ca="1">IF(ISNA(M14),$M14,OFFSET(TRADLDAT!$A$1,$L14,VLOOKUP(F$12,$K$6:$L$7,2,0)))*1000</f>
        <v>13000</v>
      </c>
      <c r="G14" s="235" t="s">
        <v>453</v>
      </c>
      <c r="H14" s="235" t="s">
        <v>649</v>
      </c>
      <c r="K14" s="235" t="s">
        <v>343</v>
      </c>
      <c r="L14" s="240">
        <f ca="1">MATCH(K14,OFFSET(TRADLDAT!$A$1,1,$L$5,50),0)</f>
        <v>7</v>
      </c>
      <c r="M14" s="241">
        <v>13</v>
      </c>
      <c r="N14" s="241">
        <v>13</v>
      </c>
    </row>
    <row r="15" spans="2:14">
      <c r="B15" s="235" t="s">
        <v>133</v>
      </c>
      <c r="C15" s="235" t="s">
        <v>134</v>
      </c>
      <c r="D15" s="240" t="s">
        <v>71</v>
      </c>
      <c r="E15" s="246">
        <f ca="1">IF(ISNA(L15),$M15,OFFSET(TRADLDAT!$A$1,$L15,VLOOKUP(E$12,$K$6:$L$7,2,0)))*1000</f>
        <v>1000</v>
      </c>
      <c r="F15" s="246">
        <f ca="1">IF(ISNA(M15),$M15,OFFSET(TRADLDAT!$A$1,$L15,VLOOKUP(F$12,$K$6:$L$7,2,0)))*1000</f>
        <v>1000</v>
      </c>
      <c r="G15" s="235" t="s">
        <v>650</v>
      </c>
      <c r="H15" s="235" t="s">
        <v>649</v>
      </c>
      <c r="K15" s="235" t="s">
        <v>651</v>
      </c>
      <c r="L15" s="240">
        <f ca="1">MATCH(K15,OFFSET(TRADLDAT!$A$1,1,$L$5,50),0)</f>
        <v>9</v>
      </c>
      <c r="M15" s="241">
        <v>1</v>
      </c>
      <c r="N15" s="241">
        <v>1</v>
      </c>
    </row>
    <row r="16" spans="2:14">
      <c r="B16" s="235" t="s">
        <v>133</v>
      </c>
      <c r="C16" s="235" t="s">
        <v>134</v>
      </c>
      <c r="D16" s="240" t="s">
        <v>71</v>
      </c>
      <c r="E16" s="246">
        <f ca="1">IF(ISNA(L16),$M16,OFFSET(TRADLDAT!$A$1,$L16,VLOOKUP(E$12,$K$6:$L$7,2,0)))*1000</f>
        <v>2675.6366688288199</v>
      </c>
      <c r="F16" s="246">
        <f ca="1">IF(ISNA(M16),$M16,OFFSET(TRADLDAT!$A$1,$L16,VLOOKUP(F$12,$K$6:$L$7,2,0)))*1000</f>
        <v>2691.4378184777397</v>
      </c>
      <c r="G16" s="235" t="s">
        <v>652</v>
      </c>
      <c r="H16" s="235" t="s">
        <v>649</v>
      </c>
      <c r="K16" s="235" t="s">
        <v>653</v>
      </c>
      <c r="L16" s="240">
        <f ca="1">MATCH(K16,OFFSET(TRADLDAT!$A$1,1,$L$5,50),0)</f>
        <v>11</v>
      </c>
      <c r="M16" s="241">
        <v>2.6756366688288198</v>
      </c>
      <c r="N16" s="241">
        <v>2.6914378184777399</v>
      </c>
    </row>
    <row r="17" spans="2:14">
      <c r="B17" s="235" t="s">
        <v>133</v>
      </c>
      <c r="C17" s="235" t="s">
        <v>134</v>
      </c>
      <c r="D17" s="240" t="s">
        <v>71</v>
      </c>
      <c r="E17" s="246">
        <f ca="1">IF(ISNA(L17),$M17,OFFSET(TRADLDAT!$A$1,$L17,VLOOKUP(E$12,$K$6:$L$7,2,0)))*1000</f>
        <v>1954.10435654662</v>
      </c>
      <c r="F17" s="246">
        <f ca="1">IF(ISNA(M17),$M17,OFFSET(TRADLDAT!$A$1,$L17,VLOOKUP(F$12,$K$6:$L$7,2,0)))*1000</f>
        <v>1554.8555201889401</v>
      </c>
      <c r="G17" s="235" t="s">
        <v>654</v>
      </c>
      <c r="H17" s="235" t="s">
        <v>649</v>
      </c>
      <c r="K17" s="235" t="s">
        <v>655</v>
      </c>
      <c r="L17" s="240">
        <f ca="1">MATCH(K17,OFFSET(TRADLDAT!$A$1,1,$L$5,50),0)</f>
        <v>10</v>
      </c>
      <c r="M17" s="241">
        <v>1.9541043565466201</v>
      </c>
      <c r="N17" s="241">
        <v>1.55485552018894</v>
      </c>
    </row>
    <row r="18" spans="2:14">
      <c r="B18" s="242" t="s">
        <v>133</v>
      </c>
      <c r="C18" s="242" t="s">
        <v>134</v>
      </c>
      <c r="D18" s="243" t="s">
        <v>71</v>
      </c>
      <c r="E18" s="247">
        <f ca="1">IF(ISNA(L18),$M18,OFFSET(TRADLDAT!$A$1,$L18,VLOOKUP(E$12,$K$6:$L$7,2,0)))*1000</f>
        <v>186.49229879051001</v>
      </c>
      <c r="F18" s="247">
        <f ca="1">IF(ISNA(M18),$M18,OFFSET(TRADLDAT!$A$1,$L18,VLOOKUP(F$12,$K$6:$L$7,2,0)))*1000</f>
        <v>243.97080925214402</v>
      </c>
      <c r="G18" s="242" t="s">
        <v>656</v>
      </c>
      <c r="H18" s="242" t="s">
        <v>649</v>
      </c>
      <c r="K18" s="242" t="s">
        <v>657</v>
      </c>
      <c r="L18" s="243">
        <f ca="1">MATCH(K18,OFFSET(TRADLDAT!$A$1,1,$L$5,50),0)</f>
        <v>6</v>
      </c>
      <c r="M18" s="244">
        <v>0.18649229879050999</v>
      </c>
      <c r="N18" s="244">
        <v>0.24397080925214401</v>
      </c>
    </row>
    <row r="19" spans="2:14">
      <c r="B19" s="235" t="s">
        <v>133</v>
      </c>
      <c r="C19" s="235" t="s">
        <v>134</v>
      </c>
      <c r="D19" s="240" t="s">
        <v>71</v>
      </c>
      <c r="E19" s="246">
        <f ca="1">IF(ISNA(L19),$M19,OFFSET(TRADLDAT!$A$1,$L19,VLOOKUP(E$12,$K$6:$L$7,2,0)))*1000</f>
        <v>200</v>
      </c>
      <c r="F19" s="246">
        <f ca="1">IF(ISNA(M19),$M19,OFFSET(TRADLDAT!$A$1,$L19,VLOOKUP(F$12,$K$6:$L$7,2,0)))*1000</f>
        <v>200</v>
      </c>
      <c r="G19" s="235" t="s">
        <v>452</v>
      </c>
      <c r="H19" s="235" t="s">
        <v>658</v>
      </c>
      <c r="K19" s="235" t="s">
        <v>333</v>
      </c>
      <c r="L19" s="240">
        <f ca="1">MATCH(K19,OFFSET(TRADLDAT!$A$1,1,$L$5,50),0)</f>
        <v>3</v>
      </c>
      <c r="M19" s="241">
        <v>0.2</v>
      </c>
      <c r="N19" s="241">
        <v>0.2</v>
      </c>
    </row>
    <row r="20" spans="2:14">
      <c r="B20" s="235" t="s">
        <v>133</v>
      </c>
      <c r="C20" s="235" t="s">
        <v>134</v>
      </c>
      <c r="D20" s="240" t="s">
        <v>71</v>
      </c>
      <c r="E20" s="246">
        <f ca="1">IF(ISNA(L20),$M20,OFFSET(TRADLDAT!$A$1,$L20,VLOOKUP(E$12,$K$6:$L$7,2,0)))*1000</f>
        <v>2400</v>
      </c>
      <c r="F20" s="246">
        <f ca="1">IF(ISNA(M20),$M20,OFFSET(TRADLDAT!$A$1,$L20,VLOOKUP(F$12,$K$6:$L$7,2,0)))*1000</f>
        <v>2400</v>
      </c>
      <c r="G20" s="235" t="s">
        <v>455</v>
      </c>
      <c r="H20" s="235" t="s">
        <v>658</v>
      </c>
      <c r="K20" s="235" t="s">
        <v>340</v>
      </c>
      <c r="L20" s="240">
        <f ca="1">MATCH(K20,OFFSET(TRADLDAT!$A$1,1,$L$5,50),0)</f>
        <v>4</v>
      </c>
      <c r="M20" s="241">
        <v>2.4</v>
      </c>
      <c r="N20" s="241">
        <v>2.4</v>
      </c>
    </row>
    <row r="21" spans="2:14">
      <c r="B21" s="235" t="s">
        <v>133</v>
      </c>
      <c r="C21" s="235" t="s">
        <v>134</v>
      </c>
      <c r="D21" s="240" t="s">
        <v>71</v>
      </c>
      <c r="E21" s="246">
        <f ca="1">IF(ISNA(L21),$M21,OFFSET(TRADLDAT!$A$1,$L21,VLOOKUP(E$12,$K$6:$L$7,2,0)))*1000</f>
        <v>12200</v>
      </c>
      <c r="F21" s="246">
        <f ca="1">IF(ISNA(M21),$M21,OFFSET(TRADLDAT!$A$1,$L21,VLOOKUP(F$12,$K$6:$L$7,2,0)))*1000</f>
        <v>12200</v>
      </c>
      <c r="G21" s="235" t="s">
        <v>454</v>
      </c>
      <c r="H21" s="235" t="s">
        <v>658</v>
      </c>
      <c r="K21" s="235" t="s">
        <v>337</v>
      </c>
      <c r="L21" s="240">
        <f ca="1">MATCH(K21,OFFSET(TRADLDAT!$A$1,1,$L$5,50),0)</f>
        <v>2</v>
      </c>
      <c r="M21" s="241">
        <v>12.2</v>
      </c>
      <c r="N21" s="241">
        <v>12.2</v>
      </c>
    </row>
    <row r="22" spans="2:14">
      <c r="B22" s="235" t="s">
        <v>133</v>
      </c>
      <c r="C22" s="235" t="s">
        <v>134</v>
      </c>
      <c r="D22" s="240" t="s">
        <v>71</v>
      </c>
      <c r="E22" s="246">
        <f ca="1">IF(ISNA(L22),$M22,OFFSET(TRADLDAT!$A$1,$L22,VLOOKUP(E$12,$K$6:$L$7,2,0)))*1000</f>
        <v>7055</v>
      </c>
      <c r="F22" s="246">
        <f ca="1">IF(ISNA(M22),$M22,OFFSET(TRADLDAT!$A$1,$L22,VLOOKUP(F$12,$K$6:$L$7,2,0)))*1000</f>
        <v>9163.9894262183207</v>
      </c>
      <c r="G22" s="235" t="s">
        <v>659</v>
      </c>
      <c r="H22" s="235" t="s">
        <v>658</v>
      </c>
      <c r="K22" s="235" t="s">
        <v>660</v>
      </c>
      <c r="L22" s="240">
        <f ca="1">MATCH(K22,OFFSET(TRADLDAT!$A$1,1,$L$5,50),0)</f>
        <v>5</v>
      </c>
      <c r="M22" s="241">
        <v>7.0549999999999997</v>
      </c>
      <c r="N22" s="241">
        <v>9.1639894262183201</v>
      </c>
    </row>
    <row r="23" spans="2:14">
      <c r="B23" s="242" t="s">
        <v>133</v>
      </c>
      <c r="C23" s="242" t="s">
        <v>134</v>
      </c>
      <c r="D23" s="243" t="s">
        <v>71</v>
      </c>
      <c r="E23" s="247">
        <f ca="1">IF(ISNA(L23),$M23,OFFSET(TRADLDAT!$A$1,$L23,VLOOKUP(E$12,$K$6:$L$7,2,0)))*1000</f>
        <v>511.36589289973801</v>
      </c>
      <c r="F23" s="247">
        <f ca="1">IF(ISNA(M23),$M23,OFFSET(TRADLDAT!$A$1,$L23,VLOOKUP(F$12,$K$6:$L$7,2,0)))*1000</f>
        <v>510.78371692773806</v>
      </c>
      <c r="G23" s="242" t="s">
        <v>661</v>
      </c>
      <c r="H23" s="242" t="s">
        <v>658</v>
      </c>
      <c r="K23" s="242" t="s">
        <v>662</v>
      </c>
      <c r="L23" s="243">
        <f ca="1">MATCH(K23,OFFSET(TRADLDAT!$A$1,1,$L$5,50),0)</f>
        <v>1</v>
      </c>
      <c r="M23" s="244">
        <v>0.51136589289973799</v>
      </c>
      <c r="N23" s="244">
        <v>0.51078371692773805</v>
      </c>
    </row>
    <row r="24" spans="2:14">
      <c r="B24" s="235" t="s">
        <v>133</v>
      </c>
      <c r="C24" s="235" t="s">
        <v>134</v>
      </c>
      <c r="D24" s="240" t="s">
        <v>351</v>
      </c>
      <c r="E24" s="246">
        <f t="shared" ref="E24:F34" ca="1" si="0">E13</f>
        <v>1600</v>
      </c>
      <c r="F24" s="246">
        <f t="shared" ca="1" si="0"/>
        <v>1600</v>
      </c>
      <c r="G24" s="235" t="s">
        <v>450</v>
      </c>
      <c r="H24" s="235" t="s">
        <v>649</v>
      </c>
    </row>
    <row r="25" spans="2:14">
      <c r="B25" s="235" t="s">
        <v>133</v>
      </c>
      <c r="C25" s="235" t="s">
        <v>134</v>
      </c>
      <c r="D25" s="240" t="s">
        <v>351</v>
      </c>
      <c r="E25" s="246">
        <f t="shared" ca="1" si="0"/>
        <v>13000</v>
      </c>
      <c r="F25" s="246">
        <f t="shared" ca="1" si="0"/>
        <v>13000</v>
      </c>
      <c r="G25" s="235" t="s">
        <v>453</v>
      </c>
      <c r="H25" s="235" t="s">
        <v>649</v>
      </c>
    </row>
    <row r="26" spans="2:14">
      <c r="B26" s="235" t="s">
        <v>133</v>
      </c>
      <c r="C26" s="235" t="s">
        <v>134</v>
      </c>
      <c r="D26" s="240" t="s">
        <v>351</v>
      </c>
      <c r="E26" s="246">
        <f t="shared" ca="1" si="0"/>
        <v>1000</v>
      </c>
      <c r="F26" s="246">
        <f t="shared" ca="1" si="0"/>
        <v>1000</v>
      </c>
      <c r="G26" s="235" t="s">
        <v>650</v>
      </c>
      <c r="H26" s="235" t="s">
        <v>649</v>
      </c>
    </row>
    <row r="27" spans="2:14">
      <c r="B27" s="235" t="s">
        <v>133</v>
      </c>
      <c r="C27" s="235" t="s">
        <v>134</v>
      </c>
      <c r="D27" s="240" t="s">
        <v>351</v>
      </c>
      <c r="E27" s="246">
        <f t="shared" ca="1" si="0"/>
        <v>2675.6366688288199</v>
      </c>
      <c r="F27" s="246">
        <f t="shared" ca="1" si="0"/>
        <v>2691.4378184777397</v>
      </c>
      <c r="G27" s="235" t="s">
        <v>652</v>
      </c>
      <c r="H27" s="235" t="s">
        <v>649</v>
      </c>
    </row>
    <row r="28" spans="2:14">
      <c r="B28" s="235" t="s">
        <v>133</v>
      </c>
      <c r="C28" s="235" t="s">
        <v>134</v>
      </c>
      <c r="D28" s="240" t="s">
        <v>351</v>
      </c>
      <c r="E28" s="246">
        <f t="shared" ca="1" si="0"/>
        <v>1954.10435654662</v>
      </c>
      <c r="F28" s="246">
        <f t="shared" ca="1" si="0"/>
        <v>1554.8555201889401</v>
      </c>
      <c r="G28" s="235" t="s">
        <v>654</v>
      </c>
      <c r="H28" s="235" t="s">
        <v>649</v>
      </c>
    </row>
    <row r="29" spans="2:14">
      <c r="B29" s="242" t="s">
        <v>133</v>
      </c>
      <c r="C29" s="242" t="s">
        <v>134</v>
      </c>
      <c r="D29" s="243" t="s">
        <v>351</v>
      </c>
      <c r="E29" s="247">
        <f t="shared" ca="1" si="0"/>
        <v>186.49229879051001</v>
      </c>
      <c r="F29" s="247">
        <f t="shared" ca="1" si="0"/>
        <v>243.97080925214402</v>
      </c>
      <c r="G29" s="242" t="s">
        <v>656</v>
      </c>
      <c r="H29" s="242" t="s">
        <v>649</v>
      </c>
    </row>
    <row r="30" spans="2:14">
      <c r="B30" s="235" t="s">
        <v>133</v>
      </c>
      <c r="C30" s="235" t="s">
        <v>134</v>
      </c>
      <c r="D30" s="240" t="s">
        <v>351</v>
      </c>
      <c r="E30" s="246">
        <f t="shared" ca="1" si="0"/>
        <v>200</v>
      </c>
      <c r="F30" s="246">
        <f t="shared" ca="1" si="0"/>
        <v>200</v>
      </c>
      <c r="G30" s="235" t="s">
        <v>452</v>
      </c>
      <c r="H30" s="235" t="s">
        <v>658</v>
      </c>
    </row>
    <row r="31" spans="2:14">
      <c r="B31" s="235" t="s">
        <v>133</v>
      </c>
      <c r="C31" s="235" t="s">
        <v>134</v>
      </c>
      <c r="D31" s="240" t="s">
        <v>351</v>
      </c>
      <c r="E31" s="246">
        <f t="shared" ca="1" si="0"/>
        <v>2400</v>
      </c>
      <c r="F31" s="246">
        <f t="shared" ca="1" si="0"/>
        <v>2400</v>
      </c>
      <c r="G31" s="235" t="s">
        <v>455</v>
      </c>
      <c r="H31" s="235" t="s">
        <v>658</v>
      </c>
    </row>
    <row r="32" spans="2:14">
      <c r="B32" s="235" t="s">
        <v>133</v>
      </c>
      <c r="C32" s="235" t="s">
        <v>134</v>
      </c>
      <c r="D32" s="240" t="s">
        <v>351</v>
      </c>
      <c r="E32" s="246">
        <f t="shared" ca="1" si="0"/>
        <v>12200</v>
      </c>
      <c r="F32" s="246">
        <f t="shared" ca="1" si="0"/>
        <v>12200</v>
      </c>
      <c r="G32" s="235" t="s">
        <v>454</v>
      </c>
      <c r="H32" s="235" t="s">
        <v>658</v>
      </c>
    </row>
    <row r="33" spans="2:8">
      <c r="B33" s="235" t="s">
        <v>133</v>
      </c>
      <c r="C33" s="235" t="s">
        <v>134</v>
      </c>
      <c r="D33" s="240" t="s">
        <v>351</v>
      </c>
      <c r="E33" s="246">
        <f t="shared" ca="1" si="0"/>
        <v>7055</v>
      </c>
      <c r="F33" s="246">
        <f t="shared" ca="1" si="0"/>
        <v>9163.9894262183207</v>
      </c>
      <c r="G33" s="235" t="s">
        <v>659</v>
      </c>
      <c r="H33" s="235" t="s">
        <v>658</v>
      </c>
    </row>
    <row r="34" spans="2:8">
      <c r="B34" s="235" t="s">
        <v>133</v>
      </c>
      <c r="C34" s="235" t="s">
        <v>134</v>
      </c>
      <c r="D34" s="240" t="s">
        <v>351</v>
      </c>
      <c r="E34" s="246">
        <f t="shared" ca="1" si="0"/>
        <v>511.36589289973801</v>
      </c>
      <c r="F34" s="246">
        <f t="shared" ca="1" si="0"/>
        <v>510.78371692773806</v>
      </c>
      <c r="G34" s="235" t="s">
        <v>661</v>
      </c>
      <c r="H34" s="235" t="s">
        <v>658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F11" sqref="F11"/>
    </sheetView>
  </sheetViews>
  <sheetFormatPr defaultRowHeight="12.75"/>
  <cols>
    <col min="1" max="16384" width="9.140625" style="232"/>
  </cols>
  <sheetData>
    <row r="1" spans="1:13">
      <c r="A1" s="245" t="s">
        <v>663</v>
      </c>
      <c r="B1" s="245" t="s">
        <v>664</v>
      </c>
      <c r="C1" s="245" t="s">
        <v>665</v>
      </c>
      <c r="D1" s="245" t="s">
        <v>666</v>
      </c>
      <c r="E1" s="245" t="s">
        <v>667</v>
      </c>
      <c r="F1" s="245" t="s">
        <v>668</v>
      </c>
      <c r="G1" s="245" t="s">
        <v>669</v>
      </c>
      <c r="H1" s="245" t="s">
        <v>670</v>
      </c>
      <c r="I1" s="245" t="s">
        <v>671</v>
      </c>
      <c r="J1" s="245" t="s">
        <v>672</v>
      </c>
      <c r="K1" s="245" t="s">
        <v>673</v>
      </c>
      <c r="L1" s="245">
        <v>2010</v>
      </c>
      <c r="M1" s="245">
        <v>2017</v>
      </c>
    </row>
    <row r="2" spans="1:13">
      <c r="A2" s="245" t="s">
        <v>111</v>
      </c>
      <c r="B2" s="245" t="s">
        <v>71</v>
      </c>
      <c r="C2" s="245" t="s">
        <v>643</v>
      </c>
      <c r="D2" s="245" t="s">
        <v>674</v>
      </c>
      <c r="E2" s="245" t="s">
        <v>662</v>
      </c>
      <c r="F2" s="245" t="s">
        <v>244</v>
      </c>
      <c r="G2" s="245" t="s">
        <v>118</v>
      </c>
      <c r="H2" s="245" t="s">
        <v>675</v>
      </c>
      <c r="I2" s="245" t="s">
        <v>675</v>
      </c>
      <c r="J2" s="245" t="s">
        <v>675</v>
      </c>
      <c r="K2" s="245" t="s">
        <v>675</v>
      </c>
      <c r="L2" s="245">
        <v>0.51136589289973799</v>
      </c>
      <c r="M2" s="245">
        <v>0.51078371692773805</v>
      </c>
    </row>
    <row r="3" spans="1:13">
      <c r="A3" s="245" t="s">
        <v>111</v>
      </c>
      <c r="B3" s="245" t="s">
        <v>71</v>
      </c>
      <c r="C3" s="245" t="s">
        <v>643</v>
      </c>
      <c r="D3" s="245" t="s">
        <v>674</v>
      </c>
      <c r="E3" s="245" t="s">
        <v>337</v>
      </c>
      <c r="F3" s="245" t="s">
        <v>244</v>
      </c>
      <c r="G3" s="245" t="s">
        <v>118</v>
      </c>
      <c r="H3" s="245" t="s">
        <v>675</v>
      </c>
      <c r="I3" s="245" t="s">
        <v>675</v>
      </c>
      <c r="J3" s="245" t="s">
        <v>675</v>
      </c>
      <c r="K3" s="245" t="s">
        <v>675</v>
      </c>
      <c r="L3" s="245">
        <v>12.2</v>
      </c>
      <c r="M3" s="245">
        <v>12.2</v>
      </c>
    </row>
    <row r="4" spans="1:13">
      <c r="A4" s="245" t="s">
        <v>111</v>
      </c>
      <c r="B4" s="245" t="s">
        <v>71</v>
      </c>
      <c r="C4" s="245" t="s">
        <v>643</v>
      </c>
      <c r="D4" s="245" t="s">
        <v>674</v>
      </c>
      <c r="E4" s="245" t="s">
        <v>333</v>
      </c>
      <c r="F4" s="245" t="s">
        <v>244</v>
      </c>
      <c r="G4" s="245" t="s">
        <v>118</v>
      </c>
      <c r="H4" s="245" t="s">
        <v>675</v>
      </c>
      <c r="I4" s="245" t="s">
        <v>675</v>
      </c>
      <c r="J4" s="245" t="s">
        <v>675</v>
      </c>
      <c r="K4" s="245" t="s">
        <v>675</v>
      </c>
      <c r="L4" s="245">
        <v>0.2</v>
      </c>
      <c r="M4" s="245">
        <v>0.2</v>
      </c>
    </row>
    <row r="5" spans="1:13">
      <c r="A5" s="245" t="s">
        <v>111</v>
      </c>
      <c r="B5" s="245" t="s">
        <v>71</v>
      </c>
      <c r="C5" s="245" t="s">
        <v>643</v>
      </c>
      <c r="D5" s="245" t="s">
        <v>674</v>
      </c>
      <c r="E5" s="245" t="s">
        <v>340</v>
      </c>
      <c r="F5" s="245" t="s">
        <v>244</v>
      </c>
      <c r="G5" s="245" t="s">
        <v>118</v>
      </c>
      <c r="H5" s="245" t="s">
        <v>675</v>
      </c>
      <c r="I5" s="245" t="s">
        <v>675</v>
      </c>
      <c r="J5" s="245" t="s">
        <v>675</v>
      </c>
      <c r="K5" s="245" t="s">
        <v>675</v>
      </c>
      <c r="L5" s="245">
        <v>2.4</v>
      </c>
      <c r="M5" s="245">
        <v>2.4</v>
      </c>
    </row>
    <row r="6" spans="1:13">
      <c r="A6" s="245" t="s">
        <v>111</v>
      </c>
      <c r="B6" s="245" t="s">
        <v>71</v>
      </c>
      <c r="C6" s="245" t="s">
        <v>643</v>
      </c>
      <c r="D6" s="245" t="s">
        <v>674</v>
      </c>
      <c r="E6" s="245" t="s">
        <v>660</v>
      </c>
      <c r="F6" s="245" t="s">
        <v>244</v>
      </c>
      <c r="G6" s="245" t="s">
        <v>118</v>
      </c>
      <c r="H6" s="245" t="s">
        <v>675</v>
      </c>
      <c r="I6" s="245" t="s">
        <v>675</v>
      </c>
      <c r="J6" s="245" t="s">
        <v>675</v>
      </c>
      <c r="K6" s="245" t="s">
        <v>675</v>
      </c>
      <c r="L6" s="245">
        <v>7.0549999999999997</v>
      </c>
      <c r="M6" s="245">
        <v>9.1639894262183201</v>
      </c>
    </row>
    <row r="7" spans="1:13">
      <c r="A7" s="245" t="s">
        <v>111</v>
      </c>
      <c r="B7" s="245" t="s">
        <v>71</v>
      </c>
      <c r="C7" s="245" t="s">
        <v>643</v>
      </c>
      <c r="D7" s="245" t="s">
        <v>676</v>
      </c>
      <c r="E7" s="245" t="s">
        <v>657</v>
      </c>
      <c r="F7" s="245" t="s">
        <v>244</v>
      </c>
      <c r="G7" s="245" t="s">
        <v>118</v>
      </c>
      <c r="H7" s="245" t="s">
        <v>675</v>
      </c>
      <c r="I7" s="245" t="s">
        <v>675</v>
      </c>
      <c r="J7" s="245" t="s">
        <v>675</v>
      </c>
      <c r="K7" s="245" t="s">
        <v>675</v>
      </c>
      <c r="L7" s="245">
        <v>0.18649229879050999</v>
      </c>
      <c r="M7" s="245">
        <v>0.24397080925214401</v>
      </c>
    </row>
    <row r="8" spans="1:13">
      <c r="A8" s="245" t="s">
        <v>111</v>
      </c>
      <c r="B8" s="245" t="s">
        <v>71</v>
      </c>
      <c r="C8" s="245" t="s">
        <v>643</v>
      </c>
      <c r="D8" s="245" t="s">
        <v>676</v>
      </c>
      <c r="E8" s="245" t="s">
        <v>343</v>
      </c>
      <c r="F8" s="245" t="s">
        <v>244</v>
      </c>
      <c r="G8" s="245" t="s">
        <v>118</v>
      </c>
      <c r="H8" s="245" t="s">
        <v>675</v>
      </c>
      <c r="I8" s="245" t="s">
        <v>675</v>
      </c>
      <c r="J8" s="245" t="s">
        <v>675</v>
      </c>
      <c r="K8" s="245" t="s">
        <v>675</v>
      </c>
      <c r="L8" s="245">
        <v>13</v>
      </c>
      <c r="M8" s="245">
        <v>13</v>
      </c>
    </row>
    <row r="9" spans="1:13">
      <c r="A9" s="245" t="s">
        <v>111</v>
      </c>
      <c r="B9" s="245" t="s">
        <v>71</v>
      </c>
      <c r="C9" s="245" t="s">
        <v>643</v>
      </c>
      <c r="D9" s="245" t="s">
        <v>676</v>
      </c>
      <c r="E9" s="245" t="s">
        <v>440</v>
      </c>
      <c r="F9" s="245" t="s">
        <v>244</v>
      </c>
      <c r="G9" s="245" t="s">
        <v>118</v>
      </c>
      <c r="H9" s="245" t="s">
        <v>675</v>
      </c>
      <c r="I9" s="245" t="s">
        <v>675</v>
      </c>
      <c r="J9" s="245" t="s">
        <v>675</v>
      </c>
      <c r="K9" s="245" t="s">
        <v>675</v>
      </c>
      <c r="L9" s="245">
        <v>1.6</v>
      </c>
      <c r="M9" s="245">
        <v>1.6</v>
      </c>
    </row>
    <row r="10" spans="1:13">
      <c r="A10" s="245" t="s">
        <v>111</v>
      </c>
      <c r="B10" s="245" t="s">
        <v>71</v>
      </c>
      <c r="C10" s="245" t="s">
        <v>643</v>
      </c>
      <c r="D10" s="245" t="s">
        <v>676</v>
      </c>
      <c r="E10" s="245" t="s">
        <v>651</v>
      </c>
      <c r="F10" s="245" t="s">
        <v>244</v>
      </c>
      <c r="G10" s="245" t="s">
        <v>118</v>
      </c>
      <c r="H10" s="245" t="s">
        <v>675</v>
      </c>
      <c r="I10" s="245" t="s">
        <v>675</v>
      </c>
      <c r="J10" s="245" t="s">
        <v>675</v>
      </c>
      <c r="K10" s="245" t="s">
        <v>675</v>
      </c>
      <c r="L10" s="245">
        <v>1</v>
      </c>
      <c r="M10" s="245">
        <v>1</v>
      </c>
    </row>
    <row r="11" spans="1:13">
      <c r="A11" s="245" t="s">
        <v>111</v>
      </c>
      <c r="B11" s="245" t="s">
        <v>71</v>
      </c>
      <c r="C11" s="245" t="s">
        <v>643</v>
      </c>
      <c r="D11" s="245" t="s">
        <v>676</v>
      </c>
      <c r="E11" s="245" t="s">
        <v>655</v>
      </c>
      <c r="F11" s="245" t="s">
        <v>244</v>
      </c>
      <c r="G11" s="245" t="s">
        <v>118</v>
      </c>
      <c r="H11" s="245" t="s">
        <v>675</v>
      </c>
      <c r="I11" s="245" t="s">
        <v>675</v>
      </c>
      <c r="J11" s="245" t="s">
        <v>675</v>
      </c>
      <c r="K11" s="245" t="s">
        <v>675</v>
      </c>
      <c r="L11" s="245">
        <v>1.9541043565466201</v>
      </c>
      <c r="M11" s="245">
        <v>1.55485552018894</v>
      </c>
    </row>
    <row r="12" spans="1:13">
      <c r="A12" s="245" t="s">
        <v>111</v>
      </c>
      <c r="B12" s="245" t="s">
        <v>71</v>
      </c>
      <c r="C12" s="245" t="s">
        <v>643</v>
      </c>
      <c r="D12" s="245" t="s">
        <v>676</v>
      </c>
      <c r="E12" s="245" t="s">
        <v>653</v>
      </c>
      <c r="F12" s="245" t="s">
        <v>244</v>
      </c>
      <c r="G12" s="245" t="s">
        <v>118</v>
      </c>
      <c r="H12" s="245" t="s">
        <v>675</v>
      </c>
      <c r="I12" s="245" t="s">
        <v>675</v>
      </c>
      <c r="J12" s="245" t="s">
        <v>675</v>
      </c>
      <c r="K12" s="245" t="s">
        <v>675</v>
      </c>
      <c r="L12" s="245">
        <v>2.6756366688288198</v>
      </c>
      <c r="M12" s="245">
        <v>2.6914378184777399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UPS_TFM</vt:lpstr>
      <vt:lpstr>INDUP</vt:lpstr>
      <vt:lpstr>ELC_TFM</vt:lpstr>
      <vt:lpstr>WINDUP</vt:lpstr>
      <vt:lpstr>RES_TFM</vt:lpstr>
      <vt:lpstr>TRA_TFM</vt:lpstr>
      <vt:lpstr>EMISAGG</vt:lpstr>
      <vt:lpstr>FILL</vt:lpstr>
      <vt:lpstr>TRADL</vt:lpstr>
      <vt:lpstr>TRADLDAT</vt:lpstr>
      <vt:lpstr>VEDA2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Kapilow-Cohen</dc:creator>
  <cp:lastModifiedBy>Antti-L</cp:lastModifiedBy>
  <cp:lastPrinted>2001-09-28T20:39:50Z</cp:lastPrinted>
  <dcterms:created xsi:type="dcterms:W3CDTF">2001-09-28T18:48:17Z</dcterms:created>
  <dcterms:modified xsi:type="dcterms:W3CDTF">2021-02-12T15:15:59Z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369586884975433</vt:r8>
  </property>
</Properties>
</file>