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865" yWindow="435" windowWidth="21060" windowHeight="13305"/>
  </bookViews>
  <sheets>
    <sheet name="TFM_FIN" sheetId="1" r:id="rId1"/>
    <sheet name="FINEW" sheetId="7" r:id="rId2"/>
  </sheets>
  <calcPr calcId="114210" calcMode="manual"/>
</workbook>
</file>

<file path=xl/calcChain.xml><?xml version="1.0" encoding="utf-8"?>
<calcChain xmlns="http://schemas.openxmlformats.org/spreadsheetml/2006/main">
  <c r="L52" i="7"/>
  <c r="H36" i="1"/>
  <c r="H37"/>
  <c r="I37"/>
  <c r="L43" i="7"/>
  <c r="R161" i="1"/>
  <c r="L46" i="7"/>
  <c r="R160" i="1"/>
  <c r="L45" i="7"/>
  <c r="R159" i="1"/>
  <c r="R158"/>
  <c r="R157"/>
  <c r="R156"/>
  <c r="F1"/>
  <c r="T77"/>
  <c r="T78"/>
  <c r="K54" i="7"/>
  <c r="H77" i="1"/>
  <c r="I77"/>
  <c r="I78"/>
  <c r="H78"/>
  <c r="H98"/>
  <c r="I98"/>
  <c r="I99"/>
  <c r="H99"/>
  <c r="T98"/>
  <c r="T99"/>
  <c r="D1"/>
  <c r="A1"/>
  <c r="N141"/>
  <c r="N140"/>
  <c r="N139"/>
  <c r="N138"/>
  <c r="N137"/>
  <c r="H2"/>
  <c r="I161"/>
  <c r="H161"/>
  <c r="I160"/>
  <c r="H160"/>
  <c r="I159"/>
  <c r="H159"/>
  <c r="I158"/>
  <c r="H158"/>
  <c r="I157"/>
  <c r="H157"/>
  <c r="I156"/>
  <c r="H156"/>
  <c r="E2" i="7"/>
  <c r="M10"/>
  <c r="G33"/>
  <c r="M12"/>
  <c r="G35"/>
  <c r="M11"/>
  <c r="G34"/>
  <c r="L51"/>
  <c r="N146" i="1"/>
  <c r="R146"/>
  <c r="I146"/>
  <c r="H146"/>
  <c r="N144"/>
  <c r="R144"/>
  <c r="R145"/>
  <c r="I145"/>
  <c r="H145"/>
  <c r="I144"/>
  <c r="H144"/>
  <c r="N143"/>
  <c r="M24" i="7"/>
  <c r="G39"/>
  <c r="L53"/>
  <c r="R143" i="1"/>
  <c r="I143"/>
  <c r="H143"/>
  <c r="N142"/>
  <c r="L49" i="7"/>
  <c r="R142" i="1"/>
  <c r="I142"/>
  <c r="H142"/>
  <c r="L44" i="7"/>
  <c r="R141" i="1"/>
  <c r="I141"/>
  <c r="H141"/>
  <c r="R140"/>
  <c r="I140"/>
  <c r="H140"/>
  <c r="R139"/>
  <c r="I139"/>
  <c r="H139"/>
  <c r="R138"/>
  <c r="I138"/>
  <c r="H138"/>
  <c r="R137"/>
  <c r="I137"/>
  <c r="H137"/>
  <c r="N145"/>
  <c r="O22" i="7"/>
  <c r="H38"/>
  <c r="M47"/>
  <c r="H39" i="1"/>
  <c r="I39"/>
  <c r="L23" i="7"/>
  <c r="F38"/>
  <c r="K47"/>
  <c r="H41" i="1"/>
  <c r="I41"/>
  <c r="I40"/>
  <c r="H40"/>
  <c r="L9" i="7"/>
  <c r="H19" i="1"/>
  <c r="H20"/>
  <c r="I20"/>
  <c r="I19"/>
  <c r="L27" i="7"/>
  <c r="M27"/>
  <c r="M26"/>
  <c r="M25"/>
  <c r="M23"/>
  <c r="M22"/>
  <c r="M21"/>
  <c r="M20"/>
  <c r="M19"/>
  <c r="M16"/>
  <c r="M15"/>
  <c r="M14"/>
  <c r="M9"/>
  <c r="M8"/>
  <c r="S30"/>
  <c r="L15"/>
  <c r="L14"/>
  <c r="F46"/>
  <c r="P37"/>
  <c r="H124" i="1"/>
  <c r="P36" i="7"/>
  <c r="H123" i="1"/>
  <c r="P35" i="7"/>
  <c r="H122" i="1"/>
  <c r="L16" i="7"/>
  <c r="F48"/>
  <c r="P34"/>
  <c r="H121" i="1"/>
  <c r="P33" i="7"/>
  <c r="H120" i="1"/>
  <c r="P32" i="7"/>
  <c r="H119" i="1"/>
  <c r="P30" i="7"/>
  <c r="H116" i="1"/>
  <c r="T114"/>
  <c r="L19" i="7"/>
  <c r="F37"/>
  <c r="K72"/>
  <c r="H114" i="1"/>
  <c r="T113"/>
  <c r="L21" i="7"/>
  <c r="F45"/>
  <c r="K71"/>
  <c r="H113" i="1"/>
  <c r="T111"/>
  <c r="I27" i="7"/>
  <c r="F44"/>
  <c r="K70"/>
  <c r="H111" i="1"/>
  <c r="T110"/>
  <c r="L20" i="7"/>
  <c r="H110" i="1"/>
  <c r="K69" i="7"/>
  <c r="H109" i="1"/>
  <c r="L18" i="7"/>
  <c r="F36"/>
  <c r="K66"/>
  <c r="H108" i="1"/>
  <c r="T107"/>
  <c r="I26" i="7"/>
  <c r="L26"/>
  <c r="F42"/>
  <c r="K65"/>
  <c r="H107" i="1"/>
  <c r="F43" i="7"/>
  <c r="K64"/>
  <c r="T106" i="1"/>
  <c r="H106"/>
  <c r="T104"/>
  <c r="I24" i="7"/>
  <c r="L24"/>
  <c r="F39"/>
  <c r="F40"/>
  <c r="K62"/>
  <c r="H104" i="1"/>
  <c r="T103"/>
  <c r="I10" i="7"/>
  <c r="L10"/>
  <c r="F33"/>
  <c r="K61"/>
  <c r="H103" i="1"/>
  <c r="T102"/>
  <c r="I12" i="7"/>
  <c r="L12"/>
  <c r="F35"/>
  <c r="K60"/>
  <c r="H102" i="1"/>
  <c r="T101"/>
  <c r="K59" i="7"/>
  <c r="H101" i="1"/>
  <c r="T100"/>
  <c r="K55" i="7"/>
  <c r="H100" i="1"/>
  <c r="K48" i="7"/>
  <c r="I25"/>
  <c r="L25"/>
  <c r="F41"/>
  <c r="T97" i="1"/>
  <c r="I23" i="7"/>
  <c r="H97" i="1"/>
  <c r="T96"/>
  <c r="I11" i="7"/>
  <c r="L11"/>
  <c r="F34"/>
  <c r="K42"/>
  <c r="H96" i="1"/>
  <c r="T95"/>
  <c r="H95"/>
  <c r="T94"/>
  <c r="H94"/>
  <c r="T93"/>
  <c r="H93"/>
  <c r="T92"/>
  <c r="H92"/>
  <c r="T91"/>
  <c r="H91"/>
  <c r="T90"/>
  <c r="K58" i="7"/>
  <c r="H90" i="1"/>
  <c r="T89"/>
  <c r="H89"/>
  <c r="T88"/>
  <c r="K56" i="7"/>
  <c r="H88" i="1"/>
  <c r="T87"/>
  <c r="K57" i="7"/>
  <c r="H87" i="1"/>
  <c r="T86"/>
  <c r="H86"/>
  <c r="T85"/>
  <c r="H85"/>
  <c r="T83"/>
  <c r="H83"/>
  <c r="T82"/>
  <c r="H82"/>
  <c r="T81"/>
  <c r="H81"/>
  <c r="T80"/>
  <c r="H80"/>
  <c r="T79"/>
  <c r="H79"/>
  <c r="T76"/>
  <c r="H76"/>
  <c r="T75"/>
  <c r="H75"/>
  <c r="T74"/>
  <c r="H74"/>
  <c r="T73"/>
  <c r="H73"/>
  <c r="T72"/>
  <c r="H72"/>
  <c r="T71"/>
  <c r="H71"/>
  <c r="T70"/>
  <c r="H70"/>
  <c r="T69"/>
  <c r="H69"/>
  <c r="T68"/>
  <c r="H68"/>
  <c r="T67"/>
  <c r="H67"/>
  <c r="T66"/>
  <c r="H66"/>
  <c r="T65"/>
  <c r="H65"/>
  <c r="T64"/>
  <c r="H64"/>
  <c r="T62"/>
  <c r="H40" i="7"/>
  <c r="M62"/>
  <c r="H62" i="1"/>
  <c r="T61"/>
  <c r="H33" i="7"/>
  <c r="M61"/>
  <c r="H61" i="1"/>
  <c r="T60"/>
  <c r="H35" i="7"/>
  <c r="M60"/>
  <c r="H60" i="1"/>
  <c r="T59"/>
  <c r="M59" i="7"/>
  <c r="H59" i="1"/>
  <c r="T58"/>
  <c r="M55" i="7"/>
  <c r="H58" i="1"/>
  <c r="T57"/>
  <c r="O24" i="7"/>
  <c r="H39"/>
  <c r="M58"/>
  <c r="H57" i="1"/>
  <c r="T56"/>
  <c r="M48" i="7"/>
  <c r="H56" i="1"/>
  <c r="T55"/>
  <c r="M57" i="7"/>
  <c r="H55" i="1"/>
  <c r="T54"/>
  <c r="G41" i="7"/>
  <c r="H41"/>
  <c r="M54"/>
  <c r="H54" i="1"/>
  <c r="T53"/>
  <c r="M56" i="7"/>
  <c r="H53" i="1"/>
  <c r="T52"/>
  <c r="H52"/>
  <c r="T51"/>
  <c r="H34" i="7"/>
  <c r="M42"/>
  <c r="H51" i="1"/>
  <c r="T50"/>
  <c r="H50"/>
  <c r="H48"/>
  <c r="T47"/>
  <c r="K53" i="7"/>
  <c r="H47" i="1"/>
  <c r="T46"/>
  <c r="K52" i="7"/>
  <c r="H46" i="1"/>
  <c r="T45"/>
  <c r="K51" i="7"/>
  <c r="H45" i="1"/>
  <c r="T44"/>
  <c r="H44"/>
  <c r="H43"/>
  <c r="T42"/>
  <c r="H42"/>
  <c r="T41"/>
  <c r="T38"/>
  <c r="H38"/>
  <c r="T36"/>
  <c r="T35"/>
  <c r="H35"/>
  <c r="T34"/>
  <c r="T33"/>
  <c r="G40" i="7"/>
  <c r="L50"/>
  <c r="H33" i="1"/>
  <c r="T32"/>
  <c r="H32"/>
  <c r="T31"/>
  <c r="N11" i="7"/>
  <c r="H31" i="1"/>
  <c r="T29"/>
  <c r="H29"/>
  <c r="T28"/>
  <c r="H28"/>
  <c r="T27"/>
  <c r="K46" i="7"/>
  <c r="H27" i="1"/>
  <c r="T26"/>
  <c r="T25"/>
  <c r="K45" i="7"/>
  <c r="H25" i="1"/>
  <c r="T24"/>
  <c r="K44" i="7"/>
  <c r="H24" i="1"/>
  <c r="T23"/>
  <c r="K43" i="7"/>
  <c r="H23" i="1"/>
  <c r="T22"/>
  <c r="T18"/>
  <c r="L8" i="7"/>
  <c r="F30"/>
  <c r="K41"/>
  <c r="H18" i="1"/>
  <c r="T17"/>
  <c r="K40" i="7"/>
  <c r="H17" i="1"/>
  <c r="T16"/>
  <c r="K39" i="7"/>
  <c r="H16" i="1"/>
  <c r="T15"/>
  <c r="K38" i="7"/>
  <c r="H15" i="1"/>
  <c r="T14"/>
  <c r="K37" i="7"/>
  <c r="H14" i="1"/>
  <c r="T13"/>
  <c r="F31" i="7"/>
  <c r="K36"/>
  <c r="H13" i="1"/>
  <c r="T12"/>
  <c r="F32" i="7"/>
  <c r="K30"/>
  <c r="H7" i="1"/>
  <c r="K35" i="7"/>
  <c r="H12" i="1"/>
  <c r="T11"/>
  <c r="K34" i="7"/>
  <c r="H11" i="1"/>
  <c r="T10"/>
  <c r="K33" i="7"/>
  <c r="H10" i="1"/>
  <c r="T9"/>
  <c r="K32" i="7"/>
  <c r="H9" i="1"/>
  <c r="T8"/>
  <c r="K31" i="7"/>
  <c r="H8" i="1"/>
  <c r="T7"/>
  <c r="T6"/>
  <c r="E3" i="7"/>
  <c r="R5"/>
  <c r="I8"/>
  <c r="I9"/>
  <c r="I14"/>
  <c r="I15"/>
  <c r="I16"/>
  <c r="I18"/>
  <c r="M18"/>
  <c r="I19"/>
  <c r="G20"/>
  <c r="I20"/>
  <c r="G21"/>
  <c r="I21"/>
  <c r="I22"/>
  <c r="L22"/>
  <c r="T22"/>
  <c r="G30"/>
  <c r="H30"/>
  <c r="G31"/>
  <c r="G32"/>
  <c r="L30"/>
  <c r="H31"/>
  <c r="H32"/>
  <c r="M30"/>
  <c r="L31"/>
  <c r="M31"/>
  <c r="P31"/>
  <c r="L32"/>
  <c r="M32"/>
  <c r="L33"/>
  <c r="M33"/>
  <c r="L34"/>
  <c r="M34"/>
  <c r="L35"/>
  <c r="M35"/>
  <c r="G36"/>
  <c r="H36"/>
  <c r="L36"/>
  <c r="M36"/>
  <c r="G37"/>
  <c r="H37"/>
  <c r="L37"/>
  <c r="M37"/>
  <c r="G38"/>
  <c r="L38"/>
  <c r="M38"/>
  <c r="L39"/>
  <c r="M39"/>
  <c r="L40"/>
  <c r="M40"/>
  <c r="L41"/>
  <c r="M41"/>
  <c r="G42"/>
  <c r="H42"/>
  <c r="L42"/>
  <c r="G43"/>
  <c r="H43"/>
  <c r="M43"/>
  <c r="G44"/>
  <c r="H44"/>
  <c r="M44"/>
  <c r="G45"/>
  <c r="H45"/>
  <c r="M45"/>
  <c r="G46"/>
  <c r="M46"/>
  <c r="F47"/>
  <c r="G47"/>
  <c r="L47"/>
  <c r="G48"/>
  <c r="L48"/>
  <c r="K49"/>
  <c r="M49"/>
  <c r="K50"/>
  <c r="M50"/>
  <c r="M51"/>
  <c r="M52"/>
  <c r="M53"/>
  <c r="L54"/>
  <c r="L55"/>
  <c r="L56"/>
  <c r="L57"/>
  <c r="L58"/>
  <c r="L59"/>
  <c r="L60"/>
  <c r="L61"/>
  <c r="L62"/>
  <c r="K63"/>
  <c r="L63"/>
  <c r="M63"/>
  <c r="L64"/>
  <c r="M64"/>
  <c r="L65"/>
  <c r="M65"/>
  <c r="L66"/>
  <c r="M66"/>
  <c r="K67"/>
  <c r="L67"/>
  <c r="M67"/>
  <c r="K68"/>
  <c r="L68"/>
  <c r="M68"/>
  <c r="L69"/>
  <c r="M69"/>
  <c r="L70"/>
  <c r="M70"/>
  <c r="L71"/>
  <c r="M71"/>
  <c r="L72"/>
  <c r="M72"/>
  <c r="K73"/>
  <c r="L73"/>
  <c r="M73"/>
  <c r="I43" i="1"/>
  <c r="I48"/>
  <c r="H112"/>
  <c r="H130"/>
  <c r="I130"/>
  <c r="H129"/>
  <c r="I129"/>
  <c r="H128"/>
  <c r="I128"/>
  <c r="H118"/>
  <c r="H127"/>
  <c r="I127"/>
  <c r="H117"/>
  <c r="H126"/>
  <c r="I126"/>
  <c r="H125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7"/>
  <c r="I46"/>
  <c r="I45"/>
  <c r="I44"/>
  <c r="I42"/>
  <c r="I38"/>
  <c r="I36"/>
  <c r="I35"/>
  <c r="H34"/>
  <c r="I34"/>
  <c r="I33"/>
  <c r="I32"/>
  <c r="I31"/>
  <c r="I30"/>
  <c r="I29"/>
  <c r="I28"/>
  <c r="I27"/>
  <c r="H26"/>
  <c r="I26"/>
  <c r="I25"/>
  <c r="I24"/>
  <c r="I23"/>
  <c r="H22"/>
  <c r="I22"/>
  <c r="I21"/>
  <c r="I18"/>
  <c r="I17"/>
  <c r="I16"/>
  <c r="I15"/>
  <c r="I14"/>
  <c r="I13"/>
  <c r="I12"/>
  <c r="I11"/>
  <c r="I10"/>
  <c r="I9"/>
  <c r="I8"/>
  <c r="I7"/>
  <c r="H6"/>
  <c r="I6"/>
  <c r="T37"/>
</calcChain>
</file>

<file path=xl/sharedStrings.xml><?xml version="1.0" encoding="utf-8"?>
<sst xmlns="http://schemas.openxmlformats.org/spreadsheetml/2006/main" count="1235" uniqueCount="275">
  <si>
    <t>TimeSlice</t>
  </si>
  <si>
    <t>LimType</t>
  </si>
  <si>
    <t>Attribute</t>
  </si>
  <si>
    <t>Year</t>
  </si>
  <si>
    <t>FIN</t>
  </si>
  <si>
    <t>Pset_PN</t>
  </si>
  <si>
    <t>Cset_CN</t>
  </si>
  <si>
    <t>COAHCO</t>
  </si>
  <si>
    <t>OILCRD</t>
  </si>
  <si>
    <t>OILDST</t>
  </si>
  <si>
    <t>OILGSL</t>
  </si>
  <si>
    <t>OILHFO</t>
  </si>
  <si>
    <t>Pset_Set</t>
  </si>
  <si>
    <t>Pset_CO</t>
  </si>
  <si>
    <t>Pset_CI</t>
  </si>
  <si>
    <t>Pset_PD</t>
  </si>
  <si>
    <t>Cset_Set</t>
  </si>
  <si>
    <t>Cset_CD</t>
  </si>
  <si>
    <t>FLO_TAX</t>
  </si>
  <si>
    <t>INDELC500</t>
  </si>
  <si>
    <t>IISELC</t>
  </si>
  <si>
    <t>INFELC</t>
  </si>
  <si>
    <t>ICHELC</t>
  </si>
  <si>
    <t>INMELC</t>
  </si>
  <si>
    <t>ILPELC</t>
  </si>
  <si>
    <t>INDELC</t>
  </si>
  <si>
    <t>AGRELC</t>
  </si>
  <si>
    <t>RESELC</t>
  </si>
  <si>
    <t>COMELC</t>
  </si>
  <si>
    <t>TTRELC</t>
  </si>
  <si>
    <t>TRAELC</t>
  </si>
  <si>
    <t>TRDELC</t>
  </si>
  <si>
    <t>*</t>
  </si>
  <si>
    <t>ELCCOA</t>
  </si>
  <si>
    <t>GASNGA</t>
  </si>
  <si>
    <t>OILNSP</t>
  </si>
  <si>
    <t>OILKER</t>
  </si>
  <si>
    <t>OILLPG</t>
  </si>
  <si>
    <t>COAOVC</t>
  </si>
  <si>
    <t>COABCO</t>
  </si>
  <si>
    <t>snt/kWh</t>
  </si>
  <si>
    <t>ELC1</t>
  </si>
  <si>
    <t>ELC2</t>
  </si>
  <si>
    <t>NGAS</t>
  </si>
  <si>
    <t>COAL</t>
  </si>
  <si>
    <t>PEAT</t>
  </si>
  <si>
    <t>MGSL</t>
  </si>
  <si>
    <t>MDSL</t>
  </si>
  <si>
    <t>LOIL</t>
  </si>
  <si>
    <t>HOIL</t>
  </si>
  <si>
    <t>MLPG</t>
  </si>
  <si>
    <t>MGAS</t>
  </si>
  <si>
    <t>MAP</t>
  </si>
  <si>
    <t>c/l</t>
  </si>
  <si>
    <t>c/kg</t>
  </si>
  <si>
    <t>Liik-LPG</t>
  </si>
  <si>
    <t>Liik-GAS</t>
  </si>
  <si>
    <t>HPL</t>
  </si>
  <si>
    <t>ELCOIL</t>
  </si>
  <si>
    <t>ELCNGA</t>
  </si>
  <si>
    <t>ELCBCO</t>
  </si>
  <si>
    <t>INDNGA</t>
  </si>
  <si>
    <t>INDLPG</t>
  </si>
  <si>
    <t>INDBCO</t>
  </si>
  <si>
    <t>INDCOA</t>
  </si>
  <si>
    <t>INDHFO</t>
  </si>
  <si>
    <t>ZZZZ</t>
  </si>
  <si>
    <t>ELC3</t>
  </si>
  <si>
    <t>Tertiary</t>
  </si>
  <si>
    <t>Industry</t>
  </si>
  <si>
    <t>Misc</t>
  </si>
  <si>
    <t>OOIL</t>
  </si>
  <si>
    <t>Other oils</t>
  </si>
  <si>
    <t>Tax</t>
  </si>
  <si>
    <t>E/GJ (2000)</t>
  </si>
  <si>
    <t>GJ/unit</t>
  </si>
  <si>
    <t>Density</t>
  </si>
  <si>
    <t>Inflation</t>
  </si>
  <si>
    <t>TaxYear</t>
  </si>
  <si>
    <t>BaseYear</t>
  </si>
  <si>
    <t>Cat</t>
  </si>
  <si>
    <t>TRACOA</t>
  </si>
  <si>
    <t>TRANGA</t>
  </si>
  <si>
    <t>TRALPG</t>
  </si>
  <si>
    <t>TRAGSL</t>
  </si>
  <si>
    <t>TRAAVG</t>
  </si>
  <si>
    <t>TRAJTK</t>
  </si>
  <si>
    <t>TRADST</t>
  </si>
  <si>
    <t>TRAHFO</t>
  </si>
  <si>
    <t>NCAP_ICOM</t>
  </si>
  <si>
    <t>UTAXSUB1</t>
  </si>
  <si>
    <t>ELCBLQ</t>
  </si>
  <si>
    <t>ELCBIO</t>
  </si>
  <si>
    <t>ELCBGS</t>
  </si>
  <si>
    <t>ELCBMU</t>
  </si>
  <si>
    <t>ELCRDF</t>
  </si>
  <si>
    <t>ELCBCR</t>
  </si>
  <si>
    <t>INDBFO</t>
  </si>
  <si>
    <t>INDBIO</t>
  </si>
  <si>
    <t>SUBH</t>
  </si>
  <si>
    <t>SUBM</t>
  </si>
  <si>
    <t>SUBL</t>
  </si>
  <si>
    <t>Subsidy high</t>
  </si>
  <si>
    <t>Subsidy low</t>
  </si>
  <si>
    <t>Subsidy medium</t>
  </si>
  <si>
    <t>ZZZ</t>
  </si>
  <si>
    <t>Top_Check</t>
  </si>
  <si>
    <t>ANNUAL</t>
  </si>
  <si>
    <t>~TFM_INS</t>
  </si>
  <si>
    <t>HET</t>
  </si>
  <si>
    <t>ELC</t>
  </si>
  <si>
    <t>IND</t>
  </si>
  <si>
    <t>TER</t>
  </si>
  <si>
    <t>TRA</t>
  </si>
  <si>
    <t>CHP</t>
  </si>
  <si>
    <t>TRAMET</t>
  </si>
  <si>
    <t>TRAETH</t>
  </si>
  <si>
    <t>TRAHH2</t>
  </si>
  <si>
    <t>BIODST</t>
  </si>
  <si>
    <t>Htax</t>
  </si>
  <si>
    <t>Normal</t>
  </si>
  <si>
    <t>Heat.tax</t>
  </si>
  <si>
    <t>Heat-factor</t>
  </si>
  <si>
    <t>Biodiesel</t>
  </si>
  <si>
    <t>O</t>
  </si>
  <si>
    <t>Finland</t>
  </si>
  <si>
    <t>OECD - Europe</t>
  </si>
  <si>
    <t>I_OI*</t>
  </si>
  <si>
    <t>Agricult</t>
  </si>
  <si>
    <t>Agri</t>
  </si>
  <si>
    <t>BOIL</t>
  </si>
  <si>
    <t>Bio-oil</t>
  </si>
  <si>
    <t>INDCOK</t>
  </si>
  <si>
    <t>2010</t>
  </si>
  <si>
    <t>-IFC*,-E*</t>
  </si>
  <si>
    <t>-IIS*,-I_OI*,-E*</t>
  </si>
  <si>
    <t>-IIS*,-INF*,-E*</t>
  </si>
  <si>
    <t>ELCBSL</t>
  </si>
  <si>
    <t>EL_BIO</t>
  </si>
  <si>
    <t>FIM</t>
  </si>
  <si>
    <t>MMET</t>
  </si>
  <si>
    <t>METH</t>
  </si>
  <si>
    <t>SYNMET</t>
  </si>
  <si>
    <t>BIOGSL</t>
  </si>
  <si>
    <t>SYNETH</t>
  </si>
  <si>
    <t>Curr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</si>
  <si>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</si>
  <si>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</si>
  <si>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</si>
  <si>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</si>
  <si>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</si>
  <si>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</si>
  <si>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</si>
  <si>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</si>
  <si>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</si>
  <si>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</si>
  <si>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2011</t>
  </si>
  <si>
    <t>2012</t>
  </si>
  <si>
    <t>2013</t>
  </si>
  <si>
    <t>2014</t>
  </si>
  <si>
    <t>2015</t>
  </si>
  <si>
    <t>2016</t>
  </si>
  <si>
    <t>2017</t>
  </si>
  <si>
    <t>2018</t>
  </si>
  <si>
    <t>CO2</t>
  </si>
  <si>
    <t>ENE</t>
  </si>
  <si>
    <t>ELCE</t>
  </si>
  <si>
    <t>FLO_COST</t>
  </si>
  <si>
    <t>INDOIL</t>
  </si>
  <si>
    <t>FT-AGRNGA0</t>
  </si>
  <si>
    <t>FT-AGRNGA1</t>
  </si>
  <si>
    <t>FT-AGRDST0</t>
  </si>
  <si>
    <t>FT-AGRGSL0</t>
  </si>
  <si>
    <t>FT-AGRHFO0</t>
  </si>
  <si>
    <t>FT-AGRKER0</t>
  </si>
  <si>
    <t>FT-AGRCO_0</t>
  </si>
  <si>
    <t>FT-AGRLPG0</t>
  </si>
  <si>
    <t>FT-RESNGA0</t>
  </si>
  <si>
    <t>FT-RESDST0</t>
  </si>
  <si>
    <t>FT-RESHFO0</t>
  </si>
  <si>
    <t>FT-RESKER0</t>
  </si>
  <si>
    <t>FT-RESCO_0</t>
  </si>
  <si>
    <t>FT-RESLPG0</t>
  </si>
  <si>
    <t>FT-RESNGA5</t>
  </si>
  <si>
    <t>FT-RESDST5</t>
  </si>
  <si>
    <t>FT-RESKER5</t>
  </si>
  <si>
    <t>FT-RESCO_5</t>
  </si>
  <si>
    <t>FT-RESLPG5</t>
  </si>
  <si>
    <t>FT-COMNGA0</t>
  </si>
  <si>
    <t>FT-COMDST0</t>
  </si>
  <si>
    <t>FT-COMHFO0</t>
  </si>
  <si>
    <t>FT-COMKER0</t>
  </si>
  <si>
    <t>FT-COMCO_0</t>
  </si>
  <si>
    <t>FT-COMLPG0</t>
  </si>
  <si>
    <t>FT-COMNGA5</t>
  </si>
  <si>
    <t>FT-COMDST5</t>
  </si>
  <si>
    <t>FT-COMKER5</t>
  </si>
  <si>
    <t>FT-COMCO_5</t>
  </si>
  <si>
    <t>FT-COMLPG5</t>
  </si>
  <si>
    <t>FT-TR*</t>
  </si>
  <si>
    <t>FT-TRAGSL_</t>
  </si>
  <si>
    <t>FT-TRADST5</t>
  </si>
  <si>
    <t>FT-TRAGSL6</t>
  </si>
  <si>
    <t>FT-AGRELC0</t>
  </si>
  <si>
    <t>FT-RESELC0</t>
  </si>
  <si>
    <t>FT-COMELC0</t>
  </si>
  <si>
    <t>FT-TTRELC0</t>
  </si>
  <si>
    <t>FT-TRDELC0</t>
  </si>
  <si>
    <t>FT-ELCHOIL0</t>
  </si>
  <si>
    <t>FT-INDOIL_</t>
  </si>
  <si>
    <t>FT-INDDST_</t>
  </si>
  <si>
    <t>FT-INDBFO5</t>
  </si>
  <si>
    <t>~TFM_MIG</t>
  </si>
  <si>
    <t>Attribute2</t>
  </si>
  <si>
    <t>Cset_CN2</t>
  </si>
  <si>
    <t>Curr2</t>
  </si>
  <si>
    <t>UP</t>
  </si>
  <si>
    <t>Pass-out turbines</t>
  </si>
  <si>
    <t>ETXCOA</t>
  </si>
  <si>
    <t>ETXPET</t>
  </si>
  <si>
    <t>Peat tax</t>
  </si>
  <si>
    <t>ESTM*</t>
  </si>
  <si>
    <t>FLO_SHAR</t>
  </si>
  <si>
    <t>Other_indexes</t>
  </si>
  <si>
    <t>LO</t>
  </si>
  <si>
    <t>Gas tax</t>
  </si>
  <si>
    <t>Oil tax</t>
  </si>
  <si>
    <t>Coal tax</t>
  </si>
  <si>
    <t>DH*</t>
  </si>
  <si>
    <t>ETXGAS</t>
  </si>
  <si>
    <t>VA_Attrib_TC</t>
  </si>
  <si>
    <t>FT-UPSELC0</t>
  </si>
  <si>
    <t>EUR15</t>
  </si>
  <si>
    <t>*1</t>
  </si>
  <si>
    <t>FLO_EMIS</t>
  </si>
  <si>
    <t>Other_Indexes2</t>
  </si>
  <si>
    <t>ETXHET</t>
  </si>
  <si>
    <t>HET1</t>
  </si>
  <si>
    <t>HET3</t>
  </si>
  <si>
    <t>Attrib_Cond</t>
  </si>
  <si>
    <t>CHP Heat taxes</t>
  </si>
  <si>
    <t>HET*</t>
  </si>
  <si>
    <t>File:</t>
  </si>
  <si>
    <t>BIOHBO</t>
  </si>
  <si>
    <t>FT-COMBFO5</t>
  </si>
  <si>
    <t>FT-RESBFO5</t>
  </si>
  <si>
    <t>SUPELC</t>
  </si>
  <si>
    <t>HET4</t>
  </si>
  <si>
    <t>HET2</t>
  </si>
  <si>
    <t>Gasoline</t>
  </si>
  <si>
    <t>Dieseloil</t>
  </si>
  <si>
    <t>Bioethanol</t>
  </si>
  <si>
    <t>Light fuel oil</t>
  </si>
  <si>
    <t>Light fuel oil, no sulphur</t>
  </si>
  <si>
    <t>Heavy fuel oil</t>
  </si>
  <si>
    <t>Biofueloil</t>
  </si>
  <si>
    <t>LPG</t>
  </si>
  <si>
    <t>Methanol</t>
  </si>
  <si>
    <t>Electr</t>
  </si>
  <si>
    <t>Subsidy</t>
  </si>
  <si>
    <t>Natgas</t>
  </si>
  <si>
    <t>Peat</t>
  </si>
  <si>
    <t>HardCoal</t>
  </si>
  <si>
    <t>Electricity</t>
  </si>
  <si>
    <t>Class</t>
  </si>
  <si>
    <t>Gaseous</t>
  </si>
  <si>
    <t>euro/MWh</t>
  </si>
  <si>
    <t>euro/t</t>
  </si>
  <si>
    <t>Electr.</t>
  </si>
  <si>
    <t>Motor gasoline</t>
  </si>
  <si>
    <t>Excise</t>
  </si>
  <si>
    <t>CO2-tax</t>
  </si>
  <si>
    <t>Security</t>
  </si>
  <si>
    <t>fees</t>
  </si>
  <si>
    <t>Total</t>
  </si>
</sst>
</file>

<file path=xl/styles.xml><?xml version="1.0" encoding="utf-8"?>
<styleSheet xmlns="http://schemas.openxmlformats.org/spreadsheetml/2006/main">
  <numFmts count="3">
    <numFmt numFmtId="182" formatCode="0.0"/>
    <numFmt numFmtId="188" formatCode="0.0000"/>
    <numFmt numFmtId="189" formatCode="0.000"/>
  </numFmts>
  <fonts count="25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</font>
    <font>
      <sz val="10"/>
      <name val="Arial Narrow"/>
      <family val="2"/>
    </font>
    <font>
      <sz val="9"/>
      <color indexed="63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" fillId="0" borderId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45">
    <xf numFmtId="0" fontId="0" fillId="0" borderId="0" xfId="0"/>
    <xf numFmtId="0" fontId="19" fillId="0" borderId="0" xfId="0" applyFont="1"/>
    <xf numFmtId="0" fontId="20" fillId="24" borderId="10" xfId="0" applyFont="1" applyFill="1" applyBorder="1"/>
    <xf numFmtId="0" fontId="20" fillId="25" borderId="0" xfId="0" applyFont="1" applyFill="1"/>
    <xf numFmtId="0" fontId="0" fillId="0" borderId="0" xfId="0" applyBorder="1"/>
    <xf numFmtId="0" fontId="21" fillId="24" borderId="10" xfId="0" applyFont="1" applyFill="1" applyBorder="1"/>
    <xf numFmtId="0" fontId="0" fillId="0" borderId="0" xfId="0" applyAlignment="1">
      <alignment horizontal="center"/>
    </xf>
    <xf numFmtId="189" fontId="0" fillId="0" borderId="0" xfId="0" applyNumberFormat="1"/>
    <xf numFmtId="2" fontId="0" fillId="0" borderId="0" xfId="0" applyNumberFormat="1"/>
    <xf numFmtId="0" fontId="20" fillId="0" borderId="0" xfId="0" applyFont="1"/>
    <xf numFmtId="182" fontId="0" fillId="0" borderId="0" xfId="0" applyNumberFormat="1"/>
    <xf numFmtId="0" fontId="0" fillId="26" borderId="0" xfId="0" applyFill="1"/>
    <xf numFmtId="0" fontId="0" fillId="25" borderId="11" xfId="0" applyFill="1" applyBorder="1" applyAlignment="1">
      <alignment horizontal="center"/>
    </xf>
    <xf numFmtId="0" fontId="0" fillId="27" borderId="0" xfId="0" applyFill="1" applyBorder="1"/>
    <xf numFmtId="182" fontId="23" fillId="0" borderId="0" xfId="0" applyNumberFormat="1" applyFont="1" applyAlignment="1">
      <alignment vertical="center"/>
    </xf>
    <xf numFmtId="2" fontId="0" fillId="27" borderId="0" xfId="0" applyNumberFormat="1" applyFill="1" applyBorder="1"/>
    <xf numFmtId="0" fontId="0" fillId="24" borderId="0" xfId="0" applyFill="1"/>
    <xf numFmtId="2" fontId="0" fillId="24" borderId="0" xfId="0" applyNumberFormat="1" applyFill="1"/>
    <xf numFmtId="0" fontId="0" fillId="27" borderId="0" xfId="0" applyFill="1"/>
    <xf numFmtId="0" fontId="20" fillId="24" borderId="10" xfId="0" applyFont="1" applyFill="1" applyBorder="1" applyAlignment="1">
      <alignment horizontal="center"/>
    </xf>
    <xf numFmtId="0" fontId="0" fillId="25" borderId="0" xfId="0" applyFill="1"/>
    <xf numFmtId="0" fontId="0" fillId="25" borderId="0" xfId="0" applyFill="1" applyAlignment="1">
      <alignment horizontal="center"/>
    </xf>
    <xf numFmtId="0" fontId="24" fillId="0" borderId="0" xfId="0" applyFont="1"/>
    <xf numFmtId="0" fontId="0" fillId="27" borderId="0" xfId="0" applyFill="1" applyAlignment="1">
      <alignment horizontal="center"/>
    </xf>
    <xf numFmtId="0" fontId="20" fillId="24" borderId="0" xfId="0" applyFont="1" applyFill="1" applyBorder="1"/>
    <xf numFmtId="0" fontId="21" fillId="24" borderId="0" xfId="0" applyFont="1" applyFill="1" applyBorder="1"/>
    <xf numFmtId="0" fontId="0" fillId="28" borderId="0" xfId="0" applyFill="1"/>
    <xf numFmtId="0" fontId="0" fillId="24" borderId="0" xfId="0" applyFill="1" applyAlignment="1">
      <alignment horizontal="center"/>
    </xf>
    <xf numFmtId="0" fontId="0" fillId="29" borderId="0" xfId="0" applyFill="1"/>
    <xf numFmtId="0" fontId="0" fillId="29" borderId="0" xfId="0" applyFill="1" applyAlignment="1">
      <alignment horizontal="center"/>
    </xf>
    <xf numFmtId="188" fontId="0" fillId="24" borderId="0" xfId="0" applyNumberFormat="1" applyFill="1" applyAlignment="1">
      <alignment horizontal="center"/>
    </xf>
    <xf numFmtId="0" fontId="0" fillId="29" borderId="12" xfId="0" applyFill="1" applyBorder="1"/>
    <xf numFmtId="0" fontId="20" fillId="29" borderId="12" xfId="0" applyFont="1" applyFill="1" applyBorder="1"/>
    <xf numFmtId="0" fontId="21" fillId="24" borderId="0" xfId="0" applyFont="1" applyFill="1" applyBorder="1" applyAlignment="1">
      <alignment horizontal="center"/>
    </xf>
    <xf numFmtId="0" fontId="0" fillId="30" borderId="0" xfId="0" applyFill="1"/>
    <xf numFmtId="0" fontId="19" fillId="0" borderId="0" xfId="0" applyFont="1" applyAlignment="1">
      <alignment horizontal="center"/>
    </xf>
    <xf numFmtId="0" fontId="0" fillId="24" borderId="0" xfId="0" applyFill="1" applyBorder="1"/>
    <xf numFmtId="0" fontId="0" fillId="24" borderId="0" xfId="0" quotePrefix="1" applyFill="1" applyBorder="1" applyAlignment="1">
      <alignment horizontal="right"/>
    </xf>
    <xf numFmtId="2" fontId="0" fillId="24" borderId="0" xfId="0" applyNumberFormat="1" applyFill="1" applyBorder="1"/>
    <xf numFmtId="0" fontId="0" fillId="24" borderId="0" xfId="0" quotePrefix="1" applyFill="1"/>
    <xf numFmtId="18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89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28" borderId="0" xfId="0" applyFill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Standard_Sce_D_Extraction" xfId="39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71"/>
  <sheetViews>
    <sheetView tabSelected="1" zoomScale="80" workbookViewId="0">
      <pane xSplit="5" ySplit="5" topLeftCell="F113" activePane="bottomRight" state="frozen"/>
      <selection pane="topRight" activeCell="E1" sqref="E1"/>
      <selection pane="bottomLeft" activeCell="A5" sqref="A5"/>
      <selection pane="bottomRight" activeCell="B145" sqref="B145:D145"/>
    </sheetView>
  </sheetViews>
  <sheetFormatPr defaultRowHeight="12.75"/>
  <cols>
    <col min="4" max="4" width="12.5703125" customWidth="1"/>
    <col min="5" max="5" width="10.5703125" customWidth="1"/>
    <col min="13" max="13" width="12" customWidth="1"/>
  </cols>
  <sheetData>
    <row r="1" spans="1:20">
      <c r="A1" s="1" t="str">
        <f ca="1">"~Scenario:"&amp;REPLACE(REPLACE($F$1,FIND(".",$F$1),100,""),1,FIND("[",$F$1)+5,"")</f>
        <v>~Scenario:FI_Taxes</v>
      </c>
      <c r="D1" s="34" t="b">
        <f ca="1">NOT(ISERR(FIND(".xlsx",$F$1)))</f>
        <v>0</v>
      </c>
      <c r="E1" s="35" t="s">
        <v>242</v>
      </c>
      <c r="F1" s="1" t="str">
        <f ca="1">CELL("filename",$E$1)</f>
        <v>D:\Projects\nep\2020\Supp\SCENWORK\[Scen_FI_Taxes.X5.xls]TFM_FIN</v>
      </c>
    </row>
    <row r="2" spans="1:20">
      <c r="H2">
        <f>0.9^1</f>
        <v>0.9</v>
      </c>
    </row>
    <row r="4" spans="1:20">
      <c r="B4" s="1" t="s">
        <v>108</v>
      </c>
    </row>
    <row r="5" spans="1:20" ht="13.5" thickBot="1">
      <c r="B5" s="2" t="s">
        <v>0</v>
      </c>
      <c r="C5" s="2" t="s">
        <v>1</v>
      </c>
      <c r="D5" s="2" t="s">
        <v>2</v>
      </c>
      <c r="E5" s="2" t="s">
        <v>3</v>
      </c>
      <c r="F5" s="3" t="s">
        <v>145</v>
      </c>
      <c r="G5" s="3" t="s">
        <v>106</v>
      </c>
      <c r="H5" s="3" t="s">
        <v>4</v>
      </c>
      <c r="I5" s="3" t="s">
        <v>139</v>
      </c>
      <c r="J5" s="2" t="s">
        <v>12</v>
      </c>
      <c r="K5" s="5" t="s">
        <v>13</v>
      </c>
      <c r="L5" s="5" t="s">
        <v>14</v>
      </c>
      <c r="M5" s="2" t="s">
        <v>5</v>
      </c>
      <c r="N5" s="5" t="s">
        <v>15</v>
      </c>
      <c r="O5" s="2" t="s">
        <v>16</v>
      </c>
      <c r="P5" s="2" t="s">
        <v>6</v>
      </c>
      <c r="Q5" s="5" t="s">
        <v>17</v>
      </c>
    </row>
    <row r="6" spans="1:20">
      <c r="B6" s="36" t="s">
        <v>107</v>
      </c>
      <c r="C6" s="36"/>
      <c r="D6" s="36" t="s">
        <v>18</v>
      </c>
      <c r="E6" s="37" t="s">
        <v>133</v>
      </c>
      <c r="F6" s="36" t="s">
        <v>232</v>
      </c>
      <c r="G6" s="36"/>
      <c r="H6" s="38">
        <f>-H8</f>
        <v>2.0317856017702742</v>
      </c>
      <c r="I6" s="38">
        <f>IF(H6,H6,"")</f>
        <v>2.0317856017702742</v>
      </c>
      <c r="J6" s="16"/>
      <c r="K6" s="16"/>
      <c r="L6" s="16"/>
      <c r="M6" s="16" t="s">
        <v>19</v>
      </c>
      <c r="N6" s="16"/>
      <c r="O6" s="16"/>
      <c r="P6" s="16" t="s">
        <v>25</v>
      </c>
      <c r="S6" t="s">
        <v>110</v>
      </c>
      <c r="T6" t="str">
        <f ca="1">VLOOKUP(P6,FINEW!$I$30:$L$63,2,0)</f>
        <v>ELC3</v>
      </c>
    </row>
    <row r="7" spans="1:20">
      <c r="B7" s="36" t="s">
        <v>107</v>
      </c>
      <c r="C7" s="36"/>
      <c r="D7" s="36" t="s">
        <v>18</v>
      </c>
      <c r="E7" s="36">
        <v>2020</v>
      </c>
      <c r="F7" s="36" t="s">
        <v>232</v>
      </c>
      <c r="G7" s="36"/>
      <c r="H7" s="38">
        <f ca="1">VLOOKUP($P7,FINEW!$I$30:$L$63,3,0)</f>
        <v>2.4986542452424554</v>
      </c>
      <c r="I7" s="38">
        <f t="shared" ref="I7:I75" si="0">IF(H7,H7,"")</f>
        <v>2.4986542452424554</v>
      </c>
      <c r="J7" s="16"/>
      <c r="K7" s="16"/>
      <c r="L7" s="16"/>
      <c r="M7" s="16" t="s">
        <v>19</v>
      </c>
      <c r="N7" s="16"/>
      <c r="O7" s="16"/>
      <c r="P7" s="16" t="s">
        <v>25</v>
      </c>
      <c r="S7" t="s">
        <v>110</v>
      </c>
      <c r="T7" t="str">
        <f ca="1">VLOOKUP(P7,FINEW!$I$30:$L$63,2,0)</f>
        <v>ELC3</v>
      </c>
    </row>
    <row r="8" spans="1:20">
      <c r="B8" s="36" t="s">
        <v>107</v>
      </c>
      <c r="C8" s="36"/>
      <c r="D8" s="36" t="s">
        <v>18</v>
      </c>
      <c r="E8" s="36">
        <v>2010</v>
      </c>
      <c r="F8" s="36" t="s">
        <v>232</v>
      </c>
      <c r="G8" s="36"/>
      <c r="H8" s="38">
        <f ca="1">VLOOKUP($P8,FINEW!$I$30:$L$63,3,0)-H$7</f>
        <v>-2.0317856017702742</v>
      </c>
      <c r="I8" s="38">
        <f t="shared" si="0"/>
        <v>-2.0317856017702742</v>
      </c>
      <c r="J8" s="16"/>
      <c r="K8" s="16"/>
      <c r="L8" s="16"/>
      <c r="M8" s="16" t="s">
        <v>19</v>
      </c>
      <c r="N8" s="16"/>
      <c r="O8" s="16"/>
      <c r="P8" s="16" t="s">
        <v>20</v>
      </c>
      <c r="S8" t="s">
        <v>110</v>
      </c>
      <c r="T8" t="str">
        <f ca="1">VLOOKUP(P8,FINEW!$I$30:$L$63,2,0)</f>
        <v>ELC2</v>
      </c>
    </row>
    <row r="9" spans="1:20">
      <c r="B9" s="36" t="s">
        <v>107</v>
      </c>
      <c r="C9" s="36"/>
      <c r="D9" s="36" t="s">
        <v>18</v>
      </c>
      <c r="E9" s="36">
        <v>2010</v>
      </c>
      <c r="F9" s="36" t="s">
        <v>232</v>
      </c>
      <c r="G9" s="36"/>
      <c r="H9" s="38">
        <f ca="1">VLOOKUP($P9,FINEW!$I$30:$L$63,3,0)-H$7</f>
        <v>-2.0317856017702742</v>
      </c>
      <c r="I9" s="38">
        <f t="shared" si="0"/>
        <v>-2.0317856017702742</v>
      </c>
      <c r="J9" s="16"/>
      <c r="K9" s="16"/>
      <c r="L9" s="16"/>
      <c r="M9" s="16" t="s">
        <v>19</v>
      </c>
      <c r="N9" s="16"/>
      <c r="O9" s="16"/>
      <c r="P9" s="16" t="s">
        <v>21</v>
      </c>
      <c r="S9" t="s">
        <v>110</v>
      </c>
      <c r="T9" t="str">
        <f ca="1">VLOOKUP(P9,FINEW!$I$30:$L$63,2,0)</f>
        <v>ELC2</v>
      </c>
    </row>
    <row r="10" spans="1:20">
      <c r="B10" s="36" t="s">
        <v>107</v>
      </c>
      <c r="C10" s="36"/>
      <c r="D10" s="36" t="s">
        <v>18</v>
      </c>
      <c r="E10" s="36">
        <v>2010</v>
      </c>
      <c r="F10" s="36" t="s">
        <v>232</v>
      </c>
      <c r="G10" s="36"/>
      <c r="H10" s="38">
        <f ca="1">VLOOKUP($P10,FINEW!$I$30:$L$63,3,0)-H$7</f>
        <v>-2.0317856017702742</v>
      </c>
      <c r="I10" s="38">
        <f t="shared" si="0"/>
        <v>-2.0317856017702742</v>
      </c>
      <c r="J10" s="16"/>
      <c r="K10" s="16"/>
      <c r="L10" s="16"/>
      <c r="M10" s="16" t="s">
        <v>19</v>
      </c>
      <c r="N10" s="16"/>
      <c r="O10" s="16"/>
      <c r="P10" s="16" t="s">
        <v>22</v>
      </c>
      <c r="S10" t="s">
        <v>110</v>
      </c>
      <c r="T10" t="str">
        <f ca="1">VLOOKUP(P10,FINEW!$I$30:$L$63,2,0)</f>
        <v>ELC2</v>
      </c>
    </row>
    <row r="11" spans="1:20">
      <c r="B11" s="36" t="s">
        <v>107</v>
      </c>
      <c r="C11" s="36"/>
      <c r="D11" s="36" t="s">
        <v>18</v>
      </c>
      <c r="E11" s="36">
        <v>2010</v>
      </c>
      <c r="F11" s="36" t="s">
        <v>232</v>
      </c>
      <c r="G11" s="36"/>
      <c r="H11" s="38">
        <f ca="1">VLOOKUP($P11,FINEW!$I$30:$L$63,3,0)-H$7</f>
        <v>-2.0317856017702742</v>
      </c>
      <c r="I11" s="38">
        <f t="shared" si="0"/>
        <v>-2.0317856017702742</v>
      </c>
      <c r="J11" s="16"/>
      <c r="K11" s="16"/>
      <c r="L11" s="16"/>
      <c r="M11" s="16" t="s">
        <v>19</v>
      </c>
      <c r="N11" s="16"/>
      <c r="O11" s="16"/>
      <c r="P11" s="16" t="s">
        <v>23</v>
      </c>
      <c r="S11" t="s">
        <v>110</v>
      </c>
      <c r="T11" t="str">
        <f ca="1">VLOOKUP(P11,FINEW!$I$30:$L$63,2,0)</f>
        <v>ELC2</v>
      </c>
    </row>
    <row r="12" spans="1:20">
      <c r="B12" s="36" t="s">
        <v>107</v>
      </c>
      <c r="C12" s="36"/>
      <c r="D12" s="36" t="s">
        <v>18</v>
      </c>
      <c r="E12" s="36">
        <v>2010</v>
      </c>
      <c r="F12" s="36" t="s">
        <v>232</v>
      </c>
      <c r="G12" s="36"/>
      <c r="H12" s="38">
        <f ca="1">VLOOKUP($P12,FINEW!$I$30:$L$63,3,0)-H$7</f>
        <v>-2.0317856017702742</v>
      </c>
      <c r="I12" s="38">
        <f t="shared" si="0"/>
        <v>-2.0317856017702742</v>
      </c>
      <c r="J12" s="16"/>
      <c r="K12" s="16"/>
      <c r="L12" s="16"/>
      <c r="M12" s="16" t="s">
        <v>19</v>
      </c>
      <c r="N12" s="16"/>
      <c r="O12" s="16"/>
      <c r="P12" s="16" t="s">
        <v>24</v>
      </c>
      <c r="S12" t="s">
        <v>110</v>
      </c>
      <c r="T12" t="str">
        <f ca="1">VLOOKUP(P12,FINEW!$I$30:$L$63,2,0)</f>
        <v>ELC2</v>
      </c>
    </row>
    <row r="13" spans="1:20">
      <c r="B13" s="36" t="s">
        <v>107</v>
      </c>
      <c r="C13" s="36"/>
      <c r="D13" s="36" t="s">
        <v>18</v>
      </c>
      <c r="E13" s="36">
        <v>2010</v>
      </c>
      <c r="F13" s="36" t="s">
        <v>232</v>
      </c>
      <c r="G13" s="36"/>
      <c r="H13" s="38">
        <f ca="1">VLOOKUP($P13,FINEW!$I$30:$L$74,3,0)</f>
        <v>1.8674745738887242</v>
      </c>
      <c r="I13" s="38">
        <f t="shared" si="0"/>
        <v>1.8674745738887242</v>
      </c>
      <c r="J13" s="16"/>
      <c r="K13" s="16"/>
      <c r="L13" s="16"/>
      <c r="M13" s="16" t="s">
        <v>203</v>
      </c>
      <c r="N13" s="16"/>
      <c r="O13" s="16"/>
      <c r="P13" s="16" t="s">
        <v>26</v>
      </c>
      <c r="S13" t="s">
        <v>110</v>
      </c>
      <c r="T13" t="str">
        <f ca="1">VLOOKUP(P13,FINEW!$I$30:$L$63,2,0)</f>
        <v>ELC2</v>
      </c>
    </row>
    <row r="14" spans="1:20">
      <c r="B14" s="36" t="s">
        <v>107</v>
      </c>
      <c r="C14" s="16"/>
      <c r="D14" s="36" t="s">
        <v>18</v>
      </c>
      <c r="E14" s="36">
        <v>2010</v>
      </c>
      <c r="F14" s="36" t="s">
        <v>232</v>
      </c>
      <c r="G14" s="16"/>
      <c r="H14" s="38">
        <f ca="1">VLOOKUP($P14,FINEW!$I$30:$L$74,3,0)</f>
        <v>5.9849505191625827</v>
      </c>
      <c r="I14" s="38">
        <f t="shared" si="0"/>
        <v>5.9849505191625827</v>
      </c>
      <c r="J14" s="16"/>
      <c r="K14" s="16"/>
      <c r="L14" s="16"/>
      <c r="M14" s="16" t="s">
        <v>204</v>
      </c>
      <c r="N14" s="16"/>
      <c r="O14" s="16"/>
      <c r="P14" s="16" t="s">
        <v>27</v>
      </c>
      <c r="S14" t="s">
        <v>110</v>
      </c>
      <c r="T14" t="str">
        <f ca="1">VLOOKUP(P14,FINEW!$I$30:$L$63,2,0)</f>
        <v>ELC1</v>
      </c>
    </row>
    <row r="15" spans="1:20">
      <c r="B15" s="36" t="s">
        <v>107</v>
      </c>
      <c r="C15" s="16"/>
      <c r="D15" s="36" t="s">
        <v>18</v>
      </c>
      <c r="E15" s="36">
        <v>2010</v>
      </c>
      <c r="F15" s="36" t="s">
        <v>232</v>
      </c>
      <c r="G15" s="16"/>
      <c r="H15" s="38">
        <f ca="1">VLOOKUP($P15,FINEW!$I$30:$L$74,3,0)</f>
        <v>5.9849505191625827</v>
      </c>
      <c r="I15" s="38">
        <f t="shared" si="0"/>
        <v>5.9849505191625827</v>
      </c>
      <c r="J15" s="16"/>
      <c r="K15" s="16"/>
      <c r="L15" s="16"/>
      <c r="M15" s="16" t="s">
        <v>205</v>
      </c>
      <c r="N15" s="16"/>
      <c r="O15" s="16"/>
      <c r="P15" s="16" t="s">
        <v>28</v>
      </c>
      <c r="S15" t="s">
        <v>110</v>
      </c>
      <c r="T15" t="str">
        <f ca="1">VLOOKUP(P15,FINEW!$I$30:$L$63,2,0)</f>
        <v>ELC1</v>
      </c>
    </row>
    <row r="16" spans="1:20">
      <c r="B16" s="36" t="s">
        <v>107</v>
      </c>
      <c r="C16" s="16"/>
      <c r="D16" s="36" t="s">
        <v>18</v>
      </c>
      <c r="E16" s="36">
        <v>2010</v>
      </c>
      <c r="F16" s="36" t="s">
        <v>232</v>
      </c>
      <c r="G16" s="16"/>
      <c r="H16" s="38">
        <f ca="1">VLOOKUP($P16,FINEW!$I$30:$L$74,3,0)</f>
        <v>5.9849505191625827</v>
      </c>
      <c r="I16" s="38">
        <f t="shared" si="0"/>
        <v>5.9849505191625827</v>
      </c>
      <c r="J16" s="16"/>
      <c r="K16" s="16"/>
      <c r="L16" s="16"/>
      <c r="M16" s="16" t="s">
        <v>206</v>
      </c>
      <c r="N16" s="16"/>
      <c r="O16" s="16"/>
      <c r="P16" s="16" t="s">
        <v>29</v>
      </c>
      <c r="S16" t="s">
        <v>110</v>
      </c>
      <c r="T16" t="str">
        <f ca="1">VLOOKUP(P16,FINEW!$I$30:$L$63,2,0)</f>
        <v>ELC1</v>
      </c>
    </row>
    <row r="17" spans="2:20">
      <c r="B17" s="36" t="s">
        <v>107</v>
      </c>
      <c r="C17" s="16"/>
      <c r="D17" s="36" t="s">
        <v>18</v>
      </c>
      <c r="E17" s="36">
        <v>2010</v>
      </c>
      <c r="F17" s="36" t="s">
        <v>232</v>
      </c>
      <c r="G17" s="16"/>
      <c r="H17" s="38">
        <f ca="1">VLOOKUP($P17,FINEW!$I$30:$L$74,3,0)</f>
        <v>5.9849505191625827</v>
      </c>
      <c r="I17" s="38">
        <f t="shared" si="0"/>
        <v>5.9849505191625827</v>
      </c>
      <c r="J17" s="16"/>
      <c r="K17" s="16"/>
      <c r="L17" s="16"/>
      <c r="M17" s="16" t="s">
        <v>207</v>
      </c>
      <c r="N17" s="16"/>
      <c r="O17" s="16"/>
      <c r="P17" s="16" t="s">
        <v>30</v>
      </c>
      <c r="S17" t="s">
        <v>110</v>
      </c>
      <c r="T17" t="str">
        <f ca="1">VLOOKUP(P17,FINEW!$I$30:$L$63,2,0)</f>
        <v>ELC1</v>
      </c>
    </row>
    <row r="18" spans="2:20">
      <c r="B18" s="36" t="s">
        <v>107</v>
      </c>
      <c r="C18" s="16"/>
      <c r="D18" s="36" t="s">
        <v>18</v>
      </c>
      <c r="E18" s="36">
        <v>2010</v>
      </c>
      <c r="F18" s="36" t="s">
        <v>232</v>
      </c>
      <c r="G18" s="16"/>
      <c r="H18" s="38">
        <f ca="1">VLOOKUP($P18,FINEW!$I$30:$L$74,3,0)</f>
        <v>5.9849505191625827</v>
      </c>
      <c r="I18" s="38">
        <f t="shared" si="0"/>
        <v>5.9849505191625827</v>
      </c>
      <c r="J18" s="16"/>
      <c r="K18" s="16"/>
      <c r="L18" s="16"/>
      <c r="M18" s="16" t="s">
        <v>207</v>
      </c>
      <c r="N18" s="16"/>
      <c r="O18" s="16"/>
      <c r="P18" s="16" t="s">
        <v>31</v>
      </c>
      <c r="S18" t="s">
        <v>110</v>
      </c>
      <c r="T18" t="str">
        <f ca="1">VLOOKUP(P18,FINEW!$I$30:$L$63,2,0)</f>
        <v>ELC1</v>
      </c>
    </row>
    <row r="19" spans="2:20">
      <c r="B19" s="36" t="s">
        <v>107</v>
      </c>
      <c r="C19" s="16"/>
      <c r="D19" s="36" t="s">
        <v>18</v>
      </c>
      <c r="E19" s="36">
        <v>2010</v>
      </c>
      <c r="F19" s="36" t="s">
        <v>232</v>
      </c>
      <c r="G19" s="16"/>
      <c r="H19" s="38">
        <f ca="1">FINEW!$L$9*(1-0.77)</f>
        <v>0.42951915199440655</v>
      </c>
      <c r="I19" s="38">
        <f>H19</f>
        <v>0.42951915199440655</v>
      </c>
      <c r="J19" s="16"/>
      <c r="K19" s="16"/>
      <c r="L19" s="16"/>
      <c r="M19" s="16" t="s">
        <v>231</v>
      </c>
      <c r="N19" s="16"/>
      <c r="O19" s="16"/>
      <c r="P19" s="18" t="s">
        <v>246</v>
      </c>
    </row>
    <row r="20" spans="2:20">
      <c r="B20" s="36" t="s">
        <v>107</v>
      </c>
      <c r="C20" s="16"/>
      <c r="D20" s="36" t="s">
        <v>167</v>
      </c>
      <c r="E20" s="36">
        <v>2010</v>
      </c>
      <c r="F20" s="36" t="s">
        <v>232</v>
      </c>
      <c r="G20" s="16"/>
      <c r="H20" s="38">
        <f>H19</f>
        <v>0.42951915199440655</v>
      </c>
      <c r="I20" s="38">
        <f>H20</f>
        <v>0.42951915199440655</v>
      </c>
      <c r="J20" s="16"/>
      <c r="K20" s="16"/>
      <c r="L20" s="16"/>
      <c r="M20" s="16" t="s">
        <v>231</v>
      </c>
      <c r="N20" s="16"/>
      <c r="O20" s="16"/>
      <c r="P20" s="16" t="s">
        <v>166</v>
      </c>
    </row>
    <row r="21" spans="2:20">
      <c r="B21" s="16"/>
      <c r="C21" s="16"/>
      <c r="D21" s="16" t="s">
        <v>32</v>
      </c>
      <c r="E21" s="16"/>
      <c r="F21" s="16"/>
      <c r="G21" s="16"/>
      <c r="H21" s="16"/>
      <c r="I21" s="16" t="str">
        <f t="shared" si="0"/>
        <v/>
      </c>
      <c r="J21" s="16"/>
      <c r="K21" s="16"/>
      <c r="L21" s="16"/>
      <c r="M21" s="16"/>
      <c r="N21" s="16"/>
      <c r="O21" s="16"/>
      <c r="P21" s="16"/>
      <c r="Q21" s="16"/>
    </row>
    <row r="22" spans="2:20">
      <c r="B22" s="36" t="s">
        <v>107</v>
      </c>
      <c r="C22" s="16"/>
      <c r="D22" s="36" t="s">
        <v>18</v>
      </c>
      <c r="E22" s="36">
        <v>2010</v>
      </c>
      <c r="F22" s="36" t="s">
        <v>232</v>
      </c>
      <c r="G22" s="16"/>
      <c r="H22" s="38">
        <f>H31</f>
        <v>4.238078143928977</v>
      </c>
      <c r="I22" s="38">
        <f t="shared" si="0"/>
        <v>4.238078143928977</v>
      </c>
      <c r="J22" s="16" t="s">
        <v>57</v>
      </c>
      <c r="K22" s="16"/>
      <c r="L22" s="16" t="s">
        <v>59</v>
      </c>
      <c r="M22" s="16"/>
      <c r="N22" s="16"/>
      <c r="O22" s="16"/>
      <c r="P22" s="16" t="s">
        <v>59</v>
      </c>
      <c r="Q22" s="16"/>
      <c r="S22" t="s">
        <v>109</v>
      </c>
      <c r="T22" t="str">
        <f ca="1">VLOOKUP(P22,FINEW!$I$30:$L$63,2,0)</f>
        <v>NGAS</v>
      </c>
    </row>
    <row r="23" spans="2:20">
      <c r="B23" s="36" t="s">
        <v>107</v>
      </c>
      <c r="C23" s="16"/>
      <c r="D23" s="36" t="s">
        <v>18</v>
      </c>
      <c r="E23" s="36">
        <v>2020</v>
      </c>
      <c r="F23" s="36" t="s">
        <v>232</v>
      </c>
      <c r="G23" s="16"/>
      <c r="H23" s="38">
        <f ca="1">VLOOKUP($P23,FINEW!$I$30:$L$63,3,0)</f>
        <v>5.486603107979759</v>
      </c>
      <c r="I23" s="38">
        <f t="shared" si="0"/>
        <v>5.486603107979759</v>
      </c>
      <c r="J23" s="16" t="s">
        <v>57</v>
      </c>
      <c r="K23" s="16"/>
      <c r="L23" s="16" t="s">
        <v>59</v>
      </c>
      <c r="M23" s="16"/>
      <c r="N23" s="16"/>
      <c r="O23" s="16"/>
      <c r="P23" s="16" t="s">
        <v>59</v>
      </c>
      <c r="Q23" s="16"/>
      <c r="S23" t="s">
        <v>109</v>
      </c>
      <c r="T23" t="str">
        <f ca="1">VLOOKUP(P23,FINEW!$I$30:$L$63,2,0)</f>
        <v>NGAS</v>
      </c>
    </row>
    <row r="24" spans="2:20">
      <c r="B24" s="36" t="s">
        <v>107</v>
      </c>
      <c r="C24" s="16"/>
      <c r="D24" s="36" t="s">
        <v>18</v>
      </c>
      <c r="E24" s="36">
        <v>2010</v>
      </c>
      <c r="F24" s="36" t="s">
        <v>232</v>
      </c>
      <c r="G24" s="16"/>
      <c r="H24" s="38">
        <f ca="1">VLOOKUP($P24,FINEW!$I$30:$L$63,3,0)</f>
        <v>6.4010414836534322</v>
      </c>
      <c r="I24" s="38">
        <f t="shared" si="0"/>
        <v>6.4010414836534322</v>
      </c>
      <c r="J24" s="16" t="s">
        <v>57</v>
      </c>
      <c r="K24" s="16"/>
      <c r="L24" s="16" t="s">
        <v>58</v>
      </c>
      <c r="M24" s="16"/>
      <c r="N24" s="16"/>
      <c r="O24" s="16"/>
      <c r="P24" s="16" t="s">
        <v>58</v>
      </c>
      <c r="Q24" s="16"/>
      <c r="S24" t="s">
        <v>109</v>
      </c>
      <c r="T24" t="str">
        <f ca="1">VLOOKUP(P24,FINEW!$I$30:$L$63,2,0)</f>
        <v>HOIL</v>
      </c>
    </row>
    <row r="25" spans="2:20">
      <c r="B25" s="36" t="s">
        <v>107</v>
      </c>
      <c r="C25" s="16"/>
      <c r="D25" s="36" t="s">
        <v>18</v>
      </c>
      <c r="E25" s="36">
        <v>2010</v>
      </c>
      <c r="F25" s="36" t="s">
        <v>232</v>
      </c>
      <c r="G25" s="16"/>
      <c r="H25" s="38">
        <f ca="1">VLOOKUP($P25,FINEW!$I$30:$L$63,3,0)</f>
        <v>7.4930977074547576</v>
      </c>
      <c r="I25" s="38">
        <f t="shared" si="0"/>
        <v>7.4930977074547576</v>
      </c>
      <c r="J25" s="16" t="s">
        <v>57</v>
      </c>
      <c r="K25" s="16"/>
      <c r="L25" s="16" t="s">
        <v>33</v>
      </c>
      <c r="M25" s="16"/>
      <c r="N25" s="16"/>
      <c r="O25" s="16"/>
      <c r="P25" s="16" t="s">
        <v>33</v>
      </c>
      <c r="Q25" s="16"/>
      <c r="S25" t="s">
        <v>109</v>
      </c>
      <c r="T25" t="str">
        <f ca="1">VLOOKUP(P25,FINEW!$I$30:$L$63,2,0)</f>
        <v>COAL</v>
      </c>
    </row>
    <row r="26" spans="2:20">
      <c r="B26" s="36" t="s">
        <v>107</v>
      </c>
      <c r="C26" s="16"/>
      <c r="D26" s="36" t="s">
        <v>18</v>
      </c>
      <c r="E26" s="36">
        <v>2010</v>
      </c>
      <c r="F26" s="36" t="s">
        <v>232</v>
      </c>
      <c r="G26" s="16"/>
      <c r="H26" s="38">
        <f ca="1">H27*0.4</f>
        <v>0.31877233124700838</v>
      </c>
      <c r="I26" s="38">
        <f t="shared" si="0"/>
        <v>0.31877233124700838</v>
      </c>
      <c r="J26" s="16" t="s">
        <v>57</v>
      </c>
      <c r="K26" s="16"/>
      <c r="L26" s="16" t="s">
        <v>60</v>
      </c>
      <c r="M26" s="16"/>
      <c r="N26" s="16"/>
      <c r="O26" s="16"/>
      <c r="P26" s="16" t="s">
        <v>60</v>
      </c>
      <c r="Q26" s="16"/>
      <c r="S26" t="s">
        <v>109</v>
      </c>
      <c r="T26" t="str">
        <f ca="1">VLOOKUP(P26,FINEW!$I$30:$L$63,2,0)</f>
        <v>PEAT</v>
      </c>
    </row>
    <row r="27" spans="2:20">
      <c r="B27" s="36" t="s">
        <v>107</v>
      </c>
      <c r="C27" s="16"/>
      <c r="D27" s="36" t="s">
        <v>18</v>
      </c>
      <c r="E27" s="36">
        <v>2020</v>
      </c>
      <c r="F27" s="36" t="s">
        <v>232</v>
      </c>
      <c r="G27" s="16"/>
      <c r="H27" s="38">
        <f ca="1">VLOOKUP($P27,FINEW!$I$30:$L$63,3,0)</f>
        <v>0.79693082811752092</v>
      </c>
      <c r="I27" s="38">
        <f t="shared" si="0"/>
        <v>0.79693082811752092</v>
      </c>
      <c r="J27" s="16" t="s">
        <v>57</v>
      </c>
      <c r="K27" s="16"/>
      <c r="L27" s="16" t="s">
        <v>60</v>
      </c>
      <c r="M27" s="16"/>
      <c r="N27" s="16"/>
      <c r="O27" s="16"/>
      <c r="P27" s="16" t="s">
        <v>60</v>
      </c>
      <c r="Q27" s="16"/>
      <c r="S27" t="s">
        <v>109</v>
      </c>
      <c r="T27" t="str">
        <f ca="1">VLOOKUP(P27,FINEW!$I$30:$L$63,2,0)</f>
        <v>PEAT</v>
      </c>
    </row>
    <row r="28" spans="2:20">
      <c r="B28" s="36" t="s">
        <v>107</v>
      </c>
      <c r="C28" s="16"/>
      <c r="D28" s="36" t="s">
        <v>18</v>
      </c>
      <c r="E28" s="36">
        <v>2010</v>
      </c>
      <c r="F28" s="36" t="s">
        <v>232</v>
      </c>
      <c r="G28" s="16"/>
      <c r="H28" s="38">
        <f ca="1">VLOOKUP($P28,FINEW!$I$30:$L$63,3,0)</f>
        <v>6.5788770680408968</v>
      </c>
      <c r="I28" s="38">
        <f t="shared" si="0"/>
        <v>6.5788770680408968</v>
      </c>
      <c r="J28" s="16"/>
      <c r="K28" s="16"/>
      <c r="L28" s="16"/>
      <c r="M28" s="16" t="s">
        <v>208</v>
      </c>
      <c r="N28" s="16"/>
      <c r="O28" s="16"/>
      <c r="P28" s="16" t="s">
        <v>9</v>
      </c>
      <c r="Q28" s="16"/>
      <c r="S28" t="s">
        <v>109</v>
      </c>
      <c r="T28" t="str">
        <f ca="1">VLOOKUP(P28,FINEW!$I$30:$L$63,2,0)</f>
        <v>LOIL</v>
      </c>
    </row>
    <row r="29" spans="2:20">
      <c r="B29" s="36" t="s">
        <v>107</v>
      </c>
      <c r="C29" s="16"/>
      <c r="D29" s="36" t="s">
        <v>18</v>
      </c>
      <c r="E29" s="36">
        <v>2010</v>
      </c>
      <c r="F29" s="36" t="s">
        <v>232</v>
      </c>
      <c r="G29" s="16"/>
      <c r="H29" s="38">
        <f ca="1">VLOOKUP($P29,FINEW!$I$30:$L$63,3,0)</f>
        <v>6.4010414836534322</v>
      </c>
      <c r="I29" s="38">
        <f t="shared" si="0"/>
        <v>6.4010414836534322</v>
      </c>
      <c r="J29" s="16"/>
      <c r="K29" s="16"/>
      <c r="L29" s="16"/>
      <c r="M29" s="16" t="s">
        <v>208</v>
      </c>
      <c r="N29" s="16"/>
      <c r="O29" s="16"/>
      <c r="P29" s="16" t="s">
        <v>11</v>
      </c>
      <c r="Q29" s="16"/>
      <c r="S29" t="s">
        <v>109</v>
      </c>
      <c r="T29" t="str">
        <f ca="1">VLOOKUP(P29,FINEW!$I$30:$L$63,2,0)</f>
        <v>HOIL</v>
      </c>
    </row>
    <row r="30" spans="2:20">
      <c r="B30" s="16"/>
      <c r="C30" s="16"/>
      <c r="D30" s="16" t="s">
        <v>32</v>
      </c>
      <c r="E30" s="16"/>
      <c r="F30" s="16"/>
      <c r="G30" s="16"/>
      <c r="H30" s="16"/>
      <c r="I30" s="16" t="str">
        <f t="shared" si="0"/>
        <v/>
      </c>
      <c r="J30" s="16"/>
      <c r="K30" s="16"/>
      <c r="L30" s="16"/>
      <c r="M30" s="16"/>
      <c r="N30" s="16"/>
      <c r="O30" s="16"/>
      <c r="P30" s="16"/>
      <c r="Q30" s="16"/>
    </row>
    <row r="31" spans="2:20">
      <c r="B31" s="36" t="s">
        <v>107</v>
      </c>
      <c r="C31" s="16"/>
      <c r="D31" s="36" t="s">
        <v>18</v>
      </c>
      <c r="E31" s="36">
        <v>2010</v>
      </c>
      <c r="F31" s="36" t="s">
        <v>232</v>
      </c>
      <c r="G31" s="16"/>
      <c r="H31" s="38">
        <f ca="1">FINEW!N11</f>
        <v>4.238078143928977</v>
      </c>
      <c r="I31" s="38">
        <f t="shared" si="0"/>
        <v>4.238078143928977</v>
      </c>
      <c r="J31" s="16"/>
      <c r="K31" s="39"/>
      <c r="L31" s="16" t="s">
        <v>61</v>
      </c>
      <c r="M31" s="39" t="s">
        <v>134</v>
      </c>
      <c r="N31" s="16"/>
      <c r="O31" s="16"/>
      <c r="P31" s="16" t="s">
        <v>61</v>
      </c>
      <c r="Q31" s="16"/>
      <c r="S31" t="s">
        <v>111</v>
      </c>
      <c r="T31" t="str">
        <f ca="1">VLOOKUP(P31,FINEW!$I$30:$L$63,2,0)</f>
        <v>NGAS</v>
      </c>
    </row>
    <row r="32" spans="2:20">
      <c r="B32" s="36" t="s">
        <v>107</v>
      </c>
      <c r="C32" s="16"/>
      <c r="D32" s="36" t="s">
        <v>18</v>
      </c>
      <c r="E32" s="36">
        <v>2020</v>
      </c>
      <c r="F32" s="36" t="s">
        <v>232</v>
      </c>
      <c r="G32" s="16"/>
      <c r="H32" s="38">
        <f ca="1">VLOOKUP($P32,FINEW!$I$30:$L$63,4,0)</f>
        <v>3.459742368467531</v>
      </c>
      <c r="I32" s="38">
        <f t="shared" si="0"/>
        <v>3.459742368467531</v>
      </c>
      <c r="J32" s="16"/>
      <c r="K32" s="39"/>
      <c r="L32" s="16" t="s">
        <v>61</v>
      </c>
      <c r="M32" s="39" t="s">
        <v>134</v>
      </c>
      <c r="N32" s="16"/>
      <c r="O32" s="16"/>
      <c r="P32" s="16" t="s">
        <v>61</v>
      </c>
      <c r="Q32" s="16"/>
      <c r="S32" t="s">
        <v>111</v>
      </c>
      <c r="T32" t="str">
        <f ca="1">VLOOKUP(P32,FINEW!$I$30:$L$63,2,0)</f>
        <v>NGAS</v>
      </c>
    </row>
    <row r="33" spans="2:20">
      <c r="B33" s="36" t="s">
        <v>107</v>
      </c>
      <c r="C33" s="16"/>
      <c r="D33" s="36" t="s">
        <v>18</v>
      </c>
      <c r="E33" s="36">
        <v>2010</v>
      </c>
      <c r="F33" s="36" t="s">
        <v>232</v>
      </c>
      <c r="G33" s="16"/>
      <c r="H33" s="38">
        <f ca="1">VLOOKUP($P33,FINEW!$I$30:$L$63,4,0)</f>
        <v>3.5274368917552175</v>
      </c>
      <c r="I33" s="38">
        <f t="shared" si="0"/>
        <v>3.5274368917552175</v>
      </c>
      <c r="J33" s="16"/>
      <c r="K33" s="39"/>
      <c r="L33" s="16" t="s">
        <v>62</v>
      </c>
      <c r="M33" s="39" t="s">
        <v>135</v>
      </c>
      <c r="N33" s="16"/>
      <c r="O33" s="16"/>
      <c r="P33" s="16" t="s">
        <v>62</v>
      </c>
      <c r="Q33" s="16"/>
      <c r="S33" t="s">
        <v>111</v>
      </c>
      <c r="T33" t="str">
        <f ca="1">VLOOKUP(P33,FINEW!$I$30:$L$63,2,0)</f>
        <v>OOIL</v>
      </c>
    </row>
    <row r="34" spans="2:20">
      <c r="B34" s="36" t="s">
        <v>107</v>
      </c>
      <c r="C34" s="16"/>
      <c r="D34" s="36" t="s">
        <v>18</v>
      </c>
      <c r="E34" s="36">
        <v>2010</v>
      </c>
      <c r="F34" s="36" t="s">
        <v>232</v>
      </c>
      <c r="G34" s="16"/>
      <c r="H34" s="38">
        <f ca="1">H35*0.4</f>
        <v>0.31877233124700838</v>
      </c>
      <c r="I34" s="38">
        <f t="shared" si="0"/>
        <v>0.31877233124700838</v>
      </c>
      <c r="J34" s="16"/>
      <c r="K34" s="39"/>
      <c r="L34" s="16" t="s">
        <v>63</v>
      </c>
      <c r="M34" s="39" t="s">
        <v>135</v>
      </c>
      <c r="N34" s="16"/>
      <c r="O34" s="16"/>
      <c r="P34" s="16" t="s">
        <v>63</v>
      </c>
      <c r="Q34" s="16"/>
      <c r="S34" t="s">
        <v>111</v>
      </c>
      <c r="T34" t="str">
        <f ca="1">VLOOKUP(P34,FINEW!$I$30:$L$63,2,0)</f>
        <v>PEAT</v>
      </c>
    </row>
    <row r="35" spans="2:20">
      <c r="B35" s="36" t="s">
        <v>107</v>
      </c>
      <c r="C35" s="16"/>
      <c r="D35" s="36" t="s">
        <v>18</v>
      </c>
      <c r="E35" s="36">
        <v>2020</v>
      </c>
      <c r="F35" s="36" t="s">
        <v>232</v>
      </c>
      <c r="G35" s="16"/>
      <c r="H35" s="38">
        <f ca="1">VLOOKUP($P35,FINEW!$I$30:$L$63,4,0)</f>
        <v>0.79693082811752092</v>
      </c>
      <c r="I35" s="38">
        <f t="shared" si="0"/>
        <v>0.79693082811752092</v>
      </c>
      <c r="J35" s="16"/>
      <c r="K35" s="39"/>
      <c r="L35" s="16" t="s">
        <v>63</v>
      </c>
      <c r="M35" s="39" t="s">
        <v>135</v>
      </c>
      <c r="N35" s="16"/>
      <c r="O35" s="16"/>
      <c r="P35" s="16" t="s">
        <v>63</v>
      </c>
      <c r="Q35" s="16"/>
      <c r="S35" t="s">
        <v>111</v>
      </c>
      <c r="T35" t="str">
        <f ca="1">VLOOKUP(P35,FINEW!$I$30:$L$63,2,0)</f>
        <v>PEAT</v>
      </c>
    </row>
    <row r="36" spans="2:20">
      <c r="B36" s="36" t="s">
        <v>107</v>
      </c>
      <c r="C36" s="16"/>
      <c r="D36" s="36" t="s">
        <v>18</v>
      </c>
      <c r="E36" s="36">
        <v>2010</v>
      </c>
      <c r="F36" s="36" t="s">
        <v>232</v>
      </c>
      <c r="G36" s="16"/>
      <c r="H36" s="38">
        <f ca="1">VLOOKUP($P36,FINEW!$I$30:$L$63,4,0)</f>
        <v>5.5332901835531541</v>
      </c>
      <c r="I36" s="38">
        <f t="shared" si="0"/>
        <v>5.5332901835531541</v>
      </c>
      <c r="J36" s="16"/>
      <c r="K36" s="39"/>
      <c r="L36" s="16" t="s">
        <v>64</v>
      </c>
      <c r="M36" s="39" t="s">
        <v>135</v>
      </c>
      <c r="N36" s="16"/>
      <c r="O36" s="16"/>
      <c r="P36" s="16" t="s">
        <v>64</v>
      </c>
      <c r="Q36" s="16"/>
      <c r="S36" t="s">
        <v>111</v>
      </c>
      <c r="T36" t="str">
        <f ca="1">VLOOKUP(P36,FINEW!$I$30:$L$63,2,0)</f>
        <v>COAL</v>
      </c>
    </row>
    <row r="37" spans="2:20">
      <c r="B37" s="36" t="s">
        <v>107</v>
      </c>
      <c r="C37" s="16"/>
      <c r="D37" s="36" t="s">
        <v>18</v>
      </c>
      <c r="E37" s="36">
        <v>2010</v>
      </c>
      <c r="F37" s="36" t="s">
        <v>232</v>
      </c>
      <c r="G37" s="16"/>
      <c r="H37" s="38">
        <f ca="1">H36</f>
        <v>5.5332901835531541</v>
      </c>
      <c r="I37" s="38">
        <f>IF(H37,H37,"")</f>
        <v>5.5332901835531541</v>
      </c>
      <c r="J37" s="16"/>
      <c r="K37" s="39"/>
      <c r="L37" s="16" t="s">
        <v>132</v>
      </c>
      <c r="M37" s="39" t="s">
        <v>136</v>
      </c>
      <c r="N37" s="16"/>
      <c r="O37" s="16"/>
      <c r="P37" s="16" t="s">
        <v>132</v>
      </c>
      <c r="Q37" s="16"/>
      <c r="S37" t="s">
        <v>111</v>
      </c>
      <c r="T37" t="str">
        <f ca="1">T36</f>
        <v>COAL</v>
      </c>
    </row>
    <row r="38" spans="2:20">
      <c r="B38" s="36" t="s">
        <v>107</v>
      </c>
      <c r="C38" s="16"/>
      <c r="D38" s="36" t="s">
        <v>18</v>
      </c>
      <c r="E38" s="36">
        <v>2010</v>
      </c>
      <c r="F38" s="36" t="s">
        <v>232</v>
      </c>
      <c r="G38" s="16"/>
      <c r="H38" s="38">
        <f ca="1">VLOOKUP($P38,FINEW!$I$30:$L$63,4,0)</f>
        <v>4.4092961146940217</v>
      </c>
      <c r="I38" s="38">
        <f t="shared" si="0"/>
        <v>4.4092961146940217</v>
      </c>
      <c r="J38" s="16"/>
      <c r="K38" s="39"/>
      <c r="L38" s="16" t="s">
        <v>65</v>
      </c>
      <c r="M38" s="39" t="s">
        <v>135</v>
      </c>
      <c r="N38" s="16"/>
      <c r="O38" s="16"/>
      <c r="P38" s="16" t="s">
        <v>65</v>
      </c>
      <c r="Q38" s="16"/>
      <c r="S38" t="s">
        <v>111</v>
      </c>
      <c r="T38" t="str">
        <f ca="1">VLOOKUP(P38,FINEW!$I$30:$L$63,2,0)</f>
        <v>HOIL</v>
      </c>
    </row>
    <row r="39" spans="2:20">
      <c r="B39" s="36" t="s">
        <v>107</v>
      </c>
      <c r="C39" s="16"/>
      <c r="D39" s="36" t="s">
        <v>18</v>
      </c>
      <c r="E39" s="36">
        <v>2010</v>
      </c>
      <c r="F39" s="36" t="s">
        <v>232</v>
      </c>
      <c r="G39" s="16"/>
      <c r="H39" s="38">
        <f ca="1">VLOOKUP($T39,FINEW!$I$30:$N$74,5,0)</f>
        <v>2.2476067153676698</v>
      </c>
      <c r="I39" s="38">
        <f t="shared" si="0"/>
        <v>2.2476067153676698</v>
      </c>
      <c r="J39" s="16"/>
      <c r="K39" s="16"/>
      <c r="L39" s="16"/>
      <c r="M39" s="16" t="s">
        <v>209</v>
      </c>
      <c r="N39" s="16"/>
      <c r="O39" s="16"/>
      <c r="P39" s="16" t="s">
        <v>168</v>
      </c>
      <c r="Q39" s="16"/>
      <c r="R39" s="18"/>
      <c r="S39" s="18" t="s">
        <v>111</v>
      </c>
      <c r="T39" s="18" t="s">
        <v>9</v>
      </c>
    </row>
    <row r="40" spans="2:20">
      <c r="B40" s="36" t="s">
        <v>107</v>
      </c>
      <c r="C40" s="16"/>
      <c r="D40" s="36" t="s">
        <v>18</v>
      </c>
      <c r="E40" s="36">
        <v>2010</v>
      </c>
      <c r="F40" s="36" t="s">
        <v>232</v>
      </c>
      <c r="G40" s="16"/>
      <c r="H40" s="38">
        <f ca="1">-H39/2</f>
        <v>-1.1238033576838349</v>
      </c>
      <c r="I40" s="38">
        <f>-I39/2</f>
        <v>-1.1238033576838349</v>
      </c>
      <c r="J40" s="16"/>
      <c r="K40" s="16"/>
      <c r="L40" s="16"/>
      <c r="M40" s="16" t="s">
        <v>209</v>
      </c>
      <c r="N40" s="16"/>
      <c r="O40" s="16"/>
      <c r="P40" s="16" t="s">
        <v>118</v>
      </c>
      <c r="Q40" s="16"/>
      <c r="R40" s="18"/>
      <c r="S40" s="18" t="s">
        <v>111</v>
      </c>
      <c r="T40" s="18" t="s">
        <v>130</v>
      </c>
    </row>
    <row r="41" spans="2:20">
      <c r="B41" s="36" t="s">
        <v>107</v>
      </c>
      <c r="C41" s="16"/>
      <c r="D41" s="36" t="s">
        <v>18</v>
      </c>
      <c r="E41" s="36">
        <v>2010</v>
      </c>
      <c r="F41" s="36" t="s">
        <v>232</v>
      </c>
      <c r="G41" s="16"/>
      <c r="H41" s="38">
        <f ca="1">VLOOKUP($P41,FINEW!$I$30:$L$63,3,0)</f>
        <v>6.5788770680408968</v>
      </c>
      <c r="I41" s="38">
        <f t="shared" si="0"/>
        <v>6.5788770680408968</v>
      </c>
      <c r="J41" s="16"/>
      <c r="K41" s="16"/>
      <c r="L41" s="16"/>
      <c r="M41" s="16" t="s">
        <v>210</v>
      </c>
      <c r="N41" s="16"/>
      <c r="O41" s="16"/>
      <c r="P41" s="16" t="s">
        <v>9</v>
      </c>
      <c r="Q41" s="16"/>
      <c r="R41" s="18"/>
      <c r="S41" s="18" t="s">
        <v>111</v>
      </c>
      <c r="T41" s="18" t="str">
        <f ca="1">VLOOKUP(P41,FINEW!$I$30:$L$63,2,0)</f>
        <v>LOIL</v>
      </c>
    </row>
    <row r="42" spans="2:20">
      <c r="B42" s="36" t="s">
        <v>107</v>
      </c>
      <c r="C42" s="16"/>
      <c r="D42" s="36" t="s">
        <v>18</v>
      </c>
      <c r="E42" s="36">
        <v>2010</v>
      </c>
      <c r="F42" s="36" t="s">
        <v>232</v>
      </c>
      <c r="G42" s="16"/>
      <c r="H42" s="38">
        <f ca="1">VLOOKUP($P42,FINEW!$I$30:$L$63,3,0)</f>
        <v>5.1208331869227459</v>
      </c>
      <c r="I42" s="38">
        <f t="shared" si="0"/>
        <v>5.1208331869227459</v>
      </c>
      <c r="J42" s="16"/>
      <c r="K42" s="16"/>
      <c r="L42" s="16"/>
      <c r="M42" s="16" t="s">
        <v>210</v>
      </c>
      <c r="N42" s="16"/>
      <c r="O42" s="16"/>
      <c r="P42" s="16" t="s">
        <v>36</v>
      </c>
      <c r="Q42" s="16"/>
      <c r="R42" s="18"/>
      <c r="S42" s="18" t="s">
        <v>111</v>
      </c>
      <c r="T42" s="18" t="str">
        <f ca="1">VLOOKUP(P42,FINEW!$I$30:$L$63,2,0)</f>
        <v>OOIL</v>
      </c>
    </row>
    <row r="43" spans="2:20">
      <c r="B43" s="36" t="s">
        <v>107</v>
      </c>
      <c r="C43" s="16"/>
      <c r="D43" s="36" t="s">
        <v>18</v>
      </c>
      <c r="E43" s="36">
        <v>2010</v>
      </c>
      <c r="F43" s="36" t="s">
        <v>232</v>
      </c>
      <c r="G43" s="16"/>
      <c r="H43" s="38">
        <f ca="1">VLOOKUP("BIODST",FINEW!$I$30:$L$63,3,0)</f>
        <v>2.1101060692510591</v>
      </c>
      <c r="I43" s="38">
        <f>H43</f>
        <v>2.1101060692510591</v>
      </c>
      <c r="J43" s="16"/>
      <c r="K43" s="16"/>
      <c r="L43" s="16"/>
      <c r="M43" s="16" t="s">
        <v>210</v>
      </c>
      <c r="N43" s="16"/>
      <c r="O43" s="16"/>
      <c r="P43" s="16" t="s">
        <v>118</v>
      </c>
      <c r="Q43" s="16"/>
      <c r="R43" s="18"/>
      <c r="S43" s="18" t="s">
        <v>111</v>
      </c>
      <c r="T43" s="18" t="s">
        <v>130</v>
      </c>
    </row>
    <row r="44" spans="2:20">
      <c r="B44" s="36" t="s">
        <v>107</v>
      </c>
      <c r="C44" s="16"/>
      <c r="D44" s="36" t="s">
        <v>18</v>
      </c>
      <c r="E44" s="36">
        <v>2020</v>
      </c>
      <c r="F44" s="36" t="s">
        <v>232</v>
      </c>
      <c r="G44" s="16"/>
      <c r="H44" s="38">
        <f ca="1">VLOOKUP($P44,FINEW!$I$30:$L$63,4,0)</f>
        <v>3.459742368467531</v>
      </c>
      <c r="I44" s="38">
        <f t="shared" si="0"/>
        <v>3.459742368467531</v>
      </c>
      <c r="J44" s="16"/>
      <c r="K44" s="39"/>
      <c r="L44" s="16" t="s">
        <v>61</v>
      </c>
      <c r="M44" s="16" t="s">
        <v>127</v>
      </c>
      <c r="N44" s="16"/>
      <c r="O44" s="16"/>
      <c r="P44" s="16" t="s">
        <v>61</v>
      </c>
      <c r="Q44" s="16"/>
      <c r="S44" t="s">
        <v>111</v>
      </c>
      <c r="T44" t="str">
        <f ca="1">VLOOKUP(P44,FINEW!$I$30:$L$63,2,0)</f>
        <v>NGAS</v>
      </c>
    </row>
    <row r="45" spans="2:20">
      <c r="B45" s="36" t="s">
        <v>107</v>
      </c>
      <c r="C45" s="16"/>
      <c r="D45" s="36" t="s">
        <v>18</v>
      </c>
      <c r="E45" s="36">
        <v>2010</v>
      </c>
      <c r="F45" s="36" t="s">
        <v>232</v>
      </c>
      <c r="G45" s="16"/>
      <c r="H45" s="38">
        <f ca="1">VLOOKUP($P45,FINEW!$I$30:$L$63,3,0)</f>
        <v>0.79693082811752092</v>
      </c>
      <c r="I45" s="38">
        <f t="shared" si="0"/>
        <v>0.79693082811752092</v>
      </c>
      <c r="J45" s="16"/>
      <c r="K45" s="39"/>
      <c r="L45" s="16" t="s">
        <v>63</v>
      </c>
      <c r="M45" s="16" t="s">
        <v>127</v>
      </c>
      <c r="N45" s="16"/>
      <c r="O45" s="16"/>
      <c r="P45" s="16" t="s">
        <v>63</v>
      </c>
      <c r="Q45" s="16"/>
      <c r="S45" t="s">
        <v>111</v>
      </c>
      <c r="T45" t="str">
        <f ca="1">VLOOKUP(P45,FINEW!$I$30:$L$63,2,0)</f>
        <v>PEAT</v>
      </c>
    </row>
    <row r="46" spans="2:20">
      <c r="B46" s="36" t="s">
        <v>107</v>
      </c>
      <c r="C46" s="16"/>
      <c r="D46" s="36" t="s">
        <v>18</v>
      </c>
      <c r="E46" s="36">
        <v>2010</v>
      </c>
      <c r="F46" s="36" t="s">
        <v>232</v>
      </c>
      <c r="G46" s="16"/>
      <c r="H46" s="38">
        <f ca="1">VLOOKUP($P46,FINEW!$I$30:$L$63,3,0)</f>
        <v>7.4930977074547576</v>
      </c>
      <c r="I46" s="38">
        <f t="shared" si="0"/>
        <v>7.4930977074547576</v>
      </c>
      <c r="J46" s="16"/>
      <c r="K46" s="39"/>
      <c r="L46" s="16" t="s">
        <v>64</v>
      </c>
      <c r="M46" s="16" t="s">
        <v>127</v>
      </c>
      <c r="N46" s="16"/>
      <c r="O46" s="16"/>
      <c r="P46" s="16" t="s">
        <v>64</v>
      </c>
      <c r="Q46" s="16"/>
      <c r="S46" t="s">
        <v>111</v>
      </c>
      <c r="T46" t="str">
        <f ca="1">VLOOKUP(P46,FINEW!$I$30:$L$63,2,0)</f>
        <v>COAL</v>
      </c>
    </row>
    <row r="47" spans="2:20">
      <c r="B47" s="36" t="s">
        <v>107</v>
      </c>
      <c r="C47" s="16"/>
      <c r="D47" s="36" t="s">
        <v>18</v>
      </c>
      <c r="E47" s="36">
        <v>2010</v>
      </c>
      <c r="F47" s="36" t="s">
        <v>232</v>
      </c>
      <c r="G47" s="16"/>
      <c r="H47" s="38">
        <f ca="1">VLOOKUP($P47,FINEW!$I$30:$L$63,3,0)</f>
        <v>6.4010414836534322</v>
      </c>
      <c r="I47" s="38">
        <f t="shared" si="0"/>
        <v>6.4010414836534322</v>
      </c>
      <c r="J47" s="16"/>
      <c r="K47" s="39"/>
      <c r="L47" s="16" t="s">
        <v>65</v>
      </c>
      <c r="M47" s="16" t="s">
        <v>127</v>
      </c>
      <c r="N47" s="16"/>
      <c r="O47" s="16"/>
      <c r="P47" s="16" t="s">
        <v>65</v>
      </c>
      <c r="Q47" s="16"/>
      <c r="S47" t="s">
        <v>111</v>
      </c>
      <c r="T47" t="str">
        <f ca="1">VLOOKUP(P47,FINEW!$I$30:$L$63,2,0)</f>
        <v>HOIL</v>
      </c>
    </row>
    <row r="48" spans="2:20">
      <c r="B48" s="36" t="s">
        <v>107</v>
      </c>
      <c r="C48" s="16"/>
      <c r="D48" s="36" t="s">
        <v>18</v>
      </c>
      <c r="E48" s="36">
        <v>2010</v>
      </c>
      <c r="F48" s="36" t="s">
        <v>232</v>
      </c>
      <c r="G48" s="16"/>
      <c r="H48" s="38">
        <f ca="1">VLOOKUP("BIODST",FINEW!$I$30:$L$63,3,0)</f>
        <v>2.1101060692510591</v>
      </c>
      <c r="I48" s="38">
        <f t="shared" si="0"/>
        <v>2.1101060692510591</v>
      </c>
      <c r="J48" s="16"/>
      <c r="K48" s="39"/>
      <c r="L48" s="16"/>
      <c r="M48" s="16" t="s">
        <v>211</v>
      </c>
      <c r="N48" s="16"/>
      <c r="O48" s="16"/>
      <c r="P48" s="16" t="s">
        <v>97</v>
      </c>
      <c r="Q48" s="16"/>
      <c r="S48" t="s">
        <v>111</v>
      </c>
      <c r="T48" t="s">
        <v>130</v>
      </c>
    </row>
    <row r="49" spans="2:20">
      <c r="B49" s="16"/>
      <c r="C49" s="16"/>
      <c r="D49" s="16" t="s">
        <v>32</v>
      </c>
      <c r="E49" s="16"/>
      <c r="F49" s="16"/>
      <c r="G49" s="16"/>
      <c r="H49" s="16"/>
      <c r="I49" s="16" t="str">
        <f t="shared" si="0"/>
        <v/>
      </c>
      <c r="J49" s="16"/>
      <c r="K49" s="16"/>
      <c r="L49" s="16"/>
      <c r="M49" s="16"/>
      <c r="N49" s="16"/>
      <c r="O49" s="16"/>
      <c r="P49" s="16"/>
      <c r="Q49" s="16"/>
    </row>
    <row r="50" spans="2:20">
      <c r="B50" s="36" t="s">
        <v>107</v>
      </c>
      <c r="C50" s="16"/>
      <c r="D50" s="36" t="s">
        <v>18</v>
      </c>
      <c r="E50" s="36">
        <v>2010</v>
      </c>
      <c r="F50" s="36" t="s">
        <v>232</v>
      </c>
      <c r="G50" s="16"/>
      <c r="H50" s="38">
        <f ca="1">VLOOKUP($P50,FINEW!$I$30:$M$74,5,0)</f>
        <v>3.459742368467531</v>
      </c>
      <c r="I50" s="38">
        <f t="shared" si="0"/>
        <v>3.459742368467531</v>
      </c>
      <c r="J50" s="16"/>
      <c r="K50" s="16"/>
      <c r="L50" s="16"/>
      <c r="M50" s="16" t="s">
        <v>169</v>
      </c>
      <c r="N50" s="16"/>
      <c r="O50" s="16"/>
      <c r="P50" s="16" t="s">
        <v>34</v>
      </c>
      <c r="Q50" s="16"/>
      <c r="S50" t="s">
        <v>112</v>
      </c>
      <c r="T50" t="str">
        <f ca="1">VLOOKUP(P50,FINEW!$I$30:$L$63,2,0)</f>
        <v>NGAS</v>
      </c>
    </row>
    <row r="51" spans="2:20">
      <c r="B51" s="36" t="s">
        <v>107</v>
      </c>
      <c r="C51" s="16"/>
      <c r="D51" s="36" t="s">
        <v>18</v>
      </c>
      <c r="E51" s="36">
        <v>2010</v>
      </c>
      <c r="F51" s="36" t="s">
        <v>232</v>
      </c>
      <c r="G51" s="16"/>
      <c r="H51" s="38">
        <f ca="1">VLOOKUP($P51,FINEW!$I$30:$M$74,5,0)</f>
        <v>3.459742368467531</v>
      </c>
      <c r="I51" s="38">
        <f t="shared" si="0"/>
        <v>3.459742368467531</v>
      </c>
      <c r="J51" s="16"/>
      <c r="K51" s="16"/>
      <c r="L51" s="16"/>
      <c r="M51" s="16" t="s">
        <v>170</v>
      </c>
      <c r="N51" s="16"/>
      <c r="O51" s="16"/>
      <c r="P51" s="16" t="s">
        <v>34</v>
      </c>
      <c r="Q51" s="16"/>
      <c r="S51" t="s">
        <v>112</v>
      </c>
      <c r="T51" t="str">
        <f ca="1">VLOOKUP(P51,FINEW!$I$30:$L$63,2,0)</f>
        <v>NGAS</v>
      </c>
    </row>
    <row r="52" spans="2:20">
      <c r="B52" s="36" t="s">
        <v>107</v>
      </c>
      <c r="C52" s="16"/>
      <c r="D52" s="36" t="s">
        <v>18</v>
      </c>
      <c r="E52" s="36">
        <v>2010</v>
      </c>
      <c r="F52" s="36" t="s">
        <v>232</v>
      </c>
      <c r="G52" s="16"/>
      <c r="H52" s="38">
        <f ca="1">VLOOKUP($P52,FINEW!$I$30:$M$74,5,0)</f>
        <v>2.2476067153676698</v>
      </c>
      <c r="I52" s="38">
        <f t="shared" si="0"/>
        <v>2.2476067153676698</v>
      </c>
      <c r="J52" s="16"/>
      <c r="K52" s="16"/>
      <c r="L52" s="16"/>
      <c r="M52" s="16" t="s">
        <v>171</v>
      </c>
      <c r="N52" s="16"/>
      <c r="O52" s="16"/>
      <c r="P52" s="16" t="s">
        <v>9</v>
      </c>
      <c r="Q52" s="16"/>
      <c r="S52" t="s">
        <v>112</v>
      </c>
      <c r="T52" t="str">
        <f ca="1">VLOOKUP(P52,FINEW!$I$30:$L$63,2,0)</f>
        <v>LOIL</v>
      </c>
    </row>
    <row r="53" spans="2:20">
      <c r="B53" s="36" t="s">
        <v>107</v>
      </c>
      <c r="C53" s="16"/>
      <c r="D53" s="36" t="s">
        <v>18</v>
      </c>
      <c r="E53" s="36">
        <v>2010</v>
      </c>
      <c r="F53" s="36" t="s">
        <v>232</v>
      </c>
      <c r="G53" s="16"/>
      <c r="H53" s="38">
        <f ca="1">VLOOKUP($P53,FINEW!$I$30:$M$74,5,0)</f>
        <v>2.2476067153676698</v>
      </c>
      <c r="I53" s="38">
        <f t="shared" si="0"/>
        <v>2.2476067153676698</v>
      </c>
      <c r="J53" s="16"/>
      <c r="K53" s="16"/>
      <c r="L53" s="16"/>
      <c r="M53" s="16" t="s">
        <v>171</v>
      </c>
      <c r="N53" s="16"/>
      <c r="O53" s="16"/>
      <c r="P53" s="16" t="s">
        <v>35</v>
      </c>
      <c r="Q53" s="16"/>
      <c r="S53" t="s">
        <v>112</v>
      </c>
      <c r="T53" t="str">
        <f ca="1">VLOOKUP(P53,FINEW!$I$30:$L$63,2,0)</f>
        <v>LOIL</v>
      </c>
    </row>
    <row r="54" spans="2:20">
      <c r="B54" s="36" t="s">
        <v>107</v>
      </c>
      <c r="C54" s="16"/>
      <c r="D54" s="36" t="s">
        <v>18</v>
      </c>
      <c r="E54" s="36">
        <v>2010</v>
      </c>
      <c r="F54" s="36" t="s">
        <v>232</v>
      </c>
      <c r="G54" s="16"/>
      <c r="H54" s="38">
        <f ca="1">VLOOKUP($P54,FINEW!$I$30:$M$74,5,0)</f>
        <v>9.2548511809256981E-2</v>
      </c>
      <c r="I54" s="38">
        <f t="shared" si="0"/>
        <v>9.2548511809256981E-2</v>
      </c>
      <c r="J54" s="16"/>
      <c r="K54" s="16"/>
      <c r="L54" s="16"/>
      <c r="M54" s="16" t="s">
        <v>171</v>
      </c>
      <c r="N54" s="16"/>
      <c r="O54" s="16"/>
      <c r="P54" s="16" t="s">
        <v>118</v>
      </c>
      <c r="Q54" s="16"/>
      <c r="S54" t="s">
        <v>112</v>
      </c>
      <c r="T54" t="str">
        <f ca="1">VLOOKUP(P54,FINEW!$I$30:$L$63,2,0)</f>
        <v>BOIL</v>
      </c>
    </row>
    <row r="55" spans="2:20">
      <c r="B55" s="36" t="s">
        <v>107</v>
      </c>
      <c r="C55" s="16"/>
      <c r="D55" s="36" t="s">
        <v>18</v>
      </c>
      <c r="E55" s="36">
        <v>2010</v>
      </c>
      <c r="F55" s="36" t="s">
        <v>232</v>
      </c>
      <c r="G55" s="16"/>
      <c r="H55" s="38">
        <f ca="1">VLOOKUP($P55,FINEW!$I$30:$M$74,5,0)</f>
        <v>2.2476067153676698</v>
      </c>
      <c r="I55" s="38">
        <f t="shared" si="0"/>
        <v>2.2476067153676698</v>
      </c>
      <c r="J55" s="16"/>
      <c r="K55" s="16"/>
      <c r="L55" s="16"/>
      <c r="M55" s="16" t="s">
        <v>172</v>
      </c>
      <c r="N55" s="16"/>
      <c r="O55" s="16"/>
      <c r="P55" s="16" t="s">
        <v>10</v>
      </c>
      <c r="Q55" s="16"/>
      <c r="S55" t="s">
        <v>112</v>
      </c>
      <c r="T55" t="str">
        <f ca="1">VLOOKUP(P55,FINEW!$I$30:$L$63,2,0)</f>
        <v>OOIL</v>
      </c>
    </row>
    <row r="56" spans="2:20">
      <c r="B56" s="36" t="s">
        <v>107</v>
      </c>
      <c r="C56" s="16"/>
      <c r="D56" s="36" t="s">
        <v>18</v>
      </c>
      <c r="E56" s="36">
        <v>2010</v>
      </c>
      <c r="F56" s="36" t="s">
        <v>232</v>
      </c>
      <c r="G56" s="16"/>
      <c r="H56" s="38">
        <f ca="1">VLOOKUP($P56,FINEW!$I$30:$M$74,5,0)</f>
        <v>2.3268053375694042</v>
      </c>
      <c r="I56" s="38">
        <f t="shared" si="0"/>
        <v>2.3268053375694042</v>
      </c>
      <c r="J56" s="16"/>
      <c r="K56" s="16"/>
      <c r="L56" s="16"/>
      <c r="M56" s="16" t="s">
        <v>173</v>
      </c>
      <c r="N56" s="16"/>
      <c r="O56" s="16"/>
      <c r="P56" s="16" t="s">
        <v>11</v>
      </c>
      <c r="Q56" s="16"/>
      <c r="S56" t="s">
        <v>112</v>
      </c>
      <c r="T56" t="str">
        <f ca="1">VLOOKUP(P56,FINEW!$I$30:$L$63,2,0)</f>
        <v>HOIL</v>
      </c>
    </row>
    <row r="57" spans="2:20">
      <c r="B57" s="36" t="s">
        <v>107</v>
      </c>
      <c r="C57" s="16"/>
      <c r="D57" s="36" t="s">
        <v>18</v>
      </c>
      <c r="E57" s="36">
        <v>2010</v>
      </c>
      <c r="F57" s="36" t="s">
        <v>232</v>
      </c>
      <c r="G57" s="16"/>
      <c r="H57" s="38">
        <f ca="1">VLOOKUP($P57,FINEW!$I$30:$M$74,5,0)</f>
        <v>2.3268053375694042</v>
      </c>
      <c r="I57" s="38">
        <f t="shared" si="0"/>
        <v>2.3268053375694042</v>
      </c>
      <c r="J57" s="16"/>
      <c r="K57" s="16"/>
      <c r="L57" s="16"/>
      <c r="M57" s="16" t="s">
        <v>173</v>
      </c>
      <c r="N57" s="16"/>
      <c r="O57" s="16"/>
      <c r="P57" s="16" t="s">
        <v>8</v>
      </c>
      <c r="Q57" s="16"/>
      <c r="S57" t="s">
        <v>112</v>
      </c>
      <c r="T57" t="str">
        <f ca="1">VLOOKUP(P57,FINEW!$I$30:$L$63,2,0)</f>
        <v>HOIL</v>
      </c>
    </row>
    <row r="58" spans="2:20">
      <c r="B58" s="36" t="s">
        <v>107</v>
      </c>
      <c r="C58" s="16"/>
      <c r="D58" s="36" t="s">
        <v>18</v>
      </c>
      <c r="E58" s="36">
        <v>2010</v>
      </c>
      <c r="F58" s="36" t="s">
        <v>232</v>
      </c>
      <c r="G58" s="16"/>
      <c r="H58" s="38">
        <f ca="1">VLOOKUP($P58,FINEW!$I$30:$M$74,5,0)</f>
        <v>2.2476067153676698</v>
      </c>
      <c r="I58" s="38">
        <f t="shared" si="0"/>
        <v>2.2476067153676698</v>
      </c>
      <c r="J58" s="16"/>
      <c r="K58" s="16"/>
      <c r="L58" s="16"/>
      <c r="M58" s="16" t="s">
        <v>174</v>
      </c>
      <c r="N58" s="16"/>
      <c r="O58" s="16"/>
      <c r="P58" s="16" t="s">
        <v>36</v>
      </c>
      <c r="Q58" s="16"/>
      <c r="S58" t="s">
        <v>112</v>
      </c>
      <c r="T58" t="str">
        <f ca="1">VLOOKUP(P58,FINEW!$I$30:$L$63,2,0)</f>
        <v>OOIL</v>
      </c>
    </row>
    <row r="59" spans="2:20">
      <c r="B59" s="36" t="s">
        <v>107</v>
      </c>
      <c r="C59" s="16"/>
      <c r="D59" s="36" t="s">
        <v>18</v>
      </c>
      <c r="E59" s="36">
        <v>2010</v>
      </c>
      <c r="F59" s="36" t="s">
        <v>232</v>
      </c>
      <c r="G59" s="16"/>
      <c r="H59" s="38">
        <f ca="1">VLOOKUP($P59,FINEW!$I$30:$M$74,5,0)</f>
        <v>5.5332901835531541</v>
      </c>
      <c r="I59" s="38">
        <f t="shared" si="0"/>
        <v>5.5332901835531541</v>
      </c>
      <c r="J59" s="16"/>
      <c r="K59" s="16"/>
      <c r="L59" s="16"/>
      <c r="M59" s="16" t="s">
        <v>175</v>
      </c>
      <c r="N59" s="16"/>
      <c r="O59" s="16"/>
      <c r="P59" s="16" t="s">
        <v>7</v>
      </c>
      <c r="Q59" s="16"/>
      <c r="S59" t="s">
        <v>112</v>
      </c>
      <c r="T59" t="str">
        <f ca="1">VLOOKUP(P59,FINEW!$I$30:$L$63,2,0)</f>
        <v>COAL</v>
      </c>
    </row>
    <row r="60" spans="2:20">
      <c r="B60" s="36" t="s">
        <v>107</v>
      </c>
      <c r="C60" s="16"/>
      <c r="D60" s="36" t="s">
        <v>18</v>
      </c>
      <c r="E60" s="36">
        <v>2010</v>
      </c>
      <c r="F60" s="36" t="s">
        <v>232</v>
      </c>
      <c r="G60" s="16"/>
      <c r="H60" s="38">
        <f ca="1">VLOOKUP($P60,FINEW!$I$30:$M$74,5,0)</f>
        <v>0.79693082811752092</v>
      </c>
      <c r="I60" s="38">
        <f t="shared" si="0"/>
        <v>0.79693082811752092</v>
      </c>
      <c r="J60" s="16"/>
      <c r="K60" s="16"/>
      <c r="L60" s="16"/>
      <c r="M60" s="16" t="s">
        <v>175</v>
      </c>
      <c r="N60" s="16"/>
      <c r="O60" s="16"/>
      <c r="P60" s="16" t="s">
        <v>39</v>
      </c>
      <c r="Q60" s="16"/>
      <c r="S60" t="s">
        <v>112</v>
      </c>
      <c r="T60" t="str">
        <f ca="1">VLOOKUP(P60,FINEW!$I$30:$L$63,2,0)</f>
        <v>PEAT</v>
      </c>
    </row>
    <row r="61" spans="2:20">
      <c r="B61" s="36" t="s">
        <v>107</v>
      </c>
      <c r="C61" s="16"/>
      <c r="D61" s="36" t="s">
        <v>18</v>
      </c>
      <c r="E61" s="36">
        <v>2010</v>
      </c>
      <c r="F61" s="36" t="s">
        <v>232</v>
      </c>
      <c r="G61" s="16"/>
      <c r="H61" s="38">
        <f ca="1">VLOOKUP($P61,FINEW!$I$30:$M$74,5,0)</f>
        <v>5.5332901835531541</v>
      </c>
      <c r="I61" s="38">
        <f t="shared" si="0"/>
        <v>5.5332901835531541</v>
      </c>
      <c r="J61" s="16"/>
      <c r="K61" s="16"/>
      <c r="L61" s="16"/>
      <c r="M61" s="16" t="s">
        <v>175</v>
      </c>
      <c r="N61" s="16"/>
      <c r="O61" s="16"/>
      <c r="P61" s="16" t="s">
        <v>38</v>
      </c>
      <c r="Q61" s="16"/>
      <c r="S61" t="s">
        <v>112</v>
      </c>
      <c r="T61" t="str">
        <f ca="1">VLOOKUP(P61,FINEW!$I$30:$L$63,2,0)</f>
        <v>COAL</v>
      </c>
    </row>
    <row r="62" spans="2:20">
      <c r="B62" s="36" t="s">
        <v>107</v>
      </c>
      <c r="C62" s="16"/>
      <c r="D62" s="36" t="s">
        <v>18</v>
      </c>
      <c r="E62" s="36">
        <v>2010</v>
      </c>
      <c r="F62" s="36" t="s">
        <v>232</v>
      </c>
      <c r="G62" s="16"/>
      <c r="H62" s="38">
        <f ca="1">VLOOKUP($P62,FINEW!$I$30:$M$74,5,0)</f>
        <v>2.2476067153676698</v>
      </c>
      <c r="I62" s="38">
        <f t="shared" si="0"/>
        <v>2.2476067153676698</v>
      </c>
      <c r="J62" s="16"/>
      <c r="K62" s="16"/>
      <c r="L62" s="16"/>
      <c r="M62" s="16" t="s">
        <v>176</v>
      </c>
      <c r="N62" s="16"/>
      <c r="O62" s="16"/>
      <c r="P62" s="16" t="s">
        <v>37</v>
      </c>
      <c r="Q62" s="16"/>
      <c r="S62" t="s">
        <v>112</v>
      </c>
      <c r="T62" t="str">
        <f ca="1">VLOOKUP(P62,FINEW!$I$30:$L$63,2,0)</f>
        <v>OOIL</v>
      </c>
    </row>
    <row r="63" spans="2:20">
      <c r="B63" s="16"/>
      <c r="C63" s="16"/>
      <c r="D63" s="16" t="s">
        <v>32</v>
      </c>
      <c r="E63" s="16"/>
      <c r="F63" s="16"/>
      <c r="G63" s="16"/>
      <c r="H63" s="16"/>
      <c r="I63" s="16" t="str">
        <f t="shared" si="0"/>
        <v/>
      </c>
      <c r="J63" s="16"/>
      <c r="K63" s="16"/>
      <c r="L63" s="16"/>
      <c r="M63" s="16"/>
      <c r="N63" s="16"/>
      <c r="O63" s="16"/>
      <c r="P63" s="16"/>
      <c r="Q63" s="16"/>
    </row>
    <row r="64" spans="2:20">
      <c r="B64" s="36" t="s">
        <v>107</v>
      </c>
      <c r="C64" s="16"/>
      <c r="D64" s="36" t="s">
        <v>18</v>
      </c>
      <c r="E64" s="36">
        <v>2010</v>
      </c>
      <c r="F64" s="36" t="s">
        <v>232</v>
      </c>
      <c r="G64" s="16"/>
      <c r="H64" s="38">
        <f ca="1">VLOOKUP($P64,FINEW!$I$30:$L$74,3,0)</f>
        <v>5.486603107979759</v>
      </c>
      <c r="I64" s="38">
        <f t="shared" si="0"/>
        <v>5.486603107979759</v>
      </c>
      <c r="J64" s="16"/>
      <c r="K64" s="16"/>
      <c r="L64" s="16"/>
      <c r="M64" s="16" t="s">
        <v>177</v>
      </c>
      <c r="N64" s="16"/>
      <c r="O64" s="16"/>
      <c r="P64" s="16" t="s">
        <v>34</v>
      </c>
      <c r="Q64" s="16"/>
      <c r="S64" t="s">
        <v>112</v>
      </c>
      <c r="T64" t="str">
        <f ca="1">VLOOKUP(P64,FINEW!$I$30:$L$63,2,0)</f>
        <v>NGAS</v>
      </c>
    </row>
    <row r="65" spans="2:20">
      <c r="B65" s="36" t="s">
        <v>107</v>
      </c>
      <c r="C65" s="16"/>
      <c r="D65" s="36" t="s">
        <v>18</v>
      </c>
      <c r="E65" s="36">
        <v>2010</v>
      </c>
      <c r="F65" s="36" t="s">
        <v>232</v>
      </c>
      <c r="G65" s="16"/>
      <c r="H65" s="38">
        <f ca="1">VLOOKUP($P65,FINEW!$I$30:$L$74,3,0)</f>
        <v>6.5788770680408968</v>
      </c>
      <c r="I65" s="38">
        <f t="shared" si="0"/>
        <v>6.5788770680408968</v>
      </c>
      <c r="J65" s="16"/>
      <c r="K65" s="16"/>
      <c r="L65" s="16"/>
      <c r="M65" s="16" t="s">
        <v>178</v>
      </c>
      <c r="N65" s="16"/>
      <c r="O65" s="16"/>
      <c r="P65" s="16" t="s">
        <v>9</v>
      </c>
      <c r="Q65" s="16"/>
      <c r="S65" t="s">
        <v>112</v>
      </c>
      <c r="T65" t="str">
        <f ca="1">VLOOKUP(P65,FINEW!$I$30:$L$63,2,0)</f>
        <v>LOIL</v>
      </c>
    </row>
    <row r="66" spans="2:20">
      <c r="B66" s="36" t="s">
        <v>107</v>
      </c>
      <c r="C66" s="16"/>
      <c r="D66" s="36" t="s">
        <v>18</v>
      </c>
      <c r="E66" s="36">
        <v>2010</v>
      </c>
      <c r="F66" s="36" t="s">
        <v>232</v>
      </c>
      <c r="G66" s="16"/>
      <c r="H66" s="38">
        <f ca="1">VLOOKUP($P66,FINEW!$I$30:$L$74,3,0)</f>
        <v>5.1208331869227459</v>
      </c>
      <c r="I66" s="38">
        <f t="shared" si="0"/>
        <v>5.1208331869227459</v>
      </c>
      <c r="J66" s="16"/>
      <c r="K66" s="16"/>
      <c r="L66" s="16"/>
      <c r="M66" s="16" t="s">
        <v>178</v>
      </c>
      <c r="N66" s="16"/>
      <c r="O66" s="16"/>
      <c r="P66" s="16" t="s">
        <v>10</v>
      </c>
      <c r="Q66" s="16"/>
      <c r="S66" t="s">
        <v>112</v>
      </c>
      <c r="T66" t="str">
        <f ca="1">VLOOKUP(P66,FINEW!$I$30:$L$63,2,0)</f>
        <v>OOIL</v>
      </c>
    </row>
    <row r="67" spans="2:20">
      <c r="B67" s="36" t="s">
        <v>107</v>
      </c>
      <c r="C67" s="16"/>
      <c r="D67" s="36" t="s">
        <v>18</v>
      </c>
      <c r="E67" s="36">
        <v>2010</v>
      </c>
      <c r="F67" s="36" t="s">
        <v>232</v>
      </c>
      <c r="G67" s="16"/>
      <c r="H67" s="38">
        <f ca="1">VLOOKUP($P67,FINEW!$I$30:$L$74,3,0)</f>
        <v>6.5788770680408968</v>
      </c>
      <c r="I67" s="38">
        <f t="shared" si="0"/>
        <v>6.5788770680408968</v>
      </c>
      <c r="J67" s="16"/>
      <c r="K67" s="16"/>
      <c r="L67" s="16"/>
      <c r="M67" s="16" t="s">
        <v>178</v>
      </c>
      <c r="N67" s="16"/>
      <c r="O67" s="16"/>
      <c r="P67" s="16" t="s">
        <v>35</v>
      </c>
      <c r="Q67" s="16"/>
      <c r="S67" t="s">
        <v>112</v>
      </c>
      <c r="T67" t="str">
        <f ca="1">VLOOKUP(P67,FINEW!$I$30:$L$63,2,0)</f>
        <v>LOIL</v>
      </c>
    </row>
    <row r="68" spans="2:20">
      <c r="B68" s="36" t="s">
        <v>107</v>
      </c>
      <c r="C68" s="16"/>
      <c r="D68" s="36" t="s">
        <v>18</v>
      </c>
      <c r="E68" s="36">
        <v>2010</v>
      </c>
      <c r="F68" s="36" t="s">
        <v>232</v>
      </c>
      <c r="G68" s="16"/>
      <c r="H68" s="38">
        <f ca="1">VLOOKUP($P68,FINEW!$I$30:$L$74,3,0)</f>
        <v>6.4010414836534322</v>
      </c>
      <c r="I68" s="38">
        <f t="shared" si="0"/>
        <v>6.4010414836534322</v>
      </c>
      <c r="J68" s="16"/>
      <c r="K68" s="16"/>
      <c r="L68" s="16"/>
      <c r="M68" s="16" t="s">
        <v>179</v>
      </c>
      <c r="N68" s="16"/>
      <c r="O68" s="16"/>
      <c r="P68" s="16" t="s">
        <v>11</v>
      </c>
      <c r="Q68" s="16"/>
      <c r="S68" t="s">
        <v>112</v>
      </c>
      <c r="T68" t="str">
        <f ca="1">VLOOKUP(P68,FINEW!$I$30:$L$63,2,0)</f>
        <v>HOIL</v>
      </c>
    </row>
    <row r="69" spans="2:20">
      <c r="B69" s="36" t="s">
        <v>107</v>
      </c>
      <c r="C69" s="16"/>
      <c r="D69" s="36" t="s">
        <v>18</v>
      </c>
      <c r="E69" s="36">
        <v>2010</v>
      </c>
      <c r="F69" s="36" t="s">
        <v>232</v>
      </c>
      <c r="G69" s="16"/>
      <c r="H69" s="38">
        <f ca="1">VLOOKUP($P69,FINEW!$I$30:$L$74,3,0)</f>
        <v>6.4010414836534322</v>
      </c>
      <c r="I69" s="38">
        <f t="shared" si="0"/>
        <v>6.4010414836534322</v>
      </c>
      <c r="J69" s="16"/>
      <c r="K69" s="16"/>
      <c r="L69" s="16"/>
      <c r="M69" s="16" t="s">
        <v>179</v>
      </c>
      <c r="N69" s="16"/>
      <c r="O69" s="16"/>
      <c r="P69" s="16" t="s">
        <v>8</v>
      </c>
      <c r="Q69" s="16"/>
      <c r="S69" t="s">
        <v>112</v>
      </c>
      <c r="T69" t="str">
        <f ca="1">VLOOKUP(P69,FINEW!$I$30:$L$63,2,0)</f>
        <v>HOIL</v>
      </c>
    </row>
    <row r="70" spans="2:20">
      <c r="B70" s="36" t="s">
        <v>107</v>
      </c>
      <c r="C70" s="16"/>
      <c r="D70" s="36" t="s">
        <v>18</v>
      </c>
      <c r="E70" s="36">
        <v>2010</v>
      </c>
      <c r="F70" s="36" t="s">
        <v>232</v>
      </c>
      <c r="G70" s="16"/>
      <c r="H70" s="38">
        <f ca="1">VLOOKUP($P70,FINEW!$I$30:$L$74,3,0)</f>
        <v>5.1208331869227459</v>
      </c>
      <c r="I70" s="38">
        <f t="shared" si="0"/>
        <v>5.1208331869227459</v>
      </c>
      <c r="J70" s="16"/>
      <c r="K70" s="16"/>
      <c r="L70" s="16"/>
      <c r="M70" s="16" t="s">
        <v>180</v>
      </c>
      <c r="N70" s="16"/>
      <c r="O70" s="16"/>
      <c r="P70" s="16" t="s">
        <v>36</v>
      </c>
      <c r="Q70" s="16"/>
      <c r="S70" t="s">
        <v>112</v>
      </c>
      <c r="T70" t="str">
        <f ca="1">VLOOKUP(P70,FINEW!$I$30:$L$63,2,0)</f>
        <v>OOIL</v>
      </c>
    </row>
    <row r="71" spans="2:20">
      <c r="B71" s="36" t="s">
        <v>107</v>
      </c>
      <c r="C71" s="16"/>
      <c r="D71" s="36" t="s">
        <v>18</v>
      </c>
      <c r="E71" s="36">
        <v>2010</v>
      </c>
      <c r="F71" s="36" t="s">
        <v>232</v>
      </c>
      <c r="G71" s="16"/>
      <c r="H71" s="38">
        <f ca="1">VLOOKUP($P71,FINEW!$I$30:$L$74,3,0)</f>
        <v>7.4930977074547576</v>
      </c>
      <c r="I71" s="38">
        <f t="shared" si="0"/>
        <v>7.4930977074547576</v>
      </c>
      <c r="J71" s="16"/>
      <c r="K71" s="16"/>
      <c r="L71" s="16"/>
      <c r="M71" s="16" t="s">
        <v>181</v>
      </c>
      <c r="N71" s="16"/>
      <c r="O71" s="16"/>
      <c r="P71" s="16" t="s">
        <v>7</v>
      </c>
      <c r="Q71" s="16"/>
      <c r="S71" t="s">
        <v>112</v>
      </c>
      <c r="T71" t="str">
        <f ca="1">VLOOKUP(P71,FINEW!$I$30:$L$63,2,0)</f>
        <v>COAL</v>
      </c>
    </row>
    <row r="72" spans="2:20">
      <c r="B72" s="36" t="s">
        <v>107</v>
      </c>
      <c r="C72" s="16"/>
      <c r="D72" s="36" t="s">
        <v>18</v>
      </c>
      <c r="E72" s="36">
        <v>2010</v>
      </c>
      <c r="F72" s="36" t="s">
        <v>232</v>
      </c>
      <c r="G72" s="16"/>
      <c r="H72" s="38">
        <f ca="1">VLOOKUP($P72,FINEW!$I$30:$L$74,3,0)</f>
        <v>0.79693082811752092</v>
      </c>
      <c r="I72" s="38">
        <f t="shared" si="0"/>
        <v>0.79693082811752092</v>
      </c>
      <c r="J72" s="16"/>
      <c r="K72" s="16"/>
      <c r="L72" s="16"/>
      <c r="M72" s="16" t="s">
        <v>181</v>
      </c>
      <c r="N72" s="16"/>
      <c r="O72" s="16"/>
      <c r="P72" s="16" t="s">
        <v>39</v>
      </c>
      <c r="Q72" s="16"/>
      <c r="S72" t="s">
        <v>112</v>
      </c>
      <c r="T72" t="str">
        <f ca="1">VLOOKUP(P72,FINEW!$I$30:$L$63,2,0)</f>
        <v>PEAT</v>
      </c>
    </row>
    <row r="73" spans="2:20">
      <c r="B73" s="36" t="s">
        <v>107</v>
      </c>
      <c r="C73" s="16"/>
      <c r="D73" s="36" t="s">
        <v>18</v>
      </c>
      <c r="E73" s="36">
        <v>2010</v>
      </c>
      <c r="F73" s="36" t="s">
        <v>232</v>
      </c>
      <c r="G73" s="16"/>
      <c r="H73" s="38">
        <f ca="1">VLOOKUP($P73,FINEW!$I$30:$L$74,3,0)</f>
        <v>7.4930977074547576</v>
      </c>
      <c r="I73" s="38">
        <f t="shared" si="0"/>
        <v>7.4930977074547576</v>
      </c>
      <c r="J73" s="16"/>
      <c r="K73" s="16"/>
      <c r="L73" s="16"/>
      <c r="M73" s="16" t="s">
        <v>181</v>
      </c>
      <c r="N73" s="16"/>
      <c r="O73" s="16"/>
      <c r="P73" s="16" t="s">
        <v>38</v>
      </c>
      <c r="Q73" s="16"/>
      <c r="S73" t="s">
        <v>112</v>
      </c>
      <c r="T73" t="str">
        <f ca="1">VLOOKUP(P73,FINEW!$I$30:$L$63,2,0)</f>
        <v>COAL</v>
      </c>
    </row>
    <row r="74" spans="2:20">
      <c r="B74" s="36" t="s">
        <v>107</v>
      </c>
      <c r="C74" s="16"/>
      <c r="D74" s="36" t="s">
        <v>18</v>
      </c>
      <c r="E74" s="36">
        <v>2010</v>
      </c>
      <c r="F74" s="36" t="s">
        <v>232</v>
      </c>
      <c r="G74" s="16"/>
      <c r="H74" s="38">
        <f ca="1">VLOOKUP($P74,FINEW!$I$30:$L$74,3,0)</f>
        <v>5.1208331869227459</v>
      </c>
      <c r="I74" s="38">
        <f t="shared" si="0"/>
        <v>5.1208331869227459</v>
      </c>
      <c r="J74" s="16"/>
      <c r="K74" s="16"/>
      <c r="L74" s="16"/>
      <c r="M74" s="16" t="s">
        <v>182</v>
      </c>
      <c r="N74" s="16"/>
      <c r="O74" s="16"/>
      <c r="P74" s="16" t="s">
        <v>37</v>
      </c>
      <c r="Q74" s="16"/>
      <c r="S74" t="s">
        <v>112</v>
      </c>
      <c r="T74" t="str">
        <f ca="1">VLOOKUP(P74,FINEW!$I$30:$L$63,2,0)</f>
        <v>OOIL</v>
      </c>
    </row>
    <row r="75" spans="2:20">
      <c r="B75" s="36" t="s">
        <v>107</v>
      </c>
      <c r="C75" s="16"/>
      <c r="D75" s="36" t="s">
        <v>18</v>
      </c>
      <c r="E75" s="36">
        <v>2010</v>
      </c>
      <c r="F75" s="36" t="s">
        <v>232</v>
      </c>
      <c r="G75" s="16"/>
      <c r="H75" s="38">
        <f ca="1">VLOOKUP($P75,FINEW!$I$30:$L$74,3,0)</f>
        <v>5.486603107979759</v>
      </c>
      <c r="I75" s="38">
        <f t="shared" si="0"/>
        <v>5.486603107979759</v>
      </c>
      <c r="J75" s="16"/>
      <c r="K75" s="16"/>
      <c r="L75" s="16"/>
      <c r="M75" s="16" t="s">
        <v>183</v>
      </c>
      <c r="N75" s="16"/>
      <c r="O75" s="16"/>
      <c r="P75" s="16" t="s">
        <v>34</v>
      </c>
      <c r="Q75" s="16"/>
      <c r="S75" t="s">
        <v>112</v>
      </c>
      <c r="T75" t="str">
        <f ca="1">VLOOKUP(P75,FINEW!$I$30:$L$63,2,0)</f>
        <v>NGAS</v>
      </c>
    </row>
    <row r="76" spans="2:20">
      <c r="B76" s="36" t="s">
        <v>107</v>
      </c>
      <c r="C76" s="16"/>
      <c r="D76" s="36" t="s">
        <v>18</v>
      </c>
      <c r="E76" s="36">
        <v>2010</v>
      </c>
      <c r="F76" s="36" t="s">
        <v>232</v>
      </c>
      <c r="G76" s="16"/>
      <c r="H76" s="38">
        <f ca="1">VLOOKUP($P76,FINEW!$I$30:$L$74,3,0)</f>
        <v>6.5788770680408968</v>
      </c>
      <c r="I76" s="38">
        <f t="shared" ref="I76:I128" si="1">IF(H76,H76,"")</f>
        <v>6.5788770680408968</v>
      </c>
      <c r="J76" s="16"/>
      <c r="K76" s="16"/>
      <c r="L76" s="16"/>
      <c r="M76" s="16" t="s">
        <v>184</v>
      </c>
      <c r="N76" s="16"/>
      <c r="O76" s="16"/>
      <c r="P76" s="16" t="s">
        <v>9</v>
      </c>
      <c r="Q76" s="16"/>
      <c r="S76" t="s">
        <v>112</v>
      </c>
      <c r="T76" t="str">
        <f ca="1">VLOOKUP(P76,FINEW!$I$30:$L$63,2,0)</f>
        <v>LOIL</v>
      </c>
    </row>
    <row r="77" spans="2:20">
      <c r="B77" s="36" t="s">
        <v>107</v>
      </c>
      <c r="C77" s="16"/>
      <c r="D77" s="36" t="s">
        <v>18</v>
      </c>
      <c r="E77" s="36">
        <v>2010</v>
      </c>
      <c r="F77" s="36" t="s">
        <v>232</v>
      </c>
      <c r="G77" s="16"/>
      <c r="H77" s="38">
        <f ca="1">VLOOKUP($P77,FINEW!$I$30:$L$74,3,0)</f>
        <v>2.1101060692510591</v>
      </c>
      <c r="I77" s="38">
        <f t="shared" si="1"/>
        <v>2.1101060692510591</v>
      </c>
      <c r="J77" s="16"/>
      <c r="K77" s="16"/>
      <c r="L77" s="16"/>
      <c r="M77" s="16" t="s">
        <v>184</v>
      </c>
      <c r="N77" s="16"/>
      <c r="O77" s="16"/>
      <c r="P77" s="16" t="s">
        <v>118</v>
      </c>
      <c r="Q77" s="16"/>
      <c r="S77" t="s">
        <v>112</v>
      </c>
      <c r="T77" t="str">
        <f ca="1">VLOOKUP(P77,FINEW!$I$30:$L$63,2,0)</f>
        <v>BOIL</v>
      </c>
    </row>
    <row r="78" spans="2:20">
      <c r="B78" s="36" t="s">
        <v>107</v>
      </c>
      <c r="C78" s="16"/>
      <c r="D78" s="36" t="s">
        <v>18</v>
      </c>
      <c r="E78" s="36">
        <v>2010</v>
      </c>
      <c r="F78" s="36" t="s">
        <v>232</v>
      </c>
      <c r="G78" s="16"/>
      <c r="H78" s="38">
        <f ca="1">H77</f>
        <v>2.1101060692510591</v>
      </c>
      <c r="I78" s="38">
        <f>I77</f>
        <v>2.1101060692510591</v>
      </c>
      <c r="J78" s="16"/>
      <c r="K78" s="16"/>
      <c r="L78" s="16"/>
      <c r="M78" s="16" t="s">
        <v>245</v>
      </c>
      <c r="N78" s="16"/>
      <c r="O78" s="16"/>
      <c r="P78" s="16" t="s">
        <v>243</v>
      </c>
      <c r="Q78" s="16"/>
      <c r="S78" t="s">
        <v>112</v>
      </c>
      <c r="T78" t="str">
        <f ca="1">T77</f>
        <v>BOIL</v>
      </c>
    </row>
    <row r="79" spans="2:20">
      <c r="B79" s="36" t="s">
        <v>107</v>
      </c>
      <c r="C79" s="16"/>
      <c r="D79" s="36" t="s">
        <v>18</v>
      </c>
      <c r="E79" s="36">
        <v>2010</v>
      </c>
      <c r="F79" s="36" t="s">
        <v>232</v>
      </c>
      <c r="G79" s="16"/>
      <c r="H79" s="38">
        <f ca="1">VLOOKUP($P79,FINEW!$I$30:$L$74,3,0)</f>
        <v>5.1208331869227459</v>
      </c>
      <c r="I79" s="38">
        <f t="shared" si="1"/>
        <v>5.1208331869227459</v>
      </c>
      <c r="J79" s="16"/>
      <c r="K79" s="16"/>
      <c r="L79" s="16"/>
      <c r="M79" s="16" t="s">
        <v>185</v>
      </c>
      <c r="N79" s="16"/>
      <c r="O79" s="16"/>
      <c r="P79" s="16" t="s">
        <v>36</v>
      </c>
      <c r="Q79" s="16"/>
      <c r="S79" t="s">
        <v>112</v>
      </c>
      <c r="T79" t="str">
        <f ca="1">VLOOKUP(P79,FINEW!$I$30:$L$63,2,0)</f>
        <v>OOIL</v>
      </c>
    </row>
    <row r="80" spans="2:20">
      <c r="B80" s="36" t="s">
        <v>107</v>
      </c>
      <c r="C80" s="16"/>
      <c r="D80" s="36" t="s">
        <v>18</v>
      </c>
      <c r="E80" s="36">
        <v>2010</v>
      </c>
      <c r="F80" s="36" t="s">
        <v>232</v>
      </c>
      <c r="G80" s="16"/>
      <c r="H80" s="38">
        <f ca="1">VLOOKUP($P80,FINEW!$I$30:$L$74,3,0)</f>
        <v>7.4930977074547576</v>
      </c>
      <c r="I80" s="38">
        <f t="shared" si="1"/>
        <v>7.4930977074547576</v>
      </c>
      <c r="J80" s="16"/>
      <c r="K80" s="16"/>
      <c r="L80" s="16"/>
      <c r="M80" s="16" t="s">
        <v>186</v>
      </c>
      <c r="N80" s="16"/>
      <c r="O80" s="16"/>
      <c r="P80" s="16" t="s">
        <v>7</v>
      </c>
      <c r="Q80" s="16"/>
      <c r="S80" t="s">
        <v>112</v>
      </c>
      <c r="T80" t="str">
        <f ca="1">VLOOKUP(P80,FINEW!$I$30:$L$63,2,0)</f>
        <v>COAL</v>
      </c>
    </row>
    <row r="81" spans="2:20">
      <c r="B81" s="36" t="s">
        <v>107</v>
      </c>
      <c r="C81" s="16"/>
      <c r="D81" s="36" t="s">
        <v>18</v>
      </c>
      <c r="E81" s="36">
        <v>2010</v>
      </c>
      <c r="F81" s="36" t="s">
        <v>232</v>
      </c>
      <c r="G81" s="16"/>
      <c r="H81" s="38">
        <f ca="1">VLOOKUP($P81,FINEW!$I$30:$L$74,3,0)</f>
        <v>0.79693082811752092</v>
      </c>
      <c r="I81" s="38">
        <f t="shared" si="1"/>
        <v>0.79693082811752092</v>
      </c>
      <c r="J81" s="16"/>
      <c r="K81" s="16"/>
      <c r="L81" s="16"/>
      <c r="M81" s="16" t="s">
        <v>186</v>
      </c>
      <c r="N81" s="16"/>
      <c r="O81" s="16"/>
      <c r="P81" s="16" t="s">
        <v>39</v>
      </c>
      <c r="Q81" s="16"/>
      <c r="S81" t="s">
        <v>112</v>
      </c>
      <c r="T81" t="str">
        <f ca="1">VLOOKUP(P81,FINEW!$I$30:$L$63,2,0)</f>
        <v>PEAT</v>
      </c>
    </row>
    <row r="82" spans="2:20">
      <c r="B82" s="36" t="s">
        <v>107</v>
      </c>
      <c r="C82" s="16"/>
      <c r="D82" s="36" t="s">
        <v>18</v>
      </c>
      <c r="E82" s="36">
        <v>2010</v>
      </c>
      <c r="F82" s="36" t="s">
        <v>232</v>
      </c>
      <c r="G82" s="16"/>
      <c r="H82" s="38">
        <f ca="1">VLOOKUP($P82,FINEW!$I$30:$L$74,3,0)</f>
        <v>7.4930977074547576</v>
      </c>
      <c r="I82" s="38">
        <f t="shared" si="1"/>
        <v>7.4930977074547576</v>
      </c>
      <c r="J82" s="16"/>
      <c r="K82" s="16"/>
      <c r="L82" s="16"/>
      <c r="M82" s="16" t="s">
        <v>186</v>
      </c>
      <c r="N82" s="16"/>
      <c r="O82" s="16"/>
      <c r="P82" s="16" t="s">
        <v>38</v>
      </c>
      <c r="Q82" s="16"/>
      <c r="S82" t="s">
        <v>112</v>
      </c>
      <c r="T82" t="str">
        <f ca="1">VLOOKUP(P82,FINEW!$I$30:$L$63,2,0)</f>
        <v>COAL</v>
      </c>
    </row>
    <row r="83" spans="2:20">
      <c r="B83" s="36" t="s">
        <v>107</v>
      </c>
      <c r="C83" s="16"/>
      <c r="D83" s="36" t="s">
        <v>18</v>
      </c>
      <c r="E83" s="36">
        <v>2010</v>
      </c>
      <c r="F83" s="36" t="s">
        <v>232</v>
      </c>
      <c r="G83" s="16"/>
      <c r="H83" s="38">
        <f ca="1">VLOOKUP($P83,FINEW!$I$30:$L$74,3,0)</f>
        <v>5.1208331869227459</v>
      </c>
      <c r="I83" s="38">
        <f t="shared" si="1"/>
        <v>5.1208331869227459</v>
      </c>
      <c r="J83" s="16"/>
      <c r="K83" s="16"/>
      <c r="L83" s="16"/>
      <c r="M83" s="16" t="s">
        <v>187</v>
      </c>
      <c r="N83" s="16"/>
      <c r="O83" s="16"/>
      <c r="P83" s="16" t="s">
        <v>37</v>
      </c>
      <c r="Q83" s="16"/>
      <c r="S83" t="s">
        <v>112</v>
      </c>
      <c r="T83" t="str">
        <f ca="1">VLOOKUP(P83,FINEW!$I$30:$L$63,2,0)</f>
        <v>OOIL</v>
      </c>
    </row>
    <row r="84" spans="2:20">
      <c r="B84" s="16"/>
      <c r="C84" s="16"/>
      <c r="D84" s="16" t="s">
        <v>32</v>
      </c>
      <c r="E84" s="16"/>
      <c r="F84" s="36"/>
      <c r="G84" s="16"/>
      <c r="H84" s="16"/>
      <c r="I84" s="16" t="str">
        <f t="shared" si="1"/>
        <v/>
      </c>
      <c r="J84" s="16"/>
      <c r="K84" s="16"/>
      <c r="L84" s="16"/>
      <c r="M84" s="16"/>
      <c r="N84" s="16"/>
      <c r="O84" s="16"/>
      <c r="P84" s="16"/>
      <c r="Q84" s="16"/>
    </row>
    <row r="85" spans="2:20">
      <c r="B85" s="36" t="s">
        <v>107</v>
      </c>
      <c r="C85" s="16"/>
      <c r="D85" s="36" t="s">
        <v>18</v>
      </c>
      <c r="E85" s="36">
        <v>2010</v>
      </c>
      <c r="F85" s="36" t="s">
        <v>232</v>
      </c>
      <c r="G85" s="16"/>
      <c r="H85" s="38">
        <f ca="1">VLOOKUP($P85,FINEW!$I$30:$L$74,3,0)</f>
        <v>5.486603107979759</v>
      </c>
      <c r="I85" s="38">
        <f t="shared" si="1"/>
        <v>5.486603107979759</v>
      </c>
      <c r="J85" s="16"/>
      <c r="K85" s="16"/>
      <c r="L85" s="16"/>
      <c r="M85" s="16" t="s">
        <v>188</v>
      </c>
      <c r="N85" s="16"/>
      <c r="O85" s="16"/>
      <c r="P85" s="16" t="s">
        <v>34</v>
      </c>
      <c r="Q85" s="16"/>
      <c r="S85" t="s">
        <v>112</v>
      </c>
      <c r="T85" t="str">
        <f ca="1">VLOOKUP(P85,FINEW!$I$30:$L$63,2,0)</f>
        <v>NGAS</v>
      </c>
    </row>
    <row r="86" spans="2:20">
      <c r="B86" s="36" t="s">
        <v>107</v>
      </c>
      <c r="C86" s="16"/>
      <c r="D86" s="36" t="s">
        <v>18</v>
      </c>
      <c r="E86" s="36">
        <v>2010</v>
      </c>
      <c r="F86" s="36" t="s">
        <v>232</v>
      </c>
      <c r="G86" s="16"/>
      <c r="H86" s="38">
        <f ca="1">VLOOKUP($P86,FINEW!$I$30:$L$74,3,0)</f>
        <v>6.5788770680408968</v>
      </c>
      <c r="I86" s="38">
        <f t="shared" si="1"/>
        <v>6.5788770680408968</v>
      </c>
      <c r="J86" s="16"/>
      <c r="K86" s="16"/>
      <c r="L86" s="16"/>
      <c r="M86" s="16" t="s">
        <v>189</v>
      </c>
      <c r="N86" s="16"/>
      <c r="O86" s="16"/>
      <c r="P86" s="16" t="s">
        <v>9</v>
      </c>
      <c r="Q86" s="16"/>
      <c r="S86" t="s">
        <v>112</v>
      </c>
      <c r="T86" t="str">
        <f ca="1">VLOOKUP(P86,FINEW!$I$30:$L$63,2,0)</f>
        <v>LOIL</v>
      </c>
    </row>
    <row r="87" spans="2:20">
      <c r="B87" s="36" t="s">
        <v>107</v>
      </c>
      <c r="C87" s="16"/>
      <c r="D87" s="36" t="s">
        <v>18</v>
      </c>
      <c r="E87" s="36">
        <v>2010</v>
      </c>
      <c r="F87" s="36" t="s">
        <v>232</v>
      </c>
      <c r="G87" s="16"/>
      <c r="H87" s="38">
        <f ca="1">VLOOKUP($P87,FINEW!$I$30:$L$74,3,0)</f>
        <v>5.1208331869227459</v>
      </c>
      <c r="I87" s="38">
        <f t="shared" si="1"/>
        <v>5.1208331869227459</v>
      </c>
      <c r="J87" s="16"/>
      <c r="K87" s="16"/>
      <c r="L87" s="16"/>
      <c r="M87" s="16" t="s">
        <v>189</v>
      </c>
      <c r="N87" s="16"/>
      <c r="O87" s="16"/>
      <c r="P87" s="16" t="s">
        <v>10</v>
      </c>
      <c r="Q87" s="16"/>
      <c r="S87" t="s">
        <v>112</v>
      </c>
      <c r="T87" t="str">
        <f ca="1">VLOOKUP(P87,FINEW!$I$30:$L$63,2,0)</f>
        <v>OOIL</v>
      </c>
    </row>
    <row r="88" spans="2:20">
      <c r="B88" s="36" t="s">
        <v>107</v>
      </c>
      <c r="C88" s="16"/>
      <c r="D88" s="36" t="s">
        <v>18</v>
      </c>
      <c r="E88" s="36">
        <v>2010</v>
      </c>
      <c r="F88" s="36" t="s">
        <v>232</v>
      </c>
      <c r="G88" s="16"/>
      <c r="H88" s="38">
        <f ca="1">VLOOKUP($P88,FINEW!$I$30:$L$74,3,0)</f>
        <v>6.5788770680408968</v>
      </c>
      <c r="I88" s="38">
        <f t="shared" si="1"/>
        <v>6.5788770680408968</v>
      </c>
      <c r="J88" s="16"/>
      <c r="K88" s="16"/>
      <c r="L88" s="16"/>
      <c r="M88" s="16" t="s">
        <v>189</v>
      </c>
      <c r="N88" s="16"/>
      <c r="O88" s="16"/>
      <c r="P88" s="16" t="s">
        <v>35</v>
      </c>
      <c r="Q88" s="16"/>
      <c r="S88" t="s">
        <v>112</v>
      </c>
      <c r="T88" t="str">
        <f ca="1">VLOOKUP(P88,FINEW!$I$30:$L$63,2,0)</f>
        <v>LOIL</v>
      </c>
    </row>
    <row r="89" spans="2:20">
      <c r="B89" s="36" t="s">
        <v>107</v>
      </c>
      <c r="C89" s="16"/>
      <c r="D89" s="36" t="s">
        <v>18</v>
      </c>
      <c r="E89" s="36">
        <v>2010</v>
      </c>
      <c r="F89" s="36" t="s">
        <v>232</v>
      </c>
      <c r="G89" s="16"/>
      <c r="H89" s="38">
        <f ca="1">VLOOKUP($P89,FINEW!$I$30:$L$74,3,0)</f>
        <v>6.4010414836534322</v>
      </c>
      <c r="I89" s="38">
        <f t="shared" si="1"/>
        <v>6.4010414836534322</v>
      </c>
      <c r="J89" s="16"/>
      <c r="K89" s="16"/>
      <c r="L89" s="16"/>
      <c r="M89" s="16" t="s">
        <v>190</v>
      </c>
      <c r="N89" s="16"/>
      <c r="O89" s="16"/>
      <c r="P89" s="16" t="s">
        <v>11</v>
      </c>
      <c r="Q89" s="16"/>
      <c r="S89" t="s">
        <v>112</v>
      </c>
      <c r="T89" t="str">
        <f ca="1">VLOOKUP(P89,FINEW!$I$30:$L$63,2,0)</f>
        <v>HOIL</v>
      </c>
    </row>
    <row r="90" spans="2:20">
      <c r="B90" s="36" t="s">
        <v>107</v>
      </c>
      <c r="C90" s="16"/>
      <c r="D90" s="36" t="s">
        <v>18</v>
      </c>
      <c r="E90" s="36">
        <v>2010</v>
      </c>
      <c r="F90" s="36" t="s">
        <v>232</v>
      </c>
      <c r="G90" s="16"/>
      <c r="H90" s="38">
        <f ca="1">VLOOKUP($P90,FINEW!$I$30:$L$74,3,0)</f>
        <v>6.4010414836534322</v>
      </c>
      <c r="I90" s="38">
        <f t="shared" si="1"/>
        <v>6.4010414836534322</v>
      </c>
      <c r="J90" s="16"/>
      <c r="K90" s="16"/>
      <c r="L90" s="16"/>
      <c r="M90" s="16" t="s">
        <v>190</v>
      </c>
      <c r="N90" s="16"/>
      <c r="O90" s="16"/>
      <c r="P90" s="16" t="s">
        <v>8</v>
      </c>
      <c r="Q90" s="16"/>
      <c r="S90" t="s">
        <v>112</v>
      </c>
      <c r="T90" t="str">
        <f ca="1">VLOOKUP(P90,FINEW!$I$30:$L$63,2,0)</f>
        <v>HOIL</v>
      </c>
    </row>
    <row r="91" spans="2:20">
      <c r="B91" s="36" t="s">
        <v>107</v>
      </c>
      <c r="C91" s="16"/>
      <c r="D91" s="36" t="s">
        <v>18</v>
      </c>
      <c r="E91" s="36">
        <v>2010</v>
      </c>
      <c r="F91" s="36" t="s">
        <v>232</v>
      </c>
      <c r="G91" s="16"/>
      <c r="H91" s="38">
        <f ca="1">VLOOKUP($P91,FINEW!$I$30:$L$74,3,0)</f>
        <v>5.1208331869227459</v>
      </c>
      <c r="I91" s="38">
        <f t="shared" si="1"/>
        <v>5.1208331869227459</v>
      </c>
      <c r="J91" s="16"/>
      <c r="K91" s="16"/>
      <c r="L91" s="16"/>
      <c r="M91" s="16" t="s">
        <v>191</v>
      </c>
      <c r="N91" s="16"/>
      <c r="O91" s="16"/>
      <c r="P91" s="16" t="s">
        <v>36</v>
      </c>
      <c r="Q91" s="16"/>
      <c r="S91" t="s">
        <v>112</v>
      </c>
      <c r="T91" t="str">
        <f ca="1">VLOOKUP(P91,FINEW!$I$30:$L$63,2,0)</f>
        <v>OOIL</v>
      </c>
    </row>
    <row r="92" spans="2:20">
      <c r="B92" s="36" t="s">
        <v>107</v>
      </c>
      <c r="C92" s="16"/>
      <c r="D92" s="36" t="s">
        <v>18</v>
      </c>
      <c r="E92" s="36">
        <v>2010</v>
      </c>
      <c r="F92" s="36" t="s">
        <v>232</v>
      </c>
      <c r="G92" s="16"/>
      <c r="H92" s="38">
        <f ca="1">VLOOKUP($P92,FINEW!$I$30:$L$74,3,0)</f>
        <v>7.4930977074547576</v>
      </c>
      <c r="I92" s="38">
        <f t="shared" si="1"/>
        <v>7.4930977074547576</v>
      </c>
      <c r="J92" s="16"/>
      <c r="K92" s="16"/>
      <c r="L92" s="16"/>
      <c r="M92" s="16" t="s">
        <v>192</v>
      </c>
      <c r="N92" s="16"/>
      <c r="O92" s="16"/>
      <c r="P92" s="16" t="s">
        <v>7</v>
      </c>
      <c r="Q92" s="16"/>
      <c r="S92" t="s">
        <v>112</v>
      </c>
      <c r="T92" t="str">
        <f ca="1">VLOOKUP(P92,FINEW!$I$30:$L$63,2,0)</f>
        <v>COAL</v>
      </c>
    </row>
    <row r="93" spans="2:20">
      <c r="B93" s="36" t="s">
        <v>107</v>
      </c>
      <c r="C93" s="16"/>
      <c r="D93" s="36" t="s">
        <v>18</v>
      </c>
      <c r="E93" s="36">
        <v>2010</v>
      </c>
      <c r="F93" s="36" t="s">
        <v>232</v>
      </c>
      <c r="G93" s="16"/>
      <c r="H93" s="38">
        <f ca="1">VLOOKUP($P93,FINEW!$I$30:$L$74,3,0)</f>
        <v>0.79693082811752092</v>
      </c>
      <c r="I93" s="38">
        <f t="shared" si="1"/>
        <v>0.79693082811752092</v>
      </c>
      <c r="J93" s="16"/>
      <c r="K93" s="16"/>
      <c r="L93" s="16"/>
      <c r="M93" s="16" t="s">
        <v>192</v>
      </c>
      <c r="N93" s="16"/>
      <c r="O93" s="16"/>
      <c r="P93" s="16" t="s">
        <v>39</v>
      </c>
      <c r="Q93" s="16"/>
      <c r="S93" t="s">
        <v>112</v>
      </c>
      <c r="T93" t="str">
        <f ca="1">VLOOKUP(P93,FINEW!$I$30:$L$63,2,0)</f>
        <v>PEAT</v>
      </c>
    </row>
    <row r="94" spans="2:20">
      <c r="B94" s="36" t="s">
        <v>107</v>
      </c>
      <c r="C94" s="16"/>
      <c r="D94" s="36" t="s">
        <v>18</v>
      </c>
      <c r="E94" s="36">
        <v>2010</v>
      </c>
      <c r="F94" s="36" t="s">
        <v>232</v>
      </c>
      <c r="G94" s="16"/>
      <c r="H94" s="38">
        <f ca="1">VLOOKUP($P94,FINEW!$I$30:$L$74,3,0)</f>
        <v>7.4930977074547576</v>
      </c>
      <c r="I94" s="38">
        <f t="shared" si="1"/>
        <v>7.4930977074547576</v>
      </c>
      <c r="J94" s="16"/>
      <c r="K94" s="16"/>
      <c r="L94" s="16"/>
      <c r="M94" s="16" t="s">
        <v>192</v>
      </c>
      <c r="N94" s="16"/>
      <c r="O94" s="16"/>
      <c r="P94" s="16" t="s">
        <v>38</v>
      </c>
      <c r="Q94" s="16"/>
      <c r="S94" t="s">
        <v>112</v>
      </c>
      <c r="T94" t="str">
        <f ca="1">VLOOKUP(P94,FINEW!$I$30:$L$63,2,0)</f>
        <v>COAL</v>
      </c>
    </row>
    <row r="95" spans="2:20">
      <c r="B95" s="36" t="s">
        <v>107</v>
      </c>
      <c r="C95" s="16"/>
      <c r="D95" s="36" t="s">
        <v>18</v>
      </c>
      <c r="E95" s="36">
        <v>2010</v>
      </c>
      <c r="F95" s="36" t="s">
        <v>232</v>
      </c>
      <c r="G95" s="16"/>
      <c r="H95" s="38">
        <f ca="1">VLOOKUP($P95,FINEW!$I$30:$L$74,3,0)</f>
        <v>5.1208331869227459</v>
      </c>
      <c r="I95" s="38">
        <f t="shared" si="1"/>
        <v>5.1208331869227459</v>
      </c>
      <c r="J95" s="16"/>
      <c r="K95" s="16"/>
      <c r="L95" s="16"/>
      <c r="M95" s="16" t="s">
        <v>193</v>
      </c>
      <c r="N95" s="16"/>
      <c r="O95" s="16"/>
      <c r="P95" s="16" t="s">
        <v>37</v>
      </c>
      <c r="Q95" s="16"/>
      <c r="S95" t="s">
        <v>112</v>
      </c>
      <c r="T95" t="str">
        <f ca="1">VLOOKUP(P95,FINEW!$I$30:$L$63,2,0)</f>
        <v>OOIL</v>
      </c>
    </row>
    <row r="96" spans="2:20">
      <c r="B96" s="36" t="s">
        <v>107</v>
      </c>
      <c r="C96" s="16"/>
      <c r="D96" s="36" t="s">
        <v>18</v>
      </c>
      <c r="E96" s="36">
        <v>2010</v>
      </c>
      <c r="F96" s="36" t="s">
        <v>232</v>
      </c>
      <c r="G96" s="16"/>
      <c r="H96" s="38">
        <f ca="1">VLOOKUP($P96,FINEW!$I$30:$L$74,3,0)</f>
        <v>5.486603107979759</v>
      </c>
      <c r="I96" s="38">
        <f t="shared" si="1"/>
        <v>5.486603107979759</v>
      </c>
      <c r="J96" s="16"/>
      <c r="K96" s="16"/>
      <c r="L96" s="16"/>
      <c r="M96" s="16" t="s">
        <v>194</v>
      </c>
      <c r="N96" s="16"/>
      <c r="O96" s="16"/>
      <c r="P96" s="16" t="s">
        <v>34</v>
      </c>
      <c r="Q96" s="16"/>
      <c r="S96" t="s">
        <v>112</v>
      </c>
      <c r="T96" t="str">
        <f ca="1">VLOOKUP(P96,FINEW!$I$30:$L$63,2,0)</f>
        <v>NGAS</v>
      </c>
    </row>
    <row r="97" spans="2:20">
      <c r="B97" s="36" t="s">
        <v>107</v>
      </c>
      <c r="C97" s="16"/>
      <c r="D97" s="36" t="s">
        <v>18</v>
      </c>
      <c r="E97" s="36">
        <v>2010</v>
      </c>
      <c r="F97" s="36" t="s">
        <v>232</v>
      </c>
      <c r="G97" s="16"/>
      <c r="H97" s="38">
        <f ca="1">VLOOKUP($P97,FINEW!$I$30:$L$74,3,0)</f>
        <v>6.5788770680408968</v>
      </c>
      <c r="I97" s="38">
        <f t="shared" si="1"/>
        <v>6.5788770680408968</v>
      </c>
      <c r="J97" s="16"/>
      <c r="K97" s="16"/>
      <c r="L97" s="16"/>
      <c r="M97" s="16" t="s">
        <v>195</v>
      </c>
      <c r="N97" s="16"/>
      <c r="O97" s="16"/>
      <c r="P97" s="16" t="s">
        <v>9</v>
      </c>
      <c r="Q97" s="16"/>
      <c r="S97" t="s">
        <v>112</v>
      </c>
      <c r="T97" t="str">
        <f ca="1">VLOOKUP(P97,FINEW!$I$30:$L$63,2,0)</f>
        <v>LOIL</v>
      </c>
    </row>
    <row r="98" spans="2:20">
      <c r="B98" s="36" t="s">
        <v>107</v>
      </c>
      <c r="C98" s="16"/>
      <c r="D98" s="36" t="s">
        <v>18</v>
      </c>
      <c r="E98" s="36">
        <v>2010</v>
      </c>
      <c r="F98" s="36" t="s">
        <v>232</v>
      </c>
      <c r="G98" s="16"/>
      <c r="H98" s="38">
        <f ca="1">VLOOKUP($P98,FINEW!$I$30:$L$74,3,0)</f>
        <v>2.1101060692510591</v>
      </c>
      <c r="I98" s="38">
        <f t="shared" si="1"/>
        <v>2.1101060692510591</v>
      </c>
      <c r="J98" s="16"/>
      <c r="K98" s="16"/>
      <c r="L98" s="16"/>
      <c r="M98" s="16" t="s">
        <v>195</v>
      </c>
      <c r="N98" s="16"/>
      <c r="O98" s="16"/>
      <c r="P98" s="16" t="s">
        <v>118</v>
      </c>
      <c r="Q98" s="16"/>
      <c r="S98" t="s">
        <v>112</v>
      </c>
      <c r="T98" t="str">
        <f ca="1">VLOOKUP(P98,FINEW!$I$30:$L$63,2,0)</f>
        <v>BOIL</v>
      </c>
    </row>
    <row r="99" spans="2:20">
      <c r="B99" s="36" t="s">
        <v>107</v>
      </c>
      <c r="C99" s="16"/>
      <c r="D99" s="36" t="s">
        <v>18</v>
      </c>
      <c r="E99" s="36">
        <v>2010</v>
      </c>
      <c r="F99" s="36" t="s">
        <v>232</v>
      </c>
      <c r="G99" s="16"/>
      <c r="H99" s="38">
        <f ca="1">H98</f>
        <v>2.1101060692510591</v>
      </c>
      <c r="I99" s="38">
        <f>I98</f>
        <v>2.1101060692510591</v>
      </c>
      <c r="J99" s="16"/>
      <c r="K99" s="16"/>
      <c r="L99" s="16"/>
      <c r="M99" s="16" t="s">
        <v>244</v>
      </c>
      <c r="N99" s="16"/>
      <c r="O99" s="16"/>
      <c r="P99" s="16" t="s">
        <v>243</v>
      </c>
      <c r="Q99" s="16"/>
      <c r="S99" t="s">
        <v>112</v>
      </c>
      <c r="T99" t="str">
        <f ca="1">T98</f>
        <v>BOIL</v>
      </c>
    </row>
    <row r="100" spans="2:20">
      <c r="B100" s="36" t="s">
        <v>107</v>
      </c>
      <c r="C100" s="16"/>
      <c r="D100" s="36" t="s">
        <v>18</v>
      </c>
      <c r="E100" s="36">
        <v>2010</v>
      </c>
      <c r="F100" s="36" t="s">
        <v>232</v>
      </c>
      <c r="G100" s="16"/>
      <c r="H100" s="38">
        <f ca="1">VLOOKUP($P100,FINEW!$I$30:$L$74,3,0)</f>
        <v>5.1208331869227459</v>
      </c>
      <c r="I100" s="38">
        <f t="shared" si="1"/>
        <v>5.1208331869227459</v>
      </c>
      <c r="J100" s="16"/>
      <c r="K100" s="16"/>
      <c r="L100" s="16"/>
      <c r="M100" s="16" t="s">
        <v>196</v>
      </c>
      <c r="N100" s="16"/>
      <c r="O100" s="16"/>
      <c r="P100" s="16" t="s">
        <v>36</v>
      </c>
      <c r="Q100" s="16"/>
      <c r="S100" t="s">
        <v>112</v>
      </c>
      <c r="T100" t="str">
        <f ca="1">VLOOKUP(P100,FINEW!$I$30:$L$63,2,0)</f>
        <v>OOIL</v>
      </c>
    </row>
    <row r="101" spans="2:20">
      <c r="B101" s="36" t="s">
        <v>107</v>
      </c>
      <c r="C101" s="16"/>
      <c r="D101" s="36" t="s">
        <v>18</v>
      </c>
      <c r="E101" s="36">
        <v>2010</v>
      </c>
      <c r="F101" s="36" t="s">
        <v>232</v>
      </c>
      <c r="G101" s="16"/>
      <c r="H101" s="38">
        <f ca="1">VLOOKUP($P101,FINEW!$I$30:$L$74,3,0)</f>
        <v>7.4930977074547576</v>
      </c>
      <c r="I101" s="38">
        <f t="shared" si="1"/>
        <v>7.4930977074547576</v>
      </c>
      <c r="J101" s="16"/>
      <c r="K101" s="16"/>
      <c r="L101" s="16"/>
      <c r="M101" s="16" t="s">
        <v>197</v>
      </c>
      <c r="N101" s="16"/>
      <c r="O101" s="16"/>
      <c r="P101" s="16" t="s">
        <v>7</v>
      </c>
      <c r="Q101" s="16"/>
      <c r="S101" t="s">
        <v>112</v>
      </c>
      <c r="T101" t="str">
        <f ca="1">VLOOKUP(P101,FINEW!$I$30:$L$63,2,0)</f>
        <v>COAL</v>
      </c>
    </row>
    <row r="102" spans="2:20">
      <c r="B102" s="36" t="s">
        <v>107</v>
      </c>
      <c r="C102" s="16"/>
      <c r="D102" s="36" t="s">
        <v>18</v>
      </c>
      <c r="E102" s="36">
        <v>2010</v>
      </c>
      <c r="F102" s="36" t="s">
        <v>232</v>
      </c>
      <c r="G102" s="16"/>
      <c r="H102" s="38">
        <f ca="1">VLOOKUP($P102,FINEW!$I$30:$L$74,3,0)</f>
        <v>0.79693082811752092</v>
      </c>
      <c r="I102" s="38">
        <f t="shared" si="1"/>
        <v>0.79693082811752092</v>
      </c>
      <c r="J102" s="16"/>
      <c r="K102" s="16"/>
      <c r="L102" s="16"/>
      <c r="M102" s="16" t="s">
        <v>197</v>
      </c>
      <c r="N102" s="16"/>
      <c r="O102" s="16"/>
      <c r="P102" s="16" t="s">
        <v>39</v>
      </c>
      <c r="Q102" s="16"/>
      <c r="S102" t="s">
        <v>112</v>
      </c>
      <c r="T102" t="str">
        <f ca="1">VLOOKUP(P102,FINEW!$I$30:$L$63,2,0)</f>
        <v>PEAT</v>
      </c>
    </row>
    <row r="103" spans="2:20">
      <c r="B103" s="36" t="s">
        <v>107</v>
      </c>
      <c r="C103" s="16"/>
      <c r="D103" s="36" t="s">
        <v>18</v>
      </c>
      <c r="E103" s="36">
        <v>2010</v>
      </c>
      <c r="F103" s="36" t="s">
        <v>232</v>
      </c>
      <c r="G103" s="16"/>
      <c r="H103" s="38">
        <f ca="1">VLOOKUP($P103,FINEW!$I$30:$L$74,3,0)</f>
        <v>7.4930977074547576</v>
      </c>
      <c r="I103" s="38">
        <f t="shared" si="1"/>
        <v>7.4930977074547576</v>
      </c>
      <c r="J103" s="16"/>
      <c r="K103" s="16"/>
      <c r="L103" s="16"/>
      <c r="M103" s="16" t="s">
        <v>197</v>
      </c>
      <c r="N103" s="16"/>
      <c r="O103" s="16"/>
      <c r="P103" s="16" t="s">
        <v>38</v>
      </c>
      <c r="Q103" s="16"/>
      <c r="S103" t="s">
        <v>112</v>
      </c>
      <c r="T103" t="str">
        <f ca="1">VLOOKUP(P103,FINEW!$I$30:$L$63,2,0)</f>
        <v>COAL</v>
      </c>
    </row>
    <row r="104" spans="2:20">
      <c r="B104" s="36" t="s">
        <v>107</v>
      </c>
      <c r="C104" s="16"/>
      <c r="D104" s="36" t="s">
        <v>18</v>
      </c>
      <c r="E104" s="36">
        <v>2010</v>
      </c>
      <c r="F104" s="36" t="s">
        <v>232</v>
      </c>
      <c r="G104" s="16"/>
      <c r="H104" s="38">
        <f ca="1">VLOOKUP($P104,FINEW!$I$30:$L$74,3,0)</f>
        <v>5.1208331869227459</v>
      </c>
      <c r="I104" s="38">
        <f t="shared" si="1"/>
        <v>5.1208331869227459</v>
      </c>
      <c r="J104" s="16"/>
      <c r="K104" s="16"/>
      <c r="L104" s="16"/>
      <c r="M104" s="16" t="s">
        <v>198</v>
      </c>
      <c r="N104" s="16"/>
      <c r="O104" s="16"/>
      <c r="P104" s="16" t="s">
        <v>37</v>
      </c>
      <c r="Q104" s="16"/>
      <c r="S104" t="s">
        <v>112</v>
      </c>
      <c r="T104" t="str">
        <f ca="1">VLOOKUP(P104,FINEW!$I$30:$L$63,2,0)</f>
        <v>OOIL</v>
      </c>
    </row>
    <row r="105" spans="2:20">
      <c r="B105" s="16"/>
      <c r="C105" s="16"/>
      <c r="D105" s="16" t="s">
        <v>32</v>
      </c>
      <c r="E105" s="16"/>
      <c r="F105" s="36"/>
      <c r="G105" s="16"/>
      <c r="H105" s="16"/>
      <c r="I105" s="16" t="str">
        <f t="shared" si="1"/>
        <v/>
      </c>
      <c r="J105" s="16"/>
      <c r="K105" s="16"/>
      <c r="L105" s="16"/>
      <c r="M105" s="16"/>
      <c r="N105" s="16"/>
      <c r="O105" s="16"/>
      <c r="P105" s="16"/>
      <c r="Q105" s="16"/>
    </row>
    <row r="106" spans="2:20">
      <c r="B106" s="36" t="s">
        <v>107</v>
      </c>
      <c r="C106" s="16"/>
      <c r="D106" s="36" t="s">
        <v>18</v>
      </c>
      <c r="E106" s="36">
        <v>2010</v>
      </c>
      <c r="F106" s="36" t="s">
        <v>232</v>
      </c>
      <c r="G106" s="16"/>
      <c r="H106" s="38">
        <f ca="1">VLOOKUP($P106,FINEW!$I$30:$L$74,3,0)</f>
        <v>5.7979305183303262</v>
      </c>
      <c r="I106" s="38">
        <f t="shared" si="1"/>
        <v>5.7979305183303262</v>
      </c>
      <c r="J106" s="16"/>
      <c r="K106" s="16" t="s">
        <v>82</v>
      </c>
      <c r="L106" s="16"/>
      <c r="M106" s="16" t="s">
        <v>199</v>
      </c>
      <c r="N106" s="16"/>
      <c r="O106" s="16"/>
      <c r="P106" s="16" t="s">
        <v>82</v>
      </c>
      <c r="Q106" s="16"/>
      <c r="S106" t="s">
        <v>113</v>
      </c>
      <c r="T106" t="str">
        <f ca="1">VLOOKUP(P106,FINEW!$I$30:$L$74,2,0)</f>
        <v>MGAS</v>
      </c>
    </row>
    <row r="107" spans="2:20">
      <c r="B107" s="36" t="s">
        <v>107</v>
      </c>
      <c r="C107" s="16"/>
      <c r="D107" s="36" t="s">
        <v>18</v>
      </c>
      <c r="E107" s="36">
        <v>2010</v>
      </c>
      <c r="F107" s="36" t="s">
        <v>232</v>
      </c>
      <c r="G107" s="16"/>
      <c r="H107" s="38">
        <f ca="1">VLOOKUP($P107,FINEW!$I$30:$L$74,3,0)</f>
        <v>5.7979305183303262</v>
      </c>
      <c r="I107" s="38">
        <f t="shared" si="1"/>
        <v>5.7979305183303262</v>
      </c>
      <c r="J107" s="16"/>
      <c r="K107" s="16"/>
      <c r="L107" s="16" t="s">
        <v>37</v>
      </c>
      <c r="M107" s="16" t="s">
        <v>199</v>
      </c>
      <c r="N107" s="16"/>
      <c r="O107" s="16"/>
      <c r="P107" s="16" t="s">
        <v>83</v>
      </c>
      <c r="Q107" s="16"/>
      <c r="S107" t="s">
        <v>113</v>
      </c>
      <c r="T107" t="str">
        <f ca="1">VLOOKUP(P107,FINEW!$I$30:$L$74,2,0)</f>
        <v>MLPG</v>
      </c>
    </row>
    <row r="108" spans="2:20">
      <c r="B108" s="36" t="s">
        <v>107</v>
      </c>
      <c r="C108" s="16"/>
      <c r="D108" s="36" t="s">
        <v>18</v>
      </c>
      <c r="E108" s="36">
        <v>2010</v>
      </c>
      <c r="F108" s="36" t="s">
        <v>232</v>
      </c>
      <c r="G108" s="16"/>
      <c r="H108" s="38">
        <f ca="1">VLOOKUP("TRA"&amp;MID($P108,4,3),FINEW!$I$30:$L$74,3,0)</f>
        <v>20.202752491031333</v>
      </c>
      <c r="I108" s="38">
        <f t="shared" si="1"/>
        <v>20.202752491031333</v>
      </c>
      <c r="J108" s="16"/>
      <c r="K108" s="16"/>
      <c r="L108" s="16" t="s">
        <v>10</v>
      </c>
      <c r="M108" s="16" t="s">
        <v>200</v>
      </c>
      <c r="N108" s="16"/>
      <c r="O108" s="16"/>
      <c r="P108" s="16" t="s">
        <v>10</v>
      </c>
      <c r="Q108" s="16"/>
      <c r="S108" t="s">
        <v>113</v>
      </c>
      <c r="T108" s="11" t="s">
        <v>46</v>
      </c>
    </row>
    <row r="109" spans="2:20">
      <c r="B109" s="36" t="s">
        <v>107</v>
      </c>
      <c r="C109" s="16"/>
      <c r="D109" s="36" t="s">
        <v>18</v>
      </c>
      <c r="E109" s="36">
        <v>2010</v>
      </c>
      <c r="F109" s="36" t="s">
        <v>232</v>
      </c>
      <c r="G109" s="16"/>
      <c r="H109" s="38">
        <f ca="1">VLOOKUP("TRA"&amp;MID($P109,4,3),FINEW!$I$30:$L$74,3,0)</f>
        <v>13.382514807618561</v>
      </c>
      <c r="I109" s="38">
        <f t="shared" si="1"/>
        <v>13.382514807618561</v>
      </c>
      <c r="J109" s="16"/>
      <c r="K109" s="16"/>
      <c r="L109" s="16" t="s">
        <v>9</v>
      </c>
      <c r="M109" s="16" t="s">
        <v>201</v>
      </c>
      <c r="N109" s="16"/>
      <c r="O109" s="16"/>
      <c r="P109" s="16" t="s">
        <v>9</v>
      </c>
      <c r="Q109" s="16"/>
      <c r="S109" t="s">
        <v>113</v>
      </c>
      <c r="T109" s="11" t="s">
        <v>47</v>
      </c>
    </row>
    <row r="110" spans="2:20">
      <c r="B110" s="36" t="s">
        <v>107</v>
      </c>
      <c r="C110" s="16"/>
      <c r="D110" s="36" t="s">
        <v>18</v>
      </c>
      <c r="E110" s="36">
        <v>2010</v>
      </c>
      <c r="F110" s="36" t="s">
        <v>232</v>
      </c>
      <c r="G110" s="16"/>
      <c r="H110" s="38">
        <f ca="1">FINEW!L20</f>
        <v>8.8912677416750459</v>
      </c>
      <c r="I110" s="38">
        <f t="shared" si="1"/>
        <v>8.8912677416750459</v>
      </c>
      <c r="J110" s="16"/>
      <c r="K110" s="16"/>
      <c r="L110" s="16" t="s">
        <v>118</v>
      </c>
      <c r="M110" s="16" t="s">
        <v>201</v>
      </c>
      <c r="N110" s="16"/>
      <c r="O110" s="16"/>
      <c r="P110" s="16" t="s">
        <v>118</v>
      </c>
      <c r="Q110" s="16"/>
      <c r="S110" t="s">
        <v>113</v>
      </c>
      <c r="T110" s="11" t="str">
        <f ca="1">VLOOKUP(P110,FINEW!$I$30:$L$74,2,0)</f>
        <v>BOIL</v>
      </c>
    </row>
    <row r="111" spans="2:20">
      <c r="B111" s="36" t="s">
        <v>107</v>
      </c>
      <c r="C111" s="16"/>
      <c r="D111" s="36" t="s">
        <v>18</v>
      </c>
      <c r="E111" s="36">
        <v>2010</v>
      </c>
      <c r="F111" s="36" t="s">
        <v>232</v>
      </c>
      <c r="G111" s="16"/>
      <c r="H111" s="38">
        <f ca="1">VLOOKUP($P111,FINEW!$I$30:$L$74,3,0)</f>
        <v>17.609813517882074</v>
      </c>
      <c r="I111" s="38">
        <f t="shared" si="1"/>
        <v>17.609813517882074</v>
      </c>
      <c r="J111" s="16"/>
      <c r="K111" s="16"/>
      <c r="L111" s="16" t="s">
        <v>142</v>
      </c>
      <c r="M111" s="16" t="s">
        <v>199</v>
      </c>
      <c r="N111" s="16"/>
      <c r="O111" s="16"/>
      <c r="P111" s="16" t="s">
        <v>115</v>
      </c>
      <c r="Q111" s="16"/>
      <c r="S111" t="s">
        <v>113</v>
      </c>
      <c r="T111" s="11" t="str">
        <f ca="1">VLOOKUP(P111,FINEW!$I$30:$L$74,2,0)</f>
        <v>MMET</v>
      </c>
    </row>
    <row r="112" spans="2:20">
      <c r="B112" s="36" t="s">
        <v>107</v>
      </c>
      <c r="C112" s="16"/>
      <c r="D112" s="36" t="s">
        <v>18</v>
      </c>
      <c r="E112" s="36">
        <v>2010</v>
      </c>
      <c r="F112" s="36" t="s">
        <v>232</v>
      </c>
      <c r="G112" s="16"/>
      <c r="H112" s="38">
        <f ca="1">H113</f>
        <v>15.886221373125073</v>
      </c>
      <c r="I112" s="38">
        <f t="shared" si="1"/>
        <v>15.886221373125073</v>
      </c>
      <c r="J112" s="16"/>
      <c r="K112" s="16"/>
      <c r="L112" s="16" t="s">
        <v>143</v>
      </c>
      <c r="M112" s="16" t="s">
        <v>202</v>
      </c>
      <c r="N112" s="16"/>
      <c r="O112" s="16"/>
      <c r="P112" s="16" t="s">
        <v>84</v>
      </c>
      <c r="Q112" s="16"/>
      <c r="S112" t="s">
        <v>113</v>
      </c>
    </row>
    <row r="113" spans="2:20">
      <c r="B113" s="36" t="s">
        <v>107</v>
      </c>
      <c r="C113" s="16"/>
      <c r="D113" s="36" t="s">
        <v>18</v>
      </c>
      <c r="E113" s="36">
        <v>2010</v>
      </c>
      <c r="F113" s="36" t="s">
        <v>232</v>
      </c>
      <c r="G113" s="16"/>
      <c r="H113" s="38">
        <f ca="1">VLOOKUP("TRA"&amp;MID($L113,4,3),FINEW!$I$30:$L$74,3,0)</f>
        <v>15.886221373125073</v>
      </c>
      <c r="I113" s="38">
        <f t="shared" si="1"/>
        <v>15.886221373125073</v>
      </c>
      <c r="J113" s="16"/>
      <c r="K113" s="16"/>
      <c r="L113" s="16" t="s">
        <v>144</v>
      </c>
      <c r="M113" s="16" t="s">
        <v>199</v>
      </c>
      <c r="N113" s="16"/>
      <c r="O113" s="16"/>
      <c r="P113" s="16" t="s">
        <v>116</v>
      </c>
      <c r="Q113" s="16"/>
      <c r="S113" t="s">
        <v>113</v>
      </c>
      <c r="T113" s="11" t="str">
        <f ca="1">VLOOKUP(P113,FINEW!$I$30:$L$74,2,0)</f>
        <v>METH</v>
      </c>
    </row>
    <row r="114" spans="2:20">
      <c r="B114" s="36" t="s">
        <v>107</v>
      </c>
      <c r="C114" s="16"/>
      <c r="D114" s="36" t="s">
        <v>18</v>
      </c>
      <c r="E114" s="36">
        <v>2010</v>
      </c>
      <c r="F114" s="36" t="s">
        <v>232</v>
      </c>
      <c r="G114" s="16"/>
      <c r="H114" s="38">
        <f ca="1">VLOOKUP($P114,FINEW!$I$30:$L$74,3,0)</f>
        <v>6.6912574038092805</v>
      </c>
      <c r="I114" s="38">
        <f t="shared" si="1"/>
        <v>6.6912574038092805</v>
      </c>
      <c r="J114" s="16"/>
      <c r="K114" s="16" t="s">
        <v>117</v>
      </c>
      <c r="L114" s="16"/>
      <c r="M114" s="16" t="s">
        <v>199</v>
      </c>
      <c r="N114" s="16"/>
      <c r="O114" s="16"/>
      <c r="P114" s="16" t="s">
        <v>117</v>
      </c>
      <c r="Q114" s="16"/>
      <c r="S114" t="s">
        <v>113</v>
      </c>
      <c r="T114" s="11" t="str">
        <f ca="1">VLOOKUP(P114,FINEW!$I$30:$L$74,2,0)</f>
        <v>MDSL</v>
      </c>
    </row>
    <row r="115" spans="2:20">
      <c r="D115" t="s">
        <v>32</v>
      </c>
      <c r="E115" s="4"/>
      <c r="I115" t="str">
        <f t="shared" si="1"/>
        <v/>
      </c>
    </row>
    <row r="116" spans="2:20">
      <c r="B116" s="18"/>
      <c r="C116" s="18"/>
      <c r="D116" s="18" t="s">
        <v>89</v>
      </c>
      <c r="E116" s="13">
        <v>2020</v>
      </c>
      <c r="F116" s="18"/>
      <c r="G116" s="18"/>
      <c r="H116" s="15">
        <f ca="1">VLOOKUP($P116,FINEW!$N$30:$P$38,3,0)</f>
        <v>1.8435666490451985</v>
      </c>
      <c r="I116" s="15">
        <f t="shared" si="1"/>
        <v>1.8435666490451985</v>
      </c>
      <c r="J116" s="18"/>
      <c r="K116" s="18"/>
      <c r="L116" s="18"/>
      <c r="M116" s="18" t="s">
        <v>90</v>
      </c>
      <c r="N116" s="18"/>
      <c r="O116" s="18"/>
      <c r="P116" s="18" t="s">
        <v>91</v>
      </c>
      <c r="Q116" s="18"/>
    </row>
    <row r="117" spans="2:20">
      <c r="B117" s="18"/>
      <c r="C117" s="18"/>
      <c r="D117" s="18" t="s">
        <v>89</v>
      </c>
      <c r="E117" s="13">
        <v>2020</v>
      </c>
      <c r="F117" s="18"/>
      <c r="G117" s="18"/>
      <c r="H117" s="15">
        <f ca="1">H118</f>
        <v>1.8435666490451985</v>
      </c>
      <c r="I117" s="15">
        <f t="shared" si="1"/>
        <v>1.8435666490451985</v>
      </c>
      <c r="J117" s="18"/>
      <c r="K117" s="18"/>
      <c r="L117" s="18"/>
      <c r="M117" s="18" t="s">
        <v>90</v>
      </c>
      <c r="N117" s="18"/>
      <c r="O117" s="18"/>
      <c r="P117" s="18" t="s">
        <v>137</v>
      </c>
      <c r="Q117" s="18"/>
    </row>
    <row r="118" spans="2:20">
      <c r="B118" s="18"/>
      <c r="C118" s="18"/>
      <c r="D118" s="18" t="s">
        <v>89</v>
      </c>
      <c r="E118" s="13">
        <v>2020</v>
      </c>
      <c r="F118" s="18"/>
      <c r="G118" s="18"/>
      <c r="H118" s="15">
        <f ca="1">H116</f>
        <v>1.8435666490451985</v>
      </c>
      <c r="I118" s="15">
        <f t="shared" si="1"/>
        <v>1.8435666490451985</v>
      </c>
      <c r="J118" s="18"/>
      <c r="K118" s="18"/>
      <c r="L118" s="18"/>
      <c r="M118" s="18" t="s">
        <v>90</v>
      </c>
      <c r="N118" s="18"/>
      <c r="O118" s="18"/>
      <c r="P118" s="18" t="s">
        <v>138</v>
      </c>
      <c r="Q118" s="18"/>
    </row>
    <row r="119" spans="2:20">
      <c r="B119" s="18"/>
      <c r="C119" s="18"/>
      <c r="D119" s="18" t="s">
        <v>89</v>
      </c>
      <c r="E119" s="13">
        <v>2020</v>
      </c>
      <c r="F119" s="18"/>
      <c r="G119" s="18"/>
      <c r="H119" s="15">
        <f ca="1">VLOOKUP($P119,FINEW!$N$30:$P$38,3,0)</f>
        <v>0.67473476780616781</v>
      </c>
      <c r="I119" s="15">
        <f t="shared" si="1"/>
        <v>0.67473476780616781</v>
      </c>
      <c r="J119" s="18"/>
      <c r="K119" s="18"/>
      <c r="L119" s="18"/>
      <c r="M119" s="18" t="s">
        <v>90</v>
      </c>
      <c r="N119" s="18"/>
      <c r="O119" s="18"/>
      <c r="P119" s="18" t="s">
        <v>93</v>
      </c>
      <c r="Q119" s="18"/>
    </row>
    <row r="120" spans="2:20">
      <c r="B120" s="18"/>
      <c r="C120" s="18"/>
      <c r="D120" s="18" t="s">
        <v>89</v>
      </c>
      <c r="E120" s="13">
        <v>2020</v>
      </c>
      <c r="F120" s="18"/>
      <c r="G120" s="18"/>
      <c r="H120" s="15">
        <f ca="1">VLOOKUP($P120,FINEW!$N$30:$P$38,3,0)</f>
        <v>0.67473476780616781</v>
      </c>
      <c r="I120" s="15">
        <f t="shared" si="1"/>
        <v>0.67473476780616781</v>
      </c>
      <c r="J120" s="18"/>
      <c r="K120" s="18"/>
      <c r="L120" s="18"/>
      <c r="M120" s="18" t="s">
        <v>90</v>
      </c>
      <c r="N120" s="18"/>
      <c r="O120" s="18"/>
      <c r="P120" s="18" t="s">
        <v>94</v>
      </c>
      <c r="Q120" s="18"/>
    </row>
    <row r="121" spans="2:20">
      <c r="B121" s="18"/>
      <c r="C121" s="18"/>
      <c r="D121" s="18" t="s">
        <v>89</v>
      </c>
      <c r="E121" s="13">
        <v>2020</v>
      </c>
      <c r="F121" s="18"/>
      <c r="G121" s="18"/>
      <c r="H121" s="15">
        <f ca="1">VLOOKUP($P121,FINEW!$N$30:$P$38,3,0)</f>
        <v>0.67473476780616781</v>
      </c>
      <c r="I121" s="15">
        <f t="shared" si="1"/>
        <v>0.67473476780616781</v>
      </c>
      <c r="J121" s="18"/>
      <c r="K121" s="18"/>
      <c r="L121" s="18"/>
      <c r="M121" s="18" t="s">
        <v>90</v>
      </c>
      <c r="N121" s="18"/>
      <c r="O121" s="18"/>
      <c r="P121" s="18" t="s">
        <v>95</v>
      </c>
      <c r="Q121" s="18"/>
    </row>
    <row r="122" spans="2:20">
      <c r="B122" s="18"/>
      <c r="C122" s="18"/>
      <c r="D122" s="18" t="s">
        <v>89</v>
      </c>
      <c r="E122" s="13">
        <v>2020</v>
      </c>
      <c r="F122" s="18"/>
      <c r="G122" s="18"/>
      <c r="H122" s="15">
        <f ca="1">VLOOKUP($P122,FINEW!$N$30:$P$38,3,0)</f>
        <v>1.8435666490451985</v>
      </c>
      <c r="I122" s="15">
        <f t="shared" si="1"/>
        <v>1.8435666490451985</v>
      </c>
      <c r="J122" s="18"/>
      <c r="K122" s="18"/>
      <c r="L122" s="18"/>
      <c r="M122" s="18" t="s">
        <v>90</v>
      </c>
      <c r="N122" s="18"/>
      <c r="O122" s="18"/>
      <c r="P122" s="18" t="s">
        <v>96</v>
      </c>
      <c r="Q122" s="18"/>
    </row>
    <row r="123" spans="2:20">
      <c r="B123" s="18"/>
      <c r="C123" s="18"/>
      <c r="D123" s="18" t="s">
        <v>89</v>
      </c>
      <c r="E123" s="13">
        <v>2020</v>
      </c>
      <c r="F123" s="18"/>
      <c r="G123" s="18"/>
      <c r="H123" s="15">
        <f ca="1">VLOOKUP($P123,FINEW!$N$30:$P$38,3,0)</f>
        <v>1.8435666490451985</v>
      </c>
      <c r="I123" s="15">
        <f t="shared" si="1"/>
        <v>1.8435666490451985</v>
      </c>
      <c r="J123" s="18"/>
      <c r="K123" s="18"/>
      <c r="L123" s="18"/>
      <c r="M123" s="18" t="s">
        <v>90</v>
      </c>
      <c r="N123" s="18"/>
      <c r="O123" s="18"/>
      <c r="P123" s="18" t="s">
        <v>97</v>
      </c>
      <c r="Q123" s="18"/>
    </row>
    <row r="124" spans="2:20">
      <c r="B124" s="18"/>
      <c r="C124" s="18"/>
      <c r="D124" s="18" t="s">
        <v>89</v>
      </c>
      <c r="E124" s="13">
        <v>2020</v>
      </c>
      <c r="F124" s="18"/>
      <c r="G124" s="18"/>
      <c r="H124" s="15">
        <f ca="1">VLOOKUP($P124,FINEW!$N$30:$P$38,3,0)</f>
        <v>1.8435666490451985</v>
      </c>
      <c r="I124" s="15">
        <f t="shared" si="1"/>
        <v>1.8435666490451985</v>
      </c>
      <c r="J124" s="18"/>
      <c r="K124" s="18"/>
      <c r="L124" s="18"/>
      <c r="M124" s="18" t="s">
        <v>90</v>
      </c>
      <c r="N124" s="18"/>
      <c r="O124" s="18"/>
      <c r="P124" s="18" t="s">
        <v>98</v>
      </c>
      <c r="Q124" s="18"/>
    </row>
    <row r="125" spans="2:20">
      <c r="B125" s="18"/>
      <c r="C125" s="18"/>
      <c r="D125" s="18" t="s">
        <v>89</v>
      </c>
      <c r="E125" s="13">
        <v>2050</v>
      </c>
      <c r="F125" s="18"/>
      <c r="G125" s="18"/>
      <c r="H125" s="15">
        <f>H116*0.7</f>
        <v>1.290496654331639</v>
      </c>
      <c r="I125" s="15">
        <f t="shared" si="1"/>
        <v>1.290496654331639</v>
      </c>
      <c r="J125" s="18"/>
      <c r="K125" s="18"/>
      <c r="L125" s="18"/>
      <c r="M125" s="18" t="s">
        <v>90</v>
      </c>
      <c r="N125" s="18"/>
      <c r="O125" s="18"/>
      <c r="P125" s="18" t="s">
        <v>91</v>
      </c>
      <c r="Q125" s="18"/>
    </row>
    <row r="126" spans="2:20">
      <c r="B126" s="18"/>
      <c r="C126" s="18"/>
      <c r="D126" s="18" t="s">
        <v>89</v>
      </c>
      <c r="E126" s="13">
        <v>2050</v>
      </c>
      <c r="F126" s="18"/>
      <c r="G126" s="18"/>
      <c r="H126" s="15">
        <f>H117*0.7</f>
        <v>1.290496654331639</v>
      </c>
      <c r="I126" s="15">
        <f t="shared" si="1"/>
        <v>1.290496654331639</v>
      </c>
      <c r="J126" s="18"/>
      <c r="K126" s="18"/>
      <c r="L126" s="18"/>
      <c r="M126" s="18" t="s">
        <v>90</v>
      </c>
      <c r="N126" s="18"/>
      <c r="O126" s="18"/>
      <c r="P126" s="18" t="s">
        <v>137</v>
      </c>
      <c r="Q126" s="18"/>
    </row>
    <row r="127" spans="2:20">
      <c r="B127" s="18"/>
      <c r="C127" s="18"/>
      <c r="D127" s="18" t="s">
        <v>89</v>
      </c>
      <c r="E127" s="13">
        <v>2050</v>
      </c>
      <c r="F127" s="18"/>
      <c r="G127" s="18"/>
      <c r="H127" s="15">
        <f>H118*0.7</f>
        <v>1.290496654331639</v>
      </c>
      <c r="I127" s="15">
        <f t="shared" si="1"/>
        <v>1.290496654331639</v>
      </c>
      <c r="J127" s="18"/>
      <c r="K127" s="18"/>
      <c r="L127" s="18"/>
      <c r="M127" s="18" t="s">
        <v>90</v>
      </c>
      <c r="N127" s="18"/>
      <c r="O127" s="18"/>
      <c r="P127" s="18" t="s">
        <v>138</v>
      </c>
      <c r="Q127" s="18"/>
    </row>
    <row r="128" spans="2:20">
      <c r="B128" s="18"/>
      <c r="C128" s="18"/>
      <c r="D128" s="18" t="s">
        <v>89</v>
      </c>
      <c r="E128" s="13">
        <v>2050</v>
      </c>
      <c r="F128" s="18"/>
      <c r="G128" s="18"/>
      <c r="H128" s="15">
        <f>H122*0.7</f>
        <v>1.290496654331639</v>
      </c>
      <c r="I128" s="15">
        <f t="shared" si="1"/>
        <v>1.290496654331639</v>
      </c>
      <c r="J128" s="18"/>
      <c r="K128" s="18"/>
      <c r="L128" s="18"/>
      <c r="M128" s="18" t="s">
        <v>90</v>
      </c>
      <c r="N128" s="18"/>
      <c r="O128" s="18"/>
      <c r="P128" s="18" t="s">
        <v>96</v>
      </c>
      <c r="Q128" s="18"/>
    </row>
    <row r="129" spans="2:19">
      <c r="B129" s="18"/>
      <c r="C129" s="18"/>
      <c r="D129" s="18" t="s">
        <v>89</v>
      </c>
      <c r="E129" s="13">
        <v>2050</v>
      </c>
      <c r="F129" s="18"/>
      <c r="G129" s="18"/>
      <c r="H129" s="15">
        <f>H123*0.7</f>
        <v>1.290496654331639</v>
      </c>
      <c r="I129" s="15">
        <f>IF(H129,H129,"")</f>
        <v>1.290496654331639</v>
      </c>
      <c r="J129" s="18"/>
      <c r="K129" s="18"/>
      <c r="L129" s="18"/>
      <c r="M129" s="18" t="s">
        <v>90</v>
      </c>
      <c r="N129" s="18"/>
      <c r="O129" s="18"/>
      <c r="P129" s="18" t="s">
        <v>97</v>
      </c>
      <c r="Q129" s="18"/>
    </row>
    <row r="130" spans="2:19">
      <c r="B130" s="18"/>
      <c r="C130" s="18"/>
      <c r="D130" s="18" t="s">
        <v>89</v>
      </c>
      <c r="E130" s="13">
        <v>2050</v>
      </c>
      <c r="F130" s="18"/>
      <c r="G130" s="18"/>
      <c r="H130" s="15">
        <f>H124*0.7</f>
        <v>1.290496654331639</v>
      </c>
      <c r="I130" s="15">
        <f>IF(H130,H130,"")</f>
        <v>1.290496654331639</v>
      </c>
      <c r="J130" s="18"/>
      <c r="K130" s="18"/>
      <c r="L130" s="18"/>
      <c r="M130" s="18" t="s">
        <v>90</v>
      </c>
      <c r="N130" s="18"/>
      <c r="O130" s="18"/>
      <c r="P130" s="18" t="s">
        <v>98</v>
      </c>
      <c r="Q130" s="18"/>
    </row>
    <row r="131" spans="2:19">
      <c r="E131" s="4"/>
    </row>
    <row r="135" spans="2:19">
      <c r="B135" s="1" t="s">
        <v>212</v>
      </c>
    </row>
    <row r="136" spans="2:19" ht="13.5" thickBot="1">
      <c r="B136" s="2" t="s">
        <v>0</v>
      </c>
      <c r="C136" s="2" t="s">
        <v>1</v>
      </c>
      <c r="D136" s="2" t="s">
        <v>2</v>
      </c>
      <c r="E136" s="2" t="s">
        <v>213</v>
      </c>
      <c r="F136" s="2" t="s">
        <v>235</v>
      </c>
      <c r="G136" s="19" t="s">
        <v>3</v>
      </c>
      <c r="H136" s="19" t="s">
        <v>4</v>
      </c>
      <c r="I136" s="19" t="s">
        <v>139</v>
      </c>
      <c r="J136" s="2" t="s">
        <v>12</v>
      </c>
      <c r="K136" s="5" t="s">
        <v>13</v>
      </c>
      <c r="L136" s="2" t="s">
        <v>5</v>
      </c>
      <c r="M136" s="5" t="s">
        <v>14</v>
      </c>
      <c r="N136" s="5" t="s">
        <v>214</v>
      </c>
      <c r="O136" s="5" t="s">
        <v>215</v>
      </c>
      <c r="R136" s="32" t="s">
        <v>240</v>
      </c>
      <c r="S136" s="31"/>
    </row>
    <row r="137" spans="2:19">
      <c r="B137" s="28" t="s">
        <v>107</v>
      </c>
      <c r="C137" s="29" t="s">
        <v>216</v>
      </c>
      <c r="D137" s="28" t="s">
        <v>230</v>
      </c>
      <c r="E137" s="28" t="s">
        <v>18</v>
      </c>
      <c r="F137" s="28"/>
      <c r="G137" s="28"/>
      <c r="H137" s="28" t="str">
        <f t="shared" ref="H137:I146" si="2">"*"&amp;TEXT($R137,"0.0000")</f>
        <v>*3.1138</v>
      </c>
      <c r="I137" s="28" t="str">
        <f t="shared" si="2"/>
        <v>*3.1138</v>
      </c>
      <c r="J137" s="28" t="s">
        <v>114</v>
      </c>
      <c r="K137" s="28"/>
      <c r="L137" s="28" t="s">
        <v>228</v>
      </c>
      <c r="M137" s="28" t="s">
        <v>59</v>
      </c>
      <c r="N137" s="28" t="str">
        <f t="shared" ref="N137:N146" si="3">M137</f>
        <v>ELCNGA</v>
      </c>
      <c r="O137" s="28" t="s">
        <v>232</v>
      </c>
      <c r="P137" s="6"/>
      <c r="R137" s="28">
        <f ca="1">VLOOKUP($N137,FINEW!$I$30:$L$74,4,0)*H$2</f>
        <v>3.1137681316207781</v>
      </c>
      <c r="S137" s="28" t="s">
        <v>225</v>
      </c>
    </row>
    <row r="138" spans="2:19">
      <c r="B138" s="28" t="s">
        <v>107</v>
      </c>
      <c r="C138" s="29" t="s">
        <v>216</v>
      </c>
      <c r="D138" s="28" t="s">
        <v>230</v>
      </c>
      <c r="E138" s="28" t="s">
        <v>18</v>
      </c>
      <c r="F138" s="28"/>
      <c r="G138" s="28"/>
      <c r="H138" s="28" t="str">
        <f t="shared" si="2"/>
        <v>*3.9684</v>
      </c>
      <c r="I138" s="28" t="str">
        <f t="shared" si="2"/>
        <v>*3.9684</v>
      </c>
      <c r="J138" s="28" t="s">
        <v>114</v>
      </c>
      <c r="K138" s="28"/>
      <c r="L138" s="28" t="s">
        <v>228</v>
      </c>
      <c r="M138" s="28" t="s">
        <v>58</v>
      </c>
      <c r="N138" s="28" t="str">
        <f t="shared" si="3"/>
        <v>ELCOIL</v>
      </c>
      <c r="O138" s="28" t="s">
        <v>232</v>
      </c>
      <c r="P138" s="6"/>
      <c r="R138" s="28">
        <f ca="1">VLOOKUP($N138,FINEW!$I$30:$L$74,4,0)*H$2</f>
        <v>3.9683665032246198</v>
      </c>
      <c r="S138" s="28" t="s">
        <v>226</v>
      </c>
    </row>
    <row r="139" spans="2:19">
      <c r="B139" s="28" t="s">
        <v>107</v>
      </c>
      <c r="C139" s="29" t="s">
        <v>216</v>
      </c>
      <c r="D139" s="28" t="s">
        <v>230</v>
      </c>
      <c r="E139" s="28" t="s">
        <v>18</v>
      </c>
      <c r="F139" s="28"/>
      <c r="G139" s="28"/>
      <c r="H139" s="28" t="str">
        <f t="shared" si="2"/>
        <v>*4.9800</v>
      </c>
      <c r="I139" s="28" t="str">
        <f t="shared" si="2"/>
        <v>*4.9800</v>
      </c>
      <c r="J139" s="28" t="s">
        <v>114</v>
      </c>
      <c r="K139" s="28"/>
      <c r="L139" s="28" t="s">
        <v>228</v>
      </c>
      <c r="M139" s="28" t="s">
        <v>33</v>
      </c>
      <c r="N139" s="28" t="str">
        <f t="shared" si="3"/>
        <v>ELCCOA</v>
      </c>
      <c r="O139" s="28" t="s">
        <v>232</v>
      </c>
      <c r="P139" s="6"/>
      <c r="R139" s="28">
        <f ca="1">VLOOKUP($N139,FINEW!$I$30:$L$74,4,0)*H$2</f>
        <v>4.9799611651978388</v>
      </c>
      <c r="S139" s="28" t="s">
        <v>227</v>
      </c>
    </row>
    <row r="140" spans="2:19">
      <c r="B140" s="28" t="s">
        <v>107</v>
      </c>
      <c r="C140" s="29" t="s">
        <v>216</v>
      </c>
      <c r="D140" s="28" t="s">
        <v>230</v>
      </c>
      <c r="E140" s="28" t="s">
        <v>18</v>
      </c>
      <c r="F140" s="28"/>
      <c r="G140" s="28"/>
      <c r="H140" s="28" t="str">
        <f t="shared" si="2"/>
        <v>*0.7172</v>
      </c>
      <c r="I140" s="28" t="str">
        <f t="shared" si="2"/>
        <v>*0.7172</v>
      </c>
      <c r="J140" s="28" t="s">
        <v>114</v>
      </c>
      <c r="K140" s="28"/>
      <c r="L140" s="28" t="s">
        <v>228</v>
      </c>
      <c r="M140" s="28" t="s">
        <v>60</v>
      </c>
      <c r="N140" s="28" t="str">
        <f t="shared" si="3"/>
        <v>ELCBCO</v>
      </c>
      <c r="O140" s="28" t="s">
        <v>232</v>
      </c>
      <c r="P140" s="6"/>
      <c r="R140" s="28">
        <f ca="1">VLOOKUP($N140,FINEW!$I$30:$L$74,4,0)*H$2</f>
        <v>0.71723774530576889</v>
      </c>
      <c r="S140" s="28" t="s">
        <v>220</v>
      </c>
    </row>
    <row r="141" spans="2:19">
      <c r="B141" s="28" t="s">
        <v>107</v>
      </c>
      <c r="C141" s="29" t="s">
        <v>216</v>
      </c>
      <c r="D141" s="28" t="s">
        <v>230</v>
      </c>
      <c r="E141" s="28" t="s">
        <v>18</v>
      </c>
      <c r="F141" s="28"/>
      <c r="G141" s="28"/>
      <c r="H141" s="28" t="str">
        <f t="shared" si="2"/>
        <v>*3.9684</v>
      </c>
      <c r="I141" s="28" t="str">
        <f t="shared" si="2"/>
        <v>*3.9684</v>
      </c>
      <c r="J141" s="28" t="s">
        <v>114</v>
      </c>
      <c r="K141" s="28"/>
      <c r="L141" s="28" t="s">
        <v>228</v>
      </c>
      <c r="M141" s="28" t="s">
        <v>58</v>
      </c>
      <c r="N141" s="28" t="str">
        <f t="shared" si="3"/>
        <v>ELCOIL</v>
      </c>
      <c r="O141" s="28" t="s">
        <v>232</v>
      </c>
      <c r="P141" s="6"/>
      <c r="R141" s="28">
        <f ca="1">VLOOKUP($N141,FINEW!$I$30:$L$74,4,0)*H$2</f>
        <v>3.9683665032246198</v>
      </c>
      <c r="S141" s="28" t="s">
        <v>226</v>
      </c>
    </row>
    <row r="142" spans="2:19">
      <c r="B142" s="28" t="s">
        <v>107</v>
      </c>
      <c r="C142" s="29" t="s">
        <v>216</v>
      </c>
      <c r="D142" s="28" t="s">
        <v>230</v>
      </c>
      <c r="E142" s="28" t="s">
        <v>18</v>
      </c>
      <c r="F142" s="28"/>
      <c r="G142" s="28"/>
      <c r="H142" s="28" t="str">
        <f t="shared" si="2"/>
        <v>*3.1138</v>
      </c>
      <c r="I142" s="28" t="str">
        <f t="shared" si="2"/>
        <v>*3.1138</v>
      </c>
      <c r="J142" s="28" t="s">
        <v>114</v>
      </c>
      <c r="K142" s="28"/>
      <c r="L142" s="28" t="s">
        <v>221</v>
      </c>
      <c r="M142" s="28" t="s">
        <v>61</v>
      </c>
      <c r="N142" s="28" t="str">
        <f t="shared" si="3"/>
        <v>INDNGA</v>
      </c>
      <c r="O142" s="28" t="s">
        <v>232</v>
      </c>
      <c r="R142" s="28">
        <f ca="1">VLOOKUP($N142,FINEW!$I$30:$L$74,4,0)*H$2</f>
        <v>3.1137681316207781</v>
      </c>
      <c r="S142" s="28"/>
    </row>
    <row r="143" spans="2:19">
      <c r="B143" s="28" t="s">
        <v>107</v>
      </c>
      <c r="C143" s="29" t="s">
        <v>216</v>
      </c>
      <c r="D143" s="28" t="s">
        <v>230</v>
      </c>
      <c r="E143" s="28" t="s">
        <v>18</v>
      </c>
      <c r="F143" s="28"/>
      <c r="G143" s="28"/>
      <c r="H143" s="28" t="str">
        <f t="shared" si="2"/>
        <v>*3.9684</v>
      </c>
      <c r="I143" s="28" t="str">
        <f t="shared" si="2"/>
        <v>*3.9684</v>
      </c>
      <c r="J143" s="28" t="s">
        <v>114</v>
      </c>
      <c r="K143" s="28"/>
      <c r="L143" s="28" t="s">
        <v>221</v>
      </c>
      <c r="M143" s="28" t="s">
        <v>65</v>
      </c>
      <c r="N143" s="28" t="str">
        <f t="shared" si="3"/>
        <v>INDHFO</v>
      </c>
      <c r="O143" s="28" t="s">
        <v>232</v>
      </c>
      <c r="R143" s="28">
        <f ca="1">VLOOKUP($N143,FINEW!$I$30:$L$74,4,0)*H$2</f>
        <v>3.9683665032246198</v>
      </c>
      <c r="S143" s="28"/>
    </row>
    <row r="144" spans="2:19">
      <c r="B144" s="28" t="s">
        <v>107</v>
      </c>
      <c r="C144" s="29" t="s">
        <v>216</v>
      </c>
      <c r="D144" s="28" t="s">
        <v>230</v>
      </c>
      <c r="E144" s="28" t="s">
        <v>18</v>
      </c>
      <c r="F144" s="28"/>
      <c r="G144" s="28"/>
      <c r="H144" s="28" t="str">
        <f t="shared" si="2"/>
        <v>*4.9800</v>
      </c>
      <c r="I144" s="28" t="str">
        <f t="shared" si="2"/>
        <v>*4.9800</v>
      </c>
      <c r="J144" s="28" t="s">
        <v>114</v>
      </c>
      <c r="K144" s="28"/>
      <c r="L144" s="28" t="s">
        <v>221</v>
      </c>
      <c r="M144" s="28" t="s">
        <v>64</v>
      </c>
      <c r="N144" s="28" t="str">
        <f t="shared" si="3"/>
        <v>INDCOA</v>
      </c>
      <c r="O144" s="28" t="s">
        <v>232</v>
      </c>
      <c r="R144" s="28">
        <f ca="1">VLOOKUP($N144,FINEW!$I$30:$L$74,4,0)*H$2</f>
        <v>4.9799611651978388</v>
      </c>
      <c r="S144" s="28"/>
    </row>
    <row r="145" spans="2:20">
      <c r="B145" s="26"/>
      <c r="C145" s="44"/>
      <c r="D145" s="26" t="s">
        <v>32</v>
      </c>
      <c r="E145" s="28" t="s">
        <v>18</v>
      </c>
      <c r="F145" s="28"/>
      <c r="G145" s="28"/>
      <c r="H145" s="28" t="str">
        <f t="shared" si="2"/>
        <v>*4.9800</v>
      </c>
      <c r="I145" s="28" t="str">
        <f t="shared" si="2"/>
        <v>*4.9800</v>
      </c>
      <c r="J145" s="28" t="s">
        <v>114</v>
      </c>
      <c r="K145" s="28"/>
      <c r="L145" s="28" t="s">
        <v>221</v>
      </c>
      <c r="M145" s="28" t="s">
        <v>132</v>
      </c>
      <c r="N145" s="28" t="str">
        <f t="shared" si="3"/>
        <v>INDCOK</v>
      </c>
      <c r="O145" s="28" t="s">
        <v>232</v>
      </c>
      <c r="R145" s="28">
        <f ca="1">R144</f>
        <v>4.9799611651978388</v>
      </c>
      <c r="S145" s="28"/>
    </row>
    <row r="146" spans="2:20">
      <c r="B146" s="28" t="s">
        <v>107</v>
      </c>
      <c r="C146" s="29" t="s">
        <v>216</v>
      </c>
      <c r="D146" s="28" t="s">
        <v>230</v>
      </c>
      <c r="E146" s="28" t="s">
        <v>18</v>
      </c>
      <c r="F146" s="28"/>
      <c r="G146" s="28"/>
      <c r="H146" s="28" t="str">
        <f t="shared" si="2"/>
        <v>*0.7172</v>
      </c>
      <c r="I146" s="28" t="str">
        <f t="shared" si="2"/>
        <v>*0.7172</v>
      </c>
      <c r="J146" s="28" t="s">
        <v>114</v>
      </c>
      <c r="K146" s="28"/>
      <c r="L146" s="28" t="s">
        <v>221</v>
      </c>
      <c r="M146" s="28" t="s">
        <v>63</v>
      </c>
      <c r="N146" s="28" t="str">
        <f t="shared" si="3"/>
        <v>INDBCO</v>
      </c>
      <c r="O146" s="28" t="s">
        <v>232</v>
      </c>
      <c r="R146" s="28">
        <f ca="1">VLOOKUP($N146,FINEW!$I$30:$L$74,4,0)*H$2</f>
        <v>0.71723774530576889</v>
      </c>
      <c r="S146" s="28"/>
    </row>
    <row r="147" spans="2:20">
      <c r="B147" s="20" t="s">
        <v>107</v>
      </c>
      <c r="C147" s="21" t="s">
        <v>216</v>
      </c>
      <c r="D147" s="20" t="s">
        <v>230</v>
      </c>
      <c r="E147" s="20" t="s">
        <v>234</v>
      </c>
      <c r="F147" s="20" t="s">
        <v>33</v>
      </c>
      <c r="G147" s="20"/>
      <c r="H147" s="20" t="s">
        <v>233</v>
      </c>
      <c r="I147" s="20" t="s">
        <v>233</v>
      </c>
      <c r="J147" s="20" t="s">
        <v>114</v>
      </c>
      <c r="K147" s="20"/>
      <c r="L147" s="20" t="s">
        <v>228</v>
      </c>
      <c r="M147" s="20" t="s">
        <v>218</v>
      </c>
      <c r="N147" s="20" t="s">
        <v>236</v>
      </c>
      <c r="O147" s="20"/>
    </row>
    <row r="148" spans="2:20">
      <c r="B148" s="20" t="s">
        <v>107</v>
      </c>
      <c r="C148" s="21" t="s">
        <v>216</v>
      </c>
      <c r="D148" s="20" t="s">
        <v>230</v>
      </c>
      <c r="E148" s="20" t="s">
        <v>234</v>
      </c>
      <c r="F148" s="20" t="s">
        <v>60</v>
      </c>
      <c r="G148" s="20"/>
      <c r="H148" s="20" t="s">
        <v>233</v>
      </c>
      <c r="I148" s="20" t="s">
        <v>233</v>
      </c>
      <c r="J148" s="20" t="s">
        <v>114</v>
      </c>
      <c r="K148" s="20"/>
      <c r="L148" s="20" t="s">
        <v>228</v>
      </c>
      <c r="M148" s="20" t="s">
        <v>219</v>
      </c>
      <c r="N148" s="20" t="s">
        <v>236</v>
      </c>
      <c r="O148" s="20"/>
    </row>
    <row r="149" spans="2:20">
      <c r="B149" s="20" t="s">
        <v>107</v>
      </c>
      <c r="C149" s="21" t="s">
        <v>216</v>
      </c>
      <c r="D149" s="20" t="s">
        <v>230</v>
      </c>
      <c r="E149" s="20" t="s">
        <v>234</v>
      </c>
      <c r="F149" s="20" t="s">
        <v>59</v>
      </c>
      <c r="G149" s="20"/>
      <c r="H149" s="20" t="s">
        <v>233</v>
      </c>
      <c r="I149" s="20" t="s">
        <v>233</v>
      </c>
      <c r="J149" s="20" t="s">
        <v>114</v>
      </c>
      <c r="K149" s="20"/>
      <c r="L149" s="20" t="s">
        <v>228</v>
      </c>
      <c r="M149" s="20" t="s">
        <v>229</v>
      </c>
      <c r="N149" s="20" t="s">
        <v>236</v>
      </c>
      <c r="O149" s="20"/>
    </row>
    <row r="154" spans="2:20">
      <c r="B154" s="1" t="s">
        <v>108</v>
      </c>
      <c r="O154" s="22"/>
    </row>
    <row r="155" spans="2:20" ht="13.5" thickBot="1">
      <c r="B155" s="2" t="s">
        <v>0</v>
      </c>
      <c r="C155" s="2" t="s">
        <v>1</v>
      </c>
      <c r="D155" s="2" t="s">
        <v>2</v>
      </c>
      <c r="E155" s="2" t="s">
        <v>223</v>
      </c>
      <c r="F155" s="19" t="s">
        <v>3</v>
      </c>
      <c r="G155" s="2" t="s">
        <v>239</v>
      </c>
      <c r="H155" s="19" t="s">
        <v>4</v>
      </c>
      <c r="I155" s="19" t="s">
        <v>139</v>
      </c>
      <c r="J155" s="2" t="s">
        <v>12</v>
      </c>
      <c r="K155" s="5" t="s">
        <v>13</v>
      </c>
      <c r="L155" s="2" t="s">
        <v>5</v>
      </c>
      <c r="M155" s="5" t="s">
        <v>14</v>
      </c>
      <c r="N155" s="5" t="s">
        <v>6</v>
      </c>
      <c r="O155" s="5" t="s">
        <v>145</v>
      </c>
      <c r="P155" s="3" t="s">
        <v>106</v>
      </c>
      <c r="R155" s="32" t="s">
        <v>217</v>
      </c>
      <c r="S155" s="31"/>
    </row>
    <row r="156" spans="2:20">
      <c r="B156" s="25" t="s">
        <v>107</v>
      </c>
      <c r="C156" s="25"/>
      <c r="D156" s="25" t="s">
        <v>18</v>
      </c>
      <c r="E156" s="25"/>
      <c r="F156" s="33">
        <v>2020</v>
      </c>
      <c r="G156" s="25"/>
      <c r="H156" s="30">
        <f t="shared" ref="H156:I158" si="4">-$R156</f>
        <v>-4.9799611651978388</v>
      </c>
      <c r="I156" s="30">
        <f t="shared" si="4"/>
        <v>-4.9799611651978388</v>
      </c>
      <c r="J156" s="16" t="s">
        <v>114</v>
      </c>
      <c r="K156" s="16"/>
      <c r="L156" s="25" t="s">
        <v>228</v>
      </c>
      <c r="M156" s="16" t="s">
        <v>218</v>
      </c>
      <c r="N156" s="16" t="s">
        <v>218</v>
      </c>
      <c r="O156" s="16" t="s">
        <v>232</v>
      </c>
      <c r="P156" s="27"/>
      <c r="R156" s="28">
        <f ca="1">VLOOKUP($T156,FINEW!$I$30:$L$74,4,0)*H$2</f>
        <v>4.9799611651978388</v>
      </c>
      <c r="S156" s="28"/>
      <c r="T156" t="s">
        <v>33</v>
      </c>
    </row>
    <row r="157" spans="2:20">
      <c r="B157" s="25" t="s">
        <v>107</v>
      </c>
      <c r="C157" s="24"/>
      <c r="D157" s="25" t="s">
        <v>18</v>
      </c>
      <c r="E157" s="24"/>
      <c r="F157" s="33">
        <v>2020</v>
      </c>
      <c r="G157" s="24"/>
      <c r="H157" s="30">
        <f t="shared" si="4"/>
        <v>-0.71723774530576889</v>
      </c>
      <c r="I157" s="30">
        <f t="shared" si="4"/>
        <v>-0.71723774530576889</v>
      </c>
      <c r="J157" s="16" t="s">
        <v>114</v>
      </c>
      <c r="K157" s="16"/>
      <c r="L157" s="25" t="s">
        <v>228</v>
      </c>
      <c r="M157" s="16" t="s">
        <v>219</v>
      </c>
      <c r="N157" s="16" t="s">
        <v>219</v>
      </c>
      <c r="O157" s="16" t="s">
        <v>232</v>
      </c>
      <c r="P157" s="27"/>
      <c r="R157" s="28">
        <f ca="1">VLOOKUP($T157,FINEW!$I$30:$L$74,4,0)*H$2</f>
        <v>0.71723774530576889</v>
      </c>
      <c r="S157" s="28"/>
      <c r="T157" t="s">
        <v>60</v>
      </c>
    </row>
    <row r="158" spans="2:20">
      <c r="B158" s="25" t="s">
        <v>107</v>
      </c>
      <c r="C158" s="24"/>
      <c r="D158" s="25" t="s">
        <v>18</v>
      </c>
      <c r="E158" s="24"/>
      <c r="F158" s="33">
        <v>2020</v>
      </c>
      <c r="G158" s="24"/>
      <c r="H158" s="30">
        <f t="shared" si="4"/>
        <v>-3.1137681316207781</v>
      </c>
      <c r="I158" s="30">
        <f t="shared" si="4"/>
        <v>-3.1137681316207781</v>
      </c>
      <c r="J158" s="16" t="s">
        <v>114</v>
      </c>
      <c r="K158" s="16"/>
      <c r="L158" s="25" t="s">
        <v>228</v>
      </c>
      <c r="M158" s="16" t="s">
        <v>229</v>
      </c>
      <c r="N158" s="16" t="s">
        <v>229</v>
      </c>
      <c r="O158" s="16" t="s">
        <v>232</v>
      </c>
      <c r="P158" s="27"/>
      <c r="R158" s="28">
        <f ca="1">VLOOKUP($T158,FINEW!$I$30:$L$74,4,0)*H$2</f>
        <v>3.1137681316207781</v>
      </c>
      <c r="S158" s="28"/>
      <c r="T158" t="s">
        <v>59</v>
      </c>
    </row>
    <row r="159" spans="2:20">
      <c r="B159" s="25" t="s">
        <v>107</v>
      </c>
      <c r="C159" s="24"/>
      <c r="D159" s="25" t="s">
        <v>18</v>
      </c>
      <c r="E159" s="16"/>
      <c r="F159" s="33">
        <v>2020</v>
      </c>
      <c r="G159" s="24"/>
      <c r="H159" s="30">
        <f t="shared" ref="H159:I161" si="5">$R159</f>
        <v>4.9799611651978388</v>
      </c>
      <c r="I159" s="30">
        <f t="shared" si="5"/>
        <v>4.9799611651978388</v>
      </c>
      <c r="J159" s="16" t="s">
        <v>114</v>
      </c>
      <c r="K159" s="16"/>
      <c r="L159" s="25" t="s">
        <v>228</v>
      </c>
      <c r="M159" s="16" t="s">
        <v>218</v>
      </c>
      <c r="N159" s="16" t="s">
        <v>241</v>
      </c>
      <c r="O159" s="16" t="s">
        <v>232</v>
      </c>
      <c r="P159" s="27" t="s">
        <v>124</v>
      </c>
      <c r="R159" s="28">
        <f ca="1">VLOOKUP($T159,FINEW!$I$30:$L$74,4,0)*H$2</f>
        <v>4.9799611651978388</v>
      </c>
      <c r="S159" s="28"/>
      <c r="T159" t="s">
        <v>33</v>
      </c>
    </row>
    <row r="160" spans="2:20">
      <c r="B160" s="25" t="s">
        <v>107</v>
      </c>
      <c r="C160" s="24"/>
      <c r="D160" s="25" t="s">
        <v>18</v>
      </c>
      <c r="E160" s="16"/>
      <c r="F160" s="33">
        <v>2020</v>
      </c>
      <c r="G160" s="24"/>
      <c r="H160" s="30">
        <f t="shared" si="5"/>
        <v>0.71723774530576889</v>
      </c>
      <c r="I160" s="30">
        <f t="shared" si="5"/>
        <v>0.71723774530576889</v>
      </c>
      <c r="J160" s="16" t="s">
        <v>114</v>
      </c>
      <c r="K160" s="16"/>
      <c r="L160" s="25" t="s">
        <v>228</v>
      </c>
      <c r="M160" s="16" t="s">
        <v>219</v>
      </c>
      <c r="N160" s="16" t="s">
        <v>241</v>
      </c>
      <c r="O160" s="16" t="s">
        <v>232</v>
      </c>
      <c r="P160" s="27" t="s">
        <v>124</v>
      </c>
      <c r="R160" s="28">
        <f ca="1">VLOOKUP($T160,FINEW!$I$30:$L$74,4,0)*H$2</f>
        <v>0.71723774530576889</v>
      </c>
      <c r="S160" s="28"/>
      <c r="T160" t="s">
        <v>60</v>
      </c>
    </row>
    <row r="161" spans="2:20">
      <c r="B161" s="25" t="s">
        <v>107</v>
      </c>
      <c r="C161" s="24"/>
      <c r="D161" s="25" t="s">
        <v>18</v>
      </c>
      <c r="E161" s="16"/>
      <c r="F161" s="33">
        <v>2020</v>
      </c>
      <c r="G161" s="24"/>
      <c r="H161" s="30">
        <f t="shared" si="5"/>
        <v>3.1137681316207781</v>
      </c>
      <c r="I161" s="30">
        <f t="shared" si="5"/>
        <v>3.1137681316207781</v>
      </c>
      <c r="J161" s="16" t="s">
        <v>114</v>
      </c>
      <c r="K161" s="16"/>
      <c r="L161" s="25" t="s">
        <v>228</v>
      </c>
      <c r="M161" s="16" t="s">
        <v>229</v>
      </c>
      <c r="N161" s="16" t="s">
        <v>241</v>
      </c>
      <c r="O161" s="16" t="s">
        <v>232</v>
      </c>
      <c r="P161" s="27" t="s">
        <v>124</v>
      </c>
      <c r="R161" s="28">
        <f ca="1">VLOOKUP($T161,FINEW!$I$30:$L$74,4,0)*H$2</f>
        <v>3.1137681316207781</v>
      </c>
      <c r="S161" s="28"/>
      <c r="T161" t="s">
        <v>59</v>
      </c>
    </row>
    <row r="162" spans="2:20">
      <c r="B162" s="18" t="s">
        <v>107</v>
      </c>
      <c r="C162" s="18"/>
      <c r="D162" s="18" t="s">
        <v>234</v>
      </c>
      <c r="E162" s="18" t="s">
        <v>237</v>
      </c>
      <c r="F162" s="23">
        <v>2020</v>
      </c>
      <c r="G162" s="23"/>
      <c r="H162" s="23">
        <v>1</v>
      </c>
      <c r="I162" s="23">
        <v>1</v>
      </c>
      <c r="J162" s="18" t="s">
        <v>114</v>
      </c>
      <c r="K162" s="18" t="s">
        <v>237</v>
      </c>
      <c r="L162" s="18" t="s">
        <v>228</v>
      </c>
      <c r="M162" s="18"/>
      <c r="N162" s="18" t="s">
        <v>236</v>
      </c>
      <c r="O162" s="26"/>
      <c r="P162" s="27"/>
      <c r="R162" s="28"/>
      <c r="S162" s="28"/>
    </row>
    <row r="163" spans="2:20">
      <c r="B163" s="18" t="s">
        <v>107</v>
      </c>
      <c r="C163" s="18"/>
      <c r="D163" s="18" t="s">
        <v>234</v>
      </c>
      <c r="E163" s="18" t="s">
        <v>248</v>
      </c>
      <c r="F163" s="23">
        <v>2020</v>
      </c>
      <c r="G163" s="23"/>
      <c r="H163" s="23">
        <v>1</v>
      </c>
      <c r="I163" s="23">
        <v>1</v>
      </c>
      <c r="J163" s="18" t="s">
        <v>114</v>
      </c>
      <c r="K163" s="18" t="s">
        <v>248</v>
      </c>
      <c r="L163" s="18" t="s">
        <v>228</v>
      </c>
      <c r="M163" s="18" t="s">
        <v>229</v>
      </c>
      <c r="N163" s="18" t="s">
        <v>236</v>
      </c>
      <c r="O163" s="26"/>
      <c r="P163" s="27"/>
      <c r="R163" s="28"/>
      <c r="S163" s="28"/>
    </row>
    <row r="164" spans="2:20">
      <c r="B164" s="18" t="s">
        <v>107</v>
      </c>
      <c r="C164" s="18"/>
      <c r="D164" s="18" t="s">
        <v>234</v>
      </c>
      <c r="E164" s="18" t="s">
        <v>238</v>
      </c>
      <c r="F164" s="23">
        <v>2020</v>
      </c>
      <c r="G164" s="23"/>
      <c r="H164" s="23">
        <v>1</v>
      </c>
      <c r="I164" s="23">
        <v>1</v>
      </c>
      <c r="J164" s="18" t="s">
        <v>114</v>
      </c>
      <c r="K164" s="18" t="s">
        <v>238</v>
      </c>
      <c r="L164" s="18" t="s">
        <v>228</v>
      </c>
      <c r="M164" s="18"/>
      <c r="N164" s="18" t="s">
        <v>236</v>
      </c>
      <c r="O164" s="26"/>
      <c r="P164" s="27"/>
      <c r="R164" s="28"/>
      <c r="S164" s="28"/>
    </row>
    <row r="165" spans="2:20">
      <c r="B165" s="18" t="s">
        <v>107</v>
      </c>
      <c r="C165" s="18"/>
      <c r="D165" s="18" t="s">
        <v>234</v>
      </c>
      <c r="E165" s="18" t="s">
        <v>247</v>
      </c>
      <c r="F165" s="23">
        <v>2020</v>
      </c>
      <c r="G165" s="23"/>
      <c r="H165" s="23">
        <v>1</v>
      </c>
      <c r="I165" s="23">
        <v>1</v>
      </c>
      <c r="J165" s="18" t="s">
        <v>114</v>
      </c>
      <c r="K165" s="18" t="s">
        <v>247</v>
      </c>
      <c r="L165" s="18" t="s">
        <v>228</v>
      </c>
      <c r="M165" s="18"/>
      <c r="N165" s="18" t="s">
        <v>236</v>
      </c>
      <c r="O165" s="26"/>
      <c r="P165" s="27"/>
      <c r="R165" s="28"/>
      <c r="S165" s="28"/>
    </row>
    <row r="166" spans="2:20">
      <c r="B166" s="20" t="s">
        <v>107</v>
      </c>
      <c r="C166" s="21" t="s">
        <v>224</v>
      </c>
      <c r="D166" s="20" t="s">
        <v>222</v>
      </c>
      <c r="E166" s="20" t="s">
        <v>218</v>
      </c>
      <c r="F166" s="21">
        <v>2010</v>
      </c>
      <c r="G166" s="20"/>
      <c r="H166" s="21">
        <v>1</v>
      </c>
      <c r="I166" s="21">
        <v>1</v>
      </c>
      <c r="J166" s="20" t="s">
        <v>114</v>
      </c>
      <c r="K166" s="20"/>
      <c r="L166" s="20" t="s">
        <v>228</v>
      </c>
      <c r="M166" s="20" t="s">
        <v>218</v>
      </c>
      <c r="N166" s="20" t="s">
        <v>236</v>
      </c>
      <c r="O166" s="26"/>
      <c r="P166" s="27"/>
    </row>
    <row r="167" spans="2:20">
      <c r="B167" s="20" t="s">
        <v>107</v>
      </c>
      <c r="C167" s="21" t="s">
        <v>224</v>
      </c>
      <c r="D167" s="20" t="s">
        <v>222</v>
      </c>
      <c r="E167" s="20" t="s">
        <v>219</v>
      </c>
      <c r="F167" s="21">
        <v>2010</v>
      </c>
      <c r="G167" s="20"/>
      <c r="H167" s="21">
        <v>1</v>
      </c>
      <c r="I167" s="21">
        <v>1</v>
      </c>
      <c r="J167" s="20" t="s">
        <v>114</v>
      </c>
      <c r="K167" s="20"/>
      <c r="L167" s="20" t="s">
        <v>228</v>
      </c>
      <c r="M167" s="20" t="s">
        <v>219</v>
      </c>
      <c r="N167" s="20" t="s">
        <v>236</v>
      </c>
      <c r="O167" s="26"/>
      <c r="P167" s="27"/>
    </row>
    <row r="168" spans="2:20">
      <c r="B168" s="20" t="s">
        <v>107</v>
      </c>
      <c r="C168" s="21" t="s">
        <v>224</v>
      </c>
      <c r="D168" s="20" t="s">
        <v>222</v>
      </c>
      <c r="E168" s="20" t="s">
        <v>229</v>
      </c>
      <c r="F168" s="21">
        <v>2010</v>
      </c>
      <c r="G168" s="20"/>
      <c r="H168" s="21">
        <v>1</v>
      </c>
      <c r="I168" s="21">
        <v>1</v>
      </c>
      <c r="J168" s="20" t="s">
        <v>114</v>
      </c>
      <c r="K168" s="20"/>
      <c r="L168" s="20" t="s">
        <v>228</v>
      </c>
      <c r="M168" s="20" t="s">
        <v>229</v>
      </c>
      <c r="N168" s="20" t="s">
        <v>236</v>
      </c>
      <c r="O168" s="26"/>
      <c r="P168" s="27"/>
    </row>
    <row r="169" spans="2:20">
      <c r="B169" s="20" t="s">
        <v>107</v>
      </c>
      <c r="C169" s="21" t="s">
        <v>224</v>
      </c>
      <c r="D169" s="20" t="s">
        <v>222</v>
      </c>
      <c r="E169" s="20" t="s">
        <v>218</v>
      </c>
      <c r="F169" s="21">
        <v>0</v>
      </c>
      <c r="G169" s="20"/>
      <c r="H169" s="21">
        <v>5</v>
      </c>
      <c r="I169" s="21">
        <v>5</v>
      </c>
      <c r="J169" s="20" t="s">
        <v>114</v>
      </c>
      <c r="K169" s="20"/>
      <c r="L169" s="20" t="s">
        <v>228</v>
      </c>
      <c r="M169" s="20" t="s">
        <v>218</v>
      </c>
      <c r="N169" s="20" t="s">
        <v>236</v>
      </c>
      <c r="O169" s="26"/>
      <c r="P169" s="27"/>
    </row>
    <row r="170" spans="2:20">
      <c r="B170" s="20" t="s">
        <v>107</v>
      </c>
      <c r="C170" s="21" t="s">
        <v>224</v>
      </c>
      <c r="D170" s="20" t="s">
        <v>222</v>
      </c>
      <c r="E170" s="20" t="s">
        <v>219</v>
      </c>
      <c r="F170" s="21">
        <v>0</v>
      </c>
      <c r="G170" s="20"/>
      <c r="H170" s="21">
        <v>5</v>
      </c>
      <c r="I170" s="21">
        <v>5</v>
      </c>
      <c r="J170" s="20" t="s">
        <v>114</v>
      </c>
      <c r="K170" s="20"/>
      <c r="L170" s="20" t="s">
        <v>228</v>
      </c>
      <c r="M170" s="20" t="s">
        <v>219</v>
      </c>
      <c r="N170" s="20" t="s">
        <v>236</v>
      </c>
      <c r="O170" s="26"/>
      <c r="P170" s="27"/>
    </row>
    <row r="171" spans="2:20">
      <c r="B171" s="20" t="s">
        <v>107</v>
      </c>
      <c r="C171" s="21" t="s">
        <v>224</v>
      </c>
      <c r="D171" s="20" t="s">
        <v>222</v>
      </c>
      <c r="E171" s="20" t="s">
        <v>229</v>
      </c>
      <c r="F171" s="21">
        <v>0</v>
      </c>
      <c r="G171" s="20"/>
      <c r="H171" s="21">
        <v>5</v>
      </c>
      <c r="I171" s="21">
        <v>5</v>
      </c>
      <c r="J171" s="20" t="s">
        <v>114</v>
      </c>
      <c r="K171" s="20"/>
      <c r="L171" s="20" t="s">
        <v>228</v>
      </c>
      <c r="M171" s="20" t="s">
        <v>229</v>
      </c>
      <c r="N171" s="20" t="s">
        <v>236</v>
      </c>
      <c r="O171" s="26"/>
      <c r="P171" s="27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T74"/>
  <sheetViews>
    <sheetView zoomScale="85" workbookViewId="0"/>
  </sheetViews>
  <sheetFormatPr defaultRowHeight="12.75"/>
  <sheetData>
    <row r="2" spans="1:20">
      <c r="A2" t="s">
        <v>79</v>
      </c>
      <c r="B2">
        <v>2015</v>
      </c>
      <c r="D2" t="s">
        <v>77</v>
      </c>
      <c r="E2" s="42">
        <f>1.015^(B3-B2)</f>
        <v>1.0456783749999996</v>
      </c>
    </row>
    <row r="3" spans="1:20">
      <c r="A3" t="s">
        <v>78</v>
      </c>
      <c r="B3">
        <v>2018</v>
      </c>
      <c r="D3" t="s">
        <v>77</v>
      </c>
      <c r="E3" s="43">
        <f>1.018^(B4-B3)</f>
        <v>2.3173092462564276E-16</v>
      </c>
      <c r="M3" t="s">
        <v>122</v>
      </c>
    </row>
    <row r="4" spans="1:20">
      <c r="L4" t="s">
        <v>164</v>
      </c>
      <c r="M4" s="12">
        <v>1</v>
      </c>
    </row>
    <row r="5" spans="1:20">
      <c r="L5" t="s">
        <v>165</v>
      </c>
      <c r="M5" s="12">
        <v>0</v>
      </c>
      <c r="Q5">
        <v>43.52</v>
      </c>
      <c r="R5">
        <f>Q5/J10</f>
        <v>1.6901036508879648</v>
      </c>
    </row>
    <row r="6" spans="1:20">
      <c r="H6" t="s">
        <v>272</v>
      </c>
      <c r="L6" t="s">
        <v>120</v>
      </c>
      <c r="M6" t="s">
        <v>121</v>
      </c>
      <c r="O6" t="s">
        <v>128</v>
      </c>
    </row>
    <row r="7" spans="1:20">
      <c r="F7" t="s">
        <v>270</v>
      </c>
      <c r="G7" t="s">
        <v>271</v>
      </c>
      <c r="H7" t="s">
        <v>273</v>
      </c>
      <c r="I7" t="s">
        <v>274</v>
      </c>
      <c r="J7" t="s">
        <v>75</v>
      </c>
      <c r="L7" t="s">
        <v>74</v>
      </c>
      <c r="M7" t="s">
        <v>74</v>
      </c>
    </row>
    <row r="8" spans="1:20">
      <c r="B8" t="s">
        <v>263</v>
      </c>
      <c r="C8" t="s">
        <v>264</v>
      </c>
      <c r="D8" s="6">
        <v>1</v>
      </c>
      <c r="E8" t="s">
        <v>40</v>
      </c>
      <c r="F8">
        <v>2.2400000000000002</v>
      </c>
      <c r="G8">
        <v>0</v>
      </c>
      <c r="H8">
        <v>1.2999999999999999E-2</v>
      </c>
      <c r="I8">
        <f>SUM(F8:H8)</f>
        <v>2.2530000000000001</v>
      </c>
      <c r="J8">
        <v>0.36</v>
      </c>
      <c r="L8" s="8">
        <f>I8/J8/$E$2</f>
        <v>5.9849505191625827</v>
      </c>
      <c r="M8" s="8">
        <f>SUM(F8*M$5,G8*M$4,H8)/J8/$E$2</f>
        <v>3.4533669218425905E-2</v>
      </c>
      <c r="S8" t="s">
        <v>125</v>
      </c>
      <c r="T8" t="s">
        <v>126</v>
      </c>
    </row>
    <row r="9" spans="1:20">
      <c r="B9" t="s">
        <v>263</v>
      </c>
      <c r="C9" t="s">
        <v>264</v>
      </c>
      <c r="D9" s="6">
        <v>2</v>
      </c>
      <c r="E9" t="s">
        <v>40</v>
      </c>
      <c r="F9">
        <v>0.69</v>
      </c>
      <c r="G9">
        <v>0</v>
      </c>
      <c r="H9">
        <v>1.2999999999999999E-2</v>
      </c>
      <c r="I9">
        <f>SUM(F9:H9)</f>
        <v>0.70299999999999996</v>
      </c>
      <c r="J9">
        <v>0.36</v>
      </c>
      <c r="L9" s="8">
        <f>I9/J9/$E$2</f>
        <v>1.8674745738887242</v>
      </c>
      <c r="M9" s="8">
        <f>SUM(F9*M$5,G9*M$4,H9)/J9/$E$2</f>
        <v>3.4533669218425905E-2</v>
      </c>
    </row>
    <row r="10" spans="1:20">
      <c r="B10" t="s">
        <v>262</v>
      </c>
      <c r="E10" t="s">
        <v>267</v>
      </c>
      <c r="F10">
        <v>52.77</v>
      </c>
      <c r="G10">
        <v>147.81</v>
      </c>
      <c r="H10">
        <v>1.18</v>
      </c>
      <c r="I10">
        <f>SUM(F10:H10)</f>
        <v>201.76000000000002</v>
      </c>
      <c r="J10" s="10">
        <v>25.7499</v>
      </c>
      <c r="L10" s="8">
        <f>I10/J10/$E$2</f>
        <v>7.4930977074547576</v>
      </c>
      <c r="M10" s="8">
        <f>SUM(F10*M$5,G10*M$4,H10)/J10/$E$2</f>
        <v>5.5332901835531541</v>
      </c>
      <c r="R10" t="s">
        <v>146</v>
      </c>
      <c r="S10" s="10">
        <v>76.790000000000006</v>
      </c>
      <c r="T10" s="10">
        <v>83.568579999999997</v>
      </c>
    </row>
    <row r="11" spans="1:20">
      <c r="B11" t="s">
        <v>260</v>
      </c>
      <c r="C11" t="s">
        <v>265</v>
      </c>
      <c r="E11" t="s">
        <v>266</v>
      </c>
      <c r="F11">
        <v>7.63</v>
      </c>
      <c r="G11">
        <v>12.94</v>
      </c>
      <c r="H11">
        <v>8.4000000000000005E-2</v>
      </c>
      <c r="I11">
        <f>SUM(F11:H11)</f>
        <v>20.654</v>
      </c>
      <c r="J11">
        <v>3.6</v>
      </c>
      <c r="L11" s="8">
        <f>I11/J11/$E$2</f>
        <v>5.486603107979759</v>
      </c>
      <c r="M11" s="8">
        <f>SUM(F11*M$5,G11*M$4,H11)/J11/$E$2</f>
        <v>3.459742368467531</v>
      </c>
      <c r="N11" s="7">
        <f>(I11-4.7)/J11/$E$2</f>
        <v>4.238078143928977</v>
      </c>
      <c r="R11" t="s">
        <v>147</v>
      </c>
      <c r="S11" s="10">
        <v>78.84</v>
      </c>
      <c r="T11" s="10">
        <v>88.263249999999999</v>
      </c>
    </row>
    <row r="12" spans="1:20">
      <c r="B12" t="s">
        <v>261</v>
      </c>
      <c r="E12" t="s">
        <v>266</v>
      </c>
      <c r="F12" s="10">
        <v>0</v>
      </c>
      <c r="G12">
        <v>0</v>
      </c>
      <c r="H12" s="10">
        <v>3</v>
      </c>
      <c r="I12">
        <f>SUM(F12:H12)</f>
        <v>3</v>
      </c>
      <c r="J12">
        <v>3.6</v>
      </c>
      <c r="L12" s="8">
        <f>I12/J12/$E$2</f>
        <v>0.79693082811752092</v>
      </c>
      <c r="M12" s="8">
        <f>SUM(F12*M$5,G12*M$4,H12)/J12/$E$2</f>
        <v>0.79693082811752092</v>
      </c>
      <c r="R12" t="s">
        <v>148</v>
      </c>
      <c r="S12" s="10">
        <v>80.42</v>
      </c>
      <c r="T12" s="10">
        <v>92.569090000000003</v>
      </c>
    </row>
    <row r="13" spans="1:20">
      <c r="R13" t="s">
        <v>149</v>
      </c>
      <c r="S13" s="10">
        <v>81.459999999999994</v>
      </c>
      <c r="T13" s="10">
        <v>95.377229999999997</v>
      </c>
    </row>
    <row r="14" spans="1:20">
      <c r="B14" t="s">
        <v>258</v>
      </c>
      <c r="C14" t="s">
        <v>259</v>
      </c>
      <c r="D14">
        <v>1</v>
      </c>
      <c r="E14" t="s">
        <v>40</v>
      </c>
      <c r="F14" s="8">
        <v>0.69399999999999995</v>
      </c>
      <c r="H14">
        <v>0</v>
      </c>
      <c r="I14" s="8">
        <f>SUM(F14:H14)</f>
        <v>0.69399999999999995</v>
      </c>
      <c r="J14">
        <v>0.36</v>
      </c>
      <c r="L14" s="8">
        <f>I14/J14/$E$2</f>
        <v>1.8435666490451985</v>
      </c>
      <c r="M14" s="8">
        <f>SUM(F14*M$5,G14*M$4,H14)/J14/$E$2</f>
        <v>0</v>
      </c>
      <c r="R14" t="s">
        <v>150</v>
      </c>
      <c r="S14" s="10">
        <v>81.58</v>
      </c>
      <c r="T14" s="10">
        <v>97.667450000000002</v>
      </c>
    </row>
    <row r="15" spans="1:20">
      <c r="B15" t="s">
        <v>258</v>
      </c>
      <c r="C15" t="s">
        <v>259</v>
      </c>
      <c r="D15">
        <v>2</v>
      </c>
      <c r="E15" t="s">
        <v>40</v>
      </c>
      <c r="F15" s="8">
        <v>0.42399999999999999</v>
      </c>
      <c r="H15">
        <v>0</v>
      </c>
      <c r="I15" s="8">
        <f>SUM(F15:H15)</f>
        <v>0.42399999999999999</v>
      </c>
      <c r="J15">
        <v>0.36</v>
      </c>
      <c r="L15" s="8">
        <f>I15/J15/$E$2</f>
        <v>1.1263289037394297</v>
      </c>
      <c r="M15" s="8">
        <f>SUM(F15*M$5,G15*M$4,H15)/J15/$E$2</f>
        <v>0</v>
      </c>
      <c r="R15" t="s">
        <v>151</v>
      </c>
      <c r="S15" s="10">
        <v>82.21</v>
      </c>
      <c r="T15" s="10">
        <v>100</v>
      </c>
    </row>
    <row r="16" spans="1:20">
      <c r="B16" t="s">
        <v>258</v>
      </c>
      <c r="C16" t="s">
        <v>259</v>
      </c>
      <c r="D16">
        <v>3</v>
      </c>
      <c r="E16" t="s">
        <v>40</v>
      </c>
      <c r="F16" s="8">
        <v>0.254</v>
      </c>
      <c r="H16">
        <v>0</v>
      </c>
      <c r="I16" s="8">
        <f>SUM(F16:H16)</f>
        <v>0.254</v>
      </c>
      <c r="J16">
        <v>0.36</v>
      </c>
      <c r="L16" s="8">
        <f>I16/J16/$E$2</f>
        <v>0.67473476780616781</v>
      </c>
      <c r="M16" s="8">
        <f>SUM(F16*M$5,G16*M$4,H16)/J16/$E$2</f>
        <v>0</v>
      </c>
      <c r="R16" t="s">
        <v>152</v>
      </c>
      <c r="S16" s="10">
        <v>83.26</v>
      </c>
      <c r="T16" s="10">
        <v>102.57429999999999</v>
      </c>
    </row>
    <row r="17" spans="2:20">
      <c r="J17" t="s">
        <v>76</v>
      </c>
      <c r="R17" t="s">
        <v>153</v>
      </c>
      <c r="S17" s="10">
        <v>84.57</v>
      </c>
      <c r="T17" s="10">
        <v>105.3205</v>
      </c>
    </row>
    <row r="18" spans="2:20">
      <c r="B18" t="s">
        <v>249</v>
      </c>
      <c r="D18">
        <v>0.1</v>
      </c>
      <c r="E18" t="s">
        <v>53</v>
      </c>
      <c r="F18">
        <v>51.2</v>
      </c>
      <c r="G18" s="8">
        <v>16.25</v>
      </c>
      <c r="H18">
        <v>0.68</v>
      </c>
      <c r="I18" s="8">
        <f t="shared" ref="I18:I27" si="0">SUM(F18:H18)</f>
        <v>68.13000000000001</v>
      </c>
      <c r="J18">
        <v>0.75</v>
      </c>
      <c r="K18">
        <v>43</v>
      </c>
      <c r="L18" s="8">
        <f t="shared" ref="L18:L27" si="1">I18/(J18*K18)/D18/$E$2</f>
        <v>20.202752491031333</v>
      </c>
      <c r="M18" s="8">
        <f>L18</f>
        <v>20.202752491031333</v>
      </c>
      <c r="R18" t="s">
        <v>154</v>
      </c>
      <c r="S18" s="10">
        <v>87.89</v>
      </c>
      <c r="T18" s="10">
        <v>109.43680000000001</v>
      </c>
    </row>
    <row r="19" spans="2:20">
      <c r="B19" t="s">
        <v>250</v>
      </c>
      <c r="D19">
        <v>0.1</v>
      </c>
      <c r="E19" t="s">
        <v>53</v>
      </c>
      <c r="F19" s="8">
        <v>31.65</v>
      </c>
      <c r="G19" s="8">
        <v>18.61</v>
      </c>
      <c r="H19">
        <v>0.35</v>
      </c>
      <c r="I19" s="8">
        <f t="shared" si="0"/>
        <v>50.61</v>
      </c>
      <c r="J19">
        <v>0.84499999999999997</v>
      </c>
      <c r="K19">
        <v>42.8</v>
      </c>
      <c r="L19" s="8">
        <f t="shared" si="1"/>
        <v>13.382514807618561</v>
      </c>
      <c r="M19" s="8">
        <f t="shared" ref="M19:M26" si="2">SUM(F19*M$5,G19*M$4,H19)/(J19*K19)/D19/$E$2</f>
        <v>5.0134850968671794</v>
      </c>
      <c r="R19" t="s">
        <v>155</v>
      </c>
      <c r="S19" s="10">
        <v>89.32</v>
      </c>
      <c r="T19" s="10">
        <v>110.7499</v>
      </c>
    </row>
    <row r="20" spans="2:20">
      <c r="B20" t="s">
        <v>123</v>
      </c>
      <c r="D20">
        <v>0.1</v>
      </c>
      <c r="E20" t="s">
        <v>53</v>
      </c>
      <c r="F20" s="8">
        <v>29.01</v>
      </c>
      <c r="G20" s="8">
        <f>8.53/2</f>
        <v>4.2649999999999997</v>
      </c>
      <c r="H20">
        <v>0.35</v>
      </c>
      <c r="I20" s="8">
        <f t="shared" si="0"/>
        <v>33.625</v>
      </c>
      <c r="J20">
        <v>0.84499999999999997</v>
      </c>
      <c r="K20">
        <v>42.8</v>
      </c>
      <c r="L20" s="8">
        <f t="shared" si="1"/>
        <v>8.8912677416750459</v>
      </c>
      <c r="M20" s="8">
        <f t="shared" si="2"/>
        <v>1.220318234284917</v>
      </c>
      <c r="R20" t="s">
        <v>133</v>
      </c>
      <c r="S20" s="10">
        <v>90.83</v>
      </c>
      <c r="T20" s="10">
        <v>113.407</v>
      </c>
    </row>
    <row r="21" spans="2:20">
      <c r="B21" t="s">
        <v>251</v>
      </c>
      <c r="D21">
        <v>0.1</v>
      </c>
      <c r="E21" t="s">
        <v>53</v>
      </c>
      <c r="F21">
        <v>37.549999999999997</v>
      </c>
      <c r="G21" s="8">
        <f>8.13*0</f>
        <v>0</v>
      </c>
      <c r="H21">
        <v>0.35</v>
      </c>
      <c r="I21" s="8">
        <f t="shared" si="0"/>
        <v>37.9</v>
      </c>
      <c r="J21">
        <v>0.84499999999999997</v>
      </c>
      <c r="K21" s="8">
        <v>27</v>
      </c>
      <c r="L21" s="8">
        <f t="shared" si="1"/>
        <v>15.886221373125073</v>
      </c>
      <c r="M21" s="8">
        <f t="shared" si="2"/>
        <v>0.14670652983097032</v>
      </c>
      <c r="R21" t="s">
        <v>156</v>
      </c>
      <c r="S21" s="10">
        <v>93.85</v>
      </c>
      <c r="T21" s="10">
        <v>117.07510000000001</v>
      </c>
    </row>
    <row r="22" spans="2:20">
      <c r="B22" t="s">
        <v>252</v>
      </c>
      <c r="D22">
        <v>0.1</v>
      </c>
      <c r="E22" t="s">
        <v>53</v>
      </c>
      <c r="F22" s="16">
        <v>10.28</v>
      </c>
      <c r="G22" s="17">
        <v>16.899999999999999</v>
      </c>
      <c r="H22" s="16">
        <v>0.35</v>
      </c>
      <c r="I22" s="8">
        <f t="shared" si="0"/>
        <v>27.53</v>
      </c>
      <c r="J22">
        <v>0.84499999999999997</v>
      </c>
      <c r="K22">
        <v>42.8</v>
      </c>
      <c r="L22" s="8">
        <f t="shared" si="1"/>
        <v>7.2796015145966999</v>
      </c>
      <c r="M22" s="8">
        <f t="shared" si="2"/>
        <v>4.5613195105990938</v>
      </c>
      <c r="O22" s="7">
        <f>8.5/(J22*K22)/D22/$E$2</f>
        <v>2.2476067153676698</v>
      </c>
      <c r="R22" t="s">
        <v>157</v>
      </c>
      <c r="S22">
        <v>96.81</v>
      </c>
      <c r="T22" s="7">
        <f>T21/T10</f>
        <v>1.4009463843947092</v>
      </c>
    </row>
    <row r="23" spans="2:20">
      <c r="B23" t="s">
        <v>253</v>
      </c>
      <c r="D23">
        <v>0.1</v>
      </c>
      <c r="E23" t="s">
        <v>53</v>
      </c>
      <c r="F23" s="16">
        <v>7.63</v>
      </c>
      <c r="G23" s="17">
        <v>16.899999999999999</v>
      </c>
      <c r="H23" s="16">
        <v>0.35</v>
      </c>
      <c r="I23" s="8">
        <f t="shared" si="0"/>
        <v>24.88</v>
      </c>
      <c r="J23">
        <v>0.84499999999999997</v>
      </c>
      <c r="K23">
        <v>42.8</v>
      </c>
      <c r="L23" s="8">
        <f t="shared" si="1"/>
        <v>6.5788770680408968</v>
      </c>
      <c r="M23" s="8">
        <f t="shared" si="2"/>
        <v>4.5613195105990938</v>
      </c>
      <c r="R23" t="s">
        <v>158</v>
      </c>
      <c r="S23">
        <v>98.96</v>
      </c>
    </row>
    <row r="24" spans="2:20">
      <c r="B24" t="s">
        <v>254</v>
      </c>
      <c r="D24">
        <v>0.1</v>
      </c>
      <c r="E24" t="s">
        <v>54</v>
      </c>
      <c r="F24" s="16">
        <v>8.56</v>
      </c>
      <c r="G24" s="16">
        <v>18.670000000000002</v>
      </c>
      <c r="H24" s="16">
        <v>0.28000000000000003</v>
      </c>
      <c r="I24" s="8">
        <f t="shared" si="0"/>
        <v>27.510000000000005</v>
      </c>
      <c r="J24">
        <v>1</v>
      </c>
      <c r="K24">
        <v>41.1</v>
      </c>
      <c r="L24" s="8">
        <f t="shared" si="1"/>
        <v>6.4010414836534322</v>
      </c>
      <c r="M24" s="8">
        <f t="shared" si="2"/>
        <v>4.4092961146940217</v>
      </c>
      <c r="O24" s="7">
        <f>10/(J24*K24)/D24/$E$2</f>
        <v>2.3268053375694042</v>
      </c>
      <c r="R24" t="s">
        <v>159</v>
      </c>
      <c r="S24">
        <v>100.16</v>
      </c>
    </row>
    <row r="25" spans="2:20">
      <c r="B25" t="s">
        <v>255</v>
      </c>
      <c r="D25">
        <v>0.1</v>
      </c>
      <c r="E25" t="s">
        <v>53</v>
      </c>
      <c r="F25" s="16">
        <v>7.63</v>
      </c>
      <c r="G25" s="16">
        <v>0</v>
      </c>
      <c r="H25" s="16">
        <v>0.35</v>
      </c>
      <c r="I25" s="8">
        <f t="shared" si="0"/>
        <v>7.9799999999999995</v>
      </c>
      <c r="J25">
        <v>0.84499999999999997</v>
      </c>
      <c r="K25">
        <v>42.8</v>
      </c>
      <c r="L25" s="8">
        <f t="shared" si="1"/>
        <v>2.1101060692510591</v>
      </c>
      <c r="M25" s="8">
        <f t="shared" si="2"/>
        <v>9.2548511809256981E-2</v>
      </c>
      <c r="R25" t="s">
        <v>160</v>
      </c>
      <c r="S25">
        <v>100</v>
      </c>
    </row>
    <row r="26" spans="2:20">
      <c r="B26" t="s">
        <v>256</v>
      </c>
      <c r="D26">
        <v>0.1</v>
      </c>
      <c r="E26" t="s">
        <v>54</v>
      </c>
      <c r="F26" s="16">
        <v>9.81</v>
      </c>
      <c r="G26" s="16">
        <v>18.09</v>
      </c>
      <c r="H26" s="16">
        <v>0.11</v>
      </c>
      <c r="I26" s="8">
        <f t="shared" si="0"/>
        <v>28.009999999999998</v>
      </c>
      <c r="J26">
        <v>1</v>
      </c>
      <c r="K26" s="14">
        <v>46.2</v>
      </c>
      <c r="L26" s="8">
        <f t="shared" si="1"/>
        <v>5.7979305183303262</v>
      </c>
      <c r="M26" s="8">
        <f t="shared" si="2"/>
        <v>3.7673093692828261</v>
      </c>
      <c r="R26" t="s">
        <v>161</v>
      </c>
      <c r="S26">
        <v>100.39</v>
      </c>
    </row>
    <row r="27" spans="2:20">
      <c r="B27" t="s">
        <v>257</v>
      </c>
      <c r="D27">
        <v>0.1</v>
      </c>
      <c r="E27" t="s">
        <v>53</v>
      </c>
      <c r="F27" s="16">
        <v>26.1</v>
      </c>
      <c r="G27" s="16">
        <v>4.34</v>
      </c>
      <c r="H27" s="16">
        <v>0.68</v>
      </c>
      <c r="I27" s="8">
        <f t="shared" si="0"/>
        <v>31.12</v>
      </c>
      <c r="J27">
        <v>0.84499999999999997</v>
      </c>
      <c r="K27" s="8">
        <v>20</v>
      </c>
      <c r="L27" s="8">
        <f t="shared" si="1"/>
        <v>17.609813517882074</v>
      </c>
      <c r="M27" s="8">
        <f>MAX(L27*0.6,SUM(F27*M$5,G27*M$4,H27)/(J27*K27)/D27/$E$2)</f>
        <v>10.565888110729244</v>
      </c>
      <c r="R27" t="s">
        <v>162</v>
      </c>
      <c r="S27">
        <v>101.23</v>
      </c>
    </row>
    <row r="28" spans="2:20">
      <c r="R28" t="s">
        <v>163</v>
      </c>
      <c r="S28">
        <v>102.42</v>
      </c>
    </row>
    <row r="29" spans="2:20">
      <c r="F29" s="9" t="s">
        <v>73</v>
      </c>
      <c r="G29" s="9" t="s">
        <v>119</v>
      </c>
      <c r="H29" s="9" t="s">
        <v>129</v>
      </c>
      <c r="I29" s="9" t="s">
        <v>52</v>
      </c>
      <c r="J29" s="9" t="s">
        <v>80</v>
      </c>
      <c r="K29" s="9" t="s">
        <v>73</v>
      </c>
      <c r="L29" s="9" t="s">
        <v>119</v>
      </c>
      <c r="M29" s="9" t="s">
        <v>129</v>
      </c>
      <c r="N29" s="9" t="s">
        <v>52</v>
      </c>
      <c r="O29" s="9" t="s">
        <v>80</v>
      </c>
      <c r="P29" s="9" t="s">
        <v>73</v>
      </c>
    </row>
    <row r="30" spans="2:20">
      <c r="B30" t="s">
        <v>41</v>
      </c>
      <c r="C30" t="s">
        <v>268</v>
      </c>
      <c r="D30" t="s">
        <v>68</v>
      </c>
      <c r="F30" s="40">
        <f>L8</f>
        <v>5.9849505191625827</v>
      </c>
      <c r="G30" s="40">
        <f>M8</f>
        <v>3.4533669218425905E-2</v>
      </c>
      <c r="H30" s="40">
        <f>L9</f>
        <v>1.8674745738887242</v>
      </c>
      <c r="I30" t="s">
        <v>25</v>
      </c>
      <c r="J30" t="s">
        <v>67</v>
      </c>
      <c r="K30" s="8">
        <f>VLOOKUP(J30,$B$30:$F$45,5,0)</f>
        <v>2.4986542452424554</v>
      </c>
      <c r="L30" s="8">
        <f t="shared" ref="L30:L62" si="3">VLOOKUP(J30,$B$30:$G$45,6,0)</f>
        <v>3.4533669218425898E-2</v>
      </c>
      <c r="M30" s="8">
        <f t="shared" ref="M30:M62" si="4">VLOOKUP(J30,$B$30:$H$45,7,0)</f>
        <v>1.8674745738887242</v>
      </c>
      <c r="N30" t="s">
        <v>91</v>
      </c>
      <c r="O30" t="s">
        <v>99</v>
      </c>
      <c r="P30" s="8">
        <f t="shared" ref="P30:P37" si="5">VLOOKUP(O30,$B$30:$F$48,5,0)</f>
        <v>1.8435666490451985</v>
      </c>
      <c r="S30">
        <f>S28/S20</f>
        <v>1.1276010128812066</v>
      </c>
    </row>
    <row r="31" spans="2:20">
      <c r="B31" t="s">
        <v>42</v>
      </c>
      <c r="C31" t="s">
        <v>268</v>
      </c>
      <c r="D31" t="s">
        <v>69</v>
      </c>
      <c r="F31" s="40">
        <f>L9</f>
        <v>1.8674745738887242</v>
      </c>
      <c r="G31" s="40">
        <f>M9</f>
        <v>3.4533669218425905E-2</v>
      </c>
      <c r="H31" s="40">
        <f>F31</f>
        <v>1.8674745738887242</v>
      </c>
      <c r="I31" t="s">
        <v>20</v>
      </c>
      <c r="J31" t="s">
        <v>42</v>
      </c>
      <c r="K31" s="8">
        <f>VLOOKUP(J31,$B$30:$F$45,5,0)*0.25</f>
        <v>0.46686864347218104</v>
      </c>
      <c r="L31" s="8">
        <f t="shared" si="3"/>
        <v>3.4533669218425905E-2</v>
      </c>
      <c r="M31" s="8">
        <f t="shared" si="4"/>
        <v>1.8674745738887242</v>
      </c>
      <c r="N31" t="s">
        <v>92</v>
      </c>
      <c r="O31" t="s">
        <v>99</v>
      </c>
      <c r="P31" s="8">
        <f t="shared" si="5"/>
        <v>1.8435666490451985</v>
      </c>
    </row>
    <row r="32" spans="2:20">
      <c r="B32" t="s">
        <v>67</v>
      </c>
      <c r="C32" t="s">
        <v>268</v>
      </c>
      <c r="D32" t="s">
        <v>70</v>
      </c>
      <c r="F32" s="40">
        <f>F30^0.25*F31^0.75</f>
        <v>2.4986542452424554</v>
      </c>
      <c r="G32" s="40">
        <f>G30^0.25*G31^0.75</f>
        <v>3.4533669218425898E-2</v>
      </c>
      <c r="H32" s="40">
        <f>H31</f>
        <v>1.8674745738887242</v>
      </c>
      <c r="I32" t="s">
        <v>21</v>
      </c>
      <c r="J32" t="s">
        <v>42</v>
      </c>
      <c r="K32" s="8">
        <f>VLOOKUP(J32,$B$30:$F$45,5,0)*0.25</f>
        <v>0.46686864347218104</v>
      </c>
      <c r="L32" s="8">
        <f t="shared" si="3"/>
        <v>3.4533669218425905E-2</v>
      </c>
      <c r="M32" s="8">
        <f t="shared" si="4"/>
        <v>1.8674745738887242</v>
      </c>
      <c r="N32" t="s">
        <v>93</v>
      </c>
      <c r="O32" t="s">
        <v>101</v>
      </c>
      <c r="P32" s="8">
        <f t="shared" si="5"/>
        <v>0.67473476780616781</v>
      </c>
    </row>
    <row r="33" spans="2:16">
      <c r="B33" t="s">
        <v>44</v>
      </c>
      <c r="C33" t="s">
        <v>262</v>
      </c>
      <c r="F33" s="40">
        <f t="shared" ref="F33:G35" si="6">L10</f>
        <v>7.4930977074547576</v>
      </c>
      <c r="G33" s="40">
        <f t="shared" si="6"/>
        <v>5.5332901835531541</v>
      </c>
      <c r="H33" s="40">
        <f>G33</f>
        <v>5.5332901835531541</v>
      </c>
      <c r="I33" t="s">
        <v>22</v>
      </c>
      <c r="J33" t="s">
        <v>42</v>
      </c>
      <c r="K33" s="8">
        <f>VLOOKUP(J33,$B$30:$F$45,5,0)*0.25</f>
        <v>0.46686864347218104</v>
      </c>
      <c r="L33" s="8">
        <f t="shared" si="3"/>
        <v>3.4533669218425905E-2</v>
      </c>
      <c r="M33" s="8">
        <f t="shared" si="4"/>
        <v>1.8674745738887242</v>
      </c>
      <c r="N33" t="s">
        <v>94</v>
      </c>
      <c r="O33" t="s">
        <v>101</v>
      </c>
      <c r="P33" s="8">
        <f t="shared" si="5"/>
        <v>0.67473476780616781</v>
      </c>
    </row>
    <row r="34" spans="2:16">
      <c r="B34" t="s">
        <v>43</v>
      </c>
      <c r="C34" t="s">
        <v>260</v>
      </c>
      <c r="F34" s="40">
        <f t="shared" si="6"/>
        <v>5.486603107979759</v>
      </c>
      <c r="G34" s="40">
        <f t="shared" si="6"/>
        <v>3.459742368467531</v>
      </c>
      <c r="H34" s="40">
        <f>G34</f>
        <v>3.459742368467531</v>
      </c>
      <c r="I34" t="s">
        <v>23</v>
      </c>
      <c r="J34" t="s">
        <v>42</v>
      </c>
      <c r="K34" s="8">
        <f>VLOOKUP(J34,$B$30:$F$45,5,0)*0.25</f>
        <v>0.46686864347218104</v>
      </c>
      <c r="L34" s="8">
        <f t="shared" si="3"/>
        <v>3.4533669218425905E-2</v>
      </c>
      <c r="M34" s="8">
        <f t="shared" si="4"/>
        <v>1.8674745738887242</v>
      </c>
      <c r="N34" t="s">
        <v>95</v>
      </c>
      <c r="O34" t="s">
        <v>101</v>
      </c>
      <c r="P34" s="8">
        <f t="shared" si="5"/>
        <v>0.67473476780616781</v>
      </c>
    </row>
    <row r="35" spans="2:16">
      <c r="B35" t="s">
        <v>45</v>
      </c>
      <c r="C35" t="s">
        <v>261</v>
      </c>
      <c r="F35" s="40">
        <f t="shared" si="6"/>
        <v>0.79693082811752092</v>
      </c>
      <c r="G35" s="40">
        <f t="shared" si="6"/>
        <v>0.79693082811752092</v>
      </c>
      <c r="H35" s="40">
        <f>G35</f>
        <v>0.79693082811752092</v>
      </c>
      <c r="I35" t="s">
        <v>24</v>
      </c>
      <c r="J35" t="s">
        <v>42</v>
      </c>
      <c r="K35" s="8">
        <f>VLOOKUP(J35,$B$30:$F$45,5,0)*0.25</f>
        <v>0.46686864347218104</v>
      </c>
      <c r="L35" s="8">
        <f t="shared" si="3"/>
        <v>3.4533669218425905E-2</v>
      </c>
      <c r="M35" s="8">
        <f t="shared" si="4"/>
        <v>1.8674745738887242</v>
      </c>
      <c r="N35" t="s">
        <v>96</v>
      </c>
      <c r="O35" t="s">
        <v>99</v>
      </c>
      <c r="P35" s="8">
        <f t="shared" si="5"/>
        <v>1.8435666490451985</v>
      </c>
    </row>
    <row r="36" spans="2:16">
      <c r="B36" t="s">
        <v>46</v>
      </c>
      <c r="C36" t="s">
        <v>269</v>
      </c>
      <c r="F36" s="40">
        <f>L18</f>
        <v>20.202752491031333</v>
      </c>
      <c r="G36" s="40">
        <f>M18</f>
        <v>20.202752491031333</v>
      </c>
      <c r="H36" s="40">
        <f>G36</f>
        <v>20.202752491031333</v>
      </c>
      <c r="I36" t="s">
        <v>26</v>
      </c>
      <c r="J36" t="s">
        <v>42</v>
      </c>
      <c r="K36" s="8">
        <f t="shared" ref="K36:K62" si="7">VLOOKUP(J36,$B$30:$F$45,5,0)</f>
        <v>1.8674745738887242</v>
      </c>
      <c r="L36" s="8">
        <f t="shared" si="3"/>
        <v>3.4533669218425905E-2</v>
      </c>
      <c r="M36" s="8">
        <f t="shared" si="4"/>
        <v>1.8674745738887242</v>
      </c>
      <c r="N36" t="s">
        <v>97</v>
      </c>
      <c r="O36" t="s">
        <v>99</v>
      </c>
      <c r="P36" s="8">
        <f t="shared" si="5"/>
        <v>1.8435666490451985</v>
      </c>
    </row>
    <row r="37" spans="2:16">
      <c r="B37" t="s">
        <v>47</v>
      </c>
      <c r="C37" t="s">
        <v>250</v>
      </c>
      <c r="F37" s="40">
        <f>L19</f>
        <v>13.382514807618561</v>
      </c>
      <c r="G37" s="40">
        <f>M19</f>
        <v>5.0134850968671794</v>
      </c>
      <c r="H37" s="40">
        <f>G37</f>
        <v>5.0134850968671794</v>
      </c>
      <c r="I37" t="s">
        <v>27</v>
      </c>
      <c r="J37" t="s">
        <v>41</v>
      </c>
      <c r="K37" s="8">
        <f t="shared" si="7"/>
        <v>5.9849505191625827</v>
      </c>
      <c r="L37" s="8">
        <f t="shared" si="3"/>
        <v>3.4533669218425905E-2</v>
      </c>
      <c r="M37" s="8">
        <f t="shared" si="4"/>
        <v>1.8674745738887242</v>
      </c>
      <c r="N37" t="s">
        <v>98</v>
      </c>
      <c r="O37" t="s">
        <v>99</v>
      </c>
      <c r="P37" s="8">
        <f t="shared" si="5"/>
        <v>1.8435666490451985</v>
      </c>
    </row>
    <row r="38" spans="2:16">
      <c r="B38" t="s">
        <v>48</v>
      </c>
      <c r="C38" t="s">
        <v>252</v>
      </c>
      <c r="F38" s="40">
        <f>L23</f>
        <v>6.5788770680408968</v>
      </c>
      <c r="G38" s="40">
        <f>M23</f>
        <v>4.5613195105990938</v>
      </c>
      <c r="H38" s="40">
        <f>O22</f>
        <v>2.2476067153676698</v>
      </c>
      <c r="I38" t="s">
        <v>28</v>
      </c>
      <c r="J38" t="s">
        <v>41</v>
      </c>
      <c r="K38" s="8">
        <f t="shared" si="7"/>
        <v>5.9849505191625827</v>
      </c>
      <c r="L38" s="8">
        <f t="shared" si="3"/>
        <v>3.4533669218425905E-2</v>
      </c>
      <c r="M38" s="8">
        <f t="shared" si="4"/>
        <v>1.8674745738887242</v>
      </c>
      <c r="N38" t="s">
        <v>105</v>
      </c>
    </row>
    <row r="39" spans="2:16">
      <c r="B39" t="s">
        <v>49</v>
      </c>
      <c r="C39" t="s">
        <v>254</v>
      </c>
      <c r="F39" s="40">
        <f>L24</f>
        <v>6.4010414836534322</v>
      </c>
      <c r="G39" s="40">
        <f>M24</f>
        <v>4.4092961146940217</v>
      </c>
      <c r="H39" s="40">
        <f>O24</f>
        <v>2.3268053375694042</v>
      </c>
      <c r="I39" t="s">
        <v>29</v>
      </c>
      <c r="J39" t="s">
        <v>41</v>
      </c>
      <c r="K39" s="8">
        <f t="shared" si="7"/>
        <v>5.9849505191625827</v>
      </c>
      <c r="L39" s="8">
        <f t="shared" si="3"/>
        <v>3.4533669218425905E-2</v>
      </c>
      <c r="M39" s="8">
        <f t="shared" si="4"/>
        <v>1.8674745738887242</v>
      </c>
    </row>
    <row r="40" spans="2:16">
      <c r="B40" t="s">
        <v>71</v>
      </c>
      <c r="C40" t="s">
        <v>72</v>
      </c>
      <c r="F40" s="40">
        <f>F39*0.8</f>
        <v>5.1208331869227459</v>
      </c>
      <c r="G40" s="40">
        <f>G39*0.8</f>
        <v>3.5274368917552175</v>
      </c>
      <c r="H40" s="40">
        <f>H38</f>
        <v>2.2476067153676698</v>
      </c>
      <c r="I40" t="s">
        <v>30</v>
      </c>
      <c r="J40" t="s">
        <v>41</v>
      </c>
      <c r="K40" s="8">
        <f t="shared" si="7"/>
        <v>5.9849505191625827</v>
      </c>
      <c r="L40" s="8">
        <f t="shared" si="3"/>
        <v>3.4533669218425905E-2</v>
      </c>
      <c r="M40" s="8">
        <f t="shared" si="4"/>
        <v>1.8674745738887242</v>
      </c>
    </row>
    <row r="41" spans="2:16">
      <c r="B41" t="s">
        <v>130</v>
      </c>
      <c r="C41" t="s">
        <v>131</v>
      </c>
      <c r="F41" s="41">
        <f>L25</f>
        <v>2.1101060692510591</v>
      </c>
      <c r="G41" s="41">
        <f>M25</f>
        <v>9.2548511809256981E-2</v>
      </c>
      <c r="H41" s="41">
        <f>G41</f>
        <v>9.2548511809256981E-2</v>
      </c>
      <c r="I41" t="s">
        <v>31</v>
      </c>
      <c r="J41" t="s">
        <v>41</v>
      </c>
      <c r="K41" s="8">
        <f t="shared" si="7"/>
        <v>5.9849505191625827</v>
      </c>
      <c r="L41" s="8">
        <f t="shared" si="3"/>
        <v>3.4533669218425905E-2</v>
      </c>
      <c r="M41" s="8">
        <f t="shared" si="4"/>
        <v>1.8674745738887242</v>
      </c>
    </row>
    <row r="42" spans="2:16">
      <c r="B42" t="s">
        <v>50</v>
      </c>
      <c r="C42" t="s">
        <v>55</v>
      </c>
      <c r="F42" s="40">
        <f>L26</f>
        <v>5.7979305183303262</v>
      </c>
      <c r="G42" s="40">
        <f>M26</f>
        <v>3.7673093692828261</v>
      </c>
      <c r="H42" s="40">
        <f>G42</f>
        <v>3.7673093692828261</v>
      </c>
      <c r="I42" t="s">
        <v>34</v>
      </c>
      <c r="J42" t="s">
        <v>43</v>
      </c>
      <c r="K42" s="8">
        <f t="shared" si="7"/>
        <v>5.486603107979759</v>
      </c>
      <c r="L42" s="8">
        <f t="shared" si="3"/>
        <v>3.459742368467531</v>
      </c>
      <c r="M42" s="8">
        <f t="shared" si="4"/>
        <v>3.459742368467531</v>
      </c>
    </row>
    <row r="43" spans="2:16">
      <c r="B43" t="s">
        <v>51</v>
      </c>
      <c r="C43" t="s">
        <v>56</v>
      </c>
      <c r="F43" s="40">
        <f>F42</f>
        <v>5.7979305183303262</v>
      </c>
      <c r="G43" s="40">
        <f>G42</f>
        <v>3.7673093692828261</v>
      </c>
      <c r="H43" s="40">
        <f>G43</f>
        <v>3.7673093692828261</v>
      </c>
      <c r="I43" t="s">
        <v>59</v>
      </c>
      <c r="J43" t="s">
        <v>43</v>
      </c>
      <c r="K43" s="8">
        <f t="shared" si="7"/>
        <v>5.486603107979759</v>
      </c>
      <c r="L43" s="8">
        <f t="shared" si="3"/>
        <v>3.459742368467531</v>
      </c>
      <c r="M43" s="8">
        <f t="shared" si="4"/>
        <v>3.459742368467531</v>
      </c>
    </row>
    <row r="44" spans="2:16">
      <c r="B44" t="s">
        <v>140</v>
      </c>
      <c r="F44" s="41">
        <f>L27</f>
        <v>17.609813517882074</v>
      </c>
      <c r="G44" s="40">
        <f>M27</f>
        <v>10.565888110729244</v>
      </c>
      <c r="H44" s="40">
        <f>G44</f>
        <v>10.565888110729244</v>
      </c>
      <c r="I44" t="s">
        <v>58</v>
      </c>
      <c r="J44" t="s">
        <v>49</v>
      </c>
      <c r="K44" s="8">
        <f t="shared" si="7"/>
        <v>6.4010414836534322</v>
      </c>
      <c r="L44" s="8">
        <f t="shared" si="3"/>
        <v>4.4092961146940217</v>
      </c>
      <c r="M44" s="8">
        <f t="shared" si="4"/>
        <v>2.3268053375694042</v>
      </c>
    </row>
    <row r="45" spans="2:16">
      <c r="B45" t="s">
        <v>141</v>
      </c>
      <c r="F45" s="41">
        <f>L21</f>
        <v>15.886221373125073</v>
      </c>
      <c r="G45" s="41">
        <f>M21</f>
        <v>0.14670652983097032</v>
      </c>
      <c r="H45" s="40">
        <f>G45</f>
        <v>0.14670652983097032</v>
      </c>
      <c r="I45" t="s">
        <v>33</v>
      </c>
      <c r="J45" t="s">
        <v>44</v>
      </c>
      <c r="K45" s="8">
        <f t="shared" si="7"/>
        <v>7.4930977074547576</v>
      </c>
      <c r="L45" s="8">
        <f t="shared" si="3"/>
        <v>5.5332901835531541</v>
      </c>
      <c r="M45" s="8">
        <f t="shared" si="4"/>
        <v>5.5332901835531541</v>
      </c>
    </row>
    <row r="46" spans="2:16">
      <c r="B46" t="s">
        <v>99</v>
      </c>
      <c r="C46" t="s">
        <v>102</v>
      </c>
      <c r="F46" s="41">
        <f t="shared" ref="F46:G48" si="8">L14</f>
        <v>1.8435666490451985</v>
      </c>
      <c r="G46" s="41">
        <f t="shared" si="8"/>
        <v>0</v>
      </c>
      <c r="I46" t="s">
        <v>60</v>
      </c>
      <c r="J46" t="s">
        <v>45</v>
      </c>
      <c r="K46" s="8">
        <f t="shared" si="7"/>
        <v>0.79693082811752092</v>
      </c>
      <c r="L46" s="8">
        <f t="shared" si="3"/>
        <v>0.79693082811752092</v>
      </c>
      <c r="M46" s="8">
        <f t="shared" si="4"/>
        <v>0.79693082811752092</v>
      </c>
    </row>
    <row r="47" spans="2:16">
      <c r="B47" t="s">
        <v>100</v>
      </c>
      <c r="C47" t="s">
        <v>104</v>
      </c>
      <c r="F47" s="41">
        <f t="shared" si="8"/>
        <v>1.1263289037394297</v>
      </c>
      <c r="G47" s="41">
        <f t="shared" si="8"/>
        <v>0</v>
      </c>
      <c r="I47" t="s">
        <v>9</v>
      </c>
      <c r="J47" t="s">
        <v>48</v>
      </c>
      <c r="K47" s="8">
        <f t="shared" si="7"/>
        <v>6.5788770680408968</v>
      </c>
      <c r="L47" s="8">
        <f t="shared" si="3"/>
        <v>4.5613195105990938</v>
      </c>
      <c r="M47" s="8">
        <f t="shared" si="4"/>
        <v>2.2476067153676698</v>
      </c>
    </row>
    <row r="48" spans="2:16">
      <c r="B48" t="s">
        <v>101</v>
      </c>
      <c r="C48" t="s">
        <v>103</v>
      </c>
      <c r="F48" s="41">
        <f t="shared" si="8"/>
        <v>0.67473476780616781</v>
      </c>
      <c r="G48" s="41">
        <f t="shared" si="8"/>
        <v>0</v>
      </c>
      <c r="I48" t="s">
        <v>11</v>
      </c>
      <c r="J48" t="s">
        <v>49</v>
      </c>
      <c r="K48" s="8">
        <f t="shared" si="7"/>
        <v>6.4010414836534322</v>
      </c>
      <c r="L48" s="8">
        <f t="shared" si="3"/>
        <v>4.4092961146940217</v>
      </c>
      <c r="M48" s="8">
        <f t="shared" si="4"/>
        <v>2.3268053375694042</v>
      </c>
    </row>
    <row r="49" spans="9:13">
      <c r="I49" t="s">
        <v>61</v>
      </c>
      <c r="J49" t="s">
        <v>43</v>
      </c>
      <c r="K49" s="8">
        <f t="shared" si="7"/>
        <v>5.486603107979759</v>
      </c>
      <c r="L49" s="8">
        <f t="shared" si="3"/>
        <v>3.459742368467531</v>
      </c>
      <c r="M49" s="8">
        <f t="shared" si="4"/>
        <v>3.459742368467531</v>
      </c>
    </row>
    <row r="50" spans="9:13">
      <c r="I50" t="s">
        <v>62</v>
      </c>
      <c r="J50" t="s">
        <v>71</v>
      </c>
      <c r="K50" s="8">
        <f t="shared" si="7"/>
        <v>5.1208331869227459</v>
      </c>
      <c r="L50" s="8">
        <f t="shared" si="3"/>
        <v>3.5274368917552175</v>
      </c>
      <c r="M50" s="8">
        <f t="shared" si="4"/>
        <v>2.2476067153676698</v>
      </c>
    </row>
    <row r="51" spans="9:13">
      <c r="I51" t="s">
        <v>63</v>
      </c>
      <c r="J51" t="s">
        <v>45</v>
      </c>
      <c r="K51" s="8">
        <f t="shared" si="7"/>
        <v>0.79693082811752092</v>
      </c>
      <c r="L51" s="8">
        <f t="shared" si="3"/>
        <v>0.79693082811752092</v>
      </c>
      <c r="M51" s="8">
        <f t="shared" si="4"/>
        <v>0.79693082811752092</v>
      </c>
    </row>
    <row r="52" spans="9:13">
      <c r="I52" t="s">
        <v>64</v>
      </c>
      <c r="J52" t="s">
        <v>44</v>
      </c>
      <c r="K52" s="8">
        <f t="shared" si="7"/>
        <v>7.4930977074547576</v>
      </c>
      <c r="L52" s="8">
        <f t="shared" si="3"/>
        <v>5.5332901835531541</v>
      </c>
      <c r="M52" s="8">
        <f t="shared" si="4"/>
        <v>5.5332901835531541</v>
      </c>
    </row>
    <row r="53" spans="9:13">
      <c r="I53" t="s">
        <v>65</v>
      </c>
      <c r="J53" t="s">
        <v>49</v>
      </c>
      <c r="K53" s="8">
        <f t="shared" si="7"/>
        <v>6.4010414836534322</v>
      </c>
      <c r="L53" s="8">
        <f t="shared" si="3"/>
        <v>4.4092961146940217</v>
      </c>
      <c r="M53" s="8">
        <f t="shared" si="4"/>
        <v>2.3268053375694042</v>
      </c>
    </row>
    <row r="54" spans="9:13">
      <c r="I54" t="s">
        <v>118</v>
      </c>
      <c r="J54" t="s">
        <v>130</v>
      </c>
      <c r="K54" s="8">
        <f t="shared" si="7"/>
        <v>2.1101060692510591</v>
      </c>
      <c r="L54" s="8">
        <f t="shared" si="3"/>
        <v>9.2548511809256981E-2</v>
      </c>
      <c r="M54" s="8">
        <f t="shared" si="4"/>
        <v>9.2548511809256981E-2</v>
      </c>
    </row>
    <row r="55" spans="9:13">
      <c r="I55" t="s">
        <v>36</v>
      </c>
      <c r="J55" t="s">
        <v>71</v>
      </c>
      <c r="K55" s="8">
        <f t="shared" si="7"/>
        <v>5.1208331869227459</v>
      </c>
      <c r="L55" s="8">
        <f t="shared" si="3"/>
        <v>3.5274368917552175</v>
      </c>
      <c r="M55" s="8">
        <f t="shared" si="4"/>
        <v>2.2476067153676698</v>
      </c>
    </row>
    <row r="56" spans="9:13">
      <c r="I56" t="s">
        <v>35</v>
      </c>
      <c r="J56" t="s">
        <v>48</v>
      </c>
      <c r="K56" s="8">
        <f t="shared" si="7"/>
        <v>6.5788770680408968</v>
      </c>
      <c r="L56" s="8">
        <f t="shared" si="3"/>
        <v>4.5613195105990938</v>
      </c>
      <c r="M56" s="8">
        <f t="shared" si="4"/>
        <v>2.2476067153676698</v>
      </c>
    </row>
    <row r="57" spans="9:13">
      <c r="I57" t="s">
        <v>10</v>
      </c>
      <c r="J57" t="s">
        <v>71</v>
      </c>
      <c r="K57" s="8">
        <f t="shared" si="7"/>
        <v>5.1208331869227459</v>
      </c>
      <c r="L57" s="8">
        <f t="shared" si="3"/>
        <v>3.5274368917552175</v>
      </c>
      <c r="M57" s="8">
        <f t="shared" si="4"/>
        <v>2.2476067153676698</v>
      </c>
    </row>
    <row r="58" spans="9:13">
      <c r="I58" t="s">
        <v>8</v>
      </c>
      <c r="J58" t="s">
        <v>49</v>
      </c>
      <c r="K58" s="8">
        <f t="shared" si="7"/>
        <v>6.4010414836534322</v>
      </c>
      <c r="L58" s="8">
        <f t="shared" si="3"/>
        <v>4.4092961146940217</v>
      </c>
      <c r="M58" s="8">
        <f t="shared" si="4"/>
        <v>2.3268053375694042</v>
      </c>
    </row>
    <row r="59" spans="9:13">
      <c r="I59" t="s">
        <v>7</v>
      </c>
      <c r="J59" t="s">
        <v>44</v>
      </c>
      <c r="K59" s="8">
        <f t="shared" si="7"/>
        <v>7.4930977074547576</v>
      </c>
      <c r="L59" s="8">
        <f t="shared" si="3"/>
        <v>5.5332901835531541</v>
      </c>
      <c r="M59" s="8">
        <f t="shared" si="4"/>
        <v>5.5332901835531541</v>
      </c>
    </row>
    <row r="60" spans="9:13">
      <c r="I60" t="s">
        <v>39</v>
      </c>
      <c r="J60" t="s">
        <v>45</v>
      </c>
      <c r="K60" s="8">
        <f t="shared" si="7"/>
        <v>0.79693082811752092</v>
      </c>
      <c r="L60" s="8">
        <f t="shared" si="3"/>
        <v>0.79693082811752092</v>
      </c>
      <c r="M60" s="8">
        <f t="shared" si="4"/>
        <v>0.79693082811752092</v>
      </c>
    </row>
    <row r="61" spans="9:13">
      <c r="I61" t="s">
        <v>38</v>
      </c>
      <c r="J61" t="s">
        <v>44</v>
      </c>
      <c r="K61" s="8">
        <f t="shared" si="7"/>
        <v>7.4930977074547576</v>
      </c>
      <c r="L61" s="8">
        <f t="shared" si="3"/>
        <v>5.5332901835531541</v>
      </c>
      <c r="M61" s="8">
        <f t="shared" si="4"/>
        <v>5.5332901835531541</v>
      </c>
    </row>
    <row r="62" spans="9:13">
      <c r="I62" t="s">
        <v>37</v>
      </c>
      <c r="J62" t="s">
        <v>71</v>
      </c>
      <c r="K62" s="8">
        <f t="shared" si="7"/>
        <v>5.1208331869227459</v>
      </c>
      <c r="L62" s="8">
        <f t="shared" si="3"/>
        <v>3.5274368917552175</v>
      </c>
      <c r="M62" s="8">
        <f t="shared" si="4"/>
        <v>2.2476067153676698</v>
      </c>
    </row>
    <row r="63" spans="9:13">
      <c r="I63" t="s">
        <v>81</v>
      </c>
      <c r="J63" t="s">
        <v>44</v>
      </c>
      <c r="K63" s="8">
        <f t="shared" ref="K63:K69" si="9">VLOOKUP(J63,$B$30:$F$43,5,0)</f>
        <v>7.4930977074547576</v>
      </c>
      <c r="L63" s="8">
        <f t="shared" ref="L63:L69" si="10">VLOOKUP(J63,$B$30:$F$43,5,0)</f>
        <v>7.4930977074547576</v>
      </c>
      <c r="M63" s="8">
        <f t="shared" ref="M63:M69" si="11">VLOOKUP(J63,$B$30:$H$43,7,0)</f>
        <v>5.5332901835531541</v>
      </c>
    </row>
    <row r="64" spans="9:13">
      <c r="I64" t="s">
        <v>82</v>
      </c>
      <c r="J64" t="s">
        <v>51</v>
      </c>
      <c r="K64" s="8">
        <f t="shared" si="9"/>
        <v>5.7979305183303262</v>
      </c>
      <c r="L64" s="8">
        <f t="shared" si="10"/>
        <v>5.7979305183303262</v>
      </c>
      <c r="M64" s="8">
        <f t="shared" si="11"/>
        <v>3.7673093692828261</v>
      </c>
    </row>
    <row r="65" spans="9:13">
      <c r="I65" t="s">
        <v>83</v>
      </c>
      <c r="J65" t="s">
        <v>50</v>
      </c>
      <c r="K65" s="8">
        <f t="shared" si="9"/>
        <v>5.7979305183303262</v>
      </c>
      <c r="L65" s="8">
        <f t="shared" si="10"/>
        <v>5.7979305183303262</v>
      </c>
      <c r="M65" s="8">
        <f t="shared" si="11"/>
        <v>3.7673093692828261</v>
      </c>
    </row>
    <row r="66" spans="9:13">
      <c r="I66" t="s">
        <v>84</v>
      </c>
      <c r="J66" t="s">
        <v>46</v>
      </c>
      <c r="K66" s="8">
        <f t="shared" si="9"/>
        <v>20.202752491031333</v>
      </c>
      <c r="L66" s="8">
        <f t="shared" si="10"/>
        <v>20.202752491031333</v>
      </c>
      <c r="M66" s="8">
        <f t="shared" si="11"/>
        <v>20.202752491031333</v>
      </c>
    </row>
    <row r="67" spans="9:13">
      <c r="I67" t="s">
        <v>85</v>
      </c>
      <c r="J67" t="s">
        <v>47</v>
      </c>
      <c r="K67" s="8">
        <f t="shared" si="9"/>
        <v>13.382514807618561</v>
      </c>
      <c r="L67" s="8">
        <f t="shared" si="10"/>
        <v>13.382514807618561</v>
      </c>
      <c r="M67" s="8">
        <f t="shared" si="11"/>
        <v>5.0134850968671794</v>
      </c>
    </row>
    <row r="68" spans="9:13">
      <c r="I68" t="s">
        <v>86</v>
      </c>
      <c r="J68" t="s">
        <v>47</v>
      </c>
      <c r="K68" s="8">
        <f t="shared" si="9"/>
        <v>13.382514807618561</v>
      </c>
      <c r="L68" s="8">
        <f t="shared" si="10"/>
        <v>13.382514807618561</v>
      </c>
      <c r="M68" s="8">
        <f t="shared" si="11"/>
        <v>5.0134850968671794</v>
      </c>
    </row>
    <row r="69" spans="9:13">
      <c r="I69" t="s">
        <v>87</v>
      </c>
      <c r="J69" t="s">
        <v>47</v>
      </c>
      <c r="K69" s="8">
        <f t="shared" si="9"/>
        <v>13.382514807618561</v>
      </c>
      <c r="L69" s="8">
        <f t="shared" si="10"/>
        <v>13.382514807618561</v>
      </c>
      <c r="M69" s="8">
        <f t="shared" si="11"/>
        <v>5.0134850968671794</v>
      </c>
    </row>
    <row r="70" spans="9:13">
      <c r="I70" t="s">
        <v>115</v>
      </c>
      <c r="J70" t="s">
        <v>140</v>
      </c>
      <c r="K70" s="8">
        <f>VLOOKUP(J70,$B$30:$F$48,5,0)</f>
        <v>17.609813517882074</v>
      </c>
      <c r="L70" s="8">
        <f>VLOOKUP(J70,$B$30:$F$48,5,0)</f>
        <v>17.609813517882074</v>
      </c>
      <c r="M70" s="8">
        <f>VLOOKUP(J70,$B$30:$H$48,7,0)</f>
        <v>10.565888110729244</v>
      </c>
    </row>
    <row r="71" spans="9:13">
      <c r="I71" t="s">
        <v>116</v>
      </c>
      <c r="J71" t="s">
        <v>141</v>
      </c>
      <c r="K71" s="8">
        <f>VLOOKUP(J71,$B$30:$F$48,5,0)</f>
        <v>15.886221373125073</v>
      </c>
      <c r="L71" s="8">
        <f>VLOOKUP(J71,$B$30:$F$48,5,0)</f>
        <v>15.886221373125073</v>
      </c>
      <c r="M71" s="8">
        <f>VLOOKUP(J71,$B$30:$H$48,7,0)</f>
        <v>0.14670652983097032</v>
      </c>
    </row>
    <row r="72" spans="9:13">
      <c r="I72" t="s">
        <v>117</v>
      </c>
      <c r="J72" t="s">
        <v>47</v>
      </c>
      <c r="K72" s="8">
        <f>VLOOKUP(J72,$B$30:$F$43,5,0)*0.5</f>
        <v>6.6912574038092805</v>
      </c>
      <c r="L72" s="8">
        <f>VLOOKUP(J72,$B$30:$F$43,5,0)*0.5</f>
        <v>6.6912574038092805</v>
      </c>
      <c r="M72" s="8">
        <f>VLOOKUP(J72,$B$30:$H$43,7,0)</f>
        <v>5.0134850968671794</v>
      </c>
    </row>
    <row r="73" spans="9:13">
      <c r="I73" t="s">
        <v>88</v>
      </c>
      <c r="J73" t="s">
        <v>49</v>
      </c>
      <c r="K73" s="8">
        <f>VLOOKUP(J73,$B$30:$F$43,5,0)</f>
        <v>6.4010414836534322</v>
      </c>
      <c r="L73" s="8">
        <f>VLOOKUP(J73,$B$30:$F$43,5,0)</f>
        <v>6.4010414836534322</v>
      </c>
      <c r="M73" s="8">
        <f>VLOOKUP(J73,$B$30:$H$43,7,0)</f>
        <v>2.3268053375694042</v>
      </c>
    </row>
    <row r="74" spans="9:13">
      <c r="I74" t="s">
        <v>66</v>
      </c>
    </row>
  </sheetData>
  <phoneticPr fontId="2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TFM_FIN</vt:lpstr>
      <vt:lpstr>FINEW</vt:lpstr>
    </vt:vector>
  </TitlesOfParts>
  <Company>VTT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Antti Lehtilä</dc:creator>
  <cp:lastModifiedBy>Antti-L</cp:lastModifiedBy>
  <dcterms:created xsi:type="dcterms:W3CDTF">2009-10-09T11:13:07Z</dcterms:created>
  <dcterms:modified xsi:type="dcterms:W3CDTF">2020-09-04T18:50:31Z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49300909042358</vt:r8>
  </property>
</Properties>
</file>