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\NCES 2020 Nordic NER\WP4\"/>
    </mc:Choice>
  </mc:AlternateContent>
  <bookViews>
    <workbookView xWindow="0" yWindow="0" windowWidth="28800" windowHeight="13500" tabRatio="853" activeTab="9"/>
  </bookViews>
  <sheets>
    <sheet name="OFFS" sheetId="33" r:id="rId1"/>
    <sheet name="RENEWS" sheetId="7" r:id="rId2"/>
    <sheet name="INDUP" sheetId="19" r:id="rId3"/>
    <sheet name="UPS_TFM" sheetId="22" r:id="rId4"/>
    <sheet name="FIN_DEM" sheetId="23" r:id="rId5"/>
    <sheet name="FIM_DEM" sheetId="30" r:id="rId6"/>
    <sheet name="TERT_MISC" sheetId="32" r:id="rId7"/>
    <sheet name="ELC_MISC" sheetId="18" r:id="rId8"/>
    <sheet name="Emis" sheetId="27" r:id="rId9"/>
    <sheet name="CLIPOL" sheetId="34" r:id="rId10"/>
    <sheet name="ELConn" sheetId="35" r:id="rId11"/>
    <sheet name="DEMPROJ" sheetId="20" r:id="rId12"/>
    <sheet name="GetData" sheetId="31" r:id="rId13"/>
  </sheets>
  <definedNames>
    <definedName name="Curdir">"E:\Veda_Models\TiamNord\SuppXLS"</definedName>
    <definedName name="Inflate">ELC_MISC!$G$1</definedName>
    <definedName name="VEDA2">OFFS!$D$1</definedName>
  </definedNames>
  <calcPr calcId="162913"/>
</workbook>
</file>

<file path=xl/calcChain.xml><?xml version="1.0" encoding="utf-8"?>
<calcChain xmlns="http://schemas.openxmlformats.org/spreadsheetml/2006/main">
  <c r="J64" i="30" l="1" a="1"/>
  <c r="L65" i="30" s="1"/>
  <c r="J58" i="30" a="1"/>
  <c r="K60" i="30" s="1"/>
  <c r="M69" i="30" l="1"/>
  <c r="M65" i="30"/>
  <c r="M67" i="30"/>
  <c r="J68" i="30"/>
  <c r="J66" i="30"/>
  <c r="J64" i="30"/>
  <c r="J62" i="30"/>
  <c r="J58" i="30"/>
  <c r="K68" i="30"/>
  <c r="K66" i="30"/>
  <c r="K64" i="30"/>
  <c r="K62" i="30"/>
  <c r="K58" i="30"/>
  <c r="L68" i="30"/>
  <c r="L66" i="30"/>
  <c r="L64" i="30"/>
  <c r="J63" i="30"/>
  <c r="J59" i="30"/>
  <c r="M68" i="30"/>
  <c r="M66" i="30"/>
  <c r="M64" i="30"/>
  <c r="K63" i="30"/>
  <c r="K59" i="30"/>
  <c r="J69" i="30"/>
  <c r="J67" i="30"/>
  <c r="J65" i="30"/>
  <c r="J60" i="30"/>
  <c r="K69" i="30"/>
  <c r="K67" i="30"/>
  <c r="K65" i="30"/>
  <c r="J61" i="30"/>
  <c r="K61" i="30"/>
  <c r="L69" i="30"/>
  <c r="L67" i="30"/>
  <c r="AA48" i="30"/>
  <c r="AE48" i="30" s="1"/>
  <c r="P48" i="30" s="1"/>
  <c r="AD48" i="30" a="1"/>
  <c r="AD48" i="30" s="1"/>
  <c r="O48" i="30" s="1"/>
  <c r="AC48" i="30" a="1"/>
  <c r="AC48" i="30" s="1"/>
  <c r="N48" i="30" s="1"/>
  <c r="W48" i="30"/>
  <c r="M48" i="30"/>
  <c r="K48" i="30"/>
  <c r="J48" i="30"/>
  <c r="I48" i="30"/>
  <c r="AA50" i="23"/>
  <c r="AE50" i="23" s="1"/>
  <c r="P50" i="23" s="1"/>
  <c r="AD50" i="23" a="1"/>
  <c r="AD50" i="23"/>
  <c r="O50" i="23" s="1"/>
  <c r="AC50" i="23" a="1"/>
  <c r="AC50" i="23" s="1"/>
  <c r="N50" i="23" s="1"/>
  <c r="W50" i="23"/>
  <c r="M50" i="23"/>
  <c r="K50" i="23"/>
  <c r="J50" i="23"/>
  <c r="I50" i="23"/>
  <c r="R9" i="35"/>
  <c r="R8" i="35"/>
  <c r="R7" i="35"/>
  <c r="M18" i="34"/>
  <c r="K18" i="34"/>
  <c r="AA17" i="30"/>
  <c r="AE17" i="30" s="1"/>
  <c r="P17" i="30" s="1"/>
  <c r="AD6" i="30" a="1"/>
  <c r="AC6" i="30" a="1"/>
  <c r="AC14" i="30" s="1"/>
  <c r="N14" i="30" s="1"/>
  <c r="M17" i="30"/>
  <c r="K17" i="30"/>
  <c r="AA16" i="30"/>
  <c r="L16" i="30" s="1"/>
  <c r="M16" i="30"/>
  <c r="K16" i="30"/>
  <c r="AA15" i="30"/>
  <c r="L15" i="30" s="1"/>
  <c r="M15" i="30"/>
  <c r="K15" i="30"/>
  <c r="AA14" i="30"/>
  <c r="L14" i="30" s="1"/>
  <c r="AE14" i="30"/>
  <c r="P14" i="30" s="1"/>
  <c r="O14" i="30"/>
  <c r="M14" i="30"/>
  <c r="K14" i="30"/>
  <c r="AA13" i="30"/>
  <c r="L13" i="30" s="1"/>
  <c r="M13" i="30"/>
  <c r="K13" i="30"/>
  <c r="AA12" i="30"/>
  <c r="L12" i="30" s="1"/>
  <c r="M12" i="30"/>
  <c r="K12" i="30"/>
  <c r="AA11" i="30"/>
  <c r="L11" i="30" s="1"/>
  <c r="M11" i="30"/>
  <c r="K11" i="30"/>
  <c r="AA10" i="30"/>
  <c r="L10" i="30" s="1"/>
  <c r="M10" i="30"/>
  <c r="K10" i="30"/>
  <c r="AA9" i="30"/>
  <c r="L9" i="30" s="1"/>
  <c r="AE9" i="30"/>
  <c r="P9" i="30" s="1"/>
  <c r="O9" i="30"/>
  <c r="M9" i="30"/>
  <c r="K9" i="30"/>
  <c r="AA8" i="30"/>
  <c r="L8" i="30" s="1"/>
  <c r="M8" i="30"/>
  <c r="K8" i="30"/>
  <c r="AA7" i="30"/>
  <c r="L7" i="30" s="1"/>
  <c r="M7" i="30"/>
  <c r="K7" i="30"/>
  <c r="AA6" i="30"/>
  <c r="L6" i="30" s="1"/>
  <c r="AE6" i="30"/>
  <c r="P6" i="30" s="1"/>
  <c r="O6" i="30"/>
  <c r="M6" i="30"/>
  <c r="K6" i="30"/>
  <c r="AD47" i="30" a="1"/>
  <c r="AC47" i="30" a="1"/>
  <c r="M47" i="30"/>
  <c r="AA47" i="30"/>
  <c r="L47" i="30" s="1"/>
  <c r="K47" i="30"/>
  <c r="AD46" i="30" a="1"/>
  <c r="AD46" i="30" s="1"/>
  <c r="O46" i="30" s="1"/>
  <c r="AC46" i="30" a="1"/>
  <c r="AC46" i="30" s="1"/>
  <c r="N46" i="30" s="1"/>
  <c r="M46" i="30"/>
  <c r="AA46" i="30"/>
  <c r="L46" i="30" s="1"/>
  <c r="K46" i="30"/>
  <c r="AD45" i="30" a="1"/>
  <c r="AC45" i="30" a="1"/>
  <c r="N45" i="30"/>
  <c r="M45" i="30"/>
  <c r="AA45" i="30"/>
  <c r="L45" i="30" s="1"/>
  <c r="K45" i="30"/>
  <c r="AD44" i="30" a="1"/>
  <c r="AC44" i="30" a="1"/>
  <c r="M44" i="30"/>
  <c r="AA44" i="30"/>
  <c r="L44" i="30" s="1"/>
  <c r="K44" i="30"/>
  <c r="AD43" i="30" a="1"/>
  <c r="AD43" i="30" s="1"/>
  <c r="O43" i="30" s="1"/>
  <c r="AC43" i="30" a="1"/>
  <c r="M43" i="30"/>
  <c r="AA43" i="30"/>
  <c r="L43" i="30" s="1"/>
  <c r="K43" i="30"/>
  <c r="AD42" i="30" a="1"/>
  <c r="AD42" i="30" s="1"/>
  <c r="O42" i="30" s="1"/>
  <c r="AC42" i="30" a="1"/>
  <c r="AC42" i="30" s="1"/>
  <c r="N42" i="30" s="1"/>
  <c r="M42" i="30"/>
  <c r="AA42" i="30"/>
  <c r="L42" i="30" s="1"/>
  <c r="K42" i="30"/>
  <c r="AD41" i="30" a="1"/>
  <c r="AC41" i="30" a="1"/>
  <c r="AC41" i="30" s="1"/>
  <c r="N41" i="30" s="1"/>
  <c r="M41" i="30"/>
  <c r="AA41" i="30"/>
  <c r="L41" i="30" s="1"/>
  <c r="K41" i="30"/>
  <c r="AD40" i="30" a="1"/>
  <c r="AC40" i="30" a="1"/>
  <c r="M40" i="30"/>
  <c r="AA40" i="30"/>
  <c r="L40" i="30" s="1"/>
  <c r="K40" i="30"/>
  <c r="AD39" i="30" a="1"/>
  <c r="AD39" i="30" s="1"/>
  <c r="O39" i="30" s="1"/>
  <c r="AC39" i="30" a="1"/>
  <c r="M39" i="30"/>
  <c r="AA39" i="30"/>
  <c r="L39" i="30"/>
  <c r="K39" i="30"/>
  <c r="AD38" i="30" a="1"/>
  <c r="AC38" i="30" a="1"/>
  <c r="AC38" i="30" s="1"/>
  <c r="N38" i="30" s="1"/>
  <c r="M38" i="30"/>
  <c r="AA38" i="30"/>
  <c r="L38" i="30"/>
  <c r="K38" i="30"/>
  <c r="AE47" i="30"/>
  <c r="AD47" i="30"/>
  <c r="O47" i="30" s="1"/>
  <c r="AC47" i="30"/>
  <c r="N47" i="30" s="1"/>
  <c r="AE46" i="30"/>
  <c r="AE45" i="30"/>
  <c r="AD45" i="30"/>
  <c r="O45" i="30" s="1"/>
  <c r="AC45" i="30"/>
  <c r="AD44" i="30"/>
  <c r="O44" i="30" s="1"/>
  <c r="AC44" i="30"/>
  <c r="N44" i="30" s="1"/>
  <c r="AE43" i="30"/>
  <c r="AC43" i="30"/>
  <c r="N43" i="30" s="1"/>
  <c r="AE42" i="30"/>
  <c r="AE41" i="30"/>
  <c r="AD41" i="30"/>
  <c r="O41" i="30" s="1"/>
  <c r="AD40" i="30"/>
  <c r="O40" i="30" s="1"/>
  <c r="AC40" i="30"/>
  <c r="N40" i="30" s="1"/>
  <c r="AE39" i="30"/>
  <c r="AC39" i="30"/>
  <c r="N39" i="30" s="1"/>
  <c r="AE38" i="30"/>
  <c r="AD38" i="30"/>
  <c r="O38" i="30" s="1"/>
  <c r="AD17" i="30"/>
  <c r="O17" i="30" s="1"/>
  <c r="AD16" i="30"/>
  <c r="O16" i="30" s="1"/>
  <c r="AD15" i="30"/>
  <c r="O15" i="30" s="1"/>
  <c r="AD14" i="30"/>
  <c r="AD13" i="30"/>
  <c r="O13" i="30" s="1"/>
  <c r="AD12" i="30"/>
  <c r="O12" i="30" s="1"/>
  <c r="AD11" i="30"/>
  <c r="O11" i="30" s="1"/>
  <c r="AD10" i="30"/>
  <c r="O10" i="30" s="1"/>
  <c r="AD9" i="30"/>
  <c r="AD8" i="30"/>
  <c r="O8" i="30" s="1"/>
  <c r="AD7" i="30"/>
  <c r="O7" i="30" s="1"/>
  <c r="AD6" i="30"/>
  <c r="AA49" i="23"/>
  <c r="AE49" i="23" s="1"/>
  <c r="AD49" i="23" a="1"/>
  <c r="AD49" i="23"/>
  <c r="AC49" i="23" a="1"/>
  <c r="AC49" i="23" s="1"/>
  <c r="N49" i="23" s="1"/>
  <c r="AA48" i="23"/>
  <c r="AE48" i="23" s="1"/>
  <c r="AD48" i="23" a="1"/>
  <c r="AD48" i="23" s="1"/>
  <c r="O48" i="23" s="1"/>
  <c r="AC48" i="23" a="1"/>
  <c r="AC48" i="23" s="1"/>
  <c r="N48" i="23" s="1"/>
  <c r="AA47" i="23"/>
  <c r="L47" i="23" s="1"/>
  <c r="AD47" i="23" a="1"/>
  <c r="AD47" i="23" s="1"/>
  <c r="O47" i="23" s="1"/>
  <c r="AC47" i="23" a="1"/>
  <c r="AC47" i="23" s="1"/>
  <c r="N47" i="23" s="1"/>
  <c r="O49" i="23"/>
  <c r="M49" i="23"/>
  <c r="L49" i="23"/>
  <c r="K49" i="23"/>
  <c r="M48" i="23"/>
  <c r="K48" i="23"/>
  <c r="M47" i="23"/>
  <c r="K47" i="23"/>
  <c r="AC46" i="23" a="1"/>
  <c r="M46" i="23"/>
  <c r="K46" i="23"/>
  <c r="AC45" i="23" a="1"/>
  <c r="M45" i="23"/>
  <c r="K45" i="23"/>
  <c r="AC44" i="23" a="1"/>
  <c r="M44" i="23"/>
  <c r="K44" i="23"/>
  <c r="AC43" i="23" a="1"/>
  <c r="M43" i="23"/>
  <c r="K43" i="23"/>
  <c r="AC42" i="23" a="1"/>
  <c r="M42" i="23"/>
  <c r="L42" i="23"/>
  <c r="K42" i="23"/>
  <c r="AC41" i="23" a="1"/>
  <c r="M41" i="23"/>
  <c r="K41" i="23"/>
  <c r="AD40" i="23" a="1"/>
  <c r="AD40" i="23" s="1"/>
  <c r="O40" i="23" s="1"/>
  <c r="AC40" i="23" a="1"/>
  <c r="AC40" i="23" s="1"/>
  <c r="N40" i="23" s="1"/>
  <c r="M40" i="23"/>
  <c r="AA40" i="23"/>
  <c r="L40" i="23" s="1"/>
  <c r="K40" i="23"/>
  <c r="AE40" i="23"/>
  <c r="M18" i="23"/>
  <c r="K18" i="23"/>
  <c r="M17" i="23"/>
  <c r="K17" i="23"/>
  <c r="M16" i="23"/>
  <c r="K16" i="23"/>
  <c r="M15" i="23"/>
  <c r="K15" i="23"/>
  <c r="M14" i="23"/>
  <c r="K14" i="23"/>
  <c r="M13" i="23"/>
  <c r="K13" i="23"/>
  <c r="M12" i="23"/>
  <c r="K12" i="23"/>
  <c r="M11" i="23"/>
  <c r="K11" i="23"/>
  <c r="M10" i="23"/>
  <c r="K10" i="23"/>
  <c r="M9" i="23"/>
  <c r="K9" i="23"/>
  <c r="M8" i="23"/>
  <c r="K8" i="23"/>
  <c r="M7" i="23"/>
  <c r="K7" i="23"/>
  <c r="AA46" i="23"/>
  <c r="AE46" i="23" s="1"/>
  <c r="AD46" i="23" a="1"/>
  <c r="AD46" i="23" s="1"/>
  <c r="O46" i="23" s="1"/>
  <c r="AC46" i="23"/>
  <c r="N46" i="23" s="1"/>
  <c r="AA45" i="23"/>
  <c r="L45" i="23" s="1"/>
  <c r="AD45" i="23" a="1"/>
  <c r="AD45" i="23"/>
  <c r="O45" i="23" s="1"/>
  <c r="AC45" i="23"/>
  <c r="N45" i="23" s="1"/>
  <c r="AA44" i="23"/>
  <c r="L44" i="23" s="1"/>
  <c r="AD44" i="23" a="1"/>
  <c r="AD44" i="23"/>
  <c r="O44" i="23" s="1"/>
  <c r="AC44" i="23"/>
  <c r="N44" i="23" s="1"/>
  <c r="AA43" i="23"/>
  <c r="L43" i="23" s="1"/>
  <c r="AD43" i="23" a="1"/>
  <c r="AD43" i="23" s="1"/>
  <c r="O43" i="23" s="1"/>
  <c r="AC43" i="23"/>
  <c r="N43" i="23" s="1"/>
  <c r="AA42" i="23"/>
  <c r="AE42" i="23"/>
  <c r="AD42" i="23" a="1"/>
  <c r="AD42" i="23" s="1"/>
  <c r="O42" i="23" s="1"/>
  <c r="AC42" i="23"/>
  <c r="N42" i="23" s="1"/>
  <c r="AA41" i="23"/>
  <c r="L41" i="23" s="1"/>
  <c r="AE41" i="23"/>
  <c r="AD41" i="23" a="1"/>
  <c r="AD41" i="23" s="1"/>
  <c r="O41" i="23" s="1"/>
  <c r="AC41" i="23"/>
  <c r="N41" i="23" s="1"/>
  <c r="AD7" i="23" a="1"/>
  <c r="AD7" i="23" s="1"/>
  <c r="O7" i="23" s="1"/>
  <c r="AD13" i="23"/>
  <c r="O13" i="23" s="1"/>
  <c r="AD14" i="23"/>
  <c r="O14" i="23" s="1"/>
  <c r="AC7" i="23" a="1"/>
  <c r="AC10" i="23" s="1"/>
  <c r="N10" i="23" s="1"/>
  <c r="AC14" i="23"/>
  <c r="N14" i="23" s="1"/>
  <c r="AC16" i="23"/>
  <c r="N16" i="23" s="1"/>
  <c r="AC17" i="23"/>
  <c r="N17" i="23" s="1"/>
  <c r="AA18" i="23"/>
  <c r="AE18" i="23" s="1"/>
  <c r="P18" i="23" s="1"/>
  <c r="AA17" i="23"/>
  <c r="L17" i="23" s="1"/>
  <c r="AA16" i="23"/>
  <c r="L16" i="23" s="1"/>
  <c r="AA15" i="23"/>
  <c r="AE15" i="23" s="1"/>
  <c r="P15" i="23" s="1"/>
  <c r="AA14" i="23"/>
  <c r="AE14" i="23" s="1"/>
  <c r="P14" i="23" s="1"/>
  <c r="AA13" i="23"/>
  <c r="L13" i="23" s="1"/>
  <c r="AA12" i="23"/>
  <c r="L12" i="23" s="1"/>
  <c r="AA11" i="23"/>
  <c r="AE11" i="23" s="1"/>
  <c r="P11" i="23" s="1"/>
  <c r="AA10" i="23"/>
  <c r="AE10" i="23" s="1"/>
  <c r="P10" i="23" s="1"/>
  <c r="AA9" i="23"/>
  <c r="L9" i="23" s="1"/>
  <c r="AA8" i="23"/>
  <c r="L8" i="23" s="1"/>
  <c r="AE8" i="23"/>
  <c r="P8" i="23" s="1"/>
  <c r="AA7" i="23"/>
  <c r="AE7" i="23" s="1"/>
  <c r="P7" i="23" s="1"/>
  <c r="I18" i="34"/>
  <c r="G8" i="34"/>
  <c r="F8" i="34"/>
  <c r="E8" i="34"/>
  <c r="D8" i="34"/>
  <c r="C8" i="34"/>
  <c r="I8" i="34"/>
  <c r="K7" i="22"/>
  <c r="L7" i="22" s="1"/>
  <c r="M7" i="22"/>
  <c r="M64" i="18"/>
  <c r="K16" i="22"/>
  <c r="J16" i="22"/>
  <c r="L24" i="34"/>
  <c r="K24" i="34"/>
  <c r="J24" i="34"/>
  <c r="I24" i="34"/>
  <c r="H24" i="34"/>
  <c r="G24" i="34"/>
  <c r="L23" i="34"/>
  <c r="K23" i="34"/>
  <c r="J23" i="34"/>
  <c r="I23" i="34"/>
  <c r="H23" i="34"/>
  <c r="G23" i="34"/>
  <c r="W47" i="30"/>
  <c r="W46" i="30"/>
  <c r="W45" i="30"/>
  <c r="W44" i="30"/>
  <c r="W43" i="30"/>
  <c r="W42" i="30"/>
  <c r="W41" i="30"/>
  <c r="W40" i="30"/>
  <c r="W39" i="30"/>
  <c r="W38" i="30"/>
  <c r="W36" i="30"/>
  <c r="W35" i="30"/>
  <c r="W34" i="30"/>
  <c r="W33" i="30"/>
  <c r="W32" i="30"/>
  <c r="W31" i="30"/>
  <c r="W30" i="30"/>
  <c r="W29" i="30"/>
  <c r="W28" i="30"/>
  <c r="W27" i="30"/>
  <c r="W26" i="30"/>
  <c r="W25" i="30"/>
  <c r="W24" i="30"/>
  <c r="W23" i="30"/>
  <c r="W21" i="30"/>
  <c r="W20" i="30"/>
  <c r="W19" i="30"/>
  <c r="W17" i="30"/>
  <c r="W16" i="30"/>
  <c r="W15" i="30"/>
  <c r="W14" i="30"/>
  <c r="W13" i="30"/>
  <c r="W12" i="30"/>
  <c r="W11" i="30"/>
  <c r="W10" i="30"/>
  <c r="W9" i="30"/>
  <c r="W8" i="30"/>
  <c r="W7" i="30"/>
  <c r="W6" i="30"/>
  <c r="W49" i="23"/>
  <c r="W48" i="23"/>
  <c r="W47" i="23"/>
  <c r="W46" i="23"/>
  <c r="W45" i="23"/>
  <c r="W44" i="23"/>
  <c r="W43" i="23"/>
  <c r="W42" i="23"/>
  <c r="W41" i="23"/>
  <c r="W40" i="23"/>
  <c r="W38" i="23"/>
  <c r="W37" i="23"/>
  <c r="W36" i="23"/>
  <c r="W35" i="23"/>
  <c r="W34" i="23"/>
  <c r="W33" i="23"/>
  <c r="W32" i="23"/>
  <c r="W31" i="23"/>
  <c r="W30" i="23"/>
  <c r="W29" i="23"/>
  <c r="W28" i="23"/>
  <c r="W27" i="23"/>
  <c r="W26" i="23"/>
  <c r="W25" i="23"/>
  <c r="W23" i="23"/>
  <c r="W22" i="23"/>
  <c r="W21" i="23"/>
  <c r="W20" i="23"/>
  <c r="W18" i="23"/>
  <c r="W17" i="23"/>
  <c r="W16" i="23"/>
  <c r="W15" i="23"/>
  <c r="W14" i="23"/>
  <c r="W13" i="23"/>
  <c r="W12" i="23"/>
  <c r="W11" i="23"/>
  <c r="W10" i="23"/>
  <c r="W9" i="23"/>
  <c r="W8" i="23"/>
  <c r="W7" i="23"/>
  <c r="H16" i="34"/>
  <c r="M16" i="34"/>
  <c r="L16" i="34"/>
  <c r="K16" i="34"/>
  <c r="J16" i="34"/>
  <c r="I16" i="34"/>
  <c r="F1" i="33"/>
  <c r="D1" i="33" s="1"/>
  <c r="K17" i="32"/>
  <c r="K16" i="32"/>
  <c r="L8" i="19"/>
  <c r="O21" i="30"/>
  <c r="N21" i="30"/>
  <c r="M21" i="30"/>
  <c r="L21" i="30"/>
  <c r="K21" i="30"/>
  <c r="J21" i="30"/>
  <c r="I21" i="30"/>
  <c r="O20" i="30"/>
  <c r="N20" i="30"/>
  <c r="M20" i="30"/>
  <c r="L20" i="30"/>
  <c r="K20" i="30"/>
  <c r="J20" i="30"/>
  <c r="I20" i="30"/>
  <c r="O19" i="30"/>
  <c r="N19" i="30"/>
  <c r="M19" i="30"/>
  <c r="L19" i="30"/>
  <c r="K19" i="30"/>
  <c r="J19" i="30"/>
  <c r="I19" i="30"/>
  <c r="J17" i="30"/>
  <c r="J16" i="30"/>
  <c r="J15" i="30"/>
  <c r="J14" i="30"/>
  <c r="J13" i="30"/>
  <c r="J12" i="30"/>
  <c r="J11" i="30"/>
  <c r="J10" i="30"/>
  <c r="J9" i="30"/>
  <c r="J8" i="30"/>
  <c r="J7" i="30"/>
  <c r="J6" i="30"/>
  <c r="J18" i="23"/>
  <c r="J17" i="23"/>
  <c r="J16" i="23"/>
  <c r="J15" i="23"/>
  <c r="J14" i="23"/>
  <c r="J13" i="23"/>
  <c r="J12" i="23"/>
  <c r="J11" i="23"/>
  <c r="J10" i="23"/>
  <c r="J9" i="23"/>
  <c r="J8" i="23"/>
  <c r="J7" i="23"/>
  <c r="O23" i="23"/>
  <c r="N23" i="23"/>
  <c r="M23" i="23"/>
  <c r="L23" i="23"/>
  <c r="K23" i="23"/>
  <c r="J23" i="23"/>
  <c r="I23" i="23"/>
  <c r="O22" i="23"/>
  <c r="N22" i="23"/>
  <c r="M22" i="23"/>
  <c r="L22" i="23"/>
  <c r="K22" i="23"/>
  <c r="J22" i="23"/>
  <c r="I22" i="23"/>
  <c r="O21" i="23"/>
  <c r="N21" i="23"/>
  <c r="M21" i="23"/>
  <c r="L21" i="23"/>
  <c r="K21" i="23"/>
  <c r="J21" i="23"/>
  <c r="I21" i="23"/>
  <c r="I6" i="32"/>
  <c r="K6" i="32" s="1"/>
  <c r="L6" i="32" s="1"/>
  <c r="M6" i="32" s="1"/>
  <c r="I9" i="32"/>
  <c r="K9" i="32" s="1"/>
  <c r="L9" i="32" s="1"/>
  <c r="M9" i="32" s="1"/>
  <c r="I12" i="32"/>
  <c r="K12" i="32" s="1"/>
  <c r="L12" i="32" s="1"/>
  <c r="M12" i="32" s="1"/>
  <c r="L12" i="22"/>
  <c r="K12" i="22"/>
  <c r="J12" i="22"/>
  <c r="I11" i="22"/>
  <c r="K11" i="22" s="1"/>
  <c r="K9" i="22"/>
  <c r="N7" i="22"/>
  <c r="I17" i="27"/>
  <c r="K53" i="19"/>
  <c r="F14" i="32"/>
  <c r="F13" i="32"/>
  <c r="F11" i="32"/>
  <c r="F10" i="32"/>
  <c r="R9" i="32" s="1"/>
  <c r="F40" i="18"/>
  <c r="F39" i="18"/>
  <c r="K13" i="22"/>
  <c r="M24" i="22"/>
  <c r="L24" i="22"/>
  <c r="K24" i="22"/>
  <c r="J24" i="22"/>
  <c r="H20" i="22"/>
  <c r="H72" i="19"/>
  <c r="K17" i="22"/>
  <c r="I9" i="18"/>
  <c r="I8" i="18"/>
  <c r="H8" i="18"/>
  <c r="I7" i="18"/>
  <c r="K50" i="19"/>
  <c r="O57" i="18"/>
  <c r="I28" i="18"/>
  <c r="I27" i="18"/>
  <c r="I19" i="18"/>
  <c r="I18" i="18"/>
  <c r="G55" i="33"/>
  <c r="H20" i="23"/>
  <c r="I20" i="23" s="1"/>
  <c r="Z20" i="23" a="1"/>
  <c r="Z20" i="23" s="1"/>
  <c r="O20" i="23"/>
  <c r="M63" i="18"/>
  <c r="M62" i="18"/>
  <c r="M61" i="18"/>
  <c r="M60" i="18"/>
  <c r="G27" i="7"/>
  <c r="R67" i="19"/>
  <c r="J47" i="30"/>
  <c r="I47" i="30"/>
  <c r="J46" i="30"/>
  <c r="I46" i="30"/>
  <c r="J45" i="30"/>
  <c r="I45" i="30"/>
  <c r="J44" i="30"/>
  <c r="I44" i="30"/>
  <c r="J49" i="23"/>
  <c r="I49" i="23"/>
  <c r="J48" i="23"/>
  <c r="I48" i="23"/>
  <c r="J47" i="23"/>
  <c r="I47" i="23"/>
  <c r="J46" i="23"/>
  <c r="I46" i="23"/>
  <c r="N36" i="30"/>
  <c r="M36" i="30"/>
  <c r="L36" i="30"/>
  <c r="K36" i="30"/>
  <c r="J36" i="30"/>
  <c r="I36" i="30"/>
  <c r="N35" i="30"/>
  <c r="M35" i="30"/>
  <c r="L35" i="30"/>
  <c r="K35" i="30"/>
  <c r="J35" i="30"/>
  <c r="I35" i="30"/>
  <c r="N34" i="30"/>
  <c r="M34" i="30"/>
  <c r="L34" i="30"/>
  <c r="K34" i="30"/>
  <c r="J34" i="30"/>
  <c r="I34" i="30"/>
  <c r="N33" i="30"/>
  <c r="M33" i="30"/>
  <c r="L33" i="30"/>
  <c r="K33" i="30"/>
  <c r="J33" i="30"/>
  <c r="I33" i="30"/>
  <c r="N32" i="30"/>
  <c r="M32" i="30"/>
  <c r="L32" i="30"/>
  <c r="K32" i="30"/>
  <c r="J32" i="30"/>
  <c r="I32" i="30"/>
  <c r="N31" i="30"/>
  <c r="M31" i="30"/>
  <c r="L31" i="30"/>
  <c r="K31" i="30"/>
  <c r="J31" i="30"/>
  <c r="I31" i="30"/>
  <c r="N30" i="30"/>
  <c r="M30" i="30"/>
  <c r="L30" i="30"/>
  <c r="K30" i="30"/>
  <c r="J30" i="30"/>
  <c r="I30" i="30"/>
  <c r="N29" i="30"/>
  <c r="M29" i="30"/>
  <c r="L29" i="30"/>
  <c r="K29" i="30"/>
  <c r="J29" i="30"/>
  <c r="I29" i="30"/>
  <c r="N28" i="30"/>
  <c r="M28" i="30"/>
  <c r="L28" i="30"/>
  <c r="K28" i="30"/>
  <c r="J28" i="30"/>
  <c r="I28" i="30"/>
  <c r="N27" i="30"/>
  <c r="M27" i="30"/>
  <c r="L27" i="30"/>
  <c r="K27" i="30"/>
  <c r="J27" i="30"/>
  <c r="I27" i="30"/>
  <c r="N26" i="30"/>
  <c r="M26" i="30"/>
  <c r="L26" i="30"/>
  <c r="K26" i="30"/>
  <c r="J26" i="30"/>
  <c r="I26" i="30"/>
  <c r="N25" i="30"/>
  <c r="M25" i="30"/>
  <c r="L25" i="30"/>
  <c r="K25" i="30"/>
  <c r="J25" i="30"/>
  <c r="I25" i="30"/>
  <c r="N24" i="30"/>
  <c r="M24" i="30"/>
  <c r="L24" i="30"/>
  <c r="K24" i="30"/>
  <c r="J24" i="30"/>
  <c r="I24" i="30"/>
  <c r="N23" i="30"/>
  <c r="M23" i="30"/>
  <c r="L23" i="30"/>
  <c r="K23" i="30"/>
  <c r="J23" i="30"/>
  <c r="I23" i="30"/>
  <c r="N38" i="23"/>
  <c r="M38" i="23"/>
  <c r="L38" i="23"/>
  <c r="K38" i="23"/>
  <c r="J38" i="23"/>
  <c r="I38" i="23"/>
  <c r="N37" i="23"/>
  <c r="M37" i="23"/>
  <c r="L37" i="23"/>
  <c r="K37" i="23"/>
  <c r="J37" i="23"/>
  <c r="I37" i="23"/>
  <c r="N36" i="23"/>
  <c r="M36" i="23"/>
  <c r="L36" i="23"/>
  <c r="K36" i="23"/>
  <c r="J36" i="23"/>
  <c r="I36" i="23"/>
  <c r="N35" i="23"/>
  <c r="M35" i="23"/>
  <c r="L35" i="23"/>
  <c r="K35" i="23"/>
  <c r="J35" i="23"/>
  <c r="I35" i="23"/>
  <c r="N34" i="23"/>
  <c r="M34" i="23"/>
  <c r="L34" i="23"/>
  <c r="K34" i="23"/>
  <c r="J34" i="23"/>
  <c r="I34" i="23"/>
  <c r="N33" i="23"/>
  <c r="M33" i="23"/>
  <c r="L33" i="23"/>
  <c r="K33" i="23"/>
  <c r="J33" i="23"/>
  <c r="I33" i="23"/>
  <c r="N32" i="23"/>
  <c r="M32" i="23"/>
  <c r="L32" i="23"/>
  <c r="K32" i="23"/>
  <c r="J32" i="23"/>
  <c r="I32" i="23"/>
  <c r="N31" i="23"/>
  <c r="M31" i="23"/>
  <c r="L31" i="23"/>
  <c r="K31" i="23"/>
  <c r="J31" i="23"/>
  <c r="I31" i="23"/>
  <c r="N30" i="23"/>
  <c r="M30" i="23"/>
  <c r="L30" i="23"/>
  <c r="K30" i="23"/>
  <c r="J30" i="23"/>
  <c r="I30" i="23"/>
  <c r="N29" i="23"/>
  <c r="M29" i="23"/>
  <c r="L29" i="23"/>
  <c r="K29" i="23"/>
  <c r="J29" i="23"/>
  <c r="I29" i="23"/>
  <c r="N28" i="23"/>
  <c r="M28" i="23"/>
  <c r="L28" i="23"/>
  <c r="K28" i="23"/>
  <c r="J28" i="23"/>
  <c r="I28" i="23"/>
  <c r="N27" i="23"/>
  <c r="M27" i="23"/>
  <c r="L27" i="23"/>
  <c r="K27" i="23"/>
  <c r="J27" i="23"/>
  <c r="I27" i="23"/>
  <c r="N26" i="23"/>
  <c r="M26" i="23"/>
  <c r="L26" i="23"/>
  <c r="K26" i="23"/>
  <c r="J26" i="23"/>
  <c r="I26" i="23"/>
  <c r="N25" i="23"/>
  <c r="M25" i="23"/>
  <c r="L25" i="23"/>
  <c r="K25" i="23"/>
  <c r="O25" i="23" s="1"/>
  <c r="J25" i="23"/>
  <c r="I25" i="23"/>
  <c r="K25" i="27"/>
  <c r="J25" i="27"/>
  <c r="I25" i="27"/>
  <c r="M21" i="27"/>
  <c r="L21" i="27" s="1"/>
  <c r="H19" i="27"/>
  <c r="I19" i="27" s="1"/>
  <c r="K19" i="27" s="1"/>
  <c r="M19" i="27" s="1"/>
  <c r="H21" i="27"/>
  <c r="H27" i="27"/>
  <c r="I16" i="27"/>
  <c r="J16" i="27" s="1"/>
  <c r="K16" i="27" s="1"/>
  <c r="L16" i="27" s="1"/>
  <c r="N56" i="18"/>
  <c r="N53" i="18"/>
  <c r="M53" i="18"/>
  <c r="I42" i="22"/>
  <c r="M44" i="27"/>
  <c r="M45" i="27"/>
  <c r="M50" i="27"/>
  <c r="L17" i="27"/>
  <c r="K17" i="27"/>
  <c r="J17" i="27"/>
  <c r="H17" i="27"/>
  <c r="G28" i="7"/>
  <c r="G29" i="7" s="1"/>
  <c r="G26" i="7"/>
  <c r="J43" i="30"/>
  <c r="I43" i="30"/>
  <c r="J42" i="30"/>
  <c r="I42" i="30"/>
  <c r="J41" i="30"/>
  <c r="I41" i="30"/>
  <c r="J40" i="30"/>
  <c r="I40" i="30"/>
  <c r="J39" i="30"/>
  <c r="I39" i="30"/>
  <c r="J38" i="30"/>
  <c r="I38" i="30"/>
  <c r="J45" i="23"/>
  <c r="I45" i="23"/>
  <c r="J44" i="23"/>
  <c r="I44" i="23"/>
  <c r="J43" i="23"/>
  <c r="I43" i="23"/>
  <c r="J42" i="23"/>
  <c r="I42" i="23"/>
  <c r="J41" i="23"/>
  <c r="I41" i="23"/>
  <c r="J40" i="23"/>
  <c r="I40" i="23"/>
  <c r="G25" i="7"/>
  <c r="I46" i="22"/>
  <c r="AE7" i="30" l="1"/>
  <c r="P7" i="30" s="1"/>
  <c r="AE12" i="30"/>
  <c r="P12" i="30" s="1"/>
  <c r="O23" i="30"/>
  <c r="AC13" i="23"/>
  <c r="N13" i="23" s="1"/>
  <c r="AE47" i="23"/>
  <c r="AE40" i="30"/>
  <c r="AE16" i="23"/>
  <c r="P16" i="23" s="1"/>
  <c r="AC11" i="23"/>
  <c r="N11" i="23" s="1"/>
  <c r="AE11" i="30"/>
  <c r="P11" i="30" s="1"/>
  <c r="AE16" i="30"/>
  <c r="P16" i="30" s="1"/>
  <c r="AC9" i="23"/>
  <c r="N9" i="23" s="1"/>
  <c r="AC8" i="30"/>
  <c r="N8" i="30" s="1"/>
  <c r="AE8" i="30"/>
  <c r="P8" i="30" s="1"/>
  <c r="AE13" i="30"/>
  <c r="P13" i="30" s="1"/>
  <c r="H8" i="34"/>
  <c r="AC8" i="23"/>
  <c r="N8" i="23" s="1"/>
  <c r="L46" i="23"/>
  <c r="AC16" i="30"/>
  <c r="N16" i="30" s="1"/>
  <c r="AE12" i="23"/>
  <c r="P12" i="23" s="1"/>
  <c r="AE43" i="23"/>
  <c r="AE44" i="30"/>
  <c r="AE10" i="30"/>
  <c r="P10" i="30" s="1"/>
  <c r="AE15" i="30"/>
  <c r="P15" i="30" s="1"/>
  <c r="L17" i="30"/>
  <c r="L48" i="30"/>
  <c r="D1" i="19"/>
  <c r="R66" i="19"/>
  <c r="AE45" i="23"/>
  <c r="L7" i="23"/>
  <c r="L11" i="23"/>
  <c r="L15" i="23"/>
  <c r="AC7" i="30"/>
  <c r="N7" i="30" s="1"/>
  <c r="AC15" i="30"/>
  <c r="N15" i="30" s="1"/>
  <c r="AC15" i="23"/>
  <c r="N15" i="23" s="1"/>
  <c r="AC7" i="23"/>
  <c r="N7" i="23" s="1"/>
  <c r="AD12" i="23"/>
  <c r="O12" i="23" s="1"/>
  <c r="L10" i="23"/>
  <c r="L14" i="23"/>
  <c r="L18" i="23"/>
  <c r="AC9" i="30"/>
  <c r="N9" i="30" s="1"/>
  <c r="AC17" i="30"/>
  <c r="N17" i="30" s="1"/>
  <c r="A1" i="33"/>
  <c r="AE9" i="23"/>
  <c r="P9" i="23" s="1"/>
  <c r="AE13" i="23"/>
  <c r="P13" i="23" s="1"/>
  <c r="AE17" i="23"/>
  <c r="P17" i="23" s="1"/>
  <c r="AD11" i="23"/>
  <c r="O11" i="23" s="1"/>
  <c r="AE44" i="23"/>
  <c r="AC10" i="30"/>
  <c r="N10" i="30" s="1"/>
  <c r="AD18" i="23"/>
  <c r="O18" i="23" s="1"/>
  <c r="AD10" i="23"/>
  <c r="O10" i="23" s="1"/>
  <c r="L48" i="23"/>
  <c r="AC11" i="30"/>
  <c r="N11" i="30" s="1"/>
  <c r="AC12" i="23"/>
  <c r="N12" i="23" s="1"/>
  <c r="AD17" i="23"/>
  <c r="O17" i="23" s="1"/>
  <c r="AD9" i="23"/>
  <c r="O9" i="23" s="1"/>
  <c r="AC12" i="30"/>
  <c r="N12" i="30" s="1"/>
  <c r="L50" i="23"/>
  <c r="AD16" i="23"/>
  <c r="O16" i="23" s="1"/>
  <c r="AD8" i="23"/>
  <c r="O8" i="23" s="1"/>
  <c r="AC13" i="30"/>
  <c r="N13" i="30" s="1"/>
  <c r="AC18" i="23"/>
  <c r="N18" i="23" s="1"/>
  <c r="AD15" i="23"/>
  <c r="O15" i="23" s="1"/>
  <c r="AC6" i="30"/>
  <c r="N6" i="30" s="1"/>
</calcChain>
</file>

<file path=xl/sharedStrings.xml><?xml version="1.0" encoding="utf-8"?>
<sst xmlns="http://schemas.openxmlformats.org/spreadsheetml/2006/main" count="2511" uniqueCount="557">
  <si>
    <t>WEU</t>
  </si>
  <si>
    <t>~TFM_INS</t>
  </si>
  <si>
    <t>~TFM_UPD</t>
  </si>
  <si>
    <t>Other_Indexes</t>
  </si>
  <si>
    <t>TimeSlice</t>
  </si>
  <si>
    <t>LimType</t>
  </si>
  <si>
    <t>Attribute</t>
  </si>
  <si>
    <t>Year</t>
  </si>
  <si>
    <t>Cset_CN</t>
  </si>
  <si>
    <t>~TFM_DINS</t>
  </si>
  <si>
    <t>Pset_Set</t>
  </si>
  <si>
    <t>Pset_CO</t>
  </si>
  <si>
    <t>Pset_CI</t>
  </si>
  <si>
    <t>Pset_PN</t>
  </si>
  <si>
    <t>Pset_PD</t>
  </si>
  <si>
    <t>Cset_Set</t>
  </si>
  <si>
    <t>Cset_CD</t>
  </si>
  <si>
    <t>FIN</t>
  </si>
  <si>
    <t>~UC_T</t>
  </si>
  <si>
    <t>UC_N</t>
  </si>
  <si>
    <t>Cset: CN</t>
  </si>
  <si>
    <t>UC_RHSRTS</t>
  </si>
  <si>
    <t>~TFM_FILL</t>
  </si>
  <si>
    <t>Operation_Sum_Avg_Count</t>
  </si>
  <si>
    <t>Scenario Name</t>
  </si>
  <si>
    <t>AllRegions</t>
  </si>
  <si>
    <t>ACT_COST</t>
  </si>
  <si>
    <t>NCAP_COST</t>
  </si>
  <si>
    <t>UP</t>
  </si>
  <si>
    <t>PRC_MARK</t>
  </si>
  <si>
    <t>ESOPVD205</t>
  </si>
  <si>
    <t>ELCSOL</t>
  </si>
  <si>
    <t>G-PUBELC</t>
  </si>
  <si>
    <t>COM_IE</t>
  </si>
  <si>
    <t>INPUT</t>
  </si>
  <si>
    <t>ANNUAL</t>
  </si>
  <si>
    <t>~TFM_DINS-TS</t>
  </si>
  <si>
    <t>Region</t>
  </si>
  <si>
    <t>TS_Filter</t>
  </si>
  <si>
    <t>COM_PROJ</t>
  </si>
  <si>
    <t>ILP</t>
  </si>
  <si>
    <t>IIS</t>
  </si>
  <si>
    <t>INF</t>
  </si>
  <si>
    <t>IIS000</t>
  </si>
  <si>
    <t>IISAOD</t>
  </si>
  <si>
    <t>IISFEA</t>
  </si>
  <si>
    <t>FLO_SHAR</t>
  </si>
  <si>
    <t>IIS000_MATI</t>
  </si>
  <si>
    <t>IISBOF</t>
  </si>
  <si>
    <t>LO</t>
  </si>
  <si>
    <t>ACT_BND</t>
  </si>
  <si>
    <t>ILPPEX000</t>
  </si>
  <si>
    <t>FX</t>
  </si>
  <si>
    <t>ILPMIX100</t>
  </si>
  <si>
    <t>G-PAPMIX</t>
  </si>
  <si>
    <t>ILPMIX300</t>
  </si>
  <si>
    <t>ILPPPW</t>
  </si>
  <si>
    <t>ILPPOT</t>
  </si>
  <si>
    <t>PRC_ACTFLO</t>
  </si>
  <si>
    <t>ILPMRF</t>
  </si>
  <si>
    <t>ILPMGF</t>
  </si>
  <si>
    <t>ILPCHB</t>
  </si>
  <si>
    <t>ILPCSB</t>
  </si>
  <si>
    <t>ILPMIX200</t>
  </si>
  <si>
    <t>ILPSCN</t>
  </si>
  <si>
    <t>ILPMRN</t>
  </si>
  <si>
    <t>ILPMGN</t>
  </si>
  <si>
    <t>ILPCSN</t>
  </si>
  <si>
    <t>ILPNFR</t>
  </si>
  <si>
    <t>NCAP_BND</t>
  </si>
  <si>
    <t>EURALWR-05</t>
  </si>
  <si>
    <t>Nuclear</t>
  </si>
  <si>
    <t>TRTGHE01</t>
  </si>
  <si>
    <t>TRTDHE01</t>
  </si>
  <si>
    <t>TRTELC01</t>
  </si>
  <si>
    <t>TRT</t>
  </si>
  <si>
    <t>TRTMFC01</t>
  </si>
  <si>
    <t>TRTHFC01</t>
  </si>
  <si>
    <t>TRHDHE01</t>
  </si>
  <si>
    <t>TRMDHE01</t>
  </si>
  <si>
    <t>TRM</t>
  </si>
  <si>
    <t>TRH</t>
  </si>
  <si>
    <t>CARFC</t>
  </si>
  <si>
    <t>CARHDE</t>
  </si>
  <si>
    <t>TRMHD</t>
  </si>
  <si>
    <t>ILPMIX370</t>
  </si>
  <si>
    <t>INM</t>
  </si>
  <si>
    <t>IOQ</t>
  </si>
  <si>
    <t>IOF</t>
  </si>
  <si>
    <t>IOM</t>
  </si>
  <si>
    <t>IOT</t>
  </si>
  <si>
    <t>IOI</t>
  </si>
  <si>
    <t>IOW</t>
  </si>
  <si>
    <t>IOC</t>
  </si>
  <si>
    <t>– Hydrec steel</t>
  </si>
  <si>
    <t>ILPPUM008</t>
  </si>
  <si>
    <t>N</t>
  </si>
  <si>
    <t>0</t>
  </si>
  <si>
    <t>2020</t>
  </si>
  <si>
    <t>IISBOF007</t>
  </si>
  <si>
    <t>IISDRI007</t>
  </si>
  <si>
    <t>FLO_MARK</t>
  </si>
  <si>
    <t>ICH</t>
  </si>
  <si>
    <t>G-IISTEEL</t>
  </si>
  <si>
    <t>*</t>
  </si>
  <si>
    <t>Technologies</t>
  </si>
  <si>
    <t>Buildings</t>
  </si>
  <si>
    <t>RH1</t>
  </si>
  <si>
    <t>RH2</t>
  </si>
  <si>
    <t>CH1</t>
  </si>
  <si>
    <t>DHP1BIOFCS+0</t>
  </si>
  <si>
    <t>DHP1BCOFCS+0</t>
  </si>
  <si>
    <t>DHP3BIOFCS+0</t>
  </si>
  <si>
    <t>DHP3BCOFCS+0</t>
  </si>
  <si>
    <t>DHP1NUCPBR-0</t>
  </si>
  <si>
    <t>FLO_EMIS</t>
  </si>
  <si>
    <t>BIOBSL</t>
  </si>
  <si>
    <t>UFTSYNBREF</t>
  </si>
  <si>
    <t>ACT</t>
  </si>
  <si>
    <t>Load-Effs</t>
  </si>
  <si>
    <t>TRL</t>
  </si>
  <si>
    <t>TRB</t>
  </si>
  <si>
    <t>TRW</t>
  </si>
  <si>
    <t>TTF</t>
  </si>
  <si>
    <t>TTP</t>
  </si>
  <si>
    <t>TWD</t>
  </si>
  <si>
    <t>TAD</t>
  </si>
  <si>
    <t>Demands</t>
  </si>
  <si>
    <t>RC1</t>
  </si>
  <si>
    <t>RRF</t>
  </si>
  <si>
    <t>RCD</t>
  </si>
  <si>
    <t>RK1</t>
  </si>
  <si>
    <t>RCW</t>
  </si>
  <si>
    <t>RDW</t>
  </si>
  <si>
    <t>REA</t>
  </si>
  <si>
    <t>RL1</t>
  </si>
  <si>
    <t>CC1</t>
  </si>
  <si>
    <t>CLA</t>
  </si>
  <si>
    <t>CCK</t>
  </si>
  <si>
    <t>CRF</t>
  </si>
  <si>
    <t>COE</t>
  </si>
  <si>
    <t>COT</t>
  </si>
  <si>
    <t>TRAGSL</t>
  </si>
  <si>
    <t>BIODST</t>
  </si>
  <si>
    <t>AGRCO2P</t>
  </si>
  <si>
    <t>COM_AGG</t>
  </si>
  <si>
    <t>AGRN2OP</t>
  </si>
  <si>
    <t>NONCO2T</t>
  </si>
  <si>
    <t>PRC_RESID</t>
  </si>
  <si>
    <t>AGRDAIRY</t>
  </si>
  <si>
    <t>AGRCATLE</t>
  </si>
  <si>
    <t>AGRSWINE</t>
  </si>
  <si>
    <t>AGRSHEEP</t>
  </si>
  <si>
    <t>AGRHORSE</t>
  </si>
  <si>
    <t>AGRPOULT</t>
  </si>
  <si>
    <t>ACULAND</t>
  </si>
  <si>
    <t>UTRNREFX00</t>
  </si>
  <si>
    <t>UPNELC</t>
  </si>
  <si>
    <t>FLO_COST</t>
  </si>
  <si>
    <t>RESWLF000</t>
  </si>
  <si>
    <t>BIOBMU</t>
  </si>
  <si>
    <t>IPOIELC000</t>
  </si>
  <si>
    <t>IPOIELC005</t>
  </si>
  <si>
    <t>IPOI</t>
  </si>
  <si>
    <t>INDNIT</t>
  </si>
  <si>
    <t>INDCO2N</t>
  </si>
  <si>
    <t>IN2ONIT03</t>
  </si>
  <si>
    <t>UC_RHSRT</t>
  </si>
  <si>
    <t>A_INDCOA</t>
  </si>
  <si>
    <t>COAHCO</t>
  </si>
  <si>
    <t>ONO</t>
  </si>
  <si>
    <t>RES</t>
  </si>
  <si>
    <t>TRANGA</t>
  </si>
  <si>
    <t>IISSRD005</t>
  </si>
  <si>
    <t>IMPBIOTRDY</t>
  </si>
  <si>
    <t>FLO_SUB</t>
  </si>
  <si>
    <t>ELCWIN</t>
  </si>
  <si>
    <t>FLO_TAX</t>
  </si>
  <si>
    <t>Baseline</t>
  </si>
  <si>
    <t>ILPPAP000</t>
  </si>
  <si>
    <t>IMLP</t>
  </si>
  <si>
    <t>UFTSYNBDSS</t>
  </si>
  <si>
    <t>UC_ACT</t>
  </si>
  <si>
    <t>ESTMOIL005</t>
  </si>
  <si>
    <t>INDBFO</t>
  </si>
  <si>
    <t>TRMMFC01</t>
  </si>
  <si>
    <t>TRMHFC01</t>
  </si>
  <si>
    <t>TRHMFC01</t>
  </si>
  <si>
    <t>TRHHFC01</t>
  </si>
  <si>
    <t>TRMDHY01</t>
  </si>
  <si>
    <t>TRHDHY01</t>
  </si>
  <si>
    <t>TRAHH2</t>
  </si>
  <si>
    <t>COM_BNDNET</t>
  </si>
  <si>
    <t>2030</t>
  </si>
  <si>
    <t>UWODLIQ0</t>
  </si>
  <si>
    <t>CAP_BND</t>
  </si>
  <si>
    <t>ESOLGEN00</t>
  </si>
  <si>
    <t>Agricult</t>
  </si>
  <si>
    <t>ALANDUSE</t>
  </si>
  <si>
    <t>DUM1</t>
  </si>
  <si>
    <t>Top_Check</t>
  </si>
  <si>
    <t>O</t>
  </si>
  <si>
    <t>ELC*</t>
  </si>
  <si>
    <t>S</t>
  </si>
  <si>
    <t>CHW</t>
  </si>
  <si>
    <t>RHW</t>
  </si>
  <si>
    <t>UFTSYNBDSL</t>
  </si>
  <si>
    <t>INDCO2P</t>
  </si>
  <si>
    <t>NCAP_AFA</t>
  </si>
  <si>
    <t>EURALWR-10</t>
  </si>
  <si>
    <t>EURAPBR-05</t>
  </si>
  <si>
    <t>TRLGHE01</t>
  </si>
  <si>
    <t>TRLDHE01</t>
  </si>
  <si>
    <t>TRLELC01</t>
  </si>
  <si>
    <t>TRBDHE01</t>
  </si>
  <si>
    <t>CARELP</t>
  </si>
  <si>
    <t>VANELP</t>
  </si>
  <si>
    <t>TRCELP</t>
  </si>
  <si>
    <t>LORELP</t>
  </si>
  <si>
    <t>BUSELP</t>
  </si>
  <si>
    <t>NCAP_AF</t>
  </si>
  <si>
    <t>INMCRM000</t>
  </si>
  <si>
    <t>NEO000</t>
  </si>
  <si>
    <t>ONOE000</t>
  </si>
  <si>
    <t>BWENET</t>
  </si>
  <si>
    <t>BIOWOO</t>
  </si>
  <si>
    <t>SNKBIOREF</t>
  </si>
  <si>
    <t>IOW000</t>
  </si>
  <si>
    <t>MANRAW</t>
  </si>
  <si>
    <t>INMCMTDRY105</t>
  </si>
  <si>
    <t>INMCMTDRY705</t>
  </si>
  <si>
    <t>INDBIO</t>
  </si>
  <si>
    <t>G-INDFUEL</t>
  </si>
  <si>
    <t>ILPBLQFT005</t>
  </si>
  <si>
    <t>BASE</t>
  </si>
  <si>
    <t>FIM</t>
  </si>
  <si>
    <t>Shares</t>
  </si>
  <si>
    <t>TRA</t>
  </si>
  <si>
    <t>MINWIN0</t>
  </si>
  <si>
    <t>WIN</t>
  </si>
  <si>
    <t>SFH</t>
  </si>
  <si>
    <t>MFH</t>
  </si>
  <si>
    <t>COM</t>
  </si>
  <si>
    <t>METRO</t>
  </si>
  <si>
    <t>From BEST</t>
  </si>
  <si>
    <t>AGR</t>
  </si>
  <si>
    <t>DHP1COAPFS-0</t>
  </si>
  <si>
    <t>ILPPUC115</t>
  </si>
  <si>
    <t>ILPPUC215</t>
  </si>
  <si>
    <t>ILPPUC315</t>
  </si>
  <si>
    <t>ILPPUC415</t>
  </si>
  <si>
    <t>ILPPUC515</t>
  </si>
  <si>
    <t>ILPBIOFT005</t>
  </si>
  <si>
    <t>ILPPAP007</t>
  </si>
  <si>
    <t>AGRLAND</t>
  </si>
  <si>
    <t>ICH000</t>
  </si>
  <si>
    <t>Waste</t>
  </si>
  <si>
    <t>I00000</t>
  </si>
  <si>
    <t>Indirect</t>
  </si>
  <si>
    <t>DNETSCO2</t>
  </si>
  <si>
    <t>UC_FLO</t>
  </si>
  <si>
    <t>DUM3</t>
  </si>
  <si>
    <t>Min CO2 from gas</t>
  </si>
  <si>
    <t>ELCNGA</t>
  </si>
  <si>
    <t>HET*</t>
  </si>
  <si>
    <t>HET2,HET4</t>
  </si>
  <si>
    <t>DNTSGASUP</t>
  </si>
  <si>
    <t>Max CO2 from gas</t>
  </si>
  <si>
    <t>DNTSGASLO</t>
  </si>
  <si>
    <t>DUM2</t>
  </si>
  <si>
    <t>OILDST</t>
  </si>
  <si>
    <t>Min CO2 from GOI</t>
  </si>
  <si>
    <t>ELCGOI</t>
  </si>
  <si>
    <t>DNTSGOIUP</t>
  </si>
  <si>
    <t>Max CO2 from GOI</t>
  </si>
  <si>
    <t>DNTSGOILO</t>
  </si>
  <si>
    <t>ELCBCO</t>
  </si>
  <si>
    <t>ELCCOA</t>
  </si>
  <si>
    <t>Fix CO2 from OIL+COA+BCO</t>
  </si>
  <si>
    <t>ELCOIL</t>
  </si>
  <si>
    <t>DNTSDIR</t>
  </si>
  <si>
    <t>UC_Desc</t>
  </si>
  <si>
    <t>2050</t>
  </si>
  <si>
    <t>2040</t>
  </si>
  <si>
    <t>PSet: PD</t>
  </si>
  <si>
    <t>PSet: PN</t>
  </si>
  <si>
    <t>PSet: CO</t>
  </si>
  <si>
    <t>PSet: CI</t>
  </si>
  <si>
    <t>~UC_SETS: R_E: FIN</t>
  </si>
  <si>
    <t>ECOAPFU-05</t>
  </si>
  <si>
    <t>BIOCRP</t>
  </si>
  <si>
    <t>SNKTOTCO2</t>
  </si>
  <si>
    <t>TOTCO2SN0</t>
  </si>
  <si>
    <t>BECCS-Lim</t>
  </si>
  <si>
    <t>SNKELCCO2</t>
  </si>
  <si>
    <t>COM_CSTNET</t>
  </si>
  <si>
    <t>VDA_FLOP</t>
  </si>
  <si>
    <t>BIOADD</t>
  </si>
  <si>
    <t>~UC_SETS: R_S: FIN,FIM</t>
  </si>
  <si>
    <t>UC_RHSTS</t>
  </si>
  <si>
    <t>UC_RHSTS~0</t>
  </si>
  <si>
    <t>FORCHIP</t>
  </si>
  <si>
    <t>EL_BIO</t>
  </si>
  <si>
    <t>DHP*,HET*</t>
  </si>
  <si>
    <t>R*,C*</t>
  </si>
  <si>
    <t>*PUMP.*</t>
  </si>
  <si>
    <t>*ELC</t>
  </si>
  <si>
    <t>RH_,RW_,CH_</t>
  </si>
  <si>
    <t>U_MinNtELI</t>
  </si>
  <si>
    <t>IMPELCFIM</t>
  </si>
  <si>
    <t>ELCC</t>
  </si>
  <si>
    <t>IMP</t>
  </si>
  <si>
    <t>UC_IRE-I</t>
  </si>
  <si>
    <t>U_ElcDHP</t>
  </si>
  <si>
    <t>DH*,EHYNP*</t>
  </si>
  <si>
    <t>ELCC,ELCMP,ELCDP</t>
  </si>
  <si>
    <t>U_NetELIMP</t>
  </si>
  <si>
    <t>*ELC-___-*</t>
  </si>
  <si>
    <t>Min net imports of ELC</t>
  </si>
  <si>
    <t>ELCE</t>
  </si>
  <si>
    <t>EXP</t>
  </si>
  <si>
    <t>UC_IRE-E</t>
  </si>
  <si>
    <t>MINGRO</t>
  </si>
  <si>
    <t>ONON000</t>
  </si>
  <si>
    <t>UPRNCB200</t>
  </si>
  <si>
    <t>MANBFS</t>
  </si>
  <si>
    <t>INMCMTBLD005</t>
  </si>
  <si>
    <t>1.B.1</t>
  </si>
  <si>
    <t>xCO3 uses</t>
  </si>
  <si>
    <t>FLO_BND</t>
  </si>
  <si>
    <t>UPNREFC</t>
  </si>
  <si>
    <t>2.B Chemical</t>
  </si>
  <si>
    <t>1.C capture</t>
  </si>
  <si>
    <t>RHB1D</t>
  </si>
  <si>
    <t>RHB2D</t>
  </si>
  <si>
    <t>CHB1D</t>
  </si>
  <si>
    <t>U_HTPUMP</t>
  </si>
  <si>
    <t>*ELC,-_CLELC</t>
  </si>
  <si>
    <t>TPRC</t>
  </si>
  <si>
    <t>TFRL</t>
  </si>
  <si>
    <t>TFRM</t>
  </si>
  <si>
    <t>TFRH</t>
  </si>
  <si>
    <t>TPRB</t>
  </si>
  <si>
    <t>TPRW</t>
  </si>
  <si>
    <t>TFTN</t>
  </si>
  <si>
    <t>TPTN</t>
  </si>
  <si>
    <t>TFSN</t>
  </si>
  <si>
    <t>TPAN</t>
  </si>
  <si>
    <t>IMPELCFIN</t>
  </si>
  <si>
    <t>FT-TRADST5</t>
  </si>
  <si>
    <t>FT-TRAHH20</t>
  </si>
  <si>
    <t>FT-TRANGA0</t>
  </si>
  <si>
    <t>FT-TRAGSL5</t>
  </si>
  <si>
    <t>FT-RESDST0</t>
  </si>
  <si>
    <t>FT-COMDST0</t>
  </si>
  <si>
    <t>FT-ELCBMU0</t>
  </si>
  <si>
    <t>FT-ELCHOIL0</t>
  </si>
  <si>
    <t>FT-ELCNGA1</t>
  </si>
  <si>
    <t>FT-ELCBIO0</t>
  </si>
  <si>
    <t>FT-ELCBIO11</t>
  </si>
  <si>
    <t>FT-INDBIO0</t>
  </si>
  <si>
    <t>FT-INDBIO5</t>
  </si>
  <si>
    <t>FT-INDBSL0</t>
  </si>
  <si>
    <t>ENUCGEN10</t>
  </si>
  <si>
    <t>ENUCGEN20</t>
  </si>
  <si>
    <t>Organic</t>
  </si>
  <si>
    <t>VEDA2</t>
  </si>
  <si>
    <t>TRACO2B</t>
  </si>
  <si>
    <t>File:</t>
  </si>
  <si>
    <t>Max DHP</t>
  </si>
  <si>
    <t>Metro import</t>
  </si>
  <si>
    <t>Forest fuels for DHP</t>
  </si>
  <si>
    <t>In-house heat pumps</t>
  </si>
  <si>
    <t>Residual</t>
  </si>
  <si>
    <t>IND</t>
  </si>
  <si>
    <t>ELCHYSD00</t>
  </si>
  <si>
    <t>ELCHYSW00</t>
  </si>
  <si>
    <t>ELCHYSS00</t>
  </si>
  <si>
    <t>EGEOBNY105</t>
  </si>
  <si>
    <t>HETGEOP105</t>
  </si>
  <si>
    <t>FT-RESGEO5</t>
  </si>
  <si>
    <t>FT-COMGEO5</t>
  </si>
  <si>
    <t>FT-INDGEO5</t>
  </si>
  <si>
    <t>FT-COMCOP5</t>
  </si>
  <si>
    <t>START</t>
  </si>
  <si>
    <t>DHP1COACFB-0</t>
  </si>
  <si>
    <t>DHP1COAIGC-0</t>
  </si>
  <si>
    <t>DHP1COAPFB-0</t>
  </si>
  <si>
    <t>DHP1COAPFU+0</t>
  </si>
  <si>
    <t>DHP1GASCCT-0</t>
  </si>
  <si>
    <t>DH_3*</t>
  </si>
  <si>
    <t>CHP</t>
  </si>
  <si>
    <t>D*</t>
  </si>
  <si>
    <t>D*,-DHP1COACFB-0</t>
  </si>
  <si>
    <t>DHP1COAPF_+0</t>
  </si>
  <si>
    <t>DHP1COA*</t>
  </si>
  <si>
    <t>DHL1COACF*</t>
  </si>
  <si>
    <t>DHPCOAP100</t>
  </si>
  <si>
    <t>Tech_Desc</t>
  </si>
  <si>
    <t>NEW</t>
  </si>
  <si>
    <t>EHYDDAM00</t>
  </si>
  <si>
    <t>EHYDRUN00</t>
  </si>
  <si>
    <t>DHPGASP100</t>
  </si>
  <si>
    <t>COM_BNDPRD</t>
  </si>
  <si>
    <t>GASNGA</t>
  </si>
  <si>
    <t>BIOPLT</t>
  </si>
  <si>
    <t>ECOACAL</t>
  </si>
  <si>
    <t>ECOAGEN00</t>
  </si>
  <si>
    <t>FT-ELCBCO1</t>
  </si>
  <si>
    <t>IMPCONOVCY</t>
  </si>
  <si>
    <t>UPRL2G100</t>
  </si>
  <si>
    <t>FT-INDELC0</t>
  </si>
  <si>
    <t>G-INDELC</t>
  </si>
  <si>
    <t>IDT</t>
  </si>
  <si>
    <t>IDTHET000</t>
  </si>
  <si>
    <t>ISIS</t>
  </si>
  <si>
    <t>ISLP</t>
  </si>
  <si>
    <t>AGRLTH</t>
  </si>
  <si>
    <t>IOOI</t>
  </si>
  <si>
    <t>UPXREFO</t>
  </si>
  <si>
    <t>HET1HTPUMP</t>
  </si>
  <si>
    <t>IOOINGA005</t>
  </si>
  <si>
    <t>IOOINGA000</t>
  </si>
  <si>
    <t>ENV_ACT</t>
  </si>
  <si>
    <t>IFCH*</t>
  </si>
  <si>
    <t>*.15</t>
  </si>
  <si>
    <t>ICH*005</t>
  </si>
  <si>
    <t>*.75</t>
  </si>
  <si>
    <t>~TFM_MIG</t>
  </si>
  <si>
    <t>Year2</t>
  </si>
  <si>
    <t>EFF</t>
  </si>
  <si>
    <t>*1.1</t>
  </si>
  <si>
    <t>RH1*00</t>
  </si>
  <si>
    <t>RH2*00</t>
  </si>
  <si>
    <t>CH1*00</t>
  </si>
  <si>
    <t>CEFF</t>
  </si>
  <si>
    <t>*1.2</t>
  </si>
  <si>
    <t>AGH*00</t>
  </si>
  <si>
    <t>*0.84</t>
  </si>
  <si>
    <t>IOOI*00</t>
  </si>
  <si>
    <t>*.65</t>
  </si>
  <si>
    <t>COA*,OIL*</t>
  </si>
  <si>
    <t>Fuel tech*</t>
  </si>
  <si>
    <t>Calibration</t>
  </si>
  <si>
    <t>Non-energy</t>
  </si>
  <si>
    <t>emissions</t>
  </si>
  <si>
    <t>calibration</t>
  </si>
  <si>
    <t>NCAP_TLIFE</t>
  </si>
  <si>
    <t>Heating fuels</t>
  </si>
  <si>
    <t>FT-ELCCOA0</t>
  </si>
  <si>
    <t>FLO_DELIV</t>
  </si>
  <si>
    <t>FT-ELCHCO1</t>
  </si>
  <si>
    <t>TRDELC</t>
  </si>
  <si>
    <t>TRT_HE01</t>
  </si>
  <si>
    <t>ICHOLF,ICHBTX</t>
  </si>
  <si>
    <t>ICHOTH000</t>
  </si>
  <si>
    <t>IFCH</t>
  </si>
  <si>
    <t>INDELC</t>
  </si>
  <si>
    <t>IMPCOAFIM</t>
  </si>
  <si>
    <t>COABCO</t>
  </si>
  <si>
    <t>IMPBIOFIM</t>
  </si>
  <si>
    <t>BIOSLD</t>
  </si>
  <si>
    <t>UFTSYNBDSLH</t>
  </si>
  <si>
    <t>UPM-Kotka</t>
  </si>
  <si>
    <t>DHP1BIOBFB-0</t>
  </si>
  <si>
    <t>EL1BIO</t>
  </si>
  <si>
    <t>NRG</t>
  </si>
  <si>
    <t>ELCBIO</t>
  </si>
  <si>
    <t>FIREWOOD</t>
  </si>
  <si>
    <t>RH1ELC005</t>
  </si>
  <si>
    <t>RH1ELC705</t>
  </si>
  <si>
    <t>RH1ERS000</t>
  </si>
  <si>
    <t>RH3</t>
  </si>
  <si>
    <t>RH2ELC705</t>
  </si>
  <si>
    <t>RH4</t>
  </si>
  <si>
    <t>RH2ERS000</t>
  </si>
  <si>
    <t>CH3</t>
  </si>
  <si>
    <t>CH1ELC005</t>
  </si>
  <si>
    <t>CH1ELC705</t>
  </si>
  <si>
    <t>CH1ERS000</t>
  </si>
  <si>
    <t>UPNCO2SN0</t>
  </si>
  <si>
    <t>BIOSTR</t>
  </si>
  <si>
    <t>ILPPUC000</t>
  </si>
  <si>
    <t>ILPPUR000</t>
  </si>
  <si>
    <t>Notes</t>
  </si>
  <si>
    <t>Pset: PN</t>
  </si>
  <si>
    <t>SIDE</t>
  </si>
  <si>
    <t>MAXGRO</t>
  </si>
  <si>
    <t>EDSOLRES05</t>
  </si>
  <si>
    <t>LHS</t>
  </si>
  <si>
    <t>UC_CAP</t>
  </si>
  <si>
    <t>RHS</t>
  </si>
  <si>
    <t>EDSOLCOM05</t>
  </si>
  <si>
    <t>~UC_SETS: R_E: FIN, FIM</t>
  </si>
  <si>
    <t>AN2OMMM1</t>
  </si>
  <si>
    <t>AN2OMMM2</t>
  </si>
  <si>
    <t>AN2OMMM3</t>
  </si>
  <si>
    <t>AN2OMMM4</t>
  </si>
  <si>
    <t>FT-RESCOP5</t>
  </si>
  <si>
    <t>INDBLQ</t>
  </si>
  <si>
    <t>BIOBLQ</t>
  </si>
  <si>
    <t>CSTRASFINOS</t>
  </si>
  <si>
    <t>Curr</t>
  </si>
  <si>
    <t>EUR10</t>
  </si>
  <si>
    <t>UBIOBSL200</t>
  </si>
  <si>
    <t>BIOCO2</t>
  </si>
  <si>
    <t>Pitko</t>
  </si>
  <si>
    <t>Direct electricity</t>
  </si>
  <si>
    <t>heating</t>
  </si>
  <si>
    <t>TRANSPORT</t>
  </si>
  <si>
    <t>BUILDINGS DEMAND</t>
  </si>
  <si>
    <t>COOLING, APPLIANCES &amp; LIGHTING</t>
  </si>
  <si>
    <t>INDUSTRY (Assumed same for sub-regions)</t>
  </si>
  <si>
    <t>ROFIN</t>
  </si>
  <si>
    <t>Demand projections</t>
  </si>
  <si>
    <t>FT-TRADST5_NRGI</t>
  </si>
  <si>
    <t>Transport</t>
  </si>
  <si>
    <t>Base</t>
  </si>
  <si>
    <t>constraints</t>
  </si>
  <si>
    <t>SYNGAS</t>
  </si>
  <si>
    <t>IMPDE_Z,IMPMA_Z</t>
  </si>
  <si>
    <t>NCAP_START</t>
  </si>
  <si>
    <t>Total GHG</t>
  </si>
  <si>
    <t>Total GHG, excl. LULUCF</t>
  </si>
  <si>
    <t>LULUCF</t>
  </si>
  <si>
    <t>modelled CO₂</t>
  </si>
  <si>
    <t>UC_COMNET</t>
  </si>
  <si>
    <t>A_MAXCO2EM</t>
  </si>
  <si>
    <t>TOTCO2</t>
  </si>
  <si>
    <t>UC_RHST</t>
  </si>
  <si>
    <t>COM_TAXNET</t>
  </si>
  <si>
    <t>EUR15</t>
  </si>
  <si>
    <t>Bunker Permit Price</t>
  </si>
  <si>
    <t>UFTSYNBMTG</t>
  </si>
  <si>
    <t>ELE</t>
  </si>
  <si>
    <t>ENGACC*</t>
  </si>
  <si>
    <t>X-ELC-SE1-FIN</t>
  </si>
  <si>
    <t>X+ELC-SE3-FIN</t>
  </si>
  <si>
    <t>NCAP_PASTI</t>
  </si>
  <si>
    <t>SE1</t>
  </si>
  <si>
    <t>SE1 Link</t>
  </si>
  <si>
    <t>SE3 Link</t>
  </si>
  <si>
    <t>S_EUnonETS-FIN-base</t>
  </si>
  <si>
    <t>Additional Interconnection Capacities / Flows</t>
  </si>
  <si>
    <t>Hydrogen</t>
  </si>
  <si>
    <t>EXPSYNHYN</t>
  </si>
  <si>
    <t>Timeslice</t>
  </si>
  <si>
    <t>IISSCR</t>
  </si>
  <si>
    <t>CUMCAP</t>
  </si>
  <si>
    <t>*0.0</t>
  </si>
  <si>
    <t>TRBELC01</t>
  </si>
  <si>
    <t>TRMELC01</t>
  </si>
  <si>
    <t>TRHELC01</t>
  </si>
  <si>
    <t>TRHHD</t>
  </si>
  <si>
    <t>TAI</t>
  </si>
  <si>
    <t>TPAI</t>
  </si>
  <si>
    <t>HZBCO105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</si>
</sst>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_([$€]* #,##0.00_);_([$€]* \(#,##0.00\);_([$€]* &quot;-&quot;??_);_(@_)"/>
    <numFmt numFmtId="168" formatCode="#,##0.0"/>
  </numFmts>
  <fonts count="5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1"/>
      <color indexed="12"/>
      <name val="Calibri"/>
      <family val="2"/>
    </font>
    <font>
      <b/>
      <sz val="11"/>
      <color indexed="10"/>
      <name val="Calibri"/>
      <family val="2"/>
    </font>
    <font>
      <sz val="8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9"/>
      <color indexed="8"/>
      <name val="Arial"/>
      <family val="2"/>
    </font>
    <font>
      <u/>
      <sz val="9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color indexed="13"/>
      <name val="Arial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b/>
      <u/>
      <sz val="11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gray125">
        <bgColor indexed="41"/>
      </patternFill>
    </fill>
    <fill>
      <patternFill patternType="gray125">
        <bgColor indexed="15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2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48" fillId="39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43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49" fillId="40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50" fillId="0" borderId="2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51" fillId="0" borderId="23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52" fillId="41" borderId="24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9" fillId="0" borderId="0"/>
    <xf numFmtId="0" fontId="53" fillId="0" borderId="0"/>
    <xf numFmtId="0" fontId="28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23" borderId="7" applyNumberFormat="0" applyFont="0" applyAlignment="0" applyProtection="0"/>
    <xf numFmtId="0" fontId="28" fillId="23" borderId="7" applyNumberFormat="0" applyFont="0" applyAlignment="0" applyProtection="0"/>
    <xf numFmtId="0" fontId="28" fillId="23" borderId="7" applyNumberFormat="0" applyFont="0" applyAlignment="0" applyProtection="0"/>
    <xf numFmtId="0" fontId="1" fillId="23" borderId="7" applyNumberFormat="0" applyFon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43">
    <xf numFmtId="0" fontId="0" fillId="0" borderId="0" xfId="0"/>
    <xf numFmtId="0" fontId="0" fillId="0" borderId="0" xfId="0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2" fillId="24" borderId="10" xfId="0" applyFont="1" applyFill="1" applyBorder="1"/>
    <xf numFmtId="0" fontId="3" fillId="24" borderId="10" xfId="0" applyFont="1" applyFill="1" applyBorder="1"/>
    <xf numFmtId="0" fontId="5" fillId="0" borderId="0" xfId="0" quotePrefix="1" applyFont="1" applyAlignment="1">
      <alignment horizontal="left"/>
    </xf>
    <xf numFmtId="0" fontId="2" fillId="24" borderId="10" xfId="0" applyFont="1" applyFill="1" applyBorder="1" applyAlignment="1">
      <alignment horizontal="center"/>
    </xf>
    <xf numFmtId="0" fontId="0" fillId="25" borderId="0" xfId="0" applyFill="1"/>
    <xf numFmtId="0" fontId="7" fillId="0" borderId="0" xfId="0" applyFont="1"/>
    <xf numFmtId="0" fontId="7" fillId="0" borderId="0" xfId="0" applyNumberFormat="1" applyFont="1" applyFill="1" applyBorder="1" applyAlignment="1"/>
    <xf numFmtId="0" fontId="8" fillId="24" borderId="10" xfId="0" applyNumberFormat="1" applyFont="1" applyFill="1" applyBorder="1" applyAlignment="1">
      <alignment wrapText="1"/>
    </xf>
    <xf numFmtId="0" fontId="4" fillId="0" borderId="0" xfId="142" applyFont="1"/>
    <xf numFmtId="0" fontId="1" fillId="0" borderId="0" xfId="142"/>
    <xf numFmtId="0" fontId="8" fillId="24" borderId="10" xfId="0" applyNumberFormat="1" applyFont="1" applyFill="1" applyBorder="1" applyAlignment="1"/>
    <xf numFmtId="164" fontId="0" fillId="0" borderId="0" xfId="0" applyNumberFormat="1"/>
    <xf numFmtId="2" fontId="3" fillId="0" borderId="0" xfId="136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0" fontId="26" fillId="25" borderId="0" xfId="0" applyFont="1" applyFill="1"/>
    <xf numFmtId="0" fontId="2" fillId="0" borderId="0" xfId="0" applyFont="1"/>
    <xf numFmtId="1" fontId="0" fillId="25" borderId="0" xfId="0" applyNumberFormat="1" applyFill="1"/>
    <xf numFmtId="165" fontId="0" fillId="25" borderId="0" xfId="0" applyNumberFormat="1" applyFill="1"/>
    <xf numFmtId="0" fontId="2" fillId="24" borderId="0" xfId="0" applyFont="1" applyFill="1" applyBorder="1"/>
    <xf numFmtId="0" fontId="3" fillId="24" borderId="0" xfId="0" applyFont="1" applyFill="1" applyBorder="1"/>
    <xf numFmtId="0" fontId="26" fillId="24" borderId="0" xfId="0" applyFont="1" applyFill="1"/>
    <xf numFmtId="165" fontId="0" fillId="24" borderId="0" xfId="0" applyNumberFormat="1" applyFill="1"/>
    <xf numFmtId="2" fontId="0" fillId="25" borderId="0" xfId="0" applyNumberFormat="1" applyFill="1"/>
    <xf numFmtId="0" fontId="3" fillId="24" borderId="0" xfId="0" quotePrefix="1" applyFont="1" applyFill="1" applyBorder="1" applyAlignment="1">
      <alignment horizontal="center"/>
    </xf>
    <xf numFmtId="0" fontId="3" fillId="24" borderId="0" xfId="0" applyFont="1" applyFill="1" applyBorder="1" applyAlignment="1">
      <alignment horizontal="center"/>
    </xf>
    <xf numFmtId="0" fontId="0" fillId="26" borderId="0" xfId="0" applyFill="1"/>
    <xf numFmtId="0" fontId="0" fillId="26" borderId="0" xfId="0" applyFill="1" applyAlignment="1">
      <alignment horizontal="center"/>
    </xf>
    <xf numFmtId="165" fontId="0" fillId="0" borderId="0" xfId="0" applyNumberFormat="1"/>
    <xf numFmtId="0" fontId="3" fillId="24" borderId="10" xfId="0" applyFont="1" applyFill="1" applyBorder="1" applyAlignment="1">
      <alignment horizontal="center"/>
    </xf>
    <xf numFmtId="0" fontId="0" fillId="24" borderId="10" xfId="0" applyFill="1" applyBorder="1"/>
    <xf numFmtId="2" fontId="2" fillId="27" borderId="0" xfId="0" applyNumberFormat="1" applyFont="1" applyFill="1"/>
    <xf numFmtId="0" fontId="0" fillId="24" borderId="0" xfId="0" applyFill="1"/>
    <xf numFmtId="0" fontId="30" fillId="0" borderId="0" xfId="122" applyFont="1"/>
    <xf numFmtId="0" fontId="9" fillId="0" borderId="0" xfId="122"/>
    <xf numFmtId="0" fontId="31" fillId="28" borderId="0" xfId="122" applyFont="1" applyFill="1"/>
    <xf numFmtId="0" fontId="10" fillId="29" borderId="0" xfId="122" applyFont="1" applyFill="1"/>
    <xf numFmtId="0" fontId="10" fillId="29" borderId="0" xfId="122" applyFont="1" applyFill="1" applyAlignment="1">
      <alignment horizontal="center"/>
    </xf>
    <xf numFmtId="0" fontId="9" fillId="0" borderId="0" xfId="122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6" fillId="26" borderId="0" xfId="0" applyFont="1" applyFill="1"/>
    <xf numFmtId="2" fontId="0" fillId="26" borderId="0" xfId="0" applyNumberFormat="1" applyFill="1"/>
    <xf numFmtId="165" fontId="0" fillId="26" borderId="0" xfId="0" applyNumberFormat="1" applyFill="1"/>
    <xf numFmtId="0" fontId="9" fillId="0" borderId="0" xfId="128"/>
    <xf numFmtId="0" fontId="5" fillId="0" borderId="0" xfId="125" applyFont="1"/>
    <xf numFmtId="0" fontId="1" fillId="0" borderId="0" xfId="125"/>
    <xf numFmtId="0" fontId="2" fillId="0" borderId="0" xfId="125" applyFont="1" applyAlignment="1">
      <alignment horizontal="left"/>
    </xf>
    <xf numFmtId="0" fontId="2" fillId="0" borderId="0" xfId="125" applyFont="1" applyAlignment="1">
      <alignment horizontal="center"/>
    </xf>
    <xf numFmtId="0" fontId="2" fillId="24" borderId="10" xfId="125" applyFont="1" applyFill="1" applyBorder="1"/>
    <xf numFmtId="0" fontId="3" fillId="24" borderId="10" xfId="125" applyFont="1" applyFill="1" applyBorder="1"/>
    <xf numFmtId="2" fontId="26" fillId="25" borderId="0" xfId="0" applyNumberFormat="1" applyFont="1" applyFill="1"/>
    <xf numFmtId="0" fontId="0" fillId="30" borderId="0" xfId="0" applyFill="1"/>
    <xf numFmtId="0" fontId="0" fillId="30" borderId="0" xfId="0" applyFill="1" applyAlignment="1">
      <alignment horizontal="center"/>
    </xf>
    <xf numFmtId="0" fontId="0" fillId="31" borderId="0" xfId="0" applyFill="1"/>
    <xf numFmtId="164" fontId="0" fillId="25" borderId="0" xfId="0" applyNumberFormat="1" applyFill="1"/>
    <xf numFmtId="2" fontId="27" fillId="25" borderId="0" xfId="0" applyNumberFormat="1" applyFont="1" applyFill="1"/>
    <xf numFmtId="0" fontId="2" fillId="25" borderId="12" xfId="0" applyFont="1" applyFill="1" applyBorder="1" applyAlignment="1">
      <alignment horizontal="center"/>
    </xf>
    <xf numFmtId="165" fontId="0" fillId="25" borderId="0" xfId="0" applyNumberFormat="1" applyFill="1" applyAlignment="1">
      <alignment horizontal="center"/>
    </xf>
    <xf numFmtId="0" fontId="26" fillId="25" borderId="0" xfId="0" applyFont="1" applyFill="1" applyAlignment="1">
      <alignment horizontal="center"/>
    </xf>
    <xf numFmtId="0" fontId="26" fillId="31" borderId="0" xfId="0" applyFont="1" applyFill="1"/>
    <xf numFmtId="2" fontId="26" fillId="31" borderId="0" xfId="0" applyNumberFormat="1" applyFont="1" applyFill="1"/>
    <xf numFmtId="0" fontId="0" fillId="31" borderId="0" xfId="0" applyFill="1" applyAlignment="1">
      <alignment horizontal="center"/>
    </xf>
    <xf numFmtId="0" fontId="33" fillId="25" borderId="0" xfId="0" applyFont="1" applyFill="1"/>
    <xf numFmtId="0" fontId="8" fillId="24" borderId="10" xfId="0" quotePrefix="1" applyNumberFormat="1" applyFont="1" applyFill="1" applyBorder="1" applyAlignment="1">
      <alignment horizontal="center" wrapText="1"/>
    </xf>
    <xf numFmtId="0" fontId="8" fillId="24" borderId="10" xfId="0" quotePrefix="1" applyNumberFormat="1" applyFont="1" applyFill="1" applyBorder="1" applyAlignment="1">
      <alignment horizontal="center"/>
    </xf>
    <xf numFmtId="0" fontId="8" fillId="24" borderId="10" xfId="0" applyNumberFormat="1" applyFont="1" applyFill="1" applyBorder="1" applyAlignment="1">
      <alignment horizontal="left"/>
    </xf>
    <xf numFmtId="0" fontId="9" fillId="26" borderId="0" xfId="128" applyFill="1"/>
    <xf numFmtId="1" fontId="0" fillId="26" borderId="0" xfId="0" applyNumberFormat="1" applyFill="1"/>
    <xf numFmtId="0" fontId="8" fillId="24" borderId="10" xfId="0" applyNumberFormat="1" applyFont="1" applyFill="1" applyBorder="1" applyAlignment="1">
      <alignment horizontal="center" wrapText="1"/>
    </xf>
    <xf numFmtId="0" fontId="4" fillId="0" borderId="0" xfId="142" applyFont="1" applyAlignment="1">
      <alignment horizontal="center"/>
    </xf>
    <xf numFmtId="0" fontId="4" fillId="26" borderId="0" xfId="0" applyFont="1" applyFill="1"/>
    <xf numFmtId="2" fontId="0" fillId="26" borderId="0" xfId="0" applyNumberFormat="1" applyFill="1" applyAlignment="1">
      <alignment horizontal="center"/>
    </xf>
    <xf numFmtId="1" fontId="9" fillId="0" borderId="0" xfId="128" applyNumberFormat="1"/>
    <xf numFmtId="0" fontId="0" fillId="25" borderId="0" xfId="0" applyFill="1" applyAlignment="1">
      <alignment horizontal="center"/>
    </xf>
    <xf numFmtId="0" fontId="2" fillId="24" borderId="14" xfId="0" applyFont="1" applyFill="1" applyBorder="1" applyAlignment="1">
      <alignment horizontal="center"/>
    </xf>
    <xf numFmtId="0" fontId="0" fillId="25" borderId="15" xfId="0" applyFill="1" applyBorder="1"/>
    <xf numFmtId="0" fontId="9" fillId="26" borderId="15" xfId="128" applyFill="1" applyBorder="1"/>
    <xf numFmtId="0" fontId="2" fillId="24" borderId="16" xfId="0" applyFont="1" applyFill="1" applyBorder="1"/>
    <xf numFmtId="0" fontId="0" fillId="25" borderId="17" xfId="0" applyFill="1" applyBorder="1"/>
    <xf numFmtId="0" fontId="0" fillId="26" borderId="17" xfId="0" applyFill="1" applyBorder="1"/>
    <xf numFmtId="0" fontId="0" fillId="25" borderId="15" xfId="0" applyFill="1" applyBorder="1" applyAlignment="1">
      <alignment horizontal="center"/>
    </xf>
    <xf numFmtId="0" fontId="2" fillId="24" borderId="0" xfId="0" quotePrefix="1" applyFont="1" applyFill="1" applyBorder="1" applyAlignment="1">
      <alignment horizontal="center"/>
    </xf>
    <xf numFmtId="2" fontId="26" fillId="32" borderId="0" xfId="0" applyNumberFormat="1" applyFont="1" applyFill="1"/>
    <xf numFmtId="165" fontId="26" fillId="32" borderId="0" xfId="0" applyNumberFormat="1" applyFont="1" applyFill="1"/>
    <xf numFmtId="0" fontId="26" fillId="32" borderId="0" xfId="0" applyFont="1" applyFill="1"/>
    <xf numFmtId="0" fontId="3" fillId="30" borderId="0" xfId="0" applyFont="1" applyFill="1"/>
    <xf numFmtId="2" fontId="3" fillId="30" borderId="0" xfId="136" applyNumberFormat="1" applyFont="1" applyFill="1" applyAlignment="1">
      <alignment horizontal="right"/>
    </xf>
    <xf numFmtId="0" fontId="0" fillId="24" borderId="0" xfId="0" quotePrefix="1" applyFill="1" applyAlignment="1">
      <alignment horizontal="center"/>
    </xf>
    <xf numFmtId="0" fontId="0" fillId="24" borderId="0" xfId="0" applyFill="1" applyAlignment="1">
      <alignment horizontal="center"/>
    </xf>
    <xf numFmtId="164" fontId="0" fillId="24" borderId="0" xfId="0" applyNumberFormat="1" applyFill="1" applyAlignment="1">
      <alignment horizontal="center"/>
    </xf>
    <xf numFmtId="166" fontId="0" fillId="24" borderId="0" xfId="0" applyNumberFormat="1" applyFill="1"/>
    <xf numFmtId="2" fontId="0" fillId="24" borderId="0" xfId="0" applyNumberFormat="1" applyFill="1"/>
    <xf numFmtId="0" fontId="5" fillId="0" borderId="0" xfId="0" applyFont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/>
    </xf>
    <xf numFmtId="0" fontId="0" fillId="28" borderId="0" xfId="0" applyFill="1"/>
    <xf numFmtId="0" fontId="4" fillId="26" borderId="0" xfId="142" applyFont="1" applyFill="1"/>
    <xf numFmtId="164" fontId="0" fillId="26" borderId="0" xfId="0" applyNumberFormat="1" applyFill="1"/>
    <xf numFmtId="0" fontId="33" fillId="26" borderId="0" xfId="0" applyFont="1" applyFill="1"/>
    <xf numFmtId="0" fontId="33" fillId="26" borderId="0" xfId="142" applyFont="1" applyFill="1" applyAlignment="1">
      <alignment horizontal="center"/>
    </xf>
    <xf numFmtId="164" fontId="33" fillId="26" borderId="0" xfId="0" applyNumberFormat="1" applyFont="1" applyFill="1" applyAlignment="1">
      <alignment horizontal="center"/>
    </xf>
    <xf numFmtId="2" fontId="33" fillId="26" borderId="0" xfId="0" applyNumberFormat="1" applyFont="1" applyFill="1"/>
    <xf numFmtId="0" fontId="33" fillId="26" borderId="0" xfId="0" applyFont="1" applyFill="1" applyAlignment="1">
      <alignment horizontal="center"/>
    </xf>
    <xf numFmtId="0" fontId="33" fillId="26" borderId="0" xfId="142" applyFont="1" applyFill="1"/>
    <xf numFmtId="164" fontId="33" fillId="26" borderId="0" xfId="0" applyNumberFormat="1" applyFont="1" applyFill="1"/>
    <xf numFmtId="2" fontId="33" fillId="26" borderId="0" xfId="0" applyNumberFormat="1" applyFont="1" applyFill="1" applyAlignment="1">
      <alignment horizontal="center"/>
    </xf>
    <xf numFmtId="164" fontId="0" fillId="24" borderId="0" xfId="0" applyNumberFormat="1" applyFill="1"/>
    <xf numFmtId="0" fontId="9" fillId="24" borderId="0" xfId="128" applyFill="1"/>
    <xf numFmtId="0" fontId="9" fillId="24" borderId="0" xfId="128" applyFill="1" applyAlignment="1">
      <alignment horizontal="center"/>
    </xf>
    <xf numFmtId="0" fontId="2" fillId="24" borderId="10" xfId="125" applyFont="1" applyFill="1" applyBorder="1" applyAlignment="1">
      <alignment horizontal="center"/>
    </xf>
    <xf numFmtId="0" fontId="27" fillId="25" borderId="0" xfId="0" applyFont="1" applyFill="1"/>
    <xf numFmtId="0" fontId="27" fillId="25" borderId="0" xfId="0" applyFont="1" applyFill="1" applyBorder="1" applyAlignment="1" applyProtection="1">
      <protection locked="0"/>
    </xf>
    <xf numFmtId="0" fontId="34" fillId="24" borderId="0" xfId="0" applyFont="1" applyFill="1"/>
    <xf numFmtId="0" fontId="3" fillId="24" borderId="0" xfId="0" applyFont="1" applyFill="1"/>
    <xf numFmtId="0" fontId="0" fillId="0" borderId="0" xfId="0" applyAlignment="1"/>
    <xf numFmtId="0" fontId="0" fillId="31" borderId="0" xfId="0" applyFill="1" applyBorder="1"/>
    <xf numFmtId="0" fontId="0" fillId="31" borderId="0" xfId="0" applyFill="1" applyBorder="1" applyAlignment="1">
      <alignment horizontal="center"/>
    </xf>
    <xf numFmtId="2" fontId="0" fillId="31" borderId="0" xfId="0" applyNumberFormat="1" applyFill="1"/>
    <xf numFmtId="0" fontId="0" fillId="31" borderId="0" xfId="0" quotePrefix="1" applyFill="1" applyBorder="1" applyAlignment="1">
      <alignment horizontal="center"/>
    </xf>
    <xf numFmtId="1" fontId="0" fillId="31" borderId="0" xfId="0" applyNumberFormat="1" applyFill="1"/>
    <xf numFmtId="0" fontId="0" fillId="31" borderId="0" xfId="0" quotePrefix="1" applyFill="1" applyAlignment="1">
      <alignment horizontal="center"/>
    </xf>
    <xf numFmtId="2" fontId="0" fillId="24" borderId="0" xfId="0" applyNumberFormat="1" applyFill="1" applyAlignment="1">
      <alignment horizontal="center"/>
    </xf>
    <xf numFmtId="0" fontId="0" fillId="24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34" fillId="24" borderId="0" xfId="0" applyNumberFormat="1" applyFont="1" applyFill="1" applyBorder="1" applyAlignment="1">
      <alignment horizontal="center" vertical="center" wrapText="1"/>
    </xf>
    <xf numFmtId="0" fontId="34" fillId="24" borderId="0" xfId="0" applyNumberFormat="1" applyFont="1" applyFill="1" applyBorder="1" applyAlignment="1"/>
    <xf numFmtId="0" fontId="0" fillId="24" borderId="0" xfId="0" applyFill="1" applyBorder="1"/>
    <xf numFmtId="164" fontId="3" fillId="24" borderId="0" xfId="0" applyNumberFormat="1" applyFont="1" applyFill="1" applyBorder="1" applyAlignment="1">
      <alignment horizontal="center"/>
    </xf>
    <xf numFmtId="0" fontId="0" fillId="24" borderId="0" xfId="0" applyFill="1" applyAlignment="1"/>
    <xf numFmtId="1" fontId="0" fillId="24" borderId="0" xfId="0" applyNumberFormat="1" applyFill="1" applyAlignment="1">
      <alignment horizontal="center"/>
    </xf>
    <xf numFmtId="0" fontId="0" fillId="25" borderId="12" xfId="0" applyFill="1" applyBorder="1"/>
    <xf numFmtId="0" fontId="0" fillId="25" borderId="12" xfId="0" applyFill="1" applyBorder="1" applyAlignment="1">
      <alignment horizontal="center"/>
    </xf>
    <xf numFmtId="0" fontId="26" fillId="26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4" borderId="0" xfId="0" applyFont="1" applyFill="1" applyAlignment="1">
      <alignment horizontal="right"/>
    </xf>
    <xf numFmtId="0" fontId="3" fillId="24" borderId="0" xfId="0" applyFont="1" applyFill="1" applyAlignment="1">
      <alignment horizontal="left"/>
    </xf>
    <xf numFmtId="2" fontId="3" fillId="24" borderId="0" xfId="0" applyNumberFormat="1" applyFont="1" applyFill="1" applyAlignment="1">
      <alignment horizontal="center"/>
    </xf>
    <xf numFmtId="0" fontId="0" fillId="24" borderId="15" xfId="0" applyFill="1" applyBorder="1" applyAlignment="1">
      <alignment horizontal="center"/>
    </xf>
    <xf numFmtId="165" fontId="0" fillId="31" borderId="0" xfId="0" applyNumberFormat="1" applyFill="1" applyAlignment="1">
      <alignment horizontal="center"/>
    </xf>
    <xf numFmtId="0" fontId="2" fillId="24" borderId="18" xfId="0" applyFont="1" applyFill="1" applyBorder="1"/>
    <xf numFmtId="0" fontId="2" fillId="24" borderId="18" xfId="0" applyFont="1" applyFill="1" applyBorder="1" applyAlignment="1">
      <alignment horizontal="center"/>
    </xf>
    <xf numFmtId="0" fontId="3" fillId="24" borderId="18" xfId="0" applyFont="1" applyFill="1" applyBorder="1"/>
    <xf numFmtId="0" fontId="0" fillId="24" borderId="18" xfId="0" applyFill="1" applyBorder="1"/>
    <xf numFmtId="0" fontId="0" fillId="31" borderId="12" xfId="0" applyFill="1" applyBorder="1" applyAlignment="1">
      <alignment horizontal="center"/>
    </xf>
    <xf numFmtId="164" fontId="3" fillId="24" borderId="0" xfId="0" applyNumberFormat="1" applyFont="1" applyFill="1"/>
    <xf numFmtId="0" fontId="0" fillId="26" borderId="10" xfId="0" applyFill="1" applyBorder="1"/>
    <xf numFmtId="1" fontId="3" fillId="30" borderId="0" xfId="136" applyNumberFormat="1" applyFont="1" applyFill="1" applyAlignment="1">
      <alignment horizontal="center"/>
    </xf>
    <xf numFmtId="0" fontId="1" fillId="26" borderId="0" xfId="142" applyFill="1"/>
    <xf numFmtId="0" fontId="33" fillId="31" borderId="0" xfId="0" applyFont="1" applyFill="1"/>
    <xf numFmtId="0" fontId="33" fillId="31" borderId="0" xfId="0" applyFont="1" applyFill="1" applyAlignment="1">
      <alignment horizontal="center"/>
    </xf>
    <xf numFmtId="164" fontId="33" fillId="31" borderId="0" xfId="0" applyNumberFormat="1" applyFont="1" applyFill="1" applyAlignment="1">
      <alignment horizontal="center"/>
    </xf>
    <xf numFmtId="0" fontId="33" fillId="31" borderId="15" xfId="0" applyFont="1" applyFill="1" applyBorder="1" applyAlignment="1">
      <alignment horizontal="center"/>
    </xf>
    <xf numFmtId="0" fontId="36" fillId="31" borderId="0" xfId="0" applyFont="1" applyFill="1"/>
    <xf numFmtId="1" fontId="36" fillId="31" borderId="0" xfId="0" applyNumberFormat="1" applyFont="1" applyFill="1" applyAlignment="1">
      <alignment horizontal="center"/>
    </xf>
    <xf numFmtId="1" fontId="36" fillId="31" borderId="0" xfId="0" applyNumberFormat="1" applyFont="1" applyFill="1"/>
    <xf numFmtId="0" fontId="37" fillId="31" borderId="0" xfId="0" applyFont="1" applyFill="1"/>
    <xf numFmtId="165" fontId="36" fillId="31" borderId="0" xfId="0" applyNumberFormat="1" applyFont="1" applyFill="1" applyBorder="1" applyAlignment="1">
      <alignment horizontal="center"/>
    </xf>
    <xf numFmtId="0" fontId="0" fillId="25" borderId="0" xfId="0" quotePrefix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1" fillId="24" borderId="0" xfId="0" applyFont="1" applyFill="1"/>
    <xf numFmtId="0" fontId="38" fillId="24" borderId="0" xfId="0" applyFont="1" applyFill="1"/>
    <xf numFmtId="0" fontId="39" fillId="24" borderId="0" xfId="0" applyFont="1" applyFill="1"/>
    <xf numFmtId="0" fontId="2" fillId="33" borderId="12" xfId="0" applyFont="1" applyFill="1" applyBorder="1"/>
    <xf numFmtId="0" fontId="2" fillId="33" borderId="12" xfId="0" applyFont="1" applyFill="1" applyBorder="1" applyAlignment="1">
      <alignment horizontal="center"/>
    </xf>
    <xf numFmtId="0" fontId="2" fillId="28" borderId="12" xfId="0" applyFont="1" applyFill="1" applyBorder="1"/>
    <xf numFmtId="0" fontId="0" fillId="33" borderId="0" xfId="0" applyFill="1"/>
    <xf numFmtId="0" fontId="0" fillId="33" borderId="0" xfId="0" applyFill="1" applyAlignment="1">
      <alignment horizontal="center"/>
    </xf>
    <xf numFmtId="165" fontId="0" fillId="26" borderId="0" xfId="0" applyNumberFormat="1" applyFill="1" applyAlignment="1">
      <alignment horizontal="center"/>
    </xf>
    <xf numFmtId="0" fontId="2" fillId="28" borderId="12" xfId="0" applyFont="1" applyFill="1" applyBorder="1" applyAlignment="1">
      <alignment horizontal="center"/>
    </xf>
    <xf numFmtId="0" fontId="0" fillId="33" borderId="19" xfId="0" applyFill="1" applyBorder="1"/>
    <xf numFmtId="0" fontId="0" fillId="33" borderId="19" xfId="0" applyFill="1" applyBorder="1" applyAlignment="1">
      <alignment horizontal="center"/>
    </xf>
    <xf numFmtId="165" fontId="0" fillId="26" borderId="19" xfId="0" applyNumberFormat="1" applyFill="1" applyBorder="1" applyAlignment="1">
      <alignment horizontal="center"/>
    </xf>
    <xf numFmtId="165" fontId="0" fillId="25" borderId="19" xfId="0" applyNumberFormat="1" applyFill="1" applyBorder="1" applyAlignment="1">
      <alignment horizontal="center"/>
    </xf>
    <xf numFmtId="0" fontId="2" fillId="27" borderId="12" xfId="0" applyFont="1" applyFill="1" applyBorder="1" applyAlignment="1">
      <alignment horizontal="center"/>
    </xf>
    <xf numFmtId="165" fontId="0" fillId="32" borderId="0" xfId="0" applyNumberFormat="1" applyFill="1" applyAlignment="1">
      <alignment horizontal="center"/>
    </xf>
    <xf numFmtId="165" fontId="0" fillId="34" borderId="0" xfId="0" applyNumberFormat="1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40" fillId="36" borderId="0" xfId="0" applyFont="1" applyFill="1"/>
    <xf numFmtId="2" fontId="3" fillId="31" borderId="0" xfId="0" applyNumberFormat="1" applyFont="1" applyFill="1"/>
    <xf numFmtId="164" fontId="3" fillId="31" borderId="0" xfId="0" applyNumberFormat="1" applyFont="1" applyFill="1"/>
    <xf numFmtId="2" fontId="34" fillId="25" borderId="0" xfId="0" applyNumberFormat="1" applyFont="1" applyFill="1"/>
    <xf numFmtId="2" fontId="3" fillId="25" borderId="0" xfId="0" applyNumberFormat="1" applyFont="1" applyFill="1"/>
    <xf numFmtId="0" fontId="2" fillId="25" borderId="12" xfId="0" applyFont="1" applyFill="1" applyBorder="1"/>
    <xf numFmtId="0" fontId="3" fillId="25" borderId="12" xfId="0" quotePrefix="1" applyFont="1" applyFill="1" applyBorder="1" applyAlignment="1">
      <alignment horizontal="center"/>
    </xf>
    <xf numFmtId="0" fontId="3" fillId="25" borderId="12" xfId="0" applyFont="1" applyFill="1" applyBorder="1" applyAlignment="1">
      <alignment horizontal="center"/>
    </xf>
    <xf numFmtId="0" fontId="3" fillId="25" borderId="12" xfId="0" applyFont="1" applyFill="1" applyBorder="1"/>
    <xf numFmtId="0" fontId="35" fillId="25" borderId="12" xfId="0" applyFont="1" applyFill="1" applyBorder="1"/>
    <xf numFmtId="0" fontId="35" fillId="25" borderId="12" xfId="0" applyFont="1" applyFill="1" applyBorder="1" applyAlignment="1">
      <alignment horizontal="center"/>
    </xf>
    <xf numFmtId="0" fontId="0" fillId="32" borderId="0" xfId="0" applyFill="1" applyAlignment="1">
      <alignment horizontal="center"/>
    </xf>
    <xf numFmtId="0" fontId="3" fillId="37" borderId="0" xfId="0" applyFont="1" applyFill="1" applyBorder="1"/>
    <xf numFmtId="0" fontId="3" fillId="37" borderId="0" xfId="0" applyFont="1" applyFill="1"/>
    <xf numFmtId="0" fontId="3" fillId="37" borderId="0" xfId="0" applyFont="1" applyFill="1" applyBorder="1" applyAlignment="1">
      <alignment horizontal="center"/>
    </xf>
    <xf numFmtId="0" fontId="0" fillId="0" borderId="0" xfId="0"/>
    <xf numFmtId="0" fontId="41" fillId="0" borderId="0" xfId="127" applyFont="1" applyFill="1" applyBorder="1"/>
    <xf numFmtId="0" fontId="42" fillId="0" borderId="0" xfId="127" applyFont="1" applyFill="1" applyBorder="1"/>
    <xf numFmtId="0" fontId="43" fillId="0" borderId="0" xfId="0" applyFont="1" applyAlignment="1">
      <alignment horizontal="center"/>
    </xf>
    <xf numFmtId="168" fontId="10" fillId="32" borderId="0" xfId="0" applyNumberFormat="1" applyFont="1" applyFill="1"/>
    <xf numFmtId="168" fontId="43" fillId="38" borderId="0" xfId="0" applyNumberFormat="1" applyFont="1" applyFill="1"/>
    <xf numFmtId="0" fontId="8" fillId="0" borderId="0" xfId="0" applyNumberFormat="1" applyFont="1" applyFill="1" applyBorder="1" applyAlignment="1"/>
    <xf numFmtId="0" fontId="0" fillId="37" borderId="0" xfId="0" applyFill="1"/>
    <xf numFmtId="0" fontId="3" fillId="25" borderId="0" xfId="142" applyFont="1" applyFill="1"/>
    <xf numFmtId="0" fontId="3" fillId="25" borderId="0" xfId="0" applyFont="1" applyFill="1"/>
    <xf numFmtId="1" fontId="28" fillId="25" borderId="0" xfId="0" applyNumberFormat="1" applyFont="1" applyFill="1"/>
    <xf numFmtId="0" fontId="45" fillId="25" borderId="0" xfId="128" applyFont="1" applyFill="1"/>
    <xf numFmtId="1" fontId="46" fillId="25" borderId="0" xfId="0" applyNumberFormat="1" applyFont="1" applyFill="1"/>
    <xf numFmtId="0" fontId="3" fillId="25" borderId="0" xfId="0" applyFont="1" applyFill="1" applyAlignment="1">
      <alignment horizontal="left"/>
    </xf>
    <xf numFmtId="0" fontId="46" fillId="25" borderId="0" xfId="0" applyFont="1" applyFill="1"/>
    <xf numFmtId="1" fontId="45" fillId="25" borderId="0" xfId="128" applyNumberFormat="1" applyFont="1" applyFill="1"/>
    <xf numFmtId="0" fontId="8" fillId="24" borderId="14" xfId="0" applyNumberFormat="1" applyFont="1" applyFill="1" applyBorder="1" applyAlignment="1">
      <alignment horizontal="center"/>
    </xf>
    <xf numFmtId="0" fontId="3" fillId="25" borderId="15" xfId="0" applyFont="1" applyFill="1" applyBorder="1" applyAlignment="1">
      <alignment horizontal="center"/>
    </xf>
    <xf numFmtId="0" fontId="0" fillId="37" borderId="0" xfId="0" applyFill="1" applyAlignment="1">
      <alignment horizontal="center"/>
    </xf>
    <xf numFmtId="0" fontId="0" fillId="24" borderId="20" xfId="0" applyFill="1" applyBorder="1" applyAlignment="1">
      <alignment horizontal="center"/>
    </xf>
    <xf numFmtId="0" fontId="2" fillId="24" borderId="14" xfId="0" applyFont="1" applyFill="1" applyBorder="1"/>
    <xf numFmtId="0" fontId="0" fillId="27" borderId="0" xfId="0" applyFill="1"/>
    <xf numFmtId="0" fontId="0" fillId="27" borderId="0" xfId="0" applyFill="1" applyAlignment="1">
      <alignment horizontal="center"/>
    </xf>
    <xf numFmtId="0" fontId="2" fillId="27" borderId="0" xfId="0" applyFont="1" applyFill="1"/>
    <xf numFmtId="168" fontId="0" fillId="0" borderId="0" xfId="0" applyNumberFormat="1"/>
    <xf numFmtId="0" fontId="47" fillId="26" borderId="0" xfId="0" applyFont="1" applyFill="1"/>
    <xf numFmtId="0" fontId="3" fillId="25" borderId="0" xfId="128" applyFont="1" applyFill="1"/>
    <xf numFmtId="0" fontId="9" fillId="25" borderId="0" xfId="128" applyFill="1"/>
    <xf numFmtId="1" fontId="9" fillId="25" borderId="0" xfId="128" applyNumberFormat="1" applyFill="1" applyAlignment="1">
      <alignment horizontal="center"/>
    </xf>
    <xf numFmtId="1" fontId="9" fillId="25" borderId="0" xfId="128" applyNumberFormat="1" applyFill="1" applyAlignment="1"/>
    <xf numFmtId="0" fontId="44" fillId="25" borderId="0" xfId="128" applyFont="1" applyFill="1"/>
    <xf numFmtId="0" fontId="0" fillId="31" borderId="15" xfId="0" applyFill="1" applyBorder="1"/>
    <xf numFmtId="0" fontId="0" fillId="31" borderId="0" xfId="0" applyFill="1"/>
    <xf numFmtId="0" fontId="0" fillId="31" borderId="15" xfId="0" applyFill="1" applyBorder="1" applyAlignment="1">
      <alignment horizontal="center"/>
    </xf>
    <xf numFmtId="0" fontId="0" fillId="31" borderId="12" xfId="0" applyFill="1" applyBorder="1"/>
    <xf numFmtId="0" fontId="0" fillId="31" borderId="21" xfId="0" applyFill="1" applyBorder="1"/>
    <xf numFmtId="0" fontId="2" fillId="24" borderId="0" xfId="0" applyFont="1" applyFill="1" applyBorder="1" applyAlignment="1">
      <alignment horizontal="center"/>
    </xf>
    <xf numFmtId="0" fontId="2" fillId="24" borderId="15" xfId="0" applyFont="1" applyFill="1" applyBorder="1" applyAlignment="1">
      <alignment horizontal="center"/>
    </xf>
    <xf numFmtId="0" fontId="3" fillId="24" borderId="0" xfId="0" applyFont="1" applyFill="1" applyBorder="1" applyAlignment="1">
      <alignment horizontal="left"/>
    </xf>
    <xf numFmtId="0" fontId="1" fillId="24" borderId="0" xfId="0" applyFont="1" applyFill="1" applyAlignment="1">
      <alignment horizontal="center"/>
    </xf>
  </cellXfs>
  <cellStyles count="152">
    <cellStyle name="20% - Accent1" xfId="1" builtinId="30" customBuiltin="1"/>
    <cellStyle name="20% - Accent1 2" xfId="2"/>
    <cellStyle name="20% - Accent1 3" xfId="3"/>
    <cellStyle name="20% - Accent2" xfId="4" builtinId="34" customBuiltin="1"/>
    <cellStyle name="20% - Accent2 2" xfId="5"/>
    <cellStyle name="20% - Accent2 3" xfId="6"/>
    <cellStyle name="20% - Accent3" xfId="7" builtinId="38" customBuiltin="1"/>
    <cellStyle name="20% - Accent3 2" xfId="8"/>
    <cellStyle name="20% - Accent3 3" xfId="9"/>
    <cellStyle name="20% - Accent4" xfId="10" builtinId="42" customBuiltin="1"/>
    <cellStyle name="20% - Accent4 2" xfId="11"/>
    <cellStyle name="20% - Accent4 3" xfId="12"/>
    <cellStyle name="20% - Accent5" xfId="13" builtinId="46" customBuiltin="1"/>
    <cellStyle name="20% - Accent5 2" xfId="14"/>
    <cellStyle name="20% - Accent5 3" xfId="15"/>
    <cellStyle name="20% - Accent6" xfId="16" builtinId="50" customBuiltin="1"/>
    <cellStyle name="20% - Accent6 2" xfId="17"/>
    <cellStyle name="20% - Accent6 3" xfId="18"/>
    <cellStyle name="40% - Accent1" xfId="19" builtinId="31" customBuiltin="1"/>
    <cellStyle name="40% - Accent1 2" xfId="20"/>
    <cellStyle name="40% - Accent1 3" xfId="21"/>
    <cellStyle name="40% - Accent2" xfId="22" builtinId="35" customBuiltin="1"/>
    <cellStyle name="40% - Accent2 2" xfId="23"/>
    <cellStyle name="40% - Accent2 3" xfId="24"/>
    <cellStyle name="40% - Accent3" xfId="25" builtinId="39" customBuiltin="1"/>
    <cellStyle name="40% - Accent3 2" xfId="26"/>
    <cellStyle name="40% - Accent3 3" xfId="27"/>
    <cellStyle name="40% - Accent4" xfId="28" builtinId="43" customBuiltin="1"/>
    <cellStyle name="40% - Accent4 2" xfId="29"/>
    <cellStyle name="40% - Accent4 3" xfId="30"/>
    <cellStyle name="40% - Accent5" xfId="31" builtinId="47" customBuiltin="1"/>
    <cellStyle name="40% - Accent5 2" xfId="32"/>
    <cellStyle name="40% - Accent5 3" xfId="33"/>
    <cellStyle name="40% - Accent6" xfId="34" builtinId="51" customBuiltin="1"/>
    <cellStyle name="40% - Accent6 2" xfId="35"/>
    <cellStyle name="40% - Accent6 3" xfId="36"/>
    <cellStyle name="60% - Accent1" xfId="37" builtinId="32" customBuiltin="1"/>
    <cellStyle name="60% - Accent1 2" xfId="38"/>
    <cellStyle name="60% - Accent1 3" xfId="39"/>
    <cellStyle name="60% - Accent2" xfId="40" builtinId="36" customBuiltin="1"/>
    <cellStyle name="60% - Accent2 2" xfId="41"/>
    <cellStyle name="60% - Accent2 3" xfId="42"/>
    <cellStyle name="60% - Accent3" xfId="43" builtinId="40" customBuiltin="1"/>
    <cellStyle name="60% - Accent3 2" xfId="44"/>
    <cellStyle name="60% - Accent3 3" xfId="45"/>
    <cellStyle name="60% - Accent4" xfId="46" builtinId="44" customBuiltin="1"/>
    <cellStyle name="60% - Accent4 2" xfId="47"/>
    <cellStyle name="60% - Accent4 3" xfId="48"/>
    <cellStyle name="60% - Accent5" xfId="49" builtinId="48" customBuiltin="1"/>
    <cellStyle name="60% - Accent5 2" xfId="50"/>
    <cellStyle name="60% - Accent5 3" xfId="51"/>
    <cellStyle name="60% - Accent6" xfId="52" builtinId="52" customBuiltin="1"/>
    <cellStyle name="60% - Accent6 2" xfId="53"/>
    <cellStyle name="60% - Accent6 3" xfId="54"/>
    <cellStyle name="Accent1" xfId="55" builtinId="29" customBuiltin="1"/>
    <cellStyle name="Accent1 2" xfId="56"/>
    <cellStyle name="Accent1 2 2" xfId="57"/>
    <cellStyle name="Accent1 2_Scen_XLC-BestFos.M3" xfId="58"/>
    <cellStyle name="Accent1 3" xfId="59"/>
    <cellStyle name="Accent2" xfId="60" builtinId="33" customBuiltin="1"/>
    <cellStyle name="Accent2 2" xfId="61"/>
    <cellStyle name="Accent2 3" xfId="62"/>
    <cellStyle name="Accent3" xfId="63" builtinId="37" customBuiltin="1"/>
    <cellStyle name="Accent3 2" xfId="64"/>
    <cellStyle name="Accent3 3" xfId="65"/>
    <cellStyle name="Accent4" xfId="66" builtinId="41" customBuiltin="1"/>
    <cellStyle name="Accent4 2" xfId="67"/>
    <cellStyle name="Accent4 3" xfId="68"/>
    <cellStyle name="Accent5" xfId="69" builtinId="45" customBuiltin="1"/>
    <cellStyle name="Accent5 2" xfId="70"/>
    <cellStyle name="Accent5 3" xfId="71"/>
    <cellStyle name="Accent6" xfId="72" builtinId="49" customBuiltin="1"/>
    <cellStyle name="Accent6 2" xfId="73"/>
    <cellStyle name="Accent6 3" xfId="74"/>
    <cellStyle name="Bad" xfId="75" builtinId="27" customBuiltin="1"/>
    <cellStyle name="Bad 2" xfId="76"/>
    <cellStyle name="Bad 3" xfId="77"/>
    <cellStyle name="Calculation" xfId="78" builtinId="22" customBuiltin="1"/>
    <cellStyle name="Calculation 2" xfId="79"/>
    <cellStyle name="Calculation 3" xfId="80"/>
    <cellStyle name="Check Cell" xfId="81" builtinId="23" customBuiltin="1"/>
    <cellStyle name="Check Cell 2" xfId="82"/>
    <cellStyle name="Check Cell 3" xfId="83"/>
    <cellStyle name="Comma 2" xfId="84"/>
    <cellStyle name="Comma 3" xfId="85"/>
    <cellStyle name="Euro" xfId="86"/>
    <cellStyle name="Explanatory Text" xfId="87" builtinId="53" customBuiltin="1"/>
    <cellStyle name="Explanatory Text 2" xfId="88"/>
    <cellStyle name="Explanatory Text 3" xfId="89"/>
    <cellStyle name="Good" xfId="90" builtinId="26" customBuiltin="1"/>
    <cellStyle name="Good 2" xfId="91"/>
    <cellStyle name="Good 2 2" xfId="92"/>
    <cellStyle name="Good 2_Scen_XLC-BestFos.M3" xfId="93"/>
    <cellStyle name="Good 3" xfId="94"/>
    <cellStyle name="Heading 1" xfId="95" builtinId="16" customBuiltin="1"/>
    <cellStyle name="Heading 1 2" xfId="96"/>
    <cellStyle name="Heading 1 2 2" xfId="97"/>
    <cellStyle name="Heading 1 2_Scen_XLC-BestFos.M3" xfId="98"/>
    <cellStyle name="Heading 1 3" xfId="99"/>
    <cellStyle name="Heading 2" xfId="100" builtinId="17" customBuiltin="1"/>
    <cellStyle name="Heading 2 2" xfId="101"/>
    <cellStyle name="Heading 2 3" xfId="102"/>
    <cellStyle name="Heading 3" xfId="103" builtinId="18" customBuiltin="1"/>
    <cellStyle name="Heading 3 2" xfId="104"/>
    <cellStyle name="Heading 3 2 2" xfId="105"/>
    <cellStyle name="Heading 3 2_Scen_XLC-BestFos.M3" xfId="106"/>
    <cellStyle name="Heading 3 3" xfId="107"/>
    <cellStyle name="Heading 4" xfId="108" builtinId="19" customBuiltin="1"/>
    <cellStyle name="Heading 4 2" xfId="109"/>
    <cellStyle name="Heading 4 3" xfId="110"/>
    <cellStyle name="Input" xfId="111" builtinId="20" customBuiltin="1"/>
    <cellStyle name="Input 2" xfId="112"/>
    <cellStyle name="Input 2 2" xfId="113"/>
    <cellStyle name="Input 2_Scen_XLC-BestFos.M3" xfId="114"/>
    <cellStyle name="Input 3" xfId="115"/>
    <cellStyle name="Linked Cell" xfId="116" builtinId="24" customBuiltin="1"/>
    <cellStyle name="Linked Cell 2" xfId="117"/>
    <cellStyle name="Linked Cell 3" xfId="118"/>
    <cellStyle name="Neutral" xfId="119" builtinId="28" customBuiltin="1"/>
    <cellStyle name="Neutral 2" xfId="120"/>
    <cellStyle name="Neutral 3" xfId="121"/>
    <cellStyle name="Normal" xfId="0" builtinId="0"/>
    <cellStyle name="Normal 2" xfId="122"/>
    <cellStyle name="Normal 2 2" xfId="123"/>
    <cellStyle name="Normal 2 3" xfId="124"/>
    <cellStyle name="Normal 2 3_Scen_YMPOL32-esa" xfId="125"/>
    <cellStyle name="Normal 3" xfId="126"/>
    <cellStyle name="Normal 4" xfId="127"/>
    <cellStyle name="Normal_Scen_YMPOL32-esa" xfId="128"/>
    <cellStyle name="Note" xfId="129" builtinId="10" customBuiltin="1"/>
    <cellStyle name="Note 2" xfId="130"/>
    <cellStyle name="Note 3" xfId="131"/>
    <cellStyle name="Note 4" xfId="132"/>
    <cellStyle name="Output" xfId="133" builtinId="21" customBuiltin="1"/>
    <cellStyle name="Output 2" xfId="134"/>
    <cellStyle name="Output 3" xfId="135"/>
    <cellStyle name="Percent" xfId="136" builtinId="5"/>
    <cellStyle name="Percent 2" xfId="137"/>
    <cellStyle name="Percent 3" xfId="138"/>
    <cellStyle name="Percent 4" xfId="139"/>
    <cellStyle name="Percent 5" xfId="140"/>
    <cellStyle name="Standaard_Blad1" xfId="141"/>
    <cellStyle name="Standard_Sce_D_Extraction" xfId="142"/>
    <cellStyle name="Title" xfId="143" builtinId="15" customBuiltin="1"/>
    <cellStyle name="Title 2" xfId="144"/>
    <cellStyle name="Title 3" xfId="145"/>
    <cellStyle name="Total" xfId="146" builtinId="25" customBuiltin="1"/>
    <cellStyle name="Total 2" xfId="147"/>
    <cellStyle name="Total 3" xfId="148"/>
    <cellStyle name="Warning Text" xfId="149" builtinId="11" customBuiltin="1"/>
    <cellStyle name="Warning Text 2" xfId="150"/>
    <cellStyle name="Warning Text 3" xfId="1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60"/>
  <sheetViews>
    <sheetView topLeftCell="A14" zoomScale="80" workbookViewId="0">
      <selection activeCell="A49" sqref="A49"/>
    </sheetView>
  </sheetViews>
  <sheetFormatPr defaultRowHeight="12.75" x14ac:dyDescent="0.2"/>
  <cols>
    <col min="4" max="4" width="11" customWidth="1"/>
  </cols>
  <sheetData>
    <row r="1" spans="1:16" x14ac:dyDescent="0.2">
      <c r="A1" s="8" t="str">
        <f ca="1">"~Scenario:"&amp;REPLACE(REPLACE($F$1,FIND(".",$F$1),100,""),1,FIND("[",$F$1)+5,"")</f>
        <v>~Scenario:FI_X_CNN</v>
      </c>
      <c r="D1" s="105" t="b">
        <f ca="1">NOT(ISERR(FIND(".xlsx",$F$1)))</f>
        <v>1</v>
      </c>
      <c r="E1" s="102" t="s">
        <v>368</v>
      </c>
      <c r="F1" s="8" t="str">
        <f ca="1">CELL("filename",$E$1)</f>
        <v>C:\data\NCES 2020 Nordic NER\WP4\[Scen_FI_X_CNN.xlsx]OFFS</v>
      </c>
    </row>
    <row r="4" spans="1:16" x14ac:dyDescent="0.2">
      <c r="B4" s="8" t="s">
        <v>9</v>
      </c>
    </row>
    <row r="5" spans="1:16" ht="13.5" thickBot="1" x14ac:dyDescent="0.25">
      <c r="B5" s="9" t="s">
        <v>4</v>
      </c>
      <c r="C5" s="9" t="s">
        <v>5</v>
      </c>
      <c r="D5" s="9" t="s">
        <v>6</v>
      </c>
      <c r="E5" s="9" t="s">
        <v>3</v>
      </c>
      <c r="F5" s="12" t="s">
        <v>7</v>
      </c>
      <c r="G5" s="12" t="s">
        <v>17</v>
      </c>
      <c r="H5" s="12" t="s">
        <v>235</v>
      </c>
      <c r="I5" s="9" t="s">
        <v>10</v>
      </c>
      <c r="J5" s="10" t="s">
        <v>11</v>
      </c>
      <c r="K5" s="10" t="s">
        <v>12</v>
      </c>
      <c r="L5" s="9" t="s">
        <v>13</v>
      </c>
      <c r="M5" s="10" t="s">
        <v>14</v>
      </c>
      <c r="N5" s="9" t="s">
        <v>15</v>
      </c>
      <c r="O5" s="10" t="s">
        <v>8</v>
      </c>
      <c r="P5" s="10" t="s">
        <v>16</v>
      </c>
    </row>
    <row r="6" spans="1:16" x14ac:dyDescent="0.2">
      <c r="B6" s="40"/>
      <c r="C6" s="98"/>
      <c r="D6" s="40" t="s">
        <v>104</v>
      </c>
      <c r="E6" s="40"/>
      <c r="F6" s="97" t="s">
        <v>97</v>
      </c>
      <c r="G6" s="137">
        <v>0</v>
      </c>
      <c r="H6" s="137">
        <v>0</v>
      </c>
      <c r="I6" s="40"/>
      <c r="J6" s="40"/>
      <c r="K6" s="40"/>
      <c r="L6" s="40"/>
      <c r="M6" s="40"/>
      <c r="N6" s="40"/>
      <c r="O6" s="40"/>
      <c r="P6" s="40"/>
    </row>
    <row r="7" spans="1:16" x14ac:dyDescent="0.2">
      <c r="B7" s="40"/>
      <c r="C7" s="98" t="s">
        <v>96</v>
      </c>
      <c r="D7" s="40" t="s">
        <v>69</v>
      </c>
      <c r="E7" s="40"/>
      <c r="F7" s="98">
        <v>0</v>
      </c>
      <c r="G7" s="98">
        <v>2020</v>
      </c>
      <c r="H7" s="98">
        <v>2020</v>
      </c>
      <c r="I7" s="40"/>
      <c r="J7" s="40"/>
      <c r="K7" s="40"/>
      <c r="L7" s="40" t="s">
        <v>70</v>
      </c>
      <c r="M7" s="40"/>
      <c r="N7" s="40"/>
      <c r="O7" s="40"/>
      <c r="P7" s="40"/>
    </row>
    <row r="8" spans="1:16" x14ac:dyDescent="0.2">
      <c r="B8" s="40"/>
      <c r="C8" s="98" t="s">
        <v>96</v>
      </c>
      <c r="D8" s="40" t="s">
        <v>69</v>
      </c>
      <c r="E8" s="40"/>
      <c r="F8" s="98">
        <v>2035</v>
      </c>
      <c r="G8" s="98">
        <v>2100</v>
      </c>
      <c r="H8" s="98">
        <v>2100</v>
      </c>
      <c r="I8" s="40"/>
      <c r="J8" s="40"/>
      <c r="K8" s="40"/>
      <c r="L8" s="40" t="s">
        <v>70</v>
      </c>
      <c r="M8" s="40"/>
      <c r="N8" s="40"/>
      <c r="O8" s="40"/>
      <c r="P8" s="40"/>
    </row>
    <row r="9" spans="1:16" x14ac:dyDescent="0.2">
      <c r="B9" s="40"/>
      <c r="C9" s="98" t="s">
        <v>96</v>
      </c>
      <c r="D9" s="40" t="s">
        <v>69</v>
      </c>
      <c r="E9" s="40"/>
      <c r="F9" s="98">
        <v>0</v>
      </c>
      <c r="G9" s="98">
        <v>2100</v>
      </c>
      <c r="H9" s="98">
        <v>2100</v>
      </c>
      <c r="I9" s="40"/>
      <c r="J9" s="40"/>
      <c r="K9" s="40"/>
      <c r="L9" s="40" t="s">
        <v>209</v>
      </c>
      <c r="M9" s="40"/>
      <c r="N9" s="40"/>
      <c r="O9" s="40"/>
      <c r="P9" s="40"/>
    </row>
    <row r="10" spans="1:16" x14ac:dyDescent="0.2">
      <c r="B10" s="40"/>
      <c r="C10" s="98" t="s">
        <v>96</v>
      </c>
      <c r="D10" s="40" t="s">
        <v>69</v>
      </c>
      <c r="E10" s="40"/>
      <c r="F10" s="98">
        <v>0</v>
      </c>
      <c r="G10" s="98">
        <v>2100</v>
      </c>
      <c r="H10" s="98">
        <v>2100</v>
      </c>
      <c r="I10" s="40"/>
      <c r="J10" s="40"/>
      <c r="K10" s="40"/>
      <c r="L10" s="40" t="s">
        <v>210</v>
      </c>
      <c r="M10" s="40"/>
      <c r="N10" s="40"/>
      <c r="O10" s="40"/>
      <c r="P10" s="40"/>
    </row>
    <row r="11" spans="1:16" x14ac:dyDescent="0.2">
      <c r="B11" s="63"/>
      <c r="C11" s="71" t="s">
        <v>96</v>
      </c>
      <c r="D11" s="63" t="s">
        <v>69</v>
      </c>
      <c r="E11" s="63"/>
      <c r="F11" s="130" t="s">
        <v>97</v>
      </c>
      <c r="G11" s="71"/>
      <c r="H11" s="71">
        <v>2200</v>
      </c>
      <c r="I11" s="63"/>
      <c r="J11" s="63"/>
      <c r="K11" s="63"/>
      <c r="L11" s="63" t="s">
        <v>375</v>
      </c>
      <c r="M11" s="63"/>
      <c r="N11" s="63"/>
      <c r="O11" s="63"/>
      <c r="P11" s="63"/>
    </row>
    <row r="12" spans="1:16" x14ac:dyDescent="0.2">
      <c r="B12" s="63"/>
      <c r="C12" s="71" t="s">
        <v>96</v>
      </c>
      <c r="D12" s="63" t="s">
        <v>69</v>
      </c>
      <c r="E12" s="63"/>
      <c r="F12" s="130" t="s">
        <v>97</v>
      </c>
      <c r="G12" s="71"/>
      <c r="H12" s="71">
        <v>2200</v>
      </c>
      <c r="I12" s="63"/>
      <c r="J12" s="63"/>
      <c r="K12" s="63"/>
      <c r="L12" s="63" t="s">
        <v>376</v>
      </c>
      <c r="M12" s="63"/>
      <c r="N12" s="63"/>
      <c r="O12" s="63"/>
      <c r="P12" s="63"/>
    </row>
    <row r="13" spans="1:16" x14ac:dyDescent="0.2">
      <c r="B13" s="63"/>
      <c r="C13" s="71" t="s">
        <v>96</v>
      </c>
      <c r="D13" s="63" t="s">
        <v>69</v>
      </c>
      <c r="E13" s="63"/>
      <c r="F13" s="130" t="s">
        <v>97</v>
      </c>
      <c r="G13" s="71"/>
      <c r="H13" s="71">
        <v>2200</v>
      </c>
      <c r="I13" s="63"/>
      <c r="J13" s="63"/>
      <c r="K13" s="63"/>
      <c r="L13" s="63" t="s">
        <v>377</v>
      </c>
      <c r="M13" s="63"/>
      <c r="N13" s="63"/>
      <c r="O13" s="63"/>
      <c r="P13" s="63"/>
    </row>
    <row r="14" spans="1:16" x14ac:dyDescent="0.2">
      <c r="B14" s="63"/>
      <c r="C14" s="71" t="s">
        <v>96</v>
      </c>
      <c r="D14" s="63" t="s">
        <v>69</v>
      </c>
      <c r="E14" s="63"/>
      <c r="F14" s="130" t="s">
        <v>97</v>
      </c>
      <c r="G14" s="71">
        <v>2100</v>
      </c>
      <c r="H14" s="71">
        <v>2200</v>
      </c>
      <c r="I14" s="63"/>
      <c r="J14" s="63"/>
      <c r="K14" s="63"/>
      <c r="L14" s="63" t="s">
        <v>378</v>
      </c>
      <c r="M14" s="63"/>
      <c r="N14" s="63"/>
      <c r="O14" s="63"/>
      <c r="P14" s="63"/>
    </row>
    <row r="15" spans="1:16" x14ac:dyDescent="0.2">
      <c r="B15" s="63"/>
      <c r="C15" s="71" t="s">
        <v>96</v>
      </c>
      <c r="D15" s="63" t="s">
        <v>69</v>
      </c>
      <c r="E15" s="63"/>
      <c r="F15" s="130" t="s">
        <v>97</v>
      </c>
      <c r="G15" s="71"/>
      <c r="H15" s="71">
        <v>2200</v>
      </c>
      <c r="I15" s="63"/>
      <c r="J15" s="63"/>
      <c r="K15" s="63"/>
      <c r="L15" s="63" t="s">
        <v>379</v>
      </c>
      <c r="M15" s="63"/>
      <c r="N15" s="63"/>
      <c r="O15" s="63"/>
      <c r="P15" s="63"/>
    </row>
    <row r="16" spans="1:16" x14ac:dyDescent="0.2">
      <c r="B16" s="63"/>
      <c r="C16" s="71" t="s">
        <v>96</v>
      </c>
      <c r="D16" s="63" t="s">
        <v>69</v>
      </c>
      <c r="E16" s="63"/>
      <c r="F16" s="130" t="s">
        <v>97</v>
      </c>
      <c r="G16" s="71"/>
      <c r="H16" s="71">
        <v>2200</v>
      </c>
      <c r="I16" s="63"/>
      <c r="J16" s="63"/>
      <c r="K16" s="63"/>
      <c r="L16" s="63" t="s">
        <v>380</v>
      </c>
      <c r="M16" s="63"/>
      <c r="N16" s="63"/>
      <c r="O16" s="63"/>
      <c r="P16" s="63"/>
    </row>
    <row r="17" spans="2:16" x14ac:dyDescent="0.2">
      <c r="B17" s="63"/>
      <c r="C17" s="71" t="s">
        <v>96</v>
      </c>
      <c r="D17" s="63" t="s">
        <v>69</v>
      </c>
      <c r="E17" s="63"/>
      <c r="F17" s="130" t="s">
        <v>97</v>
      </c>
      <c r="G17" s="71"/>
      <c r="H17" s="71">
        <v>2200</v>
      </c>
      <c r="I17" s="63"/>
      <c r="J17" s="63"/>
      <c r="K17" s="63"/>
      <c r="L17" s="63" t="s">
        <v>381</v>
      </c>
      <c r="M17" s="63"/>
      <c r="N17" s="63"/>
      <c r="O17" s="63"/>
      <c r="P17" s="63"/>
    </row>
    <row r="18" spans="2:16" x14ac:dyDescent="0.2">
      <c r="B18" s="63"/>
      <c r="C18" s="71" t="s">
        <v>96</v>
      </c>
      <c r="D18" s="63" t="s">
        <v>69</v>
      </c>
      <c r="E18" s="63"/>
      <c r="F18" s="130" t="s">
        <v>97</v>
      </c>
      <c r="G18" s="71"/>
      <c r="H18" s="71">
        <v>2200</v>
      </c>
      <c r="I18" s="63"/>
      <c r="J18" s="63"/>
      <c r="K18" s="63"/>
      <c r="L18" s="63" t="s">
        <v>382</v>
      </c>
      <c r="M18" s="63"/>
      <c r="N18" s="63"/>
      <c r="O18" s="63"/>
      <c r="P18" s="63"/>
    </row>
    <row r="19" spans="2:16" x14ac:dyDescent="0.2">
      <c r="B19" s="63"/>
      <c r="C19" s="71" t="s">
        <v>96</v>
      </c>
      <c r="D19" s="63" t="s">
        <v>69</v>
      </c>
      <c r="E19" s="63"/>
      <c r="F19" s="130" t="s">
        <v>97</v>
      </c>
      <c r="G19" s="71"/>
      <c r="H19" s="71">
        <v>2200</v>
      </c>
      <c r="I19" s="63"/>
      <c r="J19" s="63"/>
      <c r="K19" s="63"/>
      <c r="L19" s="63" t="s">
        <v>383</v>
      </c>
      <c r="M19" s="63"/>
      <c r="N19" s="63"/>
      <c r="O19" s="63"/>
      <c r="P19" s="63"/>
    </row>
    <row r="20" spans="2:16" x14ac:dyDescent="0.2">
      <c r="B20" s="140"/>
      <c r="C20" s="141"/>
      <c r="D20" s="140" t="s">
        <v>104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</row>
    <row r="21" spans="2:16" x14ac:dyDescent="0.2">
      <c r="B21" s="13"/>
      <c r="C21" s="83"/>
      <c r="D21" s="13" t="s">
        <v>384</v>
      </c>
      <c r="E21" s="13"/>
      <c r="F21" s="13"/>
      <c r="G21" s="83"/>
      <c r="H21" s="83">
        <v>2025</v>
      </c>
      <c r="I21" s="13"/>
      <c r="J21" s="13"/>
      <c r="K21" s="13"/>
      <c r="L21" s="13" t="s">
        <v>385</v>
      </c>
      <c r="M21" s="13"/>
      <c r="N21" s="13"/>
      <c r="O21" s="13"/>
      <c r="P21" s="13"/>
    </row>
    <row r="22" spans="2:16" x14ac:dyDescent="0.2">
      <c r="B22" s="13"/>
      <c r="C22" s="83"/>
      <c r="D22" s="13" t="s">
        <v>384</v>
      </c>
      <c r="E22" s="13"/>
      <c r="F22" s="13"/>
      <c r="G22" s="83"/>
      <c r="H22" s="83">
        <v>2025</v>
      </c>
      <c r="I22" s="13"/>
      <c r="J22" s="13"/>
      <c r="K22" s="13"/>
      <c r="L22" s="13" t="s">
        <v>386</v>
      </c>
      <c r="M22" s="13"/>
      <c r="N22" s="13"/>
      <c r="O22" s="13"/>
      <c r="P22" s="13"/>
    </row>
    <row r="23" spans="2:16" x14ac:dyDescent="0.2">
      <c r="B23" s="13"/>
      <c r="C23" s="83"/>
      <c r="D23" s="13" t="s">
        <v>384</v>
      </c>
      <c r="E23" s="13"/>
      <c r="F23" s="13"/>
      <c r="G23" s="83"/>
      <c r="H23" s="83">
        <v>2025</v>
      </c>
      <c r="I23" s="13"/>
      <c r="J23" s="13"/>
      <c r="K23" s="13"/>
      <c r="L23" s="13" t="s">
        <v>387</v>
      </c>
      <c r="M23" s="13"/>
      <c r="N23" s="13"/>
      <c r="O23" s="13"/>
      <c r="P23" s="13"/>
    </row>
    <row r="24" spans="2:16" x14ac:dyDescent="0.2">
      <c r="B24" s="13"/>
      <c r="C24" s="83"/>
      <c r="D24" s="13" t="s">
        <v>384</v>
      </c>
      <c r="E24" s="13"/>
      <c r="F24" s="13"/>
      <c r="G24" s="83"/>
      <c r="H24" s="83">
        <v>2025</v>
      </c>
      <c r="I24" s="13"/>
      <c r="J24" s="13"/>
      <c r="K24" s="13"/>
      <c r="L24" s="13" t="s">
        <v>388</v>
      </c>
      <c r="M24" s="13"/>
      <c r="N24" s="13"/>
      <c r="O24" s="13"/>
      <c r="P24" s="13"/>
    </row>
    <row r="25" spans="2:16" x14ac:dyDescent="0.2">
      <c r="B25" s="13"/>
      <c r="C25" s="83"/>
      <c r="D25" s="13" t="s">
        <v>384</v>
      </c>
      <c r="E25" s="13"/>
      <c r="F25" s="13"/>
      <c r="G25" s="83"/>
      <c r="H25" s="83">
        <v>2025</v>
      </c>
      <c r="I25" s="13"/>
      <c r="J25" s="13"/>
      <c r="K25" s="13"/>
      <c r="L25" s="13" t="s">
        <v>389</v>
      </c>
      <c r="M25" s="13"/>
      <c r="N25" s="13"/>
      <c r="O25" s="13"/>
      <c r="P25" s="13"/>
    </row>
    <row r="26" spans="2:16" x14ac:dyDescent="0.2">
      <c r="B26" s="13"/>
      <c r="C26" s="83" t="s">
        <v>96</v>
      </c>
      <c r="D26" s="13" t="s">
        <v>69</v>
      </c>
      <c r="E26" s="13"/>
      <c r="F26" s="83" t="s">
        <v>97</v>
      </c>
      <c r="G26" s="83">
        <v>2070</v>
      </c>
      <c r="H26" s="83">
        <v>2070</v>
      </c>
      <c r="I26" s="83"/>
      <c r="J26" s="13"/>
      <c r="K26" s="13"/>
      <c r="L26" s="13" t="s">
        <v>110</v>
      </c>
      <c r="M26" s="13"/>
      <c r="N26" s="13"/>
      <c r="O26" s="13"/>
      <c r="P26" s="13"/>
    </row>
    <row r="27" spans="2:16" x14ac:dyDescent="0.2">
      <c r="B27" s="13"/>
      <c r="C27" s="83" t="s">
        <v>96</v>
      </c>
      <c r="D27" s="13" t="s">
        <v>69</v>
      </c>
      <c r="E27" s="13"/>
      <c r="F27" s="83" t="s">
        <v>97</v>
      </c>
      <c r="G27" s="83">
        <v>2070</v>
      </c>
      <c r="H27" s="83">
        <v>2070</v>
      </c>
      <c r="I27" s="83"/>
      <c r="J27" s="13"/>
      <c r="K27" s="13"/>
      <c r="L27" s="13" t="s">
        <v>112</v>
      </c>
      <c r="M27" s="13"/>
      <c r="N27" s="13"/>
      <c r="O27" s="13"/>
      <c r="P27" s="13"/>
    </row>
    <row r="28" spans="2:16" x14ac:dyDescent="0.2">
      <c r="B28" s="13"/>
      <c r="C28" s="83" t="s">
        <v>96</v>
      </c>
      <c r="D28" s="13" t="s">
        <v>69</v>
      </c>
      <c r="E28" s="13"/>
      <c r="F28" s="83" t="s">
        <v>97</v>
      </c>
      <c r="G28" s="83">
        <v>2070</v>
      </c>
      <c r="H28" s="83">
        <v>2070</v>
      </c>
      <c r="I28" s="83"/>
      <c r="J28" s="13"/>
      <c r="K28" s="13"/>
      <c r="L28" s="13" t="s">
        <v>111</v>
      </c>
      <c r="M28" s="13"/>
      <c r="N28" s="13"/>
      <c r="O28" s="13"/>
      <c r="P28" s="13"/>
    </row>
    <row r="29" spans="2:16" x14ac:dyDescent="0.2">
      <c r="B29" s="13"/>
      <c r="C29" s="83" t="s">
        <v>96</v>
      </c>
      <c r="D29" s="13" t="s">
        <v>69</v>
      </c>
      <c r="E29" s="13"/>
      <c r="F29" s="83" t="s">
        <v>97</v>
      </c>
      <c r="G29" s="83">
        <v>2070</v>
      </c>
      <c r="H29" s="83">
        <v>2070</v>
      </c>
      <c r="I29" s="83"/>
      <c r="J29" s="13"/>
      <c r="K29" s="13"/>
      <c r="L29" s="13" t="s">
        <v>113</v>
      </c>
      <c r="M29" s="13"/>
      <c r="N29" s="13"/>
      <c r="O29" s="13"/>
      <c r="P29" s="13"/>
    </row>
    <row r="30" spans="2:16" x14ac:dyDescent="0.2">
      <c r="B30" s="13"/>
      <c r="C30" s="83" t="s">
        <v>96</v>
      </c>
      <c r="D30" s="13" t="s">
        <v>69</v>
      </c>
      <c r="E30" s="13"/>
      <c r="F30" s="83" t="s">
        <v>97</v>
      </c>
      <c r="G30" s="83">
        <v>2070</v>
      </c>
      <c r="H30" s="83">
        <v>2070</v>
      </c>
      <c r="I30" s="83"/>
      <c r="J30" s="13"/>
      <c r="K30" s="13"/>
      <c r="L30" s="13" t="s">
        <v>114</v>
      </c>
      <c r="M30" s="13"/>
      <c r="N30" s="13"/>
      <c r="O30" s="13"/>
      <c r="P30" s="13"/>
    </row>
    <row r="31" spans="2:16" x14ac:dyDescent="0.2">
      <c r="B31" s="13"/>
      <c r="C31" s="83" t="s">
        <v>96</v>
      </c>
      <c r="D31" s="13" t="s">
        <v>69</v>
      </c>
      <c r="E31" s="13"/>
      <c r="F31" s="83">
        <v>2020</v>
      </c>
      <c r="G31" s="83">
        <v>2070</v>
      </c>
      <c r="H31" s="83">
        <v>2070</v>
      </c>
      <c r="I31" s="83"/>
      <c r="J31" s="13"/>
      <c r="K31" s="13"/>
      <c r="L31" s="13" t="s">
        <v>246</v>
      </c>
      <c r="M31" s="13"/>
      <c r="N31" s="13"/>
      <c r="O31" s="13"/>
      <c r="P31" s="13"/>
    </row>
    <row r="32" spans="2:16" x14ac:dyDescent="0.2">
      <c r="B32" s="140"/>
      <c r="C32" s="141"/>
      <c r="D32" s="140" t="s">
        <v>104</v>
      </c>
      <c r="E32" s="140"/>
      <c r="F32" s="140"/>
      <c r="G32" s="141"/>
      <c r="H32" s="141"/>
      <c r="I32" s="140"/>
      <c r="J32" s="140"/>
      <c r="K32" s="140"/>
      <c r="L32" s="140"/>
      <c r="M32" s="140"/>
      <c r="N32" s="140"/>
      <c r="O32" s="140"/>
      <c r="P32" s="140"/>
    </row>
    <row r="33" spans="2:16" x14ac:dyDescent="0.2">
      <c r="B33" s="40"/>
      <c r="C33" s="98" t="s">
        <v>96</v>
      </c>
      <c r="D33" s="40" t="s">
        <v>69</v>
      </c>
      <c r="E33" s="40"/>
      <c r="F33" s="97" t="s">
        <v>97</v>
      </c>
      <c r="G33" s="98">
        <v>2070</v>
      </c>
      <c r="H33" s="98">
        <v>2070</v>
      </c>
      <c r="I33" s="40"/>
      <c r="J33" s="40"/>
      <c r="K33" s="40"/>
      <c r="L33" s="40" t="s">
        <v>95</v>
      </c>
      <c r="M33" s="40"/>
      <c r="N33" s="40"/>
      <c r="O33" s="40"/>
      <c r="P33" s="40"/>
    </row>
    <row r="34" spans="2:16" x14ac:dyDescent="0.2">
      <c r="B34" s="40"/>
      <c r="C34" s="98" t="s">
        <v>96</v>
      </c>
      <c r="D34" s="40" t="s">
        <v>69</v>
      </c>
      <c r="E34" s="40"/>
      <c r="F34" s="97" t="s">
        <v>97</v>
      </c>
      <c r="G34" s="98">
        <v>2110</v>
      </c>
      <c r="H34" s="98">
        <v>2110</v>
      </c>
      <c r="I34" s="40"/>
      <c r="J34" s="40"/>
      <c r="K34" s="40"/>
      <c r="L34" s="40" t="s">
        <v>85</v>
      </c>
      <c r="M34" s="40"/>
      <c r="N34" s="40"/>
      <c r="O34" s="40"/>
      <c r="P34" s="40"/>
    </row>
    <row r="35" spans="2:16" x14ac:dyDescent="0.2">
      <c r="B35" s="40"/>
      <c r="C35" s="98" t="s">
        <v>96</v>
      </c>
      <c r="D35" s="40" t="s">
        <v>69</v>
      </c>
      <c r="E35" s="40"/>
      <c r="F35" s="97" t="s">
        <v>97</v>
      </c>
      <c r="G35" s="98">
        <v>2070</v>
      </c>
      <c r="H35" s="98">
        <v>2070</v>
      </c>
      <c r="I35" s="40"/>
      <c r="J35" s="40"/>
      <c r="K35" s="40"/>
      <c r="L35" s="40" t="s">
        <v>99</v>
      </c>
      <c r="M35" s="40"/>
      <c r="N35" s="40"/>
      <c r="O35" s="40"/>
      <c r="P35" s="40"/>
    </row>
    <row r="36" spans="2:16" x14ac:dyDescent="0.2">
      <c r="B36" s="40"/>
      <c r="C36" s="98" t="s">
        <v>96</v>
      </c>
      <c r="D36" s="40" t="s">
        <v>69</v>
      </c>
      <c r="E36" s="40"/>
      <c r="F36" s="97" t="s">
        <v>97</v>
      </c>
      <c r="G36" s="98">
        <v>2070</v>
      </c>
      <c r="H36" s="98">
        <v>2070</v>
      </c>
      <c r="I36" s="40"/>
      <c r="J36" s="40"/>
      <c r="K36" s="40"/>
      <c r="L36" s="40" t="s">
        <v>100</v>
      </c>
      <c r="M36" s="40"/>
      <c r="N36" s="40"/>
      <c r="O36" s="40"/>
      <c r="P36" s="40"/>
    </row>
    <row r="37" spans="2:16" x14ac:dyDescent="0.2">
      <c r="B37" s="40"/>
      <c r="C37" s="98" t="s">
        <v>96</v>
      </c>
      <c r="D37" s="40" t="s">
        <v>69</v>
      </c>
      <c r="E37" s="40"/>
      <c r="F37" s="97" t="s">
        <v>97</v>
      </c>
      <c r="G37" s="98">
        <v>2035</v>
      </c>
      <c r="H37" s="98">
        <v>2035</v>
      </c>
      <c r="I37" s="40"/>
      <c r="J37" s="40"/>
      <c r="K37" s="40"/>
      <c r="L37" s="40" t="s">
        <v>173</v>
      </c>
      <c r="M37" s="40"/>
      <c r="N37" s="40"/>
      <c r="O37" s="40"/>
      <c r="P37" s="40"/>
    </row>
    <row r="38" spans="2:16" x14ac:dyDescent="0.2">
      <c r="B38" s="40"/>
      <c r="C38" s="98" t="s">
        <v>96</v>
      </c>
      <c r="D38" s="40" t="s">
        <v>69</v>
      </c>
      <c r="E38" s="40"/>
      <c r="F38" s="97" t="s">
        <v>97</v>
      </c>
      <c r="G38" s="98">
        <v>2050</v>
      </c>
      <c r="H38" s="98">
        <v>2050</v>
      </c>
      <c r="I38" s="40"/>
      <c r="J38" s="40"/>
      <c r="K38" s="40"/>
      <c r="L38" s="40" t="s">
        <v>233</v>
      </c>
      <c r="M38" s="40"/>
      <c r="N38" s="40"/>
      <c r="O38" s="40"/>
      <c r="P38" s="40"/>
    </row>
    <row r="39" spans="2:16" x14ac:dyDescent="0.2">
      <c r="B39" s="40"/>
      <c r="C39" s="98" t="s">
        <v>96</v>
      </c>
      <c r="D39" s="40" t="s">
        <v>69</v>
      </c>
      <c r="E39" s="40"/>
      <c r="F39" s="97">
        <v>0</v>
      </c>
      <c r="G39" s="98">
        <v>2010</v>
      </c>
      <c r="H39" s="98">
        <v>2010</v>
      </c>
      <c r="I39" s="40"/>
      <c r="J39" s="40"/>
      <c r="K39" s="40"/>
      <c r="L39" s="40" t="s">
        <v>253</v>
      </c>
      <c r="M39" s="40"/>
      <c r="N39" s="40"/>
      <c r="O39" s="40"/>
      <c r="P39" s="40"/>
    </row>
    <row r="40" spans="2:16" x14ac:dyDescent="0.2">
      <c r="B40" s="140"/>
      <c r="C40" s="141"/>
      <c r="D40" s="140" t="s">
        <v>104</v>
      </c>
      <c r="E40" s="140"/>
      <c r="F40" s="140"/>
      <c r="G40" s="141"/>
      <c r="H40" s="141"/>
      <c r="I40" s="140"/>
      <c r="J40" s="140"/>
      <c r="K40" s="140"/>
      <c r="L40" s="140"/>
      <c r="M40" s="140"/>
      <c r="N40" s="140"/>
      <c r="O40" s="140"/>
      <c r="P40" s="140"/>
    </row>
    <row r="41" spans="2:16" x14ac:dyDescent="0.2">
      <c r="B41" s="13"/>
      <c r="C41" s="83" t="s">
        <v>96</v>
      </c>
      <c r="D41" s="13" t="s">
        <v>69</v>
      </c>
      <c r="E41" s="13"/>
      <c r="F41" s="83">
        <v>0</v>
      </c>
      <c r="G41" s="83">
        <v>2060</v>
      </c>
      <c r="H41" s="13"/>
      <c r="I41" s="13"/>
      <c r="J41" s="13"/>
      <c r="K41" s="13"/>
      <c r="L41" s="13" t="s">
        <v>494</v>
      </c>
      <c r="M41" s="13"/>
      <c r="N41" s="13"/>
      <c r="O41" s="13"/>
      <c r="P41" s="13"/>
    </row>
    <row r="42" spans="2:16" x14ac:dyDescent="0.2">
      <c r="B42" s="13"/>
      <c r="C42" s="83" t="s">
        <v>96</v>
      </c>
      <c r="D42" s="13" t="s">
        <v>69</v>
      </c>
      <c r="E42" s="13"/>
      <c r="F42" s="83">
        <v>0</v>
      </c>
      <c r="G42" s="83">
        <v>2060</v>
      </c>
      <c r="H42" s="13"/>
      <c r="I42" s="13"/>
      <c r="J42" s="13"/>
      <c r="K42" s="13"/>
      <c r="L42" s="13" t="s">
        <v>495</v>
      </c>
      <c r="M42" s="13"/>
      <c r="N42" s="13"/>
      <c r="O42" s="13"/>
      <c r="P42" s="13"/>
    </row>
    <row r="43" spans="2:16" x14ac:dyDescent="0.2">
      <c r="B43" s="13"/>
      <c r="C43" s="83" t="s">
        <v>96</v>
      </c>
      <c r="D43" s="13" t="s">
        <v>69</v>
      </c>
      <c r="E43" s="13"/>
      <c r="F43" s="83">
        <v>0</v>
      </c>
      <c r="G43" s="83">
        <v>2060</v>
      </c>
      <c r="H43" s="13"/>
      <c r="I43" s="13"/>
      <c r="J43" s="13"/>
      <c r="K43" s="13"/>
      <c r="L43" s="13" t="s">
        <v>496</v>
      </c>
      <c r="M43" s="13"/>
      <c r="N43" s="13"/>
      <c r="O43" s="13"/>
      <c r="P43" s="13"/>
    </row>
    <row r="44" spans="2:16" x14ac:dyDescent="0.2">
      <c r="B44" s="13"/>
      <c r="C44" s="83" t="s">
        <v>96</v>
      </c>
      <c r="D44" s="13" t="s">
        <v>69</v>
      </c>
      <c r="E44" s="13"/>
      <c r="F44" s="83">
        <v>0</v>
      </c>
      <c r="G44" s="83">
        <v>2060</v>
      </c>
      <c r="H44" s="13"/>
      <c r="I44" s="13"/>
      <c r="J44" s="13"/>
      <c r="K44" s="13"/>
      <c r="L44" s="13" t="s">
        <v>497</v>
      </c>
      <c r="M44" s="13"/>
      <c r="N44" s="13"/>
      <c r="O44" s="13"/>
      <c r="P44" s="13"/>
    </row>
    <row r="45" spans="2:16" x14ac:dyDescent="0.2">
      <c r="B45" s="13"/>
      <c r="C45" s="83" t="s">
        <v>96</v>
      </c>
      <c r="D45" s="13" t="s">
        <v>69</v>
      </c>
      <c r="E45" s="13"/>
      <c r="F45" s="167" t="s">
        <v>97</v>
      </c>
      <c r="G45" s="83">
        <v>2005</v>
      </c>
      <c r="H45" s="13"/>
      <c r="I45" s="13"/>
      <c r="J45" s="13"/>
      <c r="K45" s="13"/>
      <c r="L45" s="13" t="s">
        <v>259</v>
      </c>
      <c r="M45" s="13"/>
      <c r="N45" s="13"/>
      <c r="O45" s="13"/>
      <c r="P45" s="13"/>
    </row>
    <row r="49" spans="2:17" x14ac:dyDescent="0.2">
      <c r="B49" s="8" t="s">
        <v>1</v>
      </c>
    </row>
    <row r="50" spans="2:17" ht="13.5" thickBot="1" x14ac:dyDescent="0.25">
      <c r="B50" s="9" t="s">
        <v>4</v>
      </c>
      <c r="C50" s="9" t="s">
        <v>5</v>
      </c>
      <c r="D50" s="9" t="s">
        <v>6</v>
      </c>
      <c r="E50" s="9" t="s">
        <v>3</v>
      </c>
      <c r="F50" s="12" t="s">
        <v>7</v>
      </c>
      <c r="G50" s="12" t="s">
        <v>17</v>
      </c>
      <c r="H50" s="12" t="s">
        <v>235</v>
      </c>
      <c r="I50" s="9" t="s">
        <v>10</v>
      </c>
      <c r="J50" s="9" t="s">
        <v>13</v>
      </c>
      <c r="K50" s="9" t="s">
        <v>14</v>
      </c>
      <c r="L50" s="9" t="s">
        <v>11</v>
      </c>
      <c r="M50" s="9" t="s">
        <v>12</v>
      </c>
      <c r="N50" s="9" t="s">
        <v>15</v>
      </c>
      <c r="O50" s="9" t="s">
        <v>8</v>
      </c>
      <c r="P50" s="9" t="s">
        <v>16</v>
      </c>
      <c r="Q50" s="9" t="s">
        <v>200</v>
      </c>
    </row>
    <row r="51" spans="2:17" x14ac:dyDescent="0.2">
      <c r="B51" s="200"/>
      <c r="C51" s="200"/>
      <c r="D51" s="201" t="s">
        <v>521</v>
      </c>
      <c r="E51" s="200"/>
      <c r="F51" s="202"/>
      <c r="G51" s="202">
        <v>2200</v>
      </c>
      <c r="H51" s="202">
        <v>2200</v>
      </c>
      <c r="I51" s="200"/>
      <c r="J51" s="200" t="s">
        <v>520</v>
      </c>
      <c r="K51" s="200"/>
      <c r="L51" s="200"/>
      <c r="M51" s="200"/>
      <c r="N51" s="200"/>
      <c r="O51" s="200"/>
      <c r="P51" s="200"/>
      <c r="Q51" s="200"/>
    </row>
    <row r="52" spans="2:17" x14ac:dyDescent="0.2">
      <c r="B52" s="40"/>
      <c r="C52" s="40"/>
      <c r="D52" s="40" t="s">
        <v>521</v>
      </c>
      <c r="E52" s="40"/>
      <c r="F52" s="40"/>
      <c r="G52" s="98"/>
      <c r="H52" s="98">
        <v>2200</v>
      </c>
      <c r="I52" s="40"/>
      <c r="J52" s="40" t="s">
        <v>390</v>
      </c>
      <c r="K52" s="40"/>
      <c r="L52" s="40"/>
      <c r="M52" s="40"/>
      <c r="N52" s="40"/>
      <c r="O52" s="40"/>
      <c r="P52" s="40"/>
      <c r="Q52" s="40"/>
    </row>
    <row r="53" spans="2:17" x14ac:dyDescent="0.2">
      <c r="B53" s="40"/>
      <c r="C53" s="40" t="s">
        <v>28</v>
      </c>
      <c r="D53" s="40" t="s">
        <v>69</v>
      </c>
      <c r="E53" s="40"/>
      <c r="F53" s="40">
        <v>2015</v>
      </c>
      <c r="G53" s="98">
        <v>0</v>
      </c>
      <c r="H53" s="98">
        <v>0</v>
      </c>
      <c r="I53" s="98" t="s">
        <v>391</v>
      </c>
      <c r="J53" s="40" t="s">
        <v>392</v>
      </c>
      <c r="K53" s="40"/>
      <c r="L53" s="40"/>
      <c r="M53" s="40"/>
      <c r="N53" s="40"/>
      <c r="O53" s="40"/>
      <c r="P53" s="40"/>
      <c r="Q53" s="40"/>
    </row>
    <row r="54" spans="2:17" x14ac:dyDescent="0.2">
      <c r="B54" s="40"/>
      <c r="C54" s="40" t="s">
        <v>28</v>
      </c>
      <c r="D54" s="40" t="s">
        <v>69</v>
      </c>
      <c r="E54" s="40"/>
      <c r="F54" s="40">
        <v>2020</v>
      </c>
      <c r="G54" s="98">
        <v>0</v>
      </c>
      <c r="H54" s="98"/>
      <c r="I54" s="98" t="s">
        <v>391</v>
      </c>
      <c r="J54" s="40" t="s">
        <v>393</v>
      </c>
      <c r="K54" s="40"/>
      <c r="L54" s="40"/>
      <c r="M54" s="40" t="s">
        <v>277</v>
      </c>
      <c r="N54" s="40"/>
      <c r="O54" s="40"/>
      <c r="P54" s="40"/>
      <c r="Q54" s="40"/>
    </row>
    <row r="55" spans="2:17" x14ac:dyDescent="0.2">
      <c r="B55" s="40"/>
      <c r="C55" s="40" t="s">
        <v>52</v>
      </c>
      <c r="D55" s="40" t="s">
        <v>69</v>
      </c>
      <c r="E55" s="40"/>
      <c r="F55" s="40">
        <v>2020</v>
      </c>
      <c r="G55" s="98">
        <f>0.386*0</f>
        <v>0</v>
      </c>
      <c r="H55" s="98">
        <v>0</v>
      </c>
      <c r="I55" s="98" t="s">
        <v>391</v>
      </c>
      <c r="J55" s="40" t="s">
        <v>385</v>
      </c>
      <c r="K55" s="40"/>
      <c r="L55" s="40"/>
      <c r="M55" s="40"/>
      <c r="N55" s="40"/>
      <c r="O55" s="40"/>
      <c r="P55" s="40"/>
      <c r="Q55" s="40"/>
    </row>
    <row r="56" spans="2:17" x14ac:dyDescent="0.2">
      <c r="B56" s="40"/>
      <c r="C56" s="40" t="s">
        <v>96</v>
      </c>
      <c r="D56" s="40" t="s">
        <v>69</v>
      </c>
      <c r="E56" s="40"/>
      <c r="F56" s="40">
        <v>0</v>
      </c>
      <c r="G56" s="98">
        <v>2030</v>
      </c>
      <c r="H56" s="98">
        <v>2030</v>
      </c>
      <c r="I56" s="98" t="s">
        <v>391</v>
      </c>
      <c r="J56" s="40" t="s">
        <v>394</v>
      </c>
      <c r="K56" s="40"/>
      <c r="L56" s="40"/>
      <c r="M56" s="40"/>
      <c r="N56" s="40"/>
      <c r="O56" s="40"/>
      <c r="P56" s="40"/>
      <c r="Q56" s="40"/>
    </row>
    <row r="57" spans="2:17" x14ac:dyDescent="0.2">
      <c r="B57" s="40"/>
      <c r="C57" s="40" t="s">
        <v>96</v>
      </c>
      <c r="D57" s="40" t="s">
        <v>69</v>
      </c>
      <c r="E57" s="40"/>
      <c r="F57" s="40">
        <v>0</v>
      </c>
      <c r="G57" s="98"/>
      <c r="H57" s="98">
        <v>2025</v>
      </c>
      <c r="I57" s="98" t="s">
        <v>391</v>
      </c>
      <c r="J57" s="40" t="s">
        <v>395</v>
      </c>
      <c r="K57" s="40"/>
      <c r="L57" s="40"/>
      <c r="M57" s="40"/>
      <c r="N57" s="40"/>
      <c r="O57" s="40"/>
      <c r="P57" s="40"/>
      <c r="Q57" s="40"/>
    </row>
    <row r="58" spans="2:17" x14ac:dyDescent="0.2">
      <c r="B58" s="40"/>
      <c r="C58" s="40" t="s">
        <v>96</v>
      </c>
      <c r="D58" s="40" t="s">
        <v>69</v>
      </c>
      <c r="E58" s="40"/>
      <c r="F58" s="40">
        <v>0</v>
      </c>
      <c r="G58" s="98">
        <v>2020</v>
      </c>
      <c r="H58" s="98">
        <v>2020</v>
      </c>
      <c r="I58" s="98" t="s">
        <v>534</v>
      </c>
      <c r="J58" s="40" t="s">
        <v>535</v>
      </c>
      <c r="K58" s="40"/>
      <c r="L58" s="40"/>
      <c r="M58" s="40"/>
      <c r="N58" s="40"/>
      <c r="O58" s="40"/>
      <c r="P58" s="40"/>
      <c r="Q58" s="40"/>
    </row>
    <row r="59" spans="2:17" x14ac:dyDescent="0.2">
      <c r="B59" s="40"/>
      <c r="C59" s="40" t="s">
        <v>96</v>
      </c>
      <c r="D59" s="40" t="s">
        <v>104</v>
      </c>
      <c r="E59" s="40"/>
      <c r="F59" s="40">
        <v>0</v>
      </c>
      <c r="G59" s="98">
        <v>2050</v>
      </c>
      <c r="H59" s="98">
        <v>2050</v>
      </c>
      <c r="I59" s="98" t="s">
        <v>391</v>
      </c>
      <c r="J59" s="40" t="s">
        <v>396</v>
      </c>
      <c r="K59" s="40"/>
      <c r="L59" s="40"/>
      <c r="M59" s="40"/>
      <c r="N59" s="40"/>
      <c r="O59" s="40"/>
      <c r="P59" s="40"/>
      <c r="Q59" s="40"/>
    </row>
    <row r="60" spans="2:17" x14ac:dyDescent="0.2">
      <c r="B60" s="40"/>
      <c r="C60" s="40"/>
      <c r="D60" s="40" t="s">
        <v>148</v>
      </c>
      <c r="E60" s="40"/>
      <c r="F60" s="40">
        <v>2020</v>
      </c>
      <c r="G60" s="98">
        <v>0</v>
      </c>
      <c r="H60" s="40"/>
      <c r="I60" s="40"/>
      <c r="J60" s="40" t="s">
        <v>397</v>
      </c>
      <c r="K60" s="40"/>
      <c r="L60" s="40"/>
      <c r="M60" s="40"/>
      <c r="N60" s="40"/>
      <c r="O60" s="40"/>
      <c r="P60" s="40"/>
      <c r="Q60" s="40"/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Q29"/>
  <sheetViews>
    <sheetView zoomScale="75" workbookViewId="0">
      <pane xSplit="6" ySplit="6" topLeftCell="G7" activePane="bottomRight" state="frozen"/>
      <selection pane="topRight" activeCell="F1" sqref="F1"/>
      <selection pane="bottomLeft" activeCell="A5" sqref="A5"/>
      <selection pane="bottomRight" activeCell="K7" sqref="K7"/>
    </sheetView>
  </sheetViews>
  <sheetFormatPr defaultRowHeight="12.75" x14ac:dyDescent="0.2"/>
  <cols>
    <col min="2" max="2" width="8.42578125" customWidth="1"/>
    <col min="3" max="3" width="3.7109375" bestFit="1" customWidth="1"/>
    <col min="4" max="4" width="14.42578125" customWidth="1"/>
    <col min="5" max="5" width="12.85546875" customWidth="1"/>
    <col min="6" max="6" width="7.5703125" bestFit="1" customWidth="1"/>
    <col min="7" max="7" width="8.5703125" customWidth="1"/>
    <col min="8" max="8" width="9.5703125" customWidth="1"/>
    <col min="9" max="9" width="9" bestFit="1" customWidth="1"/>
    <col min="10" max="10" width="11.85546875" customWidth="1"/>
    <col min="11" max="11" width="10.28515625" bestFit="1" customWidth="1"/>
    <col min="12" max="12" width="11.85546875" bestFit="1" customWidth="1"/>
    <col min="13" max="13" width="11.42578125" bestFit="1" customWidth="1"/>
  </cols>
  <sheetData>
    <row r="1" spans="2:17" x14ac:dyDescent="0.2">
      <c r="B1" s="8"/>
      <c r="F1" s="102"/>
      <c r="G1" s="8"/>
    </row>
    <row r="2" spans="2:17" x14ac:dyDescent="0.2">
      <c r="B2" s="8"/>
      <c r="F2" s="102"/>
      <c r="G2" s="8"/>
    </row>
    <row r="3" spans="2:17" x14ac:dyDescent="0.2">
      <c r="B3" s="8"/>
      <c r="F3" s="102"/>
      <c r="G3" s="8"/>
    </row>
    <row r="4" spans="2:17" x14ac:dyDescent="0.2">
      <c r="B4" s="11"/>
    </row>
    <row r="5" spans="2:17" x14ac:dyDescent="0.2">
      <c r="B5" s="8" t="s">
        <v>1</v>
      </c>
      <c r="I5" s="5"/>
      <c r="J5" s="6"/>
      <c r="K5" s="6"/>
      <c r="L5" s="6"/>
      <c r="M5" s="6"/>
      <c r="N5" s="5"/>
      <c r="O5" s="6"/>
      <c r="P5" s="6"/>
    </row>
    <row r="6" spans="2:17" ht="13.5" thickBot="1" x14ac:dyDescent="0.25">
      <c r="B6" s="9" t="s">
        <v>4</v>
      </c>
      <c r="C6" s="9" t="s">
        <v>5</v>
      </c>
      <c r="D6" s="9" t="s">
        <v>6</v>
      </c>
      <c r="E6" s="9" t="s">
        <v>3</v>
      </c>
      <c r="F6" s="9" t="s">
        <v>7</v>
      </c>
      <c r="G6" s="66" t="s">
        <v>17</v>
      </c>
      <c r="H6" s="66" t="s">
        <v>235</v>
      </c>
      <c r="I6" s="9" t="s">
        <v>10</v>
      </c>
      <c r="J6" s="10" t="s">
        <v>11</v>
      </c>
      <c r="K6" s="10" t="s">
        <v>12</v>
      </c>
      <c r="L6" s="10" t="s">
        <v>13</v>
      </c>
      <c r="M6" s="10" t="s">
        <v>14</v>
      </c>
      <c r="N6" s="9" t="s">
        <v>15</v>
      </c>
      <c r="O6" s="10" t="s">
        <v>8</v>
      </c>
      <c r="P6" s="10" t="s">
        <v>502</v>
      </c>
      <c r="Q6" s="9" t="s">
        <v>200</v>
      </c>
    </row>
    <row r="7" spans="2:17" x14ac:dyDescent="0.2">
      <c r="B7" s="125" t="s">
        <v>35</v>
      </c>
      <c r="C7" s="63"/>
      <c r="D7" s="63" t="s">
        <v>175</v>
      </c>
      <c r="E7" s="125"/>
      <c r="F7" s="126">
        <v>2040</v>
      </c>
      <c r="G7" s="127">
        <v>0.5</v>
      </c>
      <c r="H7" s="127">
        <v>0.5</v>
      </c>
      <c r="I7" s="127"/>
      <c r="J7" s="63"/>
      <c r="K7" s="63" t="s">
        <v>176</v>
      </c>
      <c r="L7" s="63"/>
      <c r="M7" s="63"/>
      <c r="N7" s="63"/>
      <c r="O7" s="63" t="s">
        <v>202</v>
      </c>
      <c r="P7" s="63" t="s">
        <v>503</v>
      </c>
      <c r="Q7" s="71" t="s">
        <v>201</v>
      </c>
    </row>
    <row r="8" spans="2:17" x14ac:dyDescent="0.2">
      <c r="B8" s="125" t="s">
        <v>35</v>
      </c>
      <c r="C8" s="63" t="s">
        <v>52</v>
      </c>
      <c r="D8" s="63" t="s">
        <v>192</v>
      </c>
      <c r="E8" s="125"/>
      <c r="F8" s="128" t="s">
        <v>97</v>
      </c>
      <c r="G8" s="127">
        <v>2</v>
      </c>
      <c r="H8" s="127">
        <v>2</v>
      </c>
      <c r="I8" s="127"/>
      <c r="J8" s="63"/>
      <c r="K8" s="63"/>
      <c r="L8" s="63"/>
      <c r="M8" s="63"/>
      <c r="N8" s="63"/>
      <c r="O8" s="63" t="s">
        <v>31</v>
      </c>
      <c r="P8" s="63"/>
      <c r="Q8" s="63"/>
    </row>
    <row r="9" spans="2:17" x14ac:dyDescent="0.2">
      <c r="B9" s="125" t="s">
        <v>35</v>
      </c>
      <c r="C9" s="63" t="s">
        <v>52</v>
      </c>
      <c r="D9" s="63" t="s">
        <v>192</v>
      </c>
      <c r="E9" s="125"/>
      <c r="F9" s="128" t="s">
        <v>97</v>
      </c>
      <c r="G9" s="127">
        <v>2</v>
      </c>
      <c r="H9" s="127">
        <v>2</v>
      </c>
      <c r="I9" s="127"/>
      <c r="J9" s="63"/>
      <c r="K9" s="63"/>
      <c r="L9" s="63"/>
      <c r="M9" s="63"/>
      <c r="N9" s="63"/>
      <c r="O9" s="63" t="s">
        <v>239</v>
      </c>
      <c r="P9" s="63"/>
      <c r="Q9" s="63"/>
    </row>
    <row r="10" spans="2:17" x14ac:dyDescent="0.2">
      <c r="B10" s="125"/>
      <c r="C10" s="63" t="s">
        <v>28</v>
      </c>
      <c r="D10" s="63" t="s">
        <v>69</v>
      </c>
      <c r="E10" s="125"/>
      <c r="F10" s="128" t="s">
        <v>97</v>
      </c>
      <c r="G10" s="127">
        <v>4</v>
      </c>
      <c r="H10" s="127">
        <v>4</v>
      </c>
      <c r="I10" s="127"/>
      <c r="J10" s="63"/>
      <c r="K10" s="63"/>
      <c r="L10" s="63" t="s">
        <v>196</v>
      </c>
      <c r="M10" s="63"/>
      <c r="N10" s="63"/>
      <c r="O10" s="63"/>
      <c r="P10" s="63"/>
      <c r="Q10" s="63"/>
    </row>
    <row r="11" spans="2:17" x14ac:dyDescent="0.2">
      <c r="B11" s="125"/>
      <c r="C11" s="63" t="s">
        <v>28</v>
      </c>
      <c r="D11" s="63" t="s">
        <v>69</v>
      </c>
      <c r="E11" s="125"/>
      <c r="F11" s="128">
        <v>2015</v>
      </c>
      <c r="G11" s="127">
        <v>0</v>
      </c>
      <c r="H11" s="127">
        <v>0</v>
      </c>
      <c r="I11" s="127"/>
      <c r="J11" s="63"/>
      <c r="K11" s="63"/>
      <c r="L11" s="63" t="s">
        <v>196</v>
      </c>
      <c r="M11" s="63"/>
      <c r="N11" s="63"/>
      <c r="O11" s="63"/>
      <c r="P11" s="63"/>
      <c r="Q11" s="63"/>
    </row>
    <row r="12" spans="2:17" x14ac:dyDescent="0.2">
      <c r="B12" s="125"/>
      <c r="C12" s="63" t="s">
        <v>28</v>
      </c>
      <c r="D12" s="63" t="s">
        <v>195</v>
      </c>
      <c r="E12" s="125"/>
      <c r="F12" s="126">
        <v>2020</v>
      </c>
      <c r="G12" s="129">
        <v>130</v>
      </c>
      <c r="H12" s="129">
        <v>40</v>
      </c>
      <c r="I12" s="127"/>
      <c r="J12" s="63"/>
      <c r="K12" s="63"/>
      <c r="L12" s="63" t="s">
        <v>196</v>
      </c>
      <c r="M12" s="63"/>
      <c r="N12" s="63"/>
      <c r="O12" s="63"/>
      <c r="P12" s="63"/>
      <c r="Q12" s="63"/>
    </row>
    <row r="13" spans="2:17" x14ac:dyDescent="0.2">
      <c r="B13" s="125"/>
      <c r="C13" s="63" t="s">
        <v>28</v>
      </c>
      <c r="D13" s="63" t="s">
        <v>195</v>
      </c>
      <c r="E13" s="125"/>
      <c r="F13" s="126">
        <v>2040</v>
      </c>
      <c r="G13" s="129">
        <v>170</v>
      </c>
      <c r="H13" s="129">
        <v>100</v>
      </c>
      <c r="I13" s="127"/>
      <c r="J13" s="63"/>
      <c r="K13" s="63"/>
      <c r="L13" s="63" t="s">
        <v>196</v>
      </c>
      <c r="M13" s="63"/>
      <c r="N13" s="63"/>
      <c r="O13" s="63"/>
      <c r="P13" s="63"/>
      <c r="Q13" s="63"/>
    </row>
    <row r="14" spans="2:17" x14ac:dyDescent="0.2">
      <c r="D14" t="s">
        <v>104</v>
      </c>
    </row>
    <row r="20" spans="2:16" x14ac:dyDescent="0.2">
      <c r="B20" s="8" t="s">
        <v>9</v>
      </c>
    </row>
    <row r="21" spans="2:16" ht="13.5" thickBot="1" x14ac:dyDescent="0.25">
      <c r="B21" s="9" t="s">
        <v>4</v>
      </c>
      <c r="C21" s="9" t="s">
        <v>5</v>
      </c>
      <c r="D21" s="9" t="s">
        <v>6</v>
      </c>
      <c r="E21" s="9" t="s">
        <v>3</v>
      </c>
      <c r="F21" s="9" t="s">
        <v>7</v>
      </c>
      <c r="G21" s="66" t="s">
        <v>17</v>
      </c>
      <c r="H21" s="66" t="s">
        <v>235</v>
      </c>
      <c r="I21" s="9" t="s">
        <v>10</v>
      </c>
      <c r="J21" s="10" t="s">
        <v>11</v>
      </c>
      <c r="K21" s="10" t="s">
        <v>12</v>
      </c>
      <c r="L21" s="10" t="s">
        <v>13</v>
      </c>
      <c r="M21" s="10" t="s">
        <v>14</v>
      </c>
      <c r="N21" s="9" t="s">
        <v>15</v>
      </c>
      <c r="O21" s="10" t="s">
        <v>8</v>
      </c>
      <c r="P21" s="10" t="s">
        <v>16</v>
      </c>
    </row>
    <row r="22" spans="2:16" x14ac:dyDescent="0.2">
      <c r="B22" s="63"/>
      <c r="C22" s="63" t="s">
        <v>28</v>
      </c>
      <c r="D22" s="63" t="s">
        <v>29</v>
      </c>
      <c r="E22" s="63" t="s">
        <v>30</v>
      </c>
      <c r="F22" s="130" t="s">
        <v>193</v>
      </c>
      <c r="G22" s="189">
        <v>0.03</v>
      </c>
      <c r="H22" s="189">
        <v>0.03</v>
      </c>
      <c r="I22" s="63"/>
      <c r="J22" s="63"/>
      <c r="K22" s="63" t="s">
        <v>31</v>
      </c>
      <c r="L22" s="63" t="s">
        <v>30</v>
      </c>
      <c r="M22" s="63"/>
      <c r="N22" s="63"/>
      <c r="O22" s="63" t="s">
        <v>32</v>
      </c>
      <c r="P22" s="63"/>
    </row>
    <row r="23" spans="2:16" x14ac:dyDescent="0.2">
      <c r="B23" s="63"/>
      <c r="C23" s="63" t="s">
        <v>28</v>
      </c>
      <c r="D23" s="63" t="s">
        <v>29</v>
      </c>
      <c r="E23" s="63" t="s">
        <v>30</v>
      </c>
      <c r="F23" s="130">
        <v>2050</v>
      </c>
      <c r="G23" s="189">
        <v>0.1</v>
      </c>
      <c r="H23" s="189">
        <v>0.1</v>
      </c>
      <c r="I23" s="63"/>
      <c r="J23" s="63"/>
      <c r="K23" s="63" t="s">
        <v>31</v>
      </c>
      <c r="L23" s="63" t="s">
        <v>30</v>
      </c>
      <c r="M23" s="63"/>
      <c r="N23" s="63"/>
      <c r="O23" s="63" t="s">
        <v>32</v>
      </c>
      <c r="P23" s="63"/>
    </row>
    <row r="24" spans="2:16" x14ac:dyDescent="0.2">
      <c r="B24" s="63"/>
      <c r="C24" s="63" t="s">
        <v>28</v>
      </c>
      <c r="D24" s="63" t="s">
        <v>29</v>
      </c>
      <c r="E24" s="63" t="s">
        <v>30</v>
      </c>
      <c r="F24" s="130">
        <v>2090</v>
      </c>
      <c r="G24" s="189">
        <v>0.15</v>
      </c>
      <c r="H24" s="189">
        <v>0.15</v>
      </c>
      <c r="I24" s="63"/>
      <c r="J24" s="63"/>
      <c r="K24" s="63" t="s">
        <v>31</v>
      </c>
      <c r="L24" s="63" t="s">
        <v>30</v>
      </c>
      <c r="M24" s="63"/>
      <c r="N24" s="63"/>
      <c r="O24" s="63" t="s">
        <v>32</v>
      </c>
      <c r="P24" s="63"/>
    </row>
    <row r="25" spans="2:16" x14ac:dyDescent="0.2">
      <c r="B25" s="63" t="s">
        <v>35</v>
      </c>
      <c r="C25" s="63" t="s">
        <v>49</v>
      </c>
      <c r="D25" s="63" t="s">
        <v>50</v>
      </c>
      <c r="E25" s="63"/>
      <c r="F25" s="71">
        <v>2010</v>
      </c>
      <c r="G25" s="189">
        <f>3.6*0.295</f>
        <v>1.0620000000000001</v>
      </c>
      <c r="H25" s="189"/>
      <c r="I25" s="63"/>
      <c r="J25" s="63"/>
      <c r="K25" s="63"/>
      <c r="L25" s="63" t="s">
        <v>238</v>
      </c>
      <c r="M25" s="63"/>
      <c r="N25" s="63"/>
      <c r="O25" s="63"/>
      <c r="P25" s="63"/>
    </row>
    <row r="26" spans="2:16" x14ac:dyDescent="0.2">
      <c r="B26" s="63" t="s">
        <v>35</v>
      </c>
      <c r="C26" s="63" t="s">
        <v>49</v>
      </c>
      <c r="D26" s="63" t="s">
        <v>50</v>
      </c>
      <c r="E26" s="63"/>
      <c r="F26" s="71">
        <v>2015</v>
      </c>
      <c r="G26" s="189">
        <f>3.6*2.64</f>
        <v>9.5040000000000013</v>
      </c>
      <c r="H26" s="189"/>
      <c r="I26" s="63"/>
      <c r="J26" s="63"/>
      <c r="K26" s="63"/>
      <c r="L26" s="63" t="s">
        <v>238</v>
      </c>
      <c r="M26" s="63"/>
      <c r="N26" s="63"/>
      <c r="O26" s="63"/>
      <c r="P26" s="63"/>
    </row>
    <row r="27" spans="2:16" x14ac:dyDescent="0.2">
      <c r="B27" s="63" t="s">
        <v>35</v>
      </c>
      <c r="C27" s="63" t="s">
        <v>49</v>
      </c>
      <c r="D27" s="63" t="s">
        <v>50</v>
      </c>
      <c r="E27" s="63"/>
      <c r="F27" s="71">
        <v>2020</v>
      </c>
      <c r="G27" s="189">
        <f>3.6*6.5</f>
        <v>23.400000000000002</v>
      </c>
      <c r="H27" s="189"/>
      <c r="I27" s="63"/>
      <c r="J27" s="63"/>
      <c r="K27" s="63"/>
      <c r="L27" s="63" t="s">
        <v>238</v>
      </c>
      <c r="M27" s="63"/>
      <c r="N27" s="63"/>
      <c r="O27" s="63"/>
      <c r="P27" s="63"/>
    </row>
    <row r="28" spans="2:16" x14ac:dyDescent="0.2">
      <c r="B28" s="63" t="s">
        <v>35</v>
      </c>
      <c r="C28" s="63" t="s">
        <v>49</v>
      </c>
      <c r="D28" s="63" t="s">
        <v>50</v>
      </c>
      <c r="E28" s="63"/>
      <c r="F28" s="71">
        <v>2030</v>
      </c>
      <c r="G28" s="189">
        <f>G27*1.2</f>
        <v>28.080000000000002</v>
      </c>
      <c r="H28" s="190"/>
      <c r="I28" s="63"/>
      <c r="J28" s="63"/>
      <c r="K28" s="63"/>
      <c r="L28" s="63" t="s">
        <v>238</v>
      </c>
      <c r="M28" s="63"/>
      <c r="N28" s="63"/>
      <c r="O28" s="63"/>
      <c r="P28" s="63"/>
    </row>
    <row r="29" spans="2:16" x14ac:dyDescent="0.2">
      <c r="B29" s="63" t="s">
        <v>35</v>
      </c>
      <c r="C29" s="63" t="s">
        <v>49</v>
      </c>
      <c r="D29" s="63" t="s">
        <v>50</v>
      </c>
      <c r="E29" s="63"/>
      <c r="F29" s="71">
        <v>2040</v>
      </c>
      <c r="G29" s="190">
        <f>G28*1.1</f>
        <v>30.888000000000005</v>
      </c>
      <c r="H29" s="190"/>
      <c r="I29" s="63"/>
      <c r="J29" s="63"/>
      <c r="K29" s="63"/>
      <c r="L29" s="63" t="s">
        <v>238</v>
      </c>
      <c r="M29" s="63"/>
      <c r="N29" s="63"/>
      <c r="O29" s="63"/>
      <c r="P29" s="6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74"/>
  <sheetViews>
    <sheetView zoomScale="75" workbookViewId="0">
      <pane xSplit="7" ySplit="4" topLeftCell="H17" activePane="bottomRight" state="frozen"/>
      <selection pane="topRight" activeCell="G1" sqref="G1"/>
      <selection pane="bottomLeft" activeCell="A5" sqref="A5"/>
      <selection pane="bottomRight"/>
    </sheetView>
  </sheetViews>
  <sheetFormatPr defaultRowHeight="12.75" x14ac:dyDescent="0.2"/>
  <cols>
    <col min="1" max="1" width="10.42578125" customWidth="1"/>
    <col min="2" max="2" width="6" customWidth="1"/>
    <col min="3" max="3" width="9" customWidth="1"/>
    <col min="4" max="4" width="6.140625" customWidth="1"/>
    <col min="5" max="5" width="12.7109375" customWidth="1"/>
    <col min="6" max="6" width="12.140625" customWidth="1"/>
    <col min="7" max="7" width="5.85546875" customWidth="1"/>
    <col min="8" max="12" width="7.5703125" customWidth="1"/>
    <col min="13" max="13" width="8.85546875" customWidth="1"/>
    <col min="14" max="14" width="9" bestFit="1" customWidth="1"/>
    <col min="15" max="15" width="8.140625" customWidth="1"/>
    <col min="16" max="19" width="9" customWidth="1"/>
    <col min="20" max="20" width="8.7109375" customWidth="1"/>
    <col min="22" max="22" width="7.85546875" customWidth="1"/>
  </cols>
  <sheetData>
    <row r="1" spans="1:24" x14ac:dyDescent="0.2">
      <c r="C1" s="103" t="s">
        <v>366</v>
      </c>
      <c r="D1" s="104">
        <f ca="1">VEDA2*1</f>
        <v>1</v>
      </c>
    </row>
    <row r="2" spans="1:24" x14ac:dyDescent="0.2">
      <c r="A2" s="11"/>
      <c r="B2" s="11"/>
    </row>
    <row r="3" spans="1:24" x14ac:dyDescent="0.2">
      <c r="C3" s="8" t="s">
        <v>36</v>
      </c>
      <c r="M3" s="5"/>
      <c r="N3" s="6"/>
      <c r="O3" s="6"/>
      <c r="P3" s="6"/>
      <c r="Q3" s="6"/>
      <c r="R3" s="5"/>
      <c r="S3" s="6"/>
      <c r="T3" s="6"/>
    </row>
    <row r="4" spans="1:24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9">
        <v>2010</v>
      </c>
      <c r="I4" s="9">
        <v>2017</v>
      </c>
      <c r="J4" s="9">
        <v>2020</v>
      </c>
      <c r="K4" s="9">
        <v>2030</v>
      </c>
      <c r="L4" s="9">
        <v>2040</v>
      </c>
      <c r="M4" s="9">
        <v>2050</v>
      </c>
      <c r="N4" s="9">
        <v>2070</v>
      </c>
      <c r="O4" s="9">
        <v>2025</v>
      </c>
      <c r="P4" s="9">
        <v>2035</v>
      </c>
      <c r="Q4" s="12">
        <v>0</v>
      </c>
      <c r="R4" s="10" t="s">
        <v>11</v>
      </c>
      <c r="S4" s="10" t="s">
        <v>12</v>
      </c>
      <c r="T4" s="9" t="s">
        <v>13</v>
      </c>
      <c r="U4" s="10" t="s">
        <v>14</v>
      </c>
      <c r="V4" s="9" t="s">
        <v>15</v>
      </c>
      <c r="W4" s="9" t="s">
        <v>8</v>
      </c>
      <c r="X4" s="10" t="s">
        <v>38</v>
      </c>
    </row>
    <row r="5" spans="1:24" ht="14.25" x14ac:dyDescent="0.2">
      <c r="C5" s="40"/>
      <c r="D5" s="40"/>
      <c r="E5" s="27" t="s">
        <v>104</v>
      </c>
      <c r="F5" s="27"/>
      <c r="G5" s="29" t="s">
        <v>17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7"/>
      <c r="P5" s="28"/>
      <c r="Q5" s="28">
        <v>0</v>
      </c>
      <c r="R5" s="28"/>
      <c r="S5" s="28"/>
      <c r="T5" s="27"/>
      <c r="U5" s="28"/>
      <c r="V5" s="27"/>
      <c r="W5" s="27"/>
      <c r="X5" s="28"/>
    </row>
    <row r="6" spans="1:24" ht="14.25" x14ac:dyDescent="0.2">
      <c r="C6" s="23" t="s">
        <v>35</v>
      </c>
      <c r="D6" s="23"/>
      <c r="E6" s="23" t="s">
        <v>34</v>
      </c>
      <c r="F6" s="23"/>
      <c r="G6" s="23" t="s">
        <v>17</v>
      </c>
      <c r="H6" s="92"/>
      <c r="I6" s="92"/>
      <c r="J6" s="60">
        <v>0.28390727694558149</v>
      </c>
      <c r="K6" s="60">
        <v>0.28390727694558149</v>
      </c>
      <c r="L6" s="60">
        <v>0.28390727694558149</v>
      </c>
      <c r="M6" s="60">
        <v>0.28390727694558149</v>
      </c>
      <c r="N6" s="23"/>
      <c r="O6" s="23"/>
      <c r="P6" s="23"/>
      <c r="Q6" s="13"/>
      <c r="R6" s="23"/>
      <c r="S6" s="23"/>
      <c r="T6" s="23" t="s">
        <v>43</v>
      </c>
      <c r="U6" s="23"/>
      <c r="V6" s="23"/>
      <c r="W6" s="23" t="s">
        <v>44</v>
      </c>
      <c r="X6" s="23"/>
    </row>
    <row r="7" spans="1:24" ht="14.25" x14ac:dyDescent="0.2">
      <c r="C7" s="23" t="s">
        <v>35</v>
      </c>
      <c r="D7" s="23"/>
      <c r="E7" s="23" t="s">
        <v>34</v>
      </c>
      <c r="F7" s="23"/>
      <c r="G7" s="23" t="s">
        <v>17</v>
      </c>
      <c r="H7" s="92"/>
      <c r="I7" s="92"/>
      <c r="J7" s="60">
        <v>0.10816022537521536</v>
      </c>
      <c r="K7" s="60">
        <v>0.11271206667737427</v>
      </c>
      <c r="L7" s="60">
        <v>0.11271206667737427</v>
      </c>
      <c r="M7" s="60">
        <v>0.11271206667737427</v>
      </c>
      <c r="N7" s="23"/>
      <c r="O7" s="23"/>
      <c r="P7" s="23"/>
      <c r="Q7" s="13"/>
      <c r="R7" s="23"/>
      <c r="S7" s="23"/>
      <c r="T7" s="23" t="s">
        <v>43</v>
      </c>
      <c r="U7" s="23"/>
      <c r="V7" s="23"/>
      <c r="W7" s="23" t="s">
        <v>45</v>
      </c>
      <c r="X7" s="23"/>
    </row>
    <row r="8" spans="1:24" ht="14.25" x14ac:dyDescent="0.2">
      <c r="C8" s="23" t="s">
        <v>35</v>
      </c>
      <c r="D8" s="23" t="s">
        <v>49</v>
      </c>
      <c r="E8" s="23" t="s">
        <v>46</v>
      </c>
      <c r="F8" s="23" t="s">
        <v>47</v>
      </c>
      <c r="G8" s="23" t="s">
        <v>17</v>
      </c>
      <c r="H8" s="93"/>
      <c r="I8" s="92"/>
      <c r="J8" s="60">
        <v>0.65113467839432759</v>
      </c>
      <c r="K8" s="60">
        <v>0.65113467839432759</v>
      </c>
      <c r="L8" s="60">
        <f>K8/2</f>
        <v>0.3255673391971638</v>
      </c>
      <c r="M8" s="60">
        <v>0</v>
      </c>
      <c r="N8" s="23"/>
      <c r="O8" s="23"/>
      <c r="P8" s="23"/>
      <c r="Q8" s="83">
        <v>5</v>
      </c>
      <c r="R8" s="23"/>
      <c r="S8" s="23"/>
      <c r="T8" s="23" t="s">
        <v>43</v>
      </c>
      <c r="U8" s="23"/>
      <c r="V8" s="23"/>
      <c r="W8" s="23" t="s">
        <v>48</v>
      </c>
      <c r="X8" s="23"/>
    </row>
    <row r="9" spans="1:24" ht="14.25" x14ac:dyDescent="0.2">
      <c r="C9" s="23" t="s">
        <v>35</v>
      </c>
      <c r="D9" s="120" t="s">
        <v>49</v>
      </c>
      <c r="E9" s="121" t="s">
        <v>50</v>
      </c>
      <c r="F9" s="23"/>
      <c r="G9" s="23" t="s">
        <v>17</v>
      </c>
      <c r="H9" s="94"/>
      <c r="I9" s="92"/>
      <c r="J9" s="60">
        <v>3.374085472980529</v>
      </c>
      <c r="K9" s="60">
        <v>4.0551358384209957</v>
      </c>
      <c r="L9" s="60">
        <v>4.1500000000000004</v>
      </c>
      <c r="M9" s="60">
        <v>4.25</v>
      </c>
      <c r="N9" s="23"/>
      <c r="O9" s="60">
        <v>3.6989694407198068</v>
      </c>
      <c r="P9" s="60">
        <v>3.9930933017738712</v>
      </c>
      <c r="Q9" s="13"/>
      <c r="R9" s="23"/>
      <c r="S9" s="23"/>
      <c r="T9" s="120" t="s">
        <v>51</v>
      </c>
      <c r="U9" s="23"/>
      <c r="V9" s="23"/>
      <c r="W9" s="23"/>
      <c r="X9" s="23"/>
    </row>
    <row r="10" spans="1:24" ht="14.25" x14ac:dyDescent="0.2">
      <c r="C10" s="23"/>
      <c r="D10" s="120" t="s">
        <v>52</v>
      </c>
      <c r="E10" s="121" t="s">
        <v>29</v>
      </c>
      <c r="F10" s="120" t="s">
        <v>53</v>
      </c>
      <c r="G10" s="23" t="s">
        <v>17</v>
      </c>
      <c r="H10" s="92"/>
      <c r="I10" s="92"/>
      <c r="J10" s="60">
        <v>0.48657641202709645</v>
      </c>
      <c r="K10" s="60">
        <v>0.42741238137963677</v>
      </c>
      <c r="L10" s="60">
        <v>0.38647584646319222</v>
      </c>
      <c r="M10" s="60">
        <v>0.36223110145120124</v>
      </c>
      <c r="N10" s="23"/>
      <c r="O10" s="60">
        <v>0.45603594484169846</v>
      </c>
      <c r="P10" s="60">
        <v>0.40642903671187647</v>
      </c>
      <c r="Q10" s="13"/>
      <c r="R10" s="23"/>
      <c r="S10" s="23"/>
      <c r="T10" s="120" t="s">
        <v>53</v>
      </c>
      <c r="U10" s="120"/>
      <c r="V10" s="120"/>
      <c r="W10" s="120" t="s">
        <v>54</v>
      </c>
      <c r="X10" s="23"/>
    </row>
    <row r="11" spans="1:24" ht="14.25" x14ac:dyDescent="0.2">
      <c r="C11" s="23"/>
      <c r="D11" s="120" t="s">
        <v>52</v>
      </c>
      <c r="E11" s="121" t="s">
        <v>29</v>
      </c>
      <c r="F11" s="120" t="s">
        <v>55</v>
      </c>
      <c r="G11" s="23" t="s">
        <v>17</v>
      </c>
      <c r="H11" s="92"/>
      <c r="I11" s="92"/>
      <c r="J11" s="60">
        <v>0</v>
      </c>
      <c r="K11" s="60">
        <v>0</v>
      </c>
      <c r="L11" s="60">
        <v>0</v>
      </c>
      <c r="M11" s="60">
        <v>0</v>
      </c>
      <c r="N11" s="23"/>
      <c r="O11" s="60">
        <v>0</v>
      </c>
      <c r="P11" s="60">
        <v>0</v>
      </c>
      <c r="Q11" s="13"/>
      <c r="R11" s="23"/>
      <c r="S11" s="23"/>
      <c r="T11" s="120" t="s">
        <v>85</v>
      </c>
      <c r="U11" s="23"/>
      <c r="V11" s="23"/>
      <c r="W11" s="120" t="s">
        <v>54</v>
      </c>
      <c r="X11" s="23"/>
    </row>
    <row r="12" spans="1:24" ht="14.25" x14ac:dyDescent="0.2">
      <c r="C12" s="23" t="s">
        <v>35</v>
      </c>
      <c r="D12" s="23"/>
      <c r="E12" s="23" t="s">
        <v>33</v>
      </c>
      <c r="F12" s="23"/>
      <c r="G12" s="23" t="s">
        <v>17</v>
      </c>
      <c r="H12" s="92"/>
      <c r="I12" s="92"/>
      <c r="J12" s="60">
        <v>1.390238953713171</v>
      </c>
      <c r="K12" s="60">
        <v>1.4199316804902464</v>
      </c>
      <c r="L12" s="60">
        <v>1.4152596424351911</v>
      </c>
      <c r="M12" s="60">
        <v>1.4125109538680645</v>
      </c>
      <c r="N12" s="23"/>
      <c r="O12" s="60">
        <v>1.4050068803493259</v>
      </c>
      <c r="P12" s="60">
        <v>1.4175937367289071</v>
      </c>
      <c r="Q12" s="13"/>
      <c r="R12" s="23"/>
      <c r="S12" s="23"/>
      <c r="T12" s="23"/>
      <c r="U12" s="23"/>
      <c r="V12" s="23"/>
      <c r="W12" s="23" t="s">
        <v>56</v>
      </c>
      <c r="X12" s="23"/>
    </row>
    <row r="13" spans="1:24" ht="14.25" x14ac:dyDescent="0.2">
      <c r="C13" s="23" t="s">
        <v>35</v>
      </c>
      <c r="D13" s="23"/>
      <c r="E13" s="23" t="s">
        <v>33</v>
      </c>
      <c r="F13" s="23"/>
      <c r="G13" s="23" t="s">
        <v>17</v>
      </c>
      <c r="H13" s="92"/>
      <c r="I13" s="92"/>
      <c r="J13" s="60">
        <v>1.0340468614612266</v>
      </c>
      <c r="K13" s="60">
        <v>1.0344850629718254</v>
      </c>
      <c r="L13" s="60">
        <v>1.0345910910690748</v>
      </c>
      <c r="M13" s="60">
        <v>1.0345997201088486</v>
      </c>
      <c r="N13" s="23"/>
      <c r="O13" s="60">
        <v>1.0342659390091773</v>
      </c>
      <c r="P13" s="60">
        <v>1.0345380756621194</v>
      </c>
      <c r="Q13" s="13"/>
      <c r="R13" s="23"/>
      <c r="S13" s="23"/>
      <c r="T13" s="23"/>
      <c r="U13" s="23"/>
      <c r="V13" s="23"/>
      <c r="W13" s="23" t="s">
        <v>57</v>
      </c>
      <c r="X13" s="23"/>
    </row>
    <row r="14" spans="1:24" ht="14.25" x14ac:dyDescent="0.2">
      <c r="C14" s="23"/>
      <c r="D14" s="23"/>
      <c r="E14" s="23" t="s">
        <v>58</v>
      </c>
      <c r="F14" s="23"/>
      <c r="G14" s="23" t="s">
        <v>17</v>
      </c>
      <c r="H14" s="92"/>
      <c r="I14" s="92"/>
      <c r="J14" s="60">
        <v>1</v>
      </c>
      <c r="K14" s="60">
        <v>1</v>
      </c>
      <c r="L14" s="60">
        <v>1</v>
      </c>
      <c r="M14" s="60">
        <v>1</v>
      </c>
      <c r="N14" s="23"/>
      <c r="O14" s="60">
        <v>1</v>
      </c>
      <c r="P14" s="60">
        <v>1</v>
      </c>
      <c r="Q14" s="13"/>
      <c r="R14" s="23"/>
      <c r="S14" s="23"/>
      <c r="T14" s="23" t="s">
        <v>85</v>
      </c>
      <c r="U14" s="23"/>
      <c r="V14" s="23"/>
      <c r="W14" s="23" t="s">
        <v>57</v>
      </c>
      <c r="X14" s="23"/>
    </row>
    <row r="15" spans="1:24" ht="14.25" x14ac:dyDescent="0.2">
      <c r="A15" t="s">
        <v>244</v>
      </c>
      <c r="C15" s="23" t="s">
        <v>35</v>
      </c>
      <c r="D15" s="23"/>
      <c r="E15" s="23" t="s">
        <v>34</v>
      </c>
      <c r="F15" s="23"/>
      <c r="G15" s="23" t="s">
        <v>17</v>
      </c>
      <c r="H15" s="93"/>
      <c r="I15" s="92"/>
      <c r="J15" s="31">
        <v>0.1816904705093893</v>
      </c>
      <c r="K15" s="31">
        <v>0.1802912954573973</v>
      </c>
      <c r="L15" s="31">
        <v>0.17873026245246565</v>
      </c>
      <c r="M15" s="31">
        <v>0.17808628285390274</v>
      </c>
      <c r="N15" s="23"/>
      <c r="O15" s="23"/>
      <c r="P15" s="23"/>
      <c r="Q15" s="13"/>
      <c r="R15" s="23"/>
      <c r="S15" s="23"/>
      <c r="T15" s="23" t="s">
        <v>53</v>
      </c>
      <c r="U15" s="23"/>
      <c r="V15" s="23"/>
      <c r="W15" s="23" t="s">
        <v>59</v>
      </c>
      <c r="X15" s="23"/>
    </row>
    <row r="16" spans="1:24" ht="14.25" x14ac:dyDescent="0.2">
      <c r="C16" s="23" t="s">
        <v>35</v>
      </c>
      <c r="D16" s="23"/>
      <c r="E16" s="23" t="s">
        <v>34</v>
      </c>
      <c r="F16" s="23"/>
      <c r="G16" s="23" t="s">
        <v>17</v>
      </c>
      <c r="H16" s="93"/>
      <c r="I16" s="92"/>
      <c r="J16" s="31">
        <v>0.17762584413529053</v>
      </c>
      <c r="K16" s="31">
        <v>0.17625797025062098</v>
      </c>
      <c r="L16" s="31">
        <v>0.1747318593629853</v>
      </c>
      <c r="M16" s="31">
        <v>0.17410228633430661</v>
      </c>
      <c r="N16" s="23"/>
      <c r="O16" s="23"/>
      <c r="P16" s="23"/>
      <c r="Q16" s="13"/>
      <c r="R16" s="23"/>
      <c r="S16" s="23"/>
      <c r="T16" s="23" t="s">
        <v>53</v>
      </c>
      <c r="U16" s="23"/>
      <c r="V16" s="23"/>
      <c r="W16" s="23" t="s">
        <v>60</v>
      </c>
      <c r="X16" s="23"/>
    </row>
    <row r="17" spans="1:24" ht="14.25" x14ac:dyDescent="0.2">
      <c r="C17" s="23" t="s">
        <v>35</v>
      </c>
      <c r="D17" s="23"/>
      <c r="E17" s="23" t="s">
        <v>34</v>
      </c>
      <c r="F17" s="23"/>
      <c r="G17" s="23" t="s">
        <v>17</v>
      </c>
      <c r="H17" s="93"/>
      <c r="I17" s="92"/>
      <c r="J17" s="31">
        <v>0.17739631938483336</v>
      </c>
      <c r="K17" s="31">
        <v>0.15592186766413102</v>
      </c>
      <c r="L17" s="31">
        <v>0.15764772717575723</v>
      </c>
      <c r="M17" s="31">
        <v>0.15701598228052541</v>
      </c>
      <c r="N17" s="23"/>
      <c r="O17" s="23"/>
      <c r="P17" s="23"/>
      <c r="Q17" s="13"/>
      <c r="R17" s="23"/>
      <c r="S17" s="23"/>
      <c r="T17" s="23" t="s">
        <v>53</v>
      </c>
      <c r="U17" s="23"/>
      <c r="V17" s="23"/>
      <c r="W17" s="23" t="s">
        <v>61</v>
      </c>
      <c r="X17" s="23"/>
    </row>
    <row r="18" spans="1:24" ht="14.25" x14ac:dyDescent="0.2">
      <c r="C18" s="23" t="s">
        <v>35</v>
      </c>
      <c r="D18" s="23"/>
      <c r="E18" s="23" t="s">
        <v>34</v>
      </c>
      <c r="F18" s="23"/>
      <c r="G18" s="23" t="s">
        <v>17</v>
      </c>
      <c r="H18" s="93"/>
      <c r="I18" s="92"/>
      <c r="J18" s="31">
        <v>0.4323702851844668</v>
      </c>
      <c r="K18" s="31">
        <v>0.45087824136873039</v>
      </c>
      <c r="L18" s="31">
        <v>0.44773034094402031</v>
      </c>
      <c r="M18" s="31">
        <v>0.4462968321684041</v>
      </c>
      <c r="N18" s="23"/>
      <c r="O18" s="23"/>
      <c r="P18" s="23"/>
      <c r="Q18" s="13"/>
      <c r="R18" s="23"/>
      <c r="S18" s="23"/>
      <c r="T18" s="23" t="s">
        <v>53</v>
      </c>
      <c r="U18" s="23"/>
      <c r="V18" s="23"/>
      <c r="W18" s="23" t="s">
        <v>62</v>
      </c>
      <c r="X18" s="23"/>
    </row>
    <row r="19" spans="1:24" ht="14.25" x14ac:dyDescent="0.2">
      <c r="C19" s="23" t="s">
        <v>35</v>
      </c>
      <c r="D19" s="23"/>
      <c r="E19" s="23" t="s">
        <v>34</v>
      </c>
      <c r="F19" s="23"/>
      <c r="G19" s="23" t="s">
        <v>17</v>
      </c>
      <c r="H19" s="92"/>
      <c r="I19" s="92"/>
      <c r="J19" s="31">
        <v>9.4874592172744257E-2</v>
      </c>
      <c r="K19" s="31">
        <v>9.1673690861614185E-2</v>
      </c>
      <c r="L19" s="31">
        <v>8.88886805177308E-2</v>
      </c>
      <c r="M19" s="31">
        <v>8.714516175000539E-2</v>
      </c>
      <c r="N19" s="23"/>
      <c r="O19" s="23"/>
      <c r="P19" s="23"/>
      <c r="Q19" s="13"/>
      <c r="R19" s="23"/>
      <c r="S19" s="23"/>
      <c r="T19" s="23" t="s">
        <v>63</v>
      </c>
      <c r="U19" s="23"/>
      <c r="V19" s="23"/>
      <c r="W19" s="23" t="s">
        <v>64</v>
      </c>
      <c r="X19" s="23"/>
    </row>
    <row r="20" spans="1:24" ht="14.25" x14ac:dyDescent="0.2">
      <c r="C20" s="23" t="s">
        <v>35</v>
      </c>
      <c r="D20" s="23"/>
      <c r="E20" s="23" t="s">
        <v>34</v>
      </c>
      <c r="F20" s="23"/>
      <c r="G20" s="23" t="s">
        <v>17</v>
      </c>
      <c r="H20" s="92"/>
      <c r="I20" s="92"/>
      <c r="J20" s="31">
        <v>0.13188817019625629</v>
      </c>
      <c r="K20" s="31">
        <v>0.13149603732307436</v>
      </c>
      <c r="L20" s="31">
        <v>0.1312389101183466</v>
      </c>
      <c r="M20" s="31">
        <v>0.13128677094058569</v>
      </c>
      <c r="N20" s="23"/>
      <c r="O20" s="23"/>
      <c r="P20" s="23"/>
      <c r="Q20" s="13"/>
      <c r="R20" s="23"/>
      <c r="S20" s="23"/>
      <c r="T20" s="23" t="s">
        <v>63</v>
      </c>
      <c r="U20" s="23"/>
      <c r="V20" s="23"/>
      <c r="W20" s="23" t="s">
        <v>65</v>
      </c>
      <c r="X20" s="23"/>
    </row>
    <row r="21" spans="1:24" ht="14.25" x14ac:dyDescent="0.2">
      <c r="C21" s="23" t="s">
        <v>35</v>
      </c>
      <c r="D21" s="23"/>
      <c r="E21" s="23" t="s">
        <v>34</v>
      </c>
      <c r="F21" s="23"/>
      <c r="G21" s="23" t="s">
        <v>17</v>
      </c>
      <c r="H21" s="92"/>
      <c r="I21" s="92"/>
      <c r="J21" s="31">
        <v>0.12805311000071229</v>
      </c>
      <c r="K21" s="31">
        <v>0.12767237961473646</v>
      </c>
      <c r="L21" s="31">
        <v>0.12742272918602721</v>
      </c>
      <c r="M21" s="31">
        <v>0.12746919830547734</v>
      </c>
      <c r="N21" s="23"/>
      <c r="O21" s="23"/>
      <c r="P21" s="23"/>
      <c r="Q21" s="13"/>
      <c r="R21" s="23"/>
      <c r="S21" s="23"/>
      <c r="T21" s="23" t="s">
        <v>63</v>
      </c>
      <c r="U21" s="23"/>
      <c r="V21" s="23"/>
      <c r="W21" s="23" t="s">
        <v>66</v>
      </c>
      <c r="X21" s="23"/>
    </row>
    <row r="22" spans="1:24" ht="14.25" x14ac:dyDescent="0.2">
      <c r="C22" s="23" t="s">
        <v>35</v>
      </c>
      <c r="D22" s="68"/>
      <c r="E22" s="23" t="s">
        <v>34</v>
      </c>
      <c r="F22" s="23"/>
      <c r="G22" s="23" t="s">
        <v>17</v>
      </c>
      <c r="H22" s="92"/>
      <c r="I22" s="92"/>
      <c r="J22" s="31">
        <v>0.14571283600996457</v>
      </c>
      <c r="K22" s="31">
        <v>0.12897572354175169</v>
      </c>
      <c r="L22" s="31">
        <v>0.1315237293384372</v>
      </c>
      <c r="M22" s="31">
        <v>0.13166711957566032</v>
      </c>
      <c r="N22" s="23"/>
      <c r="O22" s="23"/>
      <c r="P22" s="23"/>
      <c r="Q22" s="13"/>
      <c r="R22" s="23"/>
      <c r="S22" s="23"/>
      <c r="T22" s="23" t="s">
        <v>63</v>
      </c>
      <c r="U22" s="23"/>
      <c r="V22" s="23"/>
      <c r="W22" s="23" t="s">
        <v>61</v>
      </c>
      <c r="X22" s="23"/>
    </row>
    <row r="23" spans="1:24" ht="14.25" x14ac:dyDescent="0.2">
      <c r="C23" s="23" t="s">
        <v>35</v>
      </c>
      <c r="D23" s="68"/>
      <c r="E23" s="23" t="s">
        <v>34</v>
      </c>
      <c r="F23" s="23"/>
      <c r="G23" s="23" t="s">
        <v>17</v>
      </c>
      <c r="H23" s="92"/>
      <c r="I23" s="92"/>
      <c r="J23" s="31">
        <v>0.27058103786218529</v>
      </c>
      <c r="K23" s="31">
        <v>0.28287013990987264</v>
      </c>
      <c r="L23" s="31">
        <v>0.28228631252822461</v>
      </c>
      <c r="M23" s="31">
        <v>0.28218777069845202</v>
      </c>
      <c r="N23" s="23"/>
      <c r="O23" s="23"/>
      <c r="P23" s="23"/>
      <c r="Q23" s="13"/>
      <c r="R23" s="23"/>
      <c r="S23" s="23"/>
      <c r="T23" s="23" t="s">
        <v>63</v>
      </c>
      <c r="U23" s="23"/>
      <c r="V23" s="23"/>
      <c r="W23" s="23" t="s">
        <v>62</v>
      </c>
      <c r="X23" s="23"/>
    </row>
    <row r="24" spans="1:24" ht="14.25" x14ac:dyDescent="0.2">
      <c r="C24" s="23" t="s">
        <v>35</v>
      </c>
      <c r="D24" s="68"/>
      <c r="E24" s="23" t="s">
        <v>34</v>
      </c>
      <c r="F24" s="23"/>
      <c r="G24" s="23" t="s">
        <v>17</v>
      </c>
      <c r="H24" s="92"/>
      <c r="I24" s="92"/>
      <c r="J24" s="31">
        <v>0.11406196639159957</v>
      </c>
      <c r="K24" s="31">
        <v>0.1206594260483838</v>
      </c>
      <c r="L24" s="31">
        <v>0.1211745979580124</v>
      </c>
      <c r="M24" s="31">
        <v>0.12162540608642462</v>
      </c>
      <c r="N24" s="23"/>
      <c r="O24" s="23"/>
      <c r="P24" s="23"/>
      <c r="Q24" s="13"/>
      <c r="R24" s="23"/>
      <c r="S24" s="23"/>
      <c r="T24" s="23" t="s">
        <v>63</v>
      </c>
      <c r="U24" s="23"/>
      <c r="V24" s="23"/>
      <c r="W24" s="23" t="s">
        <v>67</v>
      </c>
      <c r="X24" s="23"/>
    </row>
    <row r="25" spans="1:24" ht="14.25" x14ac:dyDescent="0.2">
      <c r="C25" s="23" t="s">
        <v>35</v>
      </c>
      <c r="D25" s="68" t="s">
        <v>49</v>
      </c>
      <c r="E25" s="23" t="s">
        <v>101</v>
      </c>
      <c r="F25" s="23"/>
      <c r="G25" s="23" t="s">
        <v>17</v>
      </c>
      <c r="H25" s="92"/>
      <c r="I25" s="92"/>
      <c r="J25" s="70">
        <v>0.38271604938271603</v>
      </c>
      <c r="K25" s="70">
        <v>1</v>
      </c>
      <c r="L25" s="70">
        <v>1</v>
      </c>
      <c r="M25" s="70">
        <v>1</v>
      </c>
      <c r="N25" s="69"/>
      <c r="O25" s="70">
        <v>0.74285714285714288</v>
      </c>
      <c r="P25" s="70">
        <v>1</v>
      </c>
      <c r="Q25" s="71">
        <v>5</v>
      </c>
      <c r="R25" s="69"/>
      <c r="S25" s="69"/>
      <c r="T25" s="69" t="s">
        <v>247</v>
      </c>
      <c r="U25" s="69"/>
      <c r="V25" s="69"/>
      <c r="W25" s="69" t="s">
        <v>62</v>
      </c>
      <c r="X25" s="69"/>
    </row>
    <row r="26" spans="1:24" ht="14.25" x14ac:dyDescent="0.2">
      <c r="C26" s="23" t="s">
        <v>35</v>
      </c>
      <c r="D26" s="68" t="s">
        <v>49</v>
      </c>
      <c r="E26" s="23" t="s">
        <v>101</v>
      </c>
      <c r="F26" s="23"/>
      <c r="G26" s="23" t="s">
        <v>17</v>
      </c>
      <c r="H26" s="92"/>
      <c r="I26" s="92"/>
      <c r="J26" s="70">
        <v>0.42724144909937256</v>
      </c>
      <c r="K26" s="70">
        <v>1</v>
      </c>
      <c r="L26" s="70">
        <v>1</v>
      </c>
      <c r="M26" s="70">
        <v>1</v>
      </c>
      <c r="N26" s="69"/>
      <c r="O26" s="70">
        <v>0.95238095238095233</v>
      </c>
      <c r="P26" s="70">
        <v>1</v>
      </c>
      <c r="Q26" s="71">
        <v>5</v>
      </c>
      <c r="R26" s="69"/>
      <c r="S26" s="69"/>
      <c r="T26" s="69" t="s">
        <v>248</v>
      </c>
      <c r="U26" s="69"/>
      <c r="V26" s="69"/>
      <c r="W26" s="69" t="s">
        <v>61</v>
      </c>
      <c r="X26" s="69"/>
    </row>
    <row r="27" spans="1:24" ht="14.25" x14ac:dyDescent="0.2">
      <c r="C27" s="23" t="s">
        <v>35</v>
      </c>
      <c r="D27" s="68" t="s">
        <v>49</v>
      </c>
      <c r="E27" s="23" t="s">
        <v>101</v>
      </c>
      <c r="F27" s="23"/>
      <c r="G27" s="23" t="s">
        <v>17</v>
      </c>
      <c r="H27" s="92"/>
      <c r="I27" s="92"/>
      <c r="J27" s="70">
        <v>0</v>
      </c>
      <c r="K27" s="70">
        <v>0</v>
      </c>
      <c r="L27" s="70">
        <v>0</v>
      </c>
      <c r="M27" s="70">
        <v>0</v>
      </c>
      <c r="N27" s="69"/>
      <c r="O27" s="70">
        <v>0</v>
      </c>
      <c r="P27" s="70"/>
      <c r="Q27" s="71">
        <v>5</v>
      </c>
      <c r="R27" s="69"/>
      <c r="S27" s="69"/>
      <c r="T27" s="69" t="s">
        <v>249</v>
      </c>
      <c r="U27" s="69"/>
      <c r="V27" s="69"/>
      <c r="W27" s="69" t="s">
        <v>62</v>
      </c>
      <c r="X27" s="69"/>
    </row>
    <row r="28" spans="1:24" ht="14.25" x14ac:dyDescent="0.2">
      <c r="C28" s="23" t="s">
        <v>35</v>
      </c>
      <c r="D28" s="68" t="s">
        <v>49</v>
      </c>
      <c r="E28" s="23" t="s">
        <v>101</v>
      </c>
      <c r="F28" s="23"/>
      <c r="G28" s="23" t="s">
        <v>17</v>
      </c>
      <c r="H28" s="92"/>
      <c r="I28" s="92"/>
      <c r="J28" s="70">
        <v>0</v>
      </c>
      <c r="K28" s="70">
        <v>0</v>
      </c>
      <c r="L28" s="70">
        <v>0</v>
      </c>
      <c r="M28" s="70">
        <v>0</v>
      </c>
      <c r="N28" s="69"/>
      <c r="O28" s="70">
        <v>0</v>
      </c>
      <c r="P28" s="70"/>
      <c r="Q28" s="71">
        <v>5</v>
      </c>
      <c r="R28" s="69"/>
      <c r="S28" s="69"/>
      <c r="T28" s="69" t="s">
        <v>250</v>
      </c>
      <c r="U28" s="69"/>
      <c r="V28" s="69"/>
      <c r="W28" s="69" t="s">
        <v>61</v>
      </c>
      <c r="X28" s="69"/>
    </row>
    <row r="29" spans="1:24" ht="14.25" x14ac:dyDescent="0.2">
      <c r="C29" s="23" t="s">
        <v>35</v>
      </c>
      <c r="D29" s="68" t="s">
        <v>49</v>
      </c>
      <c r="E29" s="23" t="s">
        <v>101</v>
      </c>
      <c r="F29" s="23"/>
      <c r="G29" s="23" t="s">
        <v>17</v>
      </c>
      <c r="H29" s="92"/>
      <c r="I29" s="92"/>
      <c r="J29" s="70">
        <v>0.5</v>
      </c>
      <c r="K29" s="70">
        <v>0.6</v>
      </c>
      <c r="L29" s="70">
        <v>0.6</v>
      </c>
      <c r="M29" s="70">
        <v>0.6</v>
      </c>
      <c r="N29" s="69"/>
      <c r="O29" s="69"/>
      <c r="P29" s="70"/>
      <c r="Q29" s="71">
        <v>5</v>
      </c>
      <c r="R29" s="69"/>
      <c r="S29" s="69"/>
      <c r="T29" s="69" t="s">
        <v>251</v>
      </c>
      <c r="U29" s="69"/>
      <c r="V29" s="69"/>
      <c r="W29" s="69" t="s">
        <v>68</v>
      </c>
      <c r="X29" s="69"/>
    </row>
    <row r="30" spans="1:24" ht="14.25" x14ac:dyDescent="0.2">
      <c r="C30" s="23" t="s">
        <v>35</v>
      </c>
      <c r="D30" s="68"/>
      <c r="E30" s="23" t="s">
        <v>34</v>
      </c>
      <c r="F30" s="23"/>
      <c r="G30" s="23" t="s">
        <v>17</v>
      </c>
      <c r="H30" s="94"/>
      <c r="I30" s="92"/>
      <c r="J30" s="60">
        <v>0.30479344163995836</v>
      </c>
      <c r="K30" s="60">
        <v>0.27037037646285444</v>
      </c>
      <c r="L30" s="60">
        <v>0.27512525800713211</v>
      </c>
      <c r="M30" s="60">
        <v>0.27565254655478499</v>
      </c>
      <c r="N30" s="23"/>
      <c r="O30" s="23"/>
      <c r="P30" s="23"/>
      <c r="Q30" s="13"/>
      <c r="R30" s="23"/>
      <c r="S30" s="23"/>
      <c r="T30" s="23" t="s">
        <v>51</v>
      </c>
      <c r="U30" s="23"/>
      <c r="V30" s="23"/>
      <c r="W30" s="23" t="s">
        <v>61</v>
      </c>
      <c r="X30" s="23"/>
    </row>
    <row r="31" spans="1:24" ht="14.25" x14ac:dyDescent="0.2">
      <c r="C31" s="23"/>
      <c r="D31" s="68"/>
      <c r="E31" s="23" t="s">
        <v>39</v>
      </c>
      <c r="F31" s="23"/>
      <c r="G31" s="23" t="s">
        <v>17</v>
      </c>
      <c r="H31" s="68">
        <v>0</v>
      </c>
      <c r="I31" s="23">
        <v>1</v>
      </c>
      <c r="J31" s="23">
        <v>1</v>
      </c>
      <c r="K31" s="23">
        <v>1</v>
      </c>
      <c r="L31" s="23">
        <v>1</v>
      </c>
      <c r="M31" s="23">
        <v>1</v>
      </c>
      <c r="N31" s="23"/>
      <c r="O31" s="60"/>
      <c r="P31" s="60"/>
      <c r="Q31" s="13"/>
      <c r="R31" s="23"/>
      <c r="S31" s="23"/>
      <c r="T31" s="23"/>
      <c r="U31" s="23"/>
      <c r="V31" s="23"/>
      <c r="W31" s="23" t="s">
        <v>68</v>
      </c>
      <c r="X31" s="23"/>
    </row>
    <row r="32" spans="1:24" ht="14.25" x14ac:dyDescent="0.2">
      <c r="A32" t="s">
        <v>105</v>
      </c>
      <c r="C32" s="13"/>
      <c r="D32" s="83"/>
      <c r="E32" s="23" t="s">
        <v>104</v>
      </c>
      <c r="F32" s="13"/>
      <c r="G32" s="23"/>
      <c r="H32" s="65">
        <v>7.2807272727272703E-3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0">
        <v>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9" ht="14.25" x14ac:dyDescent="0.2">
      <c r="A33" t="s">
        <v>94</v>
      </c>
      <c r="C33" s="13"/>
      <c r="D33" s="83" t="s">
        <v>28</v>
      </c>
      <c r="E33" s="13" t="s">
        <v>101</v>
      </c>
      <c r="F33" s="13"/>
      <c r="G33" s="23" t="s">
        <v>17</v>
      </c>
      <c r="H33" s="13"/>
      <c r="I33" s="13"/>
      <c r="J33" s="13"/>
      <c r="K33" s="13"/>
      <c r="L33" s="13"/>
      <c r="M33" s="13"/>
      <c r="N33" s="13">
        <v>0.6</v>
      </c>
      <c r="O33" s="13"/>
      <c r="P33" s="13"/>
      <c r="Q33" s="13"/>
      <c r="R33" s="13"/>
      <c r="S33" s="13"/>
      <c r="T33" s="13" t="s">
        <v>100</v>
      </c>
      <c r="U33" s="13"/>
      <c r="V33" s="13"/>
      <c r="W33" s="13" t="s">
        <v>103</v>
      </c>
      <c r="X33" s="13"/>
    </row>
    <row r="34" spans="1:29" ht="14.25" x14ac:dyDescent="0.2">
      <c r="C34" s="23" t="s">
        <v>35</v>
      </c>
      <c r="D34" s="83" t="s">
        <v>28</v>
      </c>
      <c r="E34" s="23" t="s">
        <v>46</v>
      </c>
      <c r="F34" s="23" t="s">
        <v>47</v>
      </c>
      <c r="G34" s="23" t="s">
        <v>17</v>
      </c>
      <c r="H34" s="13"/>
      <c r="I34" s="13"/>
      <c r="J34" s="13"/>
      <c r="K34" s="13"/>
      <c r="L34" s="13"/>
      <c r="M34" s="64">
        <v>0.37</v>
      </c>
      <c r="N34" s="13">
        <v>0.4</v>
      </c>
      <c r="O34" s="13"/>
      <c r="P34" s="13"/>
      <c r="Q34" s="13"/>
      <c r="R34" s="13"/>
      <c r="S34" s="13"/>
      <c r="T34" s="23" t="s">
        <v>43</v>
      </c>
      <c r="U34" s="13"/>
      <c r="V34" s="13"/>
      <c r="W34" s="13" t="s">
        <v>547</v>
      </c>
      <c r="X34" s="13"/>
    </row>
    <row r="35" spans="1:29" ht="14.25" x14ac:dyDescent="0.2">
      <c r="C35" s="13"/>
      <c r="D35" s="83" t="s">
        <v>49</v>
      </c>
      <c r="E35" s="13" t="s">
        <v>101</v>
      </c>
      <c r="F35" s="13"/>
      <c r="G35" s="23" t="s">
        <v>17</v>
      </c>
      <c r="H35" s="13"/>
      <c r="I35" s="13"/>
      <c r="J35" s="13">
        <v>0.2</v>
      </c>
      <c r="K35" s="13"/>
      <c r="L35" s="13"/>
      <c r="M35" s="13"/>
      <c r="N35" s="13">
        <v>0.2</v>
      </c>
      <c r="O35" s="13"/>
      <c r="P35" s="13"/>
      <c r="Q35" s="13"/>
      <c r="R35" s="13"/>
      <c r="S35" s="13"/>
      <c r="T35" s="13" t="s">
        <v>161</v>
      </c>
      <c r="U35" s="13"/>
      <c r="V35" s="13"/>
      <c r="W35" s="13" t="s">
        <v>163</v>
      </c>
      <c r="X35" s="13"/>
    </row>
    <row r="36" spans="1:29" ht="14.25" x14ac:dyDescent="0.2">
      <c r="C36" s="13"/>
      <c r="D36" s="83" t="s">
        <v>49</v>
      </c>
      <c r="E36" s="13" t="s">
        <v>29</v>
      </c>
      <c r="F36" s="13" t="s">
        <v>161</v>
      </c>
      <c r="G36" s="23" t="s">
        <v>17</v>
      </c>
      <c r="H36" s="13"/>
      <c r="I36" s="13"/>
      <c r="J36" s="13">
        <v>0</v>
      </c>
      <c r="K36" s="13"/>
      <c r="L36" s="13"/>
      <c r="M36" s="13"/>
      <c r="N36" s="13">
        <v>0</v>
      </c>
      <c r="O36" s="13"/>
      <c r="P36" s="13"/>
      <c r="Q36" s="13"/>
      <c r="R36" s="13"/>
      <c r="S36" s="13"/>
      <c r="T36" s="13" t="s">
        <v>162</v>
      </c>
      <c r="U36" s="13"/>
      <c r="V36" s="13"/>
      <c r="W36" s="13" t="s">
        <v>163</v>
      </c>
      <c r="X36" s="13"/>
    </row>
    <row r="37" spans="1:29" ht="14.25" x14ac:dyDescent="0.2">
      <c r="C37" s="13"/>
      <c r="D37" s="83" t="s">
        <v>52</v>
      </c>
      <c r="E37" s="13" t="s">
        <v>101</v>
      </c>
      <c r="F37" s="13"/>
      <c r="G37" s="23" t="s">
        <v>17</v>
      </c>
      <c r="H37" s="13"/>
      <c r="I37" s="13">
        <v>1</v>
      </c>
      <c r="J37" s="13"/>
      <c r="K37" s="13"/>
      <c r="L37" s="13"/>
      <c r="M37" s="13"/>
      <c r="N37" s="13"/>
      <c r="O37" s="13"/>
      <c r="P37" s="13"/>
      <c r="Q37" s="83">
        <v>10</v>
      </c>
      <c r="R37" s="13"/>
      <c r="S37" s="13"/>
      <c r="T37" s="13" t="s">
        <v>166</v>
      </c>
      <c r="U37" s="13"/>
      <c r="V37" s="13"/>
      <c r="W37" s="13" t="s">
        <v>164</v>
      </c>
      <c r="X37" s="13"/>
    </row>
    <row r="38" spans="1:29" ht="14.25" x14ac:dyDescent="0.2">
      <c r="C38" s="34"/>
      <c r="D38" s="35"/>
      <c r="E38" s="50" t="s">
        <v>104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1:29" ht="14.25" x14ac:dyDescent="0.2">
      <c r="C39" s="34"/>
      <c r="D39" s="35" t="s">
        <v>28</v>
      </c>
      <c r="E39" s="50" t="s">
        <v>101</v>
      </c>
      <c r="F39" s="50"/>
      <c r="G39" s="50" t="s">
        <v>17</v>
      </c>
      <c r="H39" s="51">
        <v>0.04</v>
      </c>
      <c r="I39" s="51"/>
      <c r="J39" s="52">
        <v>0.1</v>
      </c>
      <c r="K39" s="52"/>
      <c r="L39" s="52">
        <v>0.25</v>
      </c>
      <c r="M39" s="52">
        <v>0.3</v>
      </c>
      <c r="N39" s="34"/>
      <c r="O39" s="34"/>
      <c r="P39" s="34"/>
      <c r="Q39" s="34"/>
      <c r="R39" s="34"/>
      <c r="S39" s="34"/>
      <c r="T39" s="34" t="s">
        <v>223</v>
      </c>
      <c r="U39" s="34"/>
      <c r="V39" s="34"/>
      <c r="W39" s="34" t="s">
        <v>170</v>
      </c>
      <c r="X39" s="34"/>
      <c r="Z39" s="20"/>
      <c r="AC39" s="20"/>
    </row>
    <row r="40" spans="1:29" ht="14.25" x14ac:dyDescent="0.2">
      <c r="C40" s="34"/>
      <c r="D40" s="142"/>
      <c r="E40" s="34"/>
      <c r="F40" s="50"/>
      <c r="G40" s="50"/>
      <c r="H40" s="51"/>
      <c r="I40" s="52"/>
      <c r="J40" s="52"/>
      <c r="K40" s="52"/>
      <c r="L40" s="52"/>
      <c r="M40" s="52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Z40" s="20"/>
      <c r="AC40" s="20"/>
    </row>
    <row r="41" spans="1:29" x14ac:dyDescent="0.2">
      <c r="Z41" s="20"/>
      <c r="AC41" s="20"/>
    </row>
    <row r="42" spans="1:29" x14ac:dyDescent="0.2">
      <c r="Z42" s="20"/>
      <c r="AC42" s="20"/>
    </row>
    <row r="43" spans="1:29" x14ac:dyDescent="0.2">
      <c r="C43" s="8" t="s">
        <v>36</v>
      </c>
      <c r="K43" s="5"/>
      <c r="L43" s="6"/>
      <c r="M43" s="6"/>
      <c r="N43" s="6"/>
      <c r="O43" s="6"/>
      <c r="P43" s="6"/>
      <c r="Q43" s="6"/>
      <c r="R43" s="6"/>
      <c r="S43" s="7"/>
      <c r="Z43" s="20"/>
      <c r="AC43" s="20"/>
    </row>
    <row r="44" spans="1:29" ht="13.5" thickBot="1" x14ac:dyDescent="0.25">
      <c r="C44" s="9" t="s">
        <v>4</v>
      </c>
      <c r="D44" s="9" t="s">
        <v>5</v>
      </c>
      <c r="E44" s="9" t="s">
        <v>6</v>
      </c>
      <c r="F44" s="9" t="s">
        <v>3</v>
      </c>
      <c r="G44" s="9" t="s">
        <v>37</v>
      </c>
      <c r="H44" s="12">
        <v>2010</v>
      </c>
      <c r="I44" s="12">
        <v>2015</v>
      </c>
      <c r="J44" s="12">
        <v>2020</v>
      </c>
      <c r="K44" s="12">
        <v>2030</v>
      </c>
      <c r="L44" s="12">
        <v>2040</v>
      </c>
      <c r="M44" s="12">
        <v>2050</v>
      </c>
      <c r="N44" s="12">
        <v>2070</v>
      </c>
      <c r="O44" s="12">
        <v>0</v>
      </c>
      <c r="P44" s="9" t="s">
        <v>10</v>
      </c>
      <c r="Q44" s="10" t="s">
        <v>11</v>
      </c>
      <c r="R44" s="10" t="s">
        <v>12</v>
      </c>
      <c r="S44" s="10" t="s">
        <v>13</v>
      </c>
      <c r="T44" s="10" t="s">
        <v>398</v>
      </c>
      <c r="U44" s="9" t="s">
        <v>15</v>
      </c>
      <c r="V44" s="38" t="s">
        <v>8</v>
      </c>
      <c r="Z44" s="20"/>
      <c r="AC44" s="20"/>
    </row>
    <row r="45" spans="1:29" x14ac:dyDescent="0.2">
      <c r="C45" s="40"/>
      <c r="D45" s="98" t="s">
        <v>49</v>
      </c>
      <c r="E45" s="40" t="s">
        <v>29</v>
      </c>
      <c r="F45" s="40" t="s">
        <v>411</v>
      </c>
      <c r="G45" s="40" t="s">
        <v>17</v>
      </c>
      <c r="H45" s="40"/>
      <c r="I45" s="131"/>
      <c r="J45" s="131">
        <v>0.73329999999999995</v>
      </c>
      <c r="K45" s="40"/>
      <c r="L45" s="40"/>
      <c r="M45" s="40"/>
      <c r="N45" s="40"/>
      <c r="O45" s="40"/>
      <c r="P45" s="40"/>
      <c r="Q45" s="40"/>
      <c r="R45" s="40"/>
      <c r="S45" s="40" t="s">
        <v>411</v>
      </c>
      <c r="T45" s="40"/>
      <c r="U45" s="40"/>
      <c r="V45" s="40" t="s">
        <v>412</v>
      </c>
      <c r="Z45" s="20"/>
      <c r="AC45" s="20"/>
    </row>
    <row r="46" spans="1:29" x14ac:dyDescent="0.2">
      <c r="C46" s="40"/>
      <c r="D46" s="98" t="s">
        <v>49</v>
      </c>
      <c r="E46" s="40" t="s">
        <v>29</v>
      </c>
      <c r="F46" s="40" t="s">
        <v>411</v>
      </c>
      <c r="G46" s="40" t="s">
        <v>235</v>
      </c>
      <c r="H46" s="40"/>
      <c r="I46" s="98"/>
      <c r="J46" s="98">
        <v>0.93</v>
      </c>
      <c r="K46" s="40"/>
      <c r="L46" s="40"/>
      <c r="M46" s="40"/>
      <c r="N46" s="40"/>
      <c r="O46" s="40"/>
      <c r="P46" s="40"/>
      <c r="Q46" s="40"/>
      <c r="R46" s="40"/>
      <c r="S46" s="40" t="s">
        <v>411</v>
      </c>
      <c r="T46" s="40"/>
      <c r="U46" s="40"/>
      <c r="V46" s="40" t="s">
        <v>412</v>
      </c>
      <c r="Z46" s="20"/>
      <c r="AC46" s="20"/>
    </row>
    <row r="47" spans="1:29" x14ac:dyDescent="0.2">
      <c r="C47" s="40"/>
      <c r="D47" s="98" t="s">
        <v>49</v>
      </c>
      <c r="E47" s="40" t="s">
        <v>29</v>
      </c>
      <c r="F47" s="40" t="s">
        <v>413</v>
      </c>
      <c r="G47" s="40" t="s">
        <v>17</v>
      </c>
      <c r="H47" s="40"/>
      <c r="I47" s="98"/>
      <c r="J47" s="98">
        <v>0.1</v>
      </c>
      <c r="K47" s="40"/>
      <c r="L47" s="40"/>
      <c r="M47" s="98">
        <v>0.1</v>
      </c>
      <c r="N47" s="40"/>
      <c r="O47" s="40"/>
      <c r="P47" s="40"/>
      <c r="Q47" s="40"/>
      <c r="R47" s="40"/>
      <c r="S47" s="40" t="s">
        <v>414</v>
      </c>
      <c r="T47" s="40"/>
      <c r="U47" s="40"/>
      <c r="V47" s="40" t="s">
        <v>415</v>
      </c>
      <c r="Z47" s="20"/>
      <c r="AC47" s="20"/>
    </row>
    <row r="48" spans="1:29" x14ac:dyDescent="0.2">
      <c r="C48" s="40"/>
      <c r="D48" s="98" t="s">
        <v>49</v>
      </c>
      <c r="E48" s="40" t="s">
        <v>29</v>
      </c>
      <c r="F48" s="40" t="s">
        <v>413</v>
      </c>
      <c r="G48" s="40" t="s">
        <v>17</v>
      </c>
      <c r="H48" s="40"/>
      <c r="I48" s="98"/>
      <c r="J48" s="98">
        <v>2.3E-2</v>
      </c>
      <c r="K48" s="40"/>
      <c r="L48" s="40"/>
      <c r="M48" s="98">
        <v>2.3E-2</v>
      </c>
      <c r="N48" s="40"/>
      <c r="O48" s="40"/>
      <c r="P48" s="40"/>
      <c r="Q48" s="40"/>
      <c r="R48" s="40"/>
      <c r="S48" s="40" t="s">
        <v>414</v>
      </c>
      <c r="T48" s="40"/>
      <c r="U48" s="40"/>
      <c r="V48" s="40" t="s">
        <v>416</v>
      </c>
      <c r="Z48" s="20"/>
      <c r="AC48" s="20"/>
    </row>
    <row r="49" spans="1:29" x14ac:dyDescent="0.2">
      <c r="C49" s="40"/>
      <c r="D49" s="98" t="s">
        <v>28</v>
      </c>
      <c r="E49" s="40" t="s">
        <v>101</v>
      </c>
      <c r="F49" s="40"/>
      <c r="G49" s="40" t="s">
        <v>17</v>
      </c>
      <c r="H49" s="40"/>
      <c r="I49" s="40"/>
      <c r="J49" s="40">
        <v>0.1</v>
      </c>
      <c r="K49" s="40">
        <v>0.2</v>
      </c>
      <c r="L49" s="40">
        <v>0.25</v>
      </c>
      <c r="M49" s="40">
        <v>0.3</v>
      </c>
      <c r="N49" s="40"/>
      <c r="O49" s="98">
        <v>5</v>
      </c>
      <c r="P49" s="40"/>
      <c r="Q49" s="40"/>
      <c r="R49" s="40"/>
      <c r="S49" s="40" t="s">
        <v>421</v>
      </c>
      <c r="T49" s="40"/>
      <c r="U49" s="40"/>
      <c r="V49" s="40" t="s">
        <v>418</v>
      </c>
      <c r="Z49" s="20"/>
      <c r="AC49" s="20"/>
    </row>
    <row r="50" spans="1:29" x14ac:dyDescent="0.2">
      <c r="C50" s="40"/>
      <c r="D50" s="98" t="s">
        <v>49</v>
      </c>
      <c r="E50" s="40" t="s">
        <v>29</v>
      </c>
      <c r="F50" s="40" t="s">
        <v>422</v>
      </c>
      <c r="G50" s="40" t="s">
        <v>17</v>
      </c>
      <c r="H50" s="40"/>
      <c r="I50" s="40"/>
      <c r="J50" s="101"/>
      <c r="K50" s="101">
        <f>1.8/34.4</f>
        <v>5.232558139534884E-2</v>
      </c>
      <c r="L50" s="40">
        <v>0.04</v>
      </c>
      <c r="M50" s="40">
        <v>0.03</v>
      </c>
      <c r="N50" s="40"/>
      <c r="O50" s="98"/>
      <c r="P50" s="40"/>
      <c r="Q50" s="40"/>
      <c r="R50" s="40"/>
      <c r="S50" s="40" t="s">
        <v>422</v>
      </c>
      <c r="T50" s="40"/>
      <c r="U50" s="40"/>
      <c r="V50" s="40" t="s">
        <v>418</v>
      </c>
      <c r="Z50" s="20"/>
      <c r="AC50" s="20"/>
    </row>
    <row r="51" spans="1:29" x14ac:dyDescent="0.2">
      <c r="C51" s="40" t="s">
        <v>35</v>
      </c>
      <c r="D51" s="98" t="s">
        <v>28</v>
      </c>
      <c r="E51" s="40" t="s">
        <v>46</v>
      </c>
      <c r="F51" s="40" t="s">
        <v>232</v>
      </c>
      <c r="G51" s="40" t="s">
        <v>17</v>
      </c>
      <c r="H51" s="40"/>
      <c r="I51" s="40"/>
      <c r="J51" s="40"/>
      <c r="K51" s="40">
        <v>0.2</v>
      </c>
      <c r="L51" s="40"/>
      <c r="M51" s="40">
        <v>0.4</v>
      </c>
      <c r="N51" s="40"/>
      <c r="O51" s="40"/>
      <c r="P51" s="40"/>
      <c r="Q51" s="40"/>
      <c r="R51" s="40"/>
      <c r="S51" s="40" t="s">
        <v>229</v>
      </c>
      <c r="T51" s="40"/>
      <c r="U51" s="40"/>
      <c r="V51" s="40" t="s">
        <v>231</v>
      </c>
      <c r="Z51" s="20"/>
      <c r="AC51" s="20"/>
    </row>
    <row r="52" spans="1:29" x14ac:dyDescent="0.2">
      <c r="C52" s="40" t="s">
        <v>35</v>
      </c>
      <c r="D52" s="98" t="s">
        <v>28</v>
      </c>
      <c r="E52" s="40" t="s">
        <v>46</v>
      </c>
      <c r="F52" s="40" t="s">
        <v>232</v>
      </c>
      <c r="G52" s="40" t="s">
        <v>17</v>
      </c>
      <c r="H52" s="40"/>
      <c r="I52" s="40"/>
      <c r="J52" s="40"/>
      <c r="K52" s="40">
        <v>0.2</v>
      </c>
      <c r="L52" s="40"/>
      <c r="M52" s="40">
        <v>0.4</v>
      </c>
      <c r="N52" s="40"/>
      <c r="O52" s="40"/>
      <c r="P52" s="40"/>
      <c r="Q52" s="40"/>
      <c r="R52" s="40"/>
      <c r="S52" s="40" t="s">
        <v>230</v>
      </c>
      <c r="T52" s="40"/>
      <c r="U52" s="40"/>
      <c r="V52" s="40" t="s">
        <v>231</v>
      </c>
      <c r="Z52" s="20"/>
      <c r="AC52" s="20"/>
    </row>
    <row r="53" spans="1:29" x14ac:dyDescent="0.2">
      <c r="C53" s="122" t="s">
        <v>35</v>
      </c>
      <c r="D53" s="123"/>
      <c r="E53" s="40" t="s">
        <v>296</v>
      </c>
      <c r="F53" s="123" t="s">
        <v>416</v>
      </c>
      <c r="G53" s="122" t="s">
        <v>17</v>
      </c>
      <c r="H53" s="123"/>
      <c r="I53" s="123"/>
      <c r="J53" s="154">
        <v>8.66</v>
      </c>
      <c r="K53" s="154">
        <f>J53*0.94</f>
        <v>8.1403999999999996</v>
      </c>
      <c r="L53" s="123"/>
      <c r="M53" s="123"/>
      <c r="N53" s="123"/>
      <c r="O53" s="143"/>
      <c r="P53" s="123"/>
      <c r="Q53" s="123"/>
      <c r="R53" s="123"/>
      <c r="S53" s="138" t="s">
        <v>482</v>
      </c>
      <c r="T53" s="40"/>
      <c r="U53" s="40"/>
      <c r="V53" s="40"/>
      <c r="Z53" s="20"/>
      <c r="AC53" s="20"/>
    </row>
    <row r="54" spans="1:29" x14ac:dyDescent="0.2">
      <c r="C54" s="122" t="s">
        <v>35</v>
      </c>
      <c r="D54" s="123"/>
      <c r="E54" s="40" t="s">
        <v>296</v>
      </c>
      <c r="F54" s="123" t="s">
        <v>416</v>
      </c>
      <c r="G54" s="122" t="s">
        <v>17</v>
      </c>
      <c r="H54" s="123"/>
      <c r="I54" s="123"/>
      <c r="J54" s="154">
        <v>0.2</v>
      </c>
      <c r="K54" s="154"/>
      <c r="L54" s="123"/>
      <c r="M54" s="123"/>
      <c r="N54" s="123"/>
      <c r="O54" s="143"/>
      <c r="P54" s="123"/>
      <c r="Q54" s="123"/>
      <c r="R54" s="123"/>
      <c r="S54" s="138" t="s">
        <v>483</v>
      </c>
      <c r="T54" s="40"/>
      <c r="U54" s="40"/>
      <c r="V54" s="40"/>
      <c r="Z54" s="20"/>
      <c r="AC54" s="20"/>
    </row>
    <row r="55" spans="1:29" x14ac:dyDescent="0.2">
      <c r="Z55" s="20"/>
      <c r="AC55" s="20"/>
    </row>
    <row r="56" spans="1:29" x14ac:dyDescent="0.2">
      <c r="Z56" s="20"/>
      <c r="AC56" s="20"/>
    </row>
    <row r="57" spans="1:29" x14ac:dyDescent="0.2">
      <c r="C57" s="8" t="s">
        <v>2</v>
      </c>
      <c r="D57" s="4"/>
      <c r="E57" s="4"/>
      <c r="G57" s="133"/>
      <c r="H57" s="4"/>
      <c r="I57" s="4"/>
      <c r="J57" s="5"/>
      <c r="K57" s="6"/>
      <c r="L57" s="6"/>
      <c r="M57" s="6"/>
      <c r="N57" s="6"/>
      <c r="O57" s="5"/>
      <c r="P57" s="6"/>
      <c r="Z57" s="20"/>
      <c r="AC57" s="20"/>
    </row>
    <row r="58" spans="1:29" ht="13.5" thickBot="1" x14ac:dyDescent="0.25">
      <c r="C58" s="9" t="s">
        <v>4</v>
      </c>
      <c r="D58" s="9" t="s">
        <v>5</v>
      </c>
      <c r="E58" s="9" t="s">
        <v>6</v>
      </c>
      <c r="F58" s="9" t="s">
        <v>3</v>
      </c>
      <c r="G58" s="12" t="s">
        <v>7</v>
      </c>
      <c r="H58" s="9" t="s">
        <v>17</v>
      </c>
      <c r="I58" s="9" t="s">
        <v>235</v>
      </c>
      <c r="J58" s="10" t="s">
        <v>11</v>
      </c>
      <c r="K58" s="10" t="s">
        <v>12</v>
      </c>
      <c r="L58" s="9" t="s">
        <v>13</v>
      </c>
      <c r="M58" s="10" t="s">
        <v>14</v>
      </c>
      <c r="N58" s="9" t="s">
        <v>15</v>
      </c>
      <c r="O58" s="10" t="s">
        <v>8</v>
      </c>
      <c r="P58" s="10" t="s">
        <v>16</v>
      </c>
      <c r="Z58" s="20"/>
      <c r="AC58" s="20"/>
    </row>
    <row r="59" spans="1:29" x14ac:dyDescent="0.2">
      <c r="A59" t="s">
        <v>444</v>
      </c>
      <c r="C59" s="40"/>
      <c r="D59" s="40"/>
      <c r="E59" s="134" t="s">
        <v>423</v>
      </c>
      <c r="F59" s="40"/>
      <c r="G59" s="40"/>
      <c r="H59" s="40" t="s">
        <v>549</v>
      </c>
      <c r="I59" s="40" t="s">
        <v>549</v>
      </c>
      <c r="J59" s="40"/>
      <c r="K59" s="40"/>
      <c r="L59" s="40" t="s">
        <v>424</v>
      </c>
      <c r="M59" s="40"/>
      <c r="N59" s="40"/>
      <c r="O59" s="135" t="s">
        <v>165</v>
      </c>
      <c r="P59" s="40"/>
      <c r="Z59" s="20"/>
      <c r="AC59" s="20"/>
    </row>
    <row r="60" spans="1:29" x14ac:dyDescent="0.2">
      <c r="A60" t="s">
        <v>445</v>
      </c>
      <c r="C60" s="40"/>
      <c r="D60" s="40"/>
      <c r="E60" s="134" t="s">
        <v>423</v>
      </c>
      <c r="F60" s="40"/>
      <c r="G60" s="40"/>
      <c r="H60" s="40" t="s">
        <v>425</v>
      </c>
      <c r="I60" s="40" t="s">
        <v>425</v>
      </c>
      <c r="J60" s="40"/>
      <c r="K60" s="40"/>
      <c r="L60" s="136" t="s">
        <v>426</v>
      </c>
      <c r="M60" s="40"/>
      <c r="N60" s="40"/>
      <c r="O60" s="135" t="s">
        <v>165</v>
      </c>
      <c r="P60" s="40"/>
      <c r="Z60" s="20"/>
      <c r="AC60" s="20"/>
    </row>
    <row r="61" spans="1:29" x14ac:dyDescent="0.2">
      <c r="A61" t="s">
        <v>446</v>
      </c>
      <c r="C61" s="40"/>
      <c r="D61" s="40"/>
      <c r="E61" s="98" t="s">
        <v>115</v>
      </c>
      <c r="F61" s="40"/>
      <c r="G61" s="40"/>
      <c r="H61" s="40" t="s">
        <v>427</v>
      </c>
      <c r="I61" s="40" t="s">
        <v>427</v>
      </c>
      <c r="J61" s="40"/>
      <c r="K61" s="40"/>
      <c r="L61" s="136" t="s">
        <v>222</v>
      </c>
      <c r="M61" s="40"/>
      <c r="N61" s="40"/>
      <c r="O61" s="135" t="s">
        <v>165</v>
      </c>
      <c r="P61" s="40"/>
      <c r="Z61" s="20"/>
      <c r="AC61" s="20"/>
    </row>
    <row r="62" spans="1:29" x14ac:dyDescent="0.2">
      <c r="Z62" s="20"/>
      <c r="AC62" s="20"/>
    </row>
    <row r="63" spans="1:29" x14ac:dyDescent="0.2">
      <c r="Z63" s="20"/>
      <c r="AC63" s="20"/>
    </row>
    <row r="64" spans="1:29" x14ac:dyDescent="0.2">
      <c r="Z64" s="20"/>
      <c r="AC64" s="20"/>
    </row>
    <row r="65" spans="3:18" x14ac:dyDescent="0.2">
      <c r="C65" s="8" t="s">
        <v>1</v>
      </c>
    </row>
    <row r="66" spans="3:18" ht="13.5" thickBot="1" x14ac:dyDescent="0.25">
      <c r="C66" s="9" t="s">
        <v>4</v>
      </c>
      <c r="D66" s="9" t="s">
        <v>5</v>
      </c>
      <c r="E66" s="9" t="s">
        <v>6</v>
      </c>
      <c r="F66" s="9" t="s">
        <v>3</v>
      </c>
      <c r="G66" s="9" t="s">
        <v>7</v>
      </c>
      <c r="H66" s="9" t="s">
        <v>17</v>
      </c>
      <c r="I66" s="9" t="s">
        <v>235</v>
      </c>
      <c r="J66" s="9" t="s">
        <v>10</v>
      </c>
      <c r="K66" s="10" t="s">
        <v>11</v>
      </c>
      <c r="L66" s="10" t="s">
        <v>12</v>
      </c>
      <c r="M66" s="9" t="s">
        <v>13</v>
      </c>
      <c r="N66" s="10" t="s">
        <v>14</v>
      </c>
      <c r="O66" s="9" t="s">
        <v>15</v>
      </c>
      <c r="P66" s="10" t="s">
        <v>8</v>
      </c>
      <c r="Q66" s="10" t="s">
        <v>16</v>
      </c>
      <c r="R66" s="37" t="str">
        <f ca="1">IF(VEDA2,"UC_N","I\:")</f>
        <v>UC_N</v>
      </c>
    </row>
    <row r="67" spans="3:18" x14ac:dyDescent="0.2">
      <c r="C67" s="40"/>
      <c r="D67" s="40" t="s">
        <v>28</v>
      </c>
      <c r="E67" s="40" t="s">
        <v>167</v>
      </c>
      <c r="F67" s="40" t="s">
        <v>168</v>
      </c>
      <c r="G67" s="40">
        <v>2030</v>
      </c>
      <c r="H67" s="98">
        <v>31</v>
      </c>
      <c r="I67" s="98"/>
      <c r="J67" s="40"/>
      <c r="K67" s="40"/>
      <c r="L67" s="40"/>
      <c r="M67" s="40"/>
      <c r="N67" s="40"/>
      <c r="O67" s="40"/>
      <c r="P67" s="40" t="s">
        <v>169</v>
      </c>
      <c r="Q67" s="40"/>
      <c r="R67" s="40" t="str">
        <f>F67</f>
        <v>A_INDCOA</v>
      </c>
    </row>
    <row r="68" spans="3:18" x14ac:dyDescent="0.2">
      <c r="C68" s="40" t="s">
        <v>35</v>
      </c>
      <c r="D68" s="40"/>
      <c r="E68" s="40" t="s">
        <v>34</v>
      </c>
      <c r="F68" s="40"/>
      <c r="G68" s="40">
        <v>2020</v>
      </c>
      <c r="H68" s="99">
        <v>2.0499999999999998</v>
      </c>
      <c r="I68" s="99">
        <v>2.0499999999999998</v>
      </c>
      <c r="J68" s="40"/>
      <c r="K68" s="40"/>
      <c r="L68" s="40"/>
      <c r="M68" s="40" t="s">
        <v>179</v>
      </c>
      <c r="N68" s="40"/>
      <c r="O68" s="40"/>
      <c r="P68" s="40" t="s">
        <v>180</v>
      </c>
      <c r="Q68" s="40"/>
      <c r="R68" s="40"/>
    </row>
    <row r="69" spans="3:18" x14ac:dyDescent="0.2">
      <c r="C69" s="40" t="s">
        <v>35</v>
      </c>
      <c r="D69" s="40"/>
      <c r="E69" s="40" t="s">
        <v>296</v>
      </c>
      <c r="F69" s="98"/>
      <c r="G69" s="98">
        <v>2030</v>
      </c>
      <c r="H69" s="131">
        <v>-7.0000000000000001E-3</v>
      </c>
      <c r="I69" s="131">
        <v>-7.0000000000000001E-3</v>
      </c>
      <c r="J69" s="40"/>
      <c r="K69" s="40"/>
      <c r="L69" s="40"/>
      <c r="M69" s="40" t="s">
        <v>255</v>
      </c>
      <c r="N69" s="40"/>
      <c r="O69" s="98"/>
      <c r="P69" s="40" t="s">
        <v>454</v>
      </c>
      <c r="Q69" s="40"/>
      <c r="R69" s="40"/>
    </row>
    <row r="70" spans="3:18" x14ac:dyDescent="0.2">
      <c r="C70" s="40" t="s">
        <v>35</v>
      </c>
      <c r="D70" s="98"/>
      <c r="E70" s="40" t="s">
        <v>296</v>
      </c>
      <c r="F70" s="98"/>
      <c r="G70" s="98">
        <v>2050</v>
      </c>
      <c r="H70" s="98">
        <v>-7.0000000000000001E-3</v>
      </c>
      <c r="I70" s="40"/>
      <c r="J70" s="40"/>
      <c r="K70" s="40"/>
      <c r="L70" s="40"/>
      <c r="M70" s="40" t="s">
        <v>455</v>
      </c>
      <c r="N70" s="40"/>
      <c r="O70" s="40"/>
      <c r="P70" s="40" t="s">
        <v>456</v>
      </c>
      <c r="Q70" s="40"/>
      <c r="R70" s="40"/>
    </row>
    <row r="71" spans="3:18" x14ac:dyDescent="0.2">
      <c r="C71" s="40" t="s">
        <v>35</v>
      </c>
      <c r="D71" s="123"/>
      <c r="E71" s="123" t="s">
        <v>34</v>
      </c>
      <c r="F71" s="40"/>
      <c r="G71" s="143">
        <v>2015</v>
      </c>
      <c r="H71" s="143">
        <v>0</v>
      </c>
      <c r="I71" s="40"/>
      <c r="J71" s="143"/>
      <c r="K71" s="144"/>
      <c r="L71" s="40"/>
      <c r="M71" s="145" t="s">
        <v>257</v>
      </c>
      <c r="N71" s="144"/>
      <c r="O71" s="123"/>
      <c r="P71" s="123" t="s">
        <v>457</v>
      </c>
      <c r="Q71" s="40"/>
      <c r="R71" s="40"/>
    </row>
    <row r="72" spans="3:18" x14ac:dyDescent="0.2">
      <c r="C72" s="40" t="s">
        <v>35</v>
      </c>
      <c r="D72" s="123"/>
      <c r="E72" s="123" t="s">
        <v>34</v>
      </c>
      <c r="F72" s="40"/>
      <c r="G72" s="143">
        <v>2030</v>
      </c>
      <c r="H72" s="146">
        <f>0.36*3.6</f>
        <v>1.296</v>
      </c>
      <c r="I72" s="40"/>
      <c r="J72" s="143"/>
      <c r="K72" s="144"/>
      <c r="L72" s="40"/>
      <c r="M72" s="145" t="s">
        <v>257</v>
      </c>
      <c r="N72" s="40"/>
      <c r="O72" s="40"/>
      <c r="P72" s="123" t="s">
        <v>457</v>
      </c>
      <c r="Q72" s="40"/>
      <c r="R72" s="40"/>
    </row>
    <row r="73" spans="3:18" x14ac:dyDescent="0.2">
      <c r="C73" s="63" t="s">
        <v>35</v>
      </c>
      <c r="D73" s="63" t="s">
        <v>49</v>
      </c>
      <c r="E73" s="63" t="s">
        <v>46</v>
      </c>
      <c r="F73" s="63" t="s">
        <v>118</v>
      </c>
      <c r="G73" s="71">
        <v>2020</v>
      </c>
      <c r="H73" s="71">
        <v>0.7</v>
      </c>
      <c r="I73" s="71">
        <v>0.7</v>
      </c>
      <c r="J73" s="168"/>
      <c r="K73" s="63"/>
      <c r="L73" s="63"/>
      <c r="M73" s="63" t="s">
        <v>227</v>
      </c>
      <c r="N73" s="63"/>
      <c r="O73" s="63"/>
      <c r="P73" s="63" t="s">
        <v>228</v>
      </c>
      <c r="Q73" s="63"/>
      <c r="R73" s="63"/>
    </row>
    <row r="74" spans="3:18" x14ac:dyDescent="0.2">
      <c r="C74" s="63" t="s">
        <v>35</v>
      </c>
      <c r="D74" s="63" t="s">
        <v>28</v>
      </c>
      <c r="E74" s="63" t="s">
        <v>46</v>
      </c>
      <c r="F74" s="63" t="s">
        <v>118</v>
      </c>
      <c r="G74" s="71">
        <v>2030</v>
      </c>
      <c r="H74" s="71">
        <v>0.4</v>
      </c>
      <c r="I74" s="63"/>
      <c r="J74" s="63"/>
      <c r="K74" s="63"/>
      <c r="L74" s="63"/>
      <c r="M74" s="63" t="s">
        <v>326</v>
      </c>
      <c r="N74" s="63"/>
      <c r="O74" s="63"/>
      <c r="P74" s="63" t="s">
        <v>325</v>
      </c>
      <c r="Q74" s="63"/>
      <c r="R74" s="6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X63"/>
  <sheetViews>
    <sheetView zoomScale="80" workbookViewId="0">
      <selection activeCell="A31" sqref="A31:XFD32"/>
    </sheetView>
  </sheetViews>
  <sheetFormatPr defaultRowHeight="12.75" x14ac:dyDescent="0.2"/>
  <cols>
    <col min="2" max="2" width="3.28515625" customWidth="1"/>
    <col min="4" max="4" width="6.140625" customWidth="1"/>
    <col min="5" max="5" width="13.140625" customWidth="1"/>
    <col min="19" max="19" width="14.5703125" customWidth="1"/>
    <col min="20" max="20" width="10.28515625" customWidth="1"/>
  </cols>
  <sheetData>
    <row r="3" spans="3:24" x14ac:dyDescent="0.2">
      <c r="C3" s="8" t="s">
        <v>36</v>
      </c>
      <c r="K3" s="5"/>
      <c r="L3" s="6"/>
      <c r="M3" s="6"/>
      <c r="N3" s="6"/>
      <c r="O3" s="6"/>
      <c r="P3" s="6"/>
      <c r="Q3" s="6"/>
      <c r="R3" s="6"/>
      <c r="S3" s="7"/>
    </row>
    <row r="4" spans="3:24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12">
        <v>2010</v>
      </c>
      <c r="I4" s="12">
        <v>2015</v>
      </c>
      <c r="J4" s="12">
        <v>2020</v>
      </c>
      <c r="K4" s="12">
        <v>2030</v>
      </c>
      <c r="L4" s="12">
        <v>2040</v>
      </c>
      <c r="M4" s="12">
        <v>2050</v>
      </c>
      <c r="N4" s="12">
        <v>2070</v>
      </c>
      <c r="O4" s="84">
        <v>0</v>
      </c>
      <c r="P4" s="12" t="s">
        <v>502</v>
      </c>
      <c r="Q4" s="10" t="s">
        <v>11</v>
      </c>
      <c r="R4" s="10" t="s">
        <v>12</v>
      </c>
      <c r="S4" s="10" t="s">
        <v>13</v>
      </c>
      <c r="T4" s="9" t="s">
        <v>15</v>
      </c>
      <c r="U4" s="38" t="s">
        <v>8</v>
      </c>
      <c r="X4" s="155" t="s">
        <v>484</v>
      </c>
    </row>
    <row r="5" spans="3:24" x14ac:dyDescent="0.2">
      <c r="C5" s="40"/>
      <c r="D5" s="98" t="s">
        <v>28</v>
      </c>
      <c r="E5" s="40" t="s">
        <v>195</v>
      </c>
      <c r="F5" s="40"/>
      <c r="G5" s="40" t="s">
        <v>235</v>
      </c>
      <c r="H5" s="98"/>
      <c r="I5" s="98">
        <v>0</v>
      </c>
      <c r="J5" s="98">
        <v>5</v>
      </c>
      <c r="K5" s="98">
        <v>15</v>
      </c>
      <c r="L5" s="98"/>
      <c r="M5" s="98"/>
      <c r="N5" s="98"/>
      <c r="O5" s="147">
        <v>1</v>
      </c>
      <c r="P5" s="98"/>
      <c r="Q5" s="40"/>
      <c r="R5" s="40"/>
      <c r="S5" s="132" t="s">
        <v>410</v>
      </c>
      <c r="T5" s="40"/>
      <c r="U5" s="40"/>
      <c r="X5" s="34"/>
    </row>
    <row r="6" spans="3:24" x14ac:dyDescent="0.2">
      <c r="C6" s="158"/>
      <c r="D6" s="159"/>
      <c r="E6" s="158" t="s">
        <v>58</v>
      </c>
      <c r="F6" s="158" t="s">
        <v>419</v>
      </c>
      <c r="G6" s="158" t="s">
        <v>17</v>
      </c>
      <c r="H6" s="160">
        <v>1</v>
      </c>
      <c r="I6" s="160">
        <v>1.02</v>
      </c>
      <c r="J6" s="159"/>
      <c r="K6" s="159"/>
      <c r="L6" s="159"/>
      <c r="M6" s="159"/>
      <c r="N6" s="159"/>
      <c r="O6" s="161"/>
      <c r="P6" s="159"/>
      <c r="Q6" s="158"/>
      <c r="R6" s="158"/>
      <c r="S6" s="158" t="s">
        <v>156</v>
      </c>
      <c r="T6" s="158"/>
      <c r="U6" s="158"/>
      <c r="X6" s="34"/>
    </row>
    <row r="7" spans="3:24" x14ac:dyDescent="0.2">
      <c r="C7" s="162" t="s">
        <v>35</v>
      </c>
      <c r="D7" s="159" t="s">
        <v>49</v>
      </c>
      <c r="E7" s="162" t="s">
        <v>50</v>
      </c>
      <c r="F7" s="162"/>
      <c r="G7" s="162" t="s">
        <v>17</v>
      </c>
      <c r="H7" s="162"/>
      <c r="I7" s="162"/>
      <c r="J7" s="163">
        <v>640</v>
      </c>
      <c r="K7" s="164">
        <f>J7*0.85</f>
        <v>544</v>
      </c>
      <c r="L7" s="164">
        <f>K7*0.65</f>
        <v>353.6</v>
      </c>
      <c r="M7" s="164">
        <f>J7*0.25</f>
        <v>160</v>
      </c>
      <c r="N7" s="164">
        <f>M7</f>
        <v>160</v>
      </c>
      <c r="O7" s="161"/>
      <c r="P7" s="159"/>
      <c r="Q7" s="158"/>
      <c r="R7" s="162"/>
      <c r="S7" s="162" t="s">
        <v>156</v>
      </c>
      <c r="T7" s="162"/>
      <c r="U7" s="162"/>
      <c r="X7" s="34"/>
    </row>
    <row r="8" spans="3:24" x14ac:dyDescent="0.2">
      <c r="C8" s="162" t="s">
        <v>35</v>
      </c>
      <c r="D8" s="159"/>
      <c r="E8" s="162" t="s">
        <v>34</v>
      </c>
      <c r="F8" s="162"/>
      <c r="G8" s="162" t="s">
        <v>17</v>
      </c>
      <c r="H8" s="162"/>
      <c r="I8" s="165"/>
      <c r="J8" s="166">
        <v>7.7000000000000002E-3</v>
      </c>
      <c r="K8" s="162"/>
      <c r="L8" s="162"/>
      <c r="M8" s="162"/>
      <c r="N8" s="162"/>
      <c r="O8" s="161"/>
      <c r="P8" s="159"/>
      <c r="Q8" s="158"/>
      <c r="R8" s="162"/>
      <c r="S8" s="162" t="s">
        <v>156</v>
      </c>
      <c r="T8" s="162"/>
      <c r="U8" s="162" t="s">
        <v>157</v>
      </c>
      <c r="X8" s="34"/>
    </row>
    <row r="9" spans="3:24" x14ac:dyDescent="0.2">
      <c r="C9" s="40" t="s">
        <v>35</v>
      </c>
      <c r="D9" s="98" t="s">
        <v>28</v>
      </c>
      <c r="E9" s="40" t="s">
        <v>50</v>
      </c>
      <c r="F9" s="40"/>
      <c r="G9" s="40" t="s">
        <v>17</v>
      </c>
      <c r="H9" s="40"/>
      <c r="I9" s="40"/>
      <c r="J9" s="40"/>
      <c r="K9" s="116">
        <f>400*43*0.95/1000</f>
        <v>16.34</v>
      </c>
      <c r="L9" s="40">
        <v>25</v>
      </c>
      <c r="M9" s="40"/>
      <c r="N9" s="40"/>
      <c r="O9" s="147"/>
      <c r="P9" s="98"/>
      <c r="Q9" s="40"/>
      <c r="R9" s="40"/>
      <c r="S9" s="40" t="s">
        <v>206</v>
      </c>
      <c r="T9" s="40"/>
      <c r="U9" s="40"/>
      <c r="X9" s="34"/>
    </row>
    <row r="10" spans="3:24" x14ac:dyDescent="0.2">
      <c r="C10" s="40" t="s">
        <v>35</v>
      </c>
      <c r="D10" s="98" t="s">
        <v>28</v>
      </c>
      <c r="E10" s="40" t="s">
        <v>50</v>
      </c>
      <c r="F10" s="40"/>
      <c r="G10" s="40" t="s">
        <v>235</v>
      </c>
      <c r="H10" s="40"/>
      <c r="I10" s="40"/>
      <c r="J10" s="40"/>
      <c r="K10" s="40">
        <v>2.1</v>
      </c>
      <c r="L10" s="40">
        <v>5</v>
      </c>
      <c r="M10" s="40">
        <v>5</v>
      </c>
      <c r="N10" s="40"/>
      <c r="O10" s="147"/>
      <c r="P10" s="98"/>
      <c r="Q10" s="40"/>
      <c r="R10" s="40"/>
      <c r="S10" s="40" t="s">
        <v>206</v>
      </c>
      <c r="T10" s="40"/>
      <c r="U10" s="40"/>
      <c r="X10" s="34"/>
    </row>
    <row r="11" spans="3:24" x14ac:dyDescent="0.2">
      <c r="C11" s="40" t="s">
        <v>35</v>
      </c>
      <c r="D11" s="98" t="s">
        <v>49</v>
      </c>
      <c r="E11" s="40" t="s">
        <v>50</v>
      </c>
      <c r="F11" s="40"/>
      <c r="G11" s="40" t="s">
        <v>17</v>
      </c>
      <c r="H11" s="40"/>
      <c r="I11" s="101">
        <f>100*43*0.95/1000</f>
        <v>4.085</v>
      </c>
      <c r="J11" s="40"/>
      <c r="K11" s="101">
        <f>I11</f>
        <v>4.085</v>
      </c>
      <c r="L11" s="40"/>
      <c r="M11" s="40"/>
      <c r="N11" s="40"/>
      <c r="O11" s="147">
        <v>4</v>
      </c>
      <c r="P11" s="98"/>
      <c r="Q11" s="40"/>
      <c r="R11" s="40"/>
      <c r="S11" s="40" t="s">
        <v>181</v>
      </c>
      <c r="T11" s="40"/>
      <c r="U11" s="40"/>
      <c r="X11" s="34"/>
    </row>
    <row r="12" spans="3:24" x14ac:dyDescent="0.2">
      <c r="C12" s="40" t="s">
        <v>35</v>
      </c>
      <c r="D12" s="98" t="s">
        <v>28</v>
      </c>
      <c r="E12" s="40" t="s">
        <v>50</v>
      </c>
      <c r="F12" s="40"/>
      <c r="G12" s="40" t="s">
        <v>17</v>
      </c>
      <c r="H12" s="40"/>
      <c r="I12" s="40"/>
      <c r="J12" s="101">
        <f>110*43*0.95/1000</f>
        <v>4.4935</v>
      </c>
      <c r="K12" s="101">
        <f>300*43*0.95/1000</f>
        <v>12.255000000000001</v>
      </c>
      <c r="L12" s="101">
        <f>500*43*0.95/1000</f>
        <v>20.425000000000001</v>
      </c>
      <c r="M12" s="40"/>
      <c r="N12" s="40"/>
      <c r="O12" s="147">
        <v>5</v>
      </c>
      <c r="P12" s="98"/>
      <c r="Q12" s="40"/>
      <c r="R12" s="40"/>
      <c r="S12" s="40" t="s">
        <v>181</v>
      </c>
      <c r="T12" s="40"/>
      <c r="U12" s="40"/>
      <c r="X12" s="34"/>
    </row>
    <row r="13" spans="3:24" x14ac:dyDescent="0.2">
      <c r="C13" s="40" t="s">
        <v>35</v>
      </c>
      <c r="D13" s="98" t="s">
        <v>49</v>
      </c>
      <c r="E13" s="40" t="s">
        <v>195</v>
      </c>
      <c r="F13" s="40"/>
      <c r="G13" s="40" t="s">
        <v>17</v>
      </c>
      <c r="H13" s="40"/>
      <c r="I13" s="40"/>
      <c r="J13" s="40"/>
      <c r="K13" s="116">
        <f>0.52*41.868/0.95</f>
        <v>22.917221052631582</v>
      </c>
      <c r="L13" s="40"/>
      <c r="M13" s="40"/>
      <c r="N13" s="40"/>
      <c r="O13" s="147">
        <v>10</v>
      </c>
      <c r="P13" s="98"/>
      <c r="Q13" s="40"/>
      <c r="R13" s="40"/>
      <c r="S13" s="40" t="s">
        <v>462</v>
      </c>
      <c r="T13" s="40"/>
      <c r="U13" s="40"/>
      <c r="X13" s="34" t="s">
        <v>463</v>
      </c>
    </row>
    <row r="14" spans="3:24" x14ac:dyDescent="0.2">
      <c r="C14" s="40" t="s">
        <v>35</v>
      </c>
      <c r="D14" s="98" t="s">
        <v>28</v>
      </c>
      <c r="E14" s="40" t="s">
        <v>220</v>
      </c>
      <c r="F14" s="40"/>
      <c r="G14" s="40" t="s">
        <v>17</v>
      </c>
      <c r="H14" s="40"/>
      <c r="I14" s="40"/>
      <c r="J14" s="40"/>
      <c r="K14" s="116">
        <v>0.9</v>
      </c>
      <c r="L14" s="40"/>
      <c r="M14" s="40"/>
      <c r="N14" s="40"/>
      <c r="O14" s="147"/>
      <c r="P14" s="98"/>
      <c r="Q14" s="40"/>
      <c r="R14" s="40"/>
      <c r="S14" s="40" t="s">
        <v>462</v>
      </c>
      <c r="T14" s="40"/>
      <c r="U14" s="40"/>
      <c r="X14" s="34" t="s">
        <v>463</v>
      </c>
    </row>
    <row r="15" spans="3:24" x14ac:dyDescent="0.2">
      <c r="C15" s="40" t="s">
        <v>35</v>
      </c>
      <c r="D15" s="98" t="s">
        <v>28</v>
      </c>
      <c r="E15" s="40" t="s">
        <v>50</v>
      </c>
      <c r="F15" s="40"/>
      <c r="G15" s="40" t="s">
        <v>17</v>
      </c>
      <c r="H15" s="40"/>
      <c r="I15" s="40"/>
      <c r="J15" s="40"/>
      <c r="K15" s="116">
        <v>0</v>
      </c>
      <c r="L15" s="40"/>
      <c r="M15" s="40"/>
      <c r="N15" s="40"/>
      <c r="O15" s="147">
        <v>4</v>
      </c>
      <c r="P15" s="98"/>
      <c r="Q15" s="40"/>
      <c r="R15" s="40"/>
      <c r="S15" s="40" t="s">
        <v>117</v>
      </c>
      <c r="T15" s="40"/>
      <c r="U15" s="40"/>
      <c r="X15" s="34"/>
    </row>
    <row r="16" spans="3:24" x14ac:dyDescent="0.2">
      <c r="C16" s="40" t="s">
        <v>35</v>
      </c>
      <c r="D16" s="98" t="s">
        <v>28</v>
      </c>
      <c r="E16" s="40" t="s">
        <v>50</v>
      </c>
      <c r="F16" s="40"/>
      <c r="G16" s="40" t="s">
        <v>17</v>
      </c>
      <c r="H16" s="40"/>
      <c r="I16" s="40">
        <v>0</v>
      </c>
      <c r="J16" s="116">
        <f>50*41.868/1000/0.9</f>
        <v>2.3260000000000001</v>
      </c>
      <c r="K16" s="116">
        <f>100*41.868/1000</f>
        <v>4.1867999999999999</v>
      </c>
      <c r="L16" s="40"/>
      <c r="M16" s="40"/>
      <c r="N16" s="40"/>
      <c r="O16" s="147">
        <v>4</v>
      </c>
      <c r="P16" s="98"/>
      <c r="Q16" s="40"/>
      <c r="R16" s="40"/>
      <c r="S16" s="40" t="s">
        <v>533</v>
      </c>
      <c r="T16" s="40"/>
      <c r="U16" s="40"/>
      <c r="X16" s="34"/>
    </row>
    <row r="17" spans="3:24" x14ac:dyDescent="0.2">
      <c r="C17" s="40" t="s">
        <v>35</v>
      </c>
      <c r="D17" s="98" t="s">
        <v>49</v>
      </c>
      <c r="E17" s="40" t="s">
        <v>192</v>
      </c>
      <c r="F17" s="40"/>
      <c r="G17" s="40" t="s">
        <v>17</v>
      </c>
      <c r="H17" s="40"/>
      <c r="I17" s="40"/>
      <c r="J17" s="98">
        <v>85</v>
      </c>
      <c r="K17" s="101">
        <f>J17-1.276</f>
        <v>83.724000000000004</v>
      </c>
      <c r="L17" s="40"/>
      <c r="M17" s="40"/>
      <c r="N17" s="40"/>
      <c r="O17" s="147"/>
      <c r="P17" s="98"/>
      <c r="Q17" s="40"/>
      <c r="R17" s="40"/>
      <c r="S17" s="40"/>
      <c r="T17" s="40"/>
      <c r="U17" s="40" t="s">
        <v>224</v>
      </c>
      <c r="X17" s="34"/>
    </row>
    <row r="18" spans="3:24" x14ac:dyDescent="0.2">
      <c r="C18" s="40" t="s">
        <v>35</v>
      </c>
      <c r="D18" s="98" t="s">
        <v>49</v>
      </c>
      <c r="E18" s="40" t="s">
        <v>50</v>
      </c>
      <c r="F18" s="40"/>
      <c r="G18" s="40" t="s">
        <v>17</v>
      </c>
      <c r="H18" s="40"/>
      <c r="I18" s="40"/>
      <c r="J18" s="98">
        <v>5.5</v>
      </c>
      <c r="K18" s="98">
        <v>5.5</v>
      </c>
      <c r="L18" s="40"/>
      <c r="M18" s="40"/>
      <c r="N18" s="40"/>
      <c r="O18" s="147">
        <v>1</v>
      </c>
      <c r="P18" s="98"/>
      <c r="Q18" s="40"/>
      <c r="R18" s="40"/>
      <c r="S18" s="40" t="s">
        <v>409</v>
      </c>
      <c r="T18" s="40"/>
      <c r="U18" s="40"/>
      <c r="X18" s="34"/>
    </row>
    <row r="19" spans="3:24" x14ac:dyDescent="0.2">
      <c r="C19" s="40"/>
      <c r="D19" s="98"/>
      <c r="E19" s="40" t="s">
        <v>26</v>
      </c>
      <c r="F19" s="40"/>
      <c r="G19" s="40" t="s">
        <v>235</v>
      </c>
      <c r="H19" s="98">
        <v>1</v>
      </c>
      <c r="I19" s="40"/>
      <c r="J19" s="40"/>
      <c r="K19" s="40"/>
      <c r="L19" s="40"/>
      <c r="M19" s="40"/>
      <c r="N19" s="40"/>
      <c r="O19" s="147"/>
      <c r="P19" s="98" t="s">
        <v>503</v>
      </c>
      <c r="Q19" s="40"/>
      <c r="R19" s="40"/>
      <c r="S19" s="40" t="s">
        <v>309</v>
      </c>
      <c r="T19" s="40"/>
      <c r="U19" s="40"/>
      <c r="X19" s="34"/>
    </row>
    <row r="20" spans="3:24" x14ac:dyDescent="0.2">
      <c r="C20" s="40" t="s">
        <v>35</v>
      </c>
      <c r="D20" s="98"/>
      <c r="E20" s="40" t="s">
        <v>158</v>
      </c>
      <c r="F20" s="40"/>
      <c r="G20" s="40" t="s">
        <v>235</v>
      </c>
      <c r="H20" s="99">
        <f>10/3.6*1.5/6</f>
        <v>0.69444444444444431</v>
      </c>
      <c r="I20" s="40"/>
      <c r="J20" s="40"/>
      <c r="K20" s="40"/>
      <c r="L20" s="40"/>
      <c r="M20" s="40"/>
      <c r="N20" s="40"/>
      <c r="O20" s="147"/>
      <c r="P20" s="98" t="s">
        <v>503</v>
      </c>
      <c r="Q20" s="40"/>
      <c r="R20" s="40"/>
      <c r="S20" s="40" t="s">
        <v>458</v>
      </c>
      <c r="T20" s="40"/>
      <c r="U20" s="40" t="s">
        <v>459</v>
      </c>
      <c r="X20" s="34"/>
    </row>
    <row r="21" spans="3:24" x14ac:dyDescent="0.2">
      <c r="C21" s="40" t="s">
        <v>35</v>
      </c>
      <c r="D21" s="98"/>
      <c r="E21" s="40" t="s">
        <v>158</v>
      </c>
      <c r="F21" s="40"/>
      <c r="G21" s="40" t="s">
        <v>235</v>
      </c>
      <c r="H21" s="98">
        <v>0.6</v>
      </c>
      <c r="I21" s="40"/>
      <c r="J21" s="40"/>
      <c r="K21" s="40"/>
      <c r="L21" s="40"/>
      <c r="M21" s="40"/>
      <c r="N21" s="40"/>
      <c r="O21" s="147"/>
      <c r="P21" s="98" t="s">
        <v>503</v>
      </c>
      <c r="Q21" s="40"/>
      <c r="R21" s="40"/>
      <c r="S21" s="40" t="s">
        <v>460</v>
      </c>
      <c r="T21" s="40"/>
      <c r="U21" s="40" t="s">
        <v>290</v>
      </c>
      <c r="X21" s="34"/>
    </row>
    <row r="22" spans="3:24" x14ac:dyDescent="0.2">
      <c r="C22" s="40" t="s">
        <v>35</v>
      </c>
      <c r="D22" s="98"/>
      <c r="E22" s="40" t="s">
        <v>158</v>
      </c>
      <c r="F22" s="40"/>
      <c r="G22" s="40" t="s">
        <v>235</v>
      </c>
      <c r="H22" s="98">
        <v>0.9</v>
      </c>
      <c r="I22" s="40"/>
      <c r="J22" s="40"/>
      <c r="K22" s="40"/>
      <c r="L22" s="40"/>
      <c r="M22" s="40"/>
      <c r="N22" s="40"/>
      <c r="O22" s="147"/>
      <c r="P22" s="98" t="s">
        <v>503</v>
      </c>
      <c r="Q22" s="40"/>
      <c r="R22" s="40"/>
      <c r="S22" s="40" t="s">
        <v>460</v>
      </c>
      <c r="T22" s="40"/>
      <c r="U22" s="40" t="s">
        <v>461</v>
      </c>
      <c r="X22" s="34"/>
    </row>
    <row r="23" spans="3:24" x14ac:dyDescent="0.2">
      <c r="C23" s="40" t="s">
        <v>35</v>
      </c>
      <c r="D23" s="98" t="s">
        <v>28</v>
      </c>
      <c r="E23" s="40" t="s">
        <v>329</v>
      </c>
      <c r="F23" s="40"/>
      <c r="G23" s="40" t="s">
        <v>235</v>
      </c>
      <c r="H23" s="40"/>
      <c r="I23" s="40">
        <v>1.7</v>
      </c>
      <c r="J23" s="40"/>
      <c r="K23" s="40"/>
      <c r="L23" s="40"/>
      <c r="M23" s="40"/>
      <c r="N23" s="40"/>
      <c r="O23" s="147">
        <v>5</v>
      </c>
      <c r="P23" s="98"/>
      <c r="Q23" s="40"/>
      <c r="R23" s="40"/>
      <c r="S23" s="40" t="s">
        <v>458</v>
      </c>
      <c r="T23" s="40"/>
      <c r="U23" s="40" t="s">
        <v>459</v>
      </c>
      <c r="X23" s="34"/>
    </row>
    <row r="24" spans="3:24" x14ac:dyDescent="0.2">
      <c r="C24" s="40" t="s">
        <v>35</v>
      </c>
      <c r="D24" s="98" t="s">
        <v>28</v>
      </c>
      <c r="E24" s="40" t="s">
        <v>329</v>
      </c>
      <c r="F24" s="40"/>
      <c r="G24" s="40" t="s">
        <v>235</v>
      </c>
      <c r="H24" s="40"/>
      <c r="I24" s="40"/>
      <c r="J24" s="40">
        <f>3.6*1.9</f>
        <v>6.84</v>
      </c>
      <c r="K24" s="40">
        <f>3.6*2.6</f>
        <v>9.3600000000000012</v>
      </c>
      <c r="L24" s="40">
        <f>3.6*4</f>
        <v>14.4</v>
      </c>
      <c r="M24" s="40">
        <f>3.6*6</f>
        <v>21.6</v>
      </c>
      <c r="N24" s="40"/>
      <c r="O24" s="147">
        <v>5</v>
      </c>
      <c r="P24" s="98"/>
      <c r="Q24" s="40"/>
      <c r="R24" s="40"/>
      <c r="S24" s="40" t="s">
        <v>460</v>
      </c>
      <c r="T24" s="40"/>
      <c r="U24" s="40" t="s">
        <v>225</v>
      </c>
      <c r="X24" s="34"/>
    </row>
    <row r="25" spans="3:24" x14ac:dyDescent="0.2">
      <c r="C25" s="40" t="s">
        <v>35</v>
      </c>
      <c r="D25" s="98" t="s">
        <v>28</v>
      </c>
      <c r="E25" s="40" t="s">
        <v>329</v>
      </c>
      <c r="F25" s="40"/>
      <c r="G25" s="40" t="s">
        <v>235</v>
      </c>
      <c r="H25" s="40"/>
      <c r="I25" s="40"/>
      <c r="J25" s="40"/>
      <c r="K25" s="40">
        <v>4.9000000000000004</v>
      </c>
      <c r="L25" s="40"/>
      <c r="M25" s="40">
        <v>7</v>
      </c>
      <c r="N25" s="40"/>
      <c r="O25" s="147">
        <v>5</v>
      </c>
      <c r="P25" s="98"/>
      <c r="Q25" s="40"/>
      <c r="R25" s="40"/>
      <c r="S25" s="40" t="s">
        <v>460</v>
      </c>
      <c r="T25" s="40"/>
      <c r="U25" s="40" t="s">
        <v>290</v>
      </c>
      <c r="X25" s="34"/>
    </row>
    <row r="26" spans="3:24" x14ac:dyDescent="0.2">
      <c r="C26" s="40" t="s">
        <v>35</v>
      </c>
      <c r="D26" s="98" t="s">
        <v>49</v>
      </c>
      <c r="E26" s="40" t="s">
        <v>192</v>
      </c>
      <c r="F26" s="40"/>
      <c r="G26" s="40" t="s">
        <v>17</v>
      </c>
      <c r="H26" s="40"/>
      <c r="I26" s="40"/>
      <c r="J26" s="40">
        <v>1</v>
      </c>
      <c r="K26" s="40">
        <v>3</v>
      </c>
      <c r="L26" s="40">
        <v>5</v>
      </c>
      <c r="M26" s="40">
        <v>10</v>
      </c>
      <c r="N26" s="40"/>
      <c r="O26" s="147">
        <v>5</v>
      </c>
      <c r="P26" s="98"/>
      <c r="Q26" s="40"/>
      <c r="R26" s="40"/>
      <c r="S26" s="40"/>
      <c r="T26" s="40"/>
      <c r="U26" s="40" t="s">
        <v>468</v>
      </c>
      <c r="X26" s="34"/>
    </row>
    <row r="27" spans="3:24" x14ac:dyDescent="0.2">
      <c r="C27" s="122" t="s">
        <v>35</v>
      </c>
      <c r="D27" s="143" t="s">
        <v>28</v>
      </c>
      <c r="E27" s="122" t="s">
        <v>50</v>
      </c>
      <c r="F27" s="123"/>
      <c r="G27" s="122" t="s">
        <v>17</v>
      </c>
      <c r="H27" s="123">
        <v>150</v>
      </c>
      <c r="I27" s="123">
        <v>200</v>
      </c>
      <c r="J27" s="123">
        <v>300</v>
      </c>
      <c r="K27" s="123">
        <v>800</v>
      </c>
      <c r="L27" s="123">
        <v>1400</v>
      </c>
      <c r="M27" s="123">
        <v>1900</v>
      </c>
      <c r="N27" s="123">
        <v>2500</v>
      </c>
      <c r="O27" s="147">
        <v>5</v>
      </c>
      <c r="P27" s="143"/>
      <c r="Q27" s="123"/>
      <c r="R27" s="123"/>
      <c r="S27" s="123" t="s">
        <v>480</v>
      </c>
      <c r="T27" s="40"/>
      <c r="U27" s="40"/>
      <c r="X27" s="34"/>
    </row>
    <row r="28" spans="3:24" x14ac:dyDescent="0.2">
      <c r="C28" s="122" t="s">
        <v>35</v>
      </c>
      <c r="D28" s="143" t="s">
        <v>28</v>
      </c>
      <c r="E28" s="122" t="s">
        <v>403</v>
      </c>
      <c r="F28" s="123"/>
      <c r="G28" s="122" t="s">
        <v>17</v>
      </c>
      <c r="H28" s="123"/>
      <c r="I28" s="123">
        <v>1.5</v>
      </c>
      <c r="J28" s="123">
        <v>2.7</v>
      </c>
      <c r="K28" s="123">
        <v>8.1</v>
      </c>
      <c r="L28" s="123"/>
      <c r="M28" s="123"/>
      <c r="N28" s="123"/>
      <c r="O28" s="147">
        <v>4</v>
      </c>
      <c r="P28" s="143"/>
      <c r="Q28" s="123"/>
      <c r="R28" s="123"/>
      <c r="S28" s="123"/>
      <c r="T28" s="40"/>
      <c r="U28" s="40" t="s">
        <v>290</v>
      </c>
      <c r="X28" s="34"/>
    </row>
    <row r="29" spans="3:24" x14ac:dyDescent="0.2">
      <c r="C29" s="122" t="s">
        <v>35</v>
      </c>
      <c r="D29" s="143" t="s">
        <v>28</v>
      </c>
      <c r="E29" s="122" t="s">
        <v>403</v>
      </c>
      <c r="F29" s="123"/>
      <c r="G29" s="122" t="s">
        <v>17</v>
      </c>
      <c r="H29" s="123"/>
      <c r="I29" s="123">
        <v>1.8</v>
      </c>
      <c r="J29" s="123">
        <v>3.4</v>
      </c>
      <c r="K29" s="123"/>
      <c r="L29" s="123"/>
      <c r="M29" s="123"/>
      <c r="N29" s="123"/>
      <c r="O29" s="147">
        <v>4</v>
      </c>
      <c r="P29" s="143"/>
      <c r="Q29" s="123"/>
      <c r="R29" s="123"/>
      <c r="S29" s="123"/>
      <c r="T29" s="40"/>
      <c r="U29" s="40" t="s">
        <v>481</v>
      </c>
      <c r="X29" s="34"/>
    </row>
    <row r="30" spans="3:24" x14ac:dyDescent="0.2">
      <c r="C30" s="122"/>
      <c r="D30" s="98" t="s">
        <v>28</v>
      </c>
      <c r="E30" s="40" t="s">
        <v>195</v>
      </c>
      <c r="F30" s="40"/>
      <c r="G30" s="122" t="s">
        <v>17</v>
      </c>
      <c r="H30" s="40"/>
      <c r="I30" s="98"/>
      <c r="J30" s="98"/>
      <c r="K30" s="40"/>
      <c r="L30" s="40"/>
      <c r="M30" s="138">
        <v>320</v>
      </c>
      <c r="N30" s="40"/>
      <c r="O30" s="147">
        <v>5</v>
      </c>
      <c r="P30" s="143"/>
      <c r="Q30" s="123"/>
      <c r="R30" s="123"/>
      <c r="S30" s="123" t="s">
        <v>156</v>
      </c>
      <c r="T30" s="40"/>
      <c r="U30" s="40"/>
    </row>
    <row r="31" spans="3:24" s="203" customFormat="1" x14ac:dyDescent="0.2">
      <c r="C31" s="40" t="s">
        <v>35</v>
      </c>
      <c r="D31" s="98" t="s">
        <v>28</v>
      </c>
      <c r="E31" s="40" t="s">
        <v>50</v>
      </c>
      <c r="F31" s="40"/>
      <c r="G31" s="122" t="s">
        <v>17</v>
      </c>
      <c r="H31" s="40"/>
      <c r="I31" s="98">
        <v>0</v>
      </c>
      <c r="J31" s="98"/>
      <c r="K31" s="40"/>
      <c r="L31" s="40"/>
      <c r="M31" s="138">
        <v>0</v>
      </c>
      <c r="N31" s="40"/>
      <c r="O31" s="147">
        <v>5</v>
      </c>
      <c r="P31" s="242"/>
      <c r="Q31" s="169"/>
      <c r="R31" s="169"/>
      <c r="S31" s="169" t="s">
        <v>556</v>
      </c>
      <c r="T31" s="40"/>
      <c r="U31" s="40"/>
    </row>
    <row r="32" spans="3:24" s="203" customFormat="1" x14ac:dyDescent="0.2">
      <c r="C32" s="40" t="s">
        <v>35</v>
      </c>
      <c r="D32" s="98" t="s">
        <v>28</v>
      </c>
      <c r="E32" s="40" t="s">
        <v>50</v>
      </c>
      <c r="F32" s="40"/>
      <c r="G32" s="122" t="s">
        <v>235</v>
      </c>
      <c r="H32" s="40"/>
      <c r="I32" s="98">
        <v>0</v>
      </c>
      <c r="J32" s="98"/>
      <c r="K32" s="40"/>
      <c r="L32" s="40"/>
      <c r="M32" s="138">
        <v>0</v>
      </c>
      <c r="N32" s="40"/>
      <c r="O32" s="147">
        <v>5</v>
      </c>
      <c r="P32" s="242"/>
      <c r="Q32" s="169"/>
      <c r="R32" s="169"/>
      <c r="S32" s="169" t="s">
        <v>556</v>
      </c>
      <c r="T32" s="40"/>
      <c r="U32" s="40"/>
    </row>
    <row r="36" spans="3:18" x14ac:dyDescent="0.2">
      <c r="C36" s="8" t="s">
        <v>9</v>
      </c>
      <c r="J36" s="5"/>
      <c r="K36" s="6"/>
      <c r="L36" s="6"/>
      <c r="M36" s="6"/>
      <c r="N36" s="5"/>
      <c r="O36" s="6"/>
      <c r="P36" s="6"/>
    </row>
    <row r="37" spans="3:18" x14ac:dyDescent="0.2">
      <c r="C37" s="149" t="s">
        <v>4</v>
      </c>
      <c r="D37" s="149" t="s">
        <v>5</v>
      </c>
      <c r="E37" s="149" t="s">
        <v>6</v>
      </c>
      <c r="F37" s="149" t="s">
        <v>3</v>
      </c>
      <c r="G37" s="149" t="s">
        <v>7</v>
      </c>
      <c r="H37" s="149" t="s">
        <v>25</v>
      </c>
      <c r="I37" s="150" t="s">
        <v>17</v>
      </c>
      <c r="J37" s="150" t="s">
        <v>235</v>
      </c>
      <c r="K37" s="151" t="s">
        <v>11</v>
      </c>
      <c r="L37" s="151" t="s">
        <v>12</v>
      </c>
      <c r="M37" s="149" t="s">
        <v>13</v>
      </c>
      <c r="N37" s="151" t="s">
        <v>14</v>
      </c>
      <c r="O37" s="149" t="s">
        <v>15</v>
      </c>
      <c r="P37" s="151" t="s">
        <v>8</v>
      </c>
      <c r="Q37" s="151" t="s">
        <v>16</v>
      </c>
      <c r="R37" s="151" t="s">
        <v>502</v>
      </c>
    </row>
    <row r="38" spans="3:18" x14ac:dyDescent="0.2">
      <c r="C38" s="193"/>
      <c r="D38" s="193"/>
      <c r="E38" s="193" t="s">
        <v>104</v>
      </c>
      <c r="F38" s="193"/>
      <c r="G38" s="66">
        <v>0</v>
      </c>
      <c r="H38" s="193"/>
      <c r="I38" s="66">
        <v>0</v>
      </c>
      <c r="J38" s="66">
        <v>0</v>
      </c>
      <c r="K38" s="196"/>
      <c r="L38" s="196"/>
      <c r="M38" s="193"/>
      <c r="N38" s="196"/>
      <c r="O38" s="193"/>
      <c r="P38" s="196"/>
      <c r="Q38" s="196"/>
      <c r="R38" s="196"/>
    </row>
    <row r="39" spans="3:18" x14ac:dyDescent="0.2">
      <c r="C39" s="40"/>
      <c r="D39" s="40"/>
      <c r="E39" s="40" t="s">
        <v>27</v>
      </c>
      <c r="F39" s="40"/>
      <c r="G39" s="97" t="s">
        <v>193</v>
      </c>
      <c r="H39" s="40"/>
      <c r="I39" s="98">
        <v>90</v>
      </c>
      <c r="J39" s="98"/>
      <c r="K39" s="40"/>
      <c r="L39" s="40"/>
      <c r="M39" s="40" t="s">
        <v>206</v>
      </c>
      <c r="N39" s="40"/>
      <c r="O39" s="40"/>
      <c r="P39" s="40"/>
      <c r="Q39" s="40"/>
      <c r="R39" s="40" t="s">
        <v>503</v>
      </c>
    </row>
    <row r="40" spans="3:18" x14ac:dyDescent="0.2">
      <c r="C40" s="40"/>
      <c r="D40" s="40"/>
      <c r="E40" s="40" t="s">
        <v>27</v>
      </c>
      <c r="F40" s="40"/>
      <c r="G40" s="98">
        <v>2030</v>
      </c>
      <c r="H40" s="40"/>
      <c r="I40" s="98">
        <v>95</v>
      </c>
      <c r="J40" s="98"/>
      <c r="K40" s="40"/>
      <c r="L40" s="40"/>
      <c r="M40" s="40" t="s">
        <v>181</v>
      </c>
      <c r="N40" s="40"/>
      <c r="O40" s="40"/>
      <c r="P40" s="40"/>
      <c r="Q40" s="40"/>
      <c r="R40" s="40" t="s">
        <v>503</v>
      </c>
    </row>
    <row r="41" spans="3:18" x14ac:dyDescent="0.2">
      <c r="C41" s="40"/>
      <c r="D41" s="40"/>
      <c r="E41" s="40" t="s">
        <v>27</v>
      </c>
      <c r="F41" s="40"/>
      <c r="G41" s="98">
        <v>2030</v>
      </c>
      <c r="H41" s="40"/>
      <c r="I41" s="139">
        <v>105</v>
      </c>
      <c r="J41" s="98"/>
      <c r="K41" s="40"/>
      <c r="L41" s="40"/>
      <c r="M41" s="40" t="s">
        <v>252</v>
      </c>
      <c r="N41" s="40"/>
      <c r="O41" s="40"/>
      <c r="P41" s="40"/>
      <c r="Q41" s="40"/>
      <c r="R41" s="40" t="s">
        <v>503</v>
      </c>
    </row>
    <row r="42" spans="3:18" x14ac:dyDescent="0.2">
      <c r="C42" s="40" t="s">
        <v>35</v>
      </c>
      <c r="D42" s="40"/>
      <c r="E42" s="40" t="s">
        <v>296</v>
      </c>
      <c r="F42" s="40" t="s">
        <v>297</v>
      </c>
      <c r="G42" s="97">
        <v>2015</v>
      </c>
      <c r="H42" s="40"/>
      <c r="I42" s="98">
        <f>11.2/10.36*0.01727</f>
        <v>1.8670270270270271E-2</v>
      </c>
      <c r="J42" s="98"/>
      <c r="K42" s="40"/>
      <c r="L42" s="40"/>
      <c r="M42" s="40" t="s">
        <v>156</v>
      </c>
      <c r="N42" s="40"/>
      <c r="O42" s="40"/>
      <c r="P42" s="40"/>
      <c r="Q42" s="40"/>
      <c r="R42" s="40"/>
    </row>
    <row r="43" spans="3:18" x14ac:dyDescent="0.2">
      <c r="C43" s="40" t="s">
        <v>35</v>
      </c>
      <c r="D43" s="40"/>
      <c r="E43" s="40" t="s">
        <v>158</v>
      </c>
      <c r="F43" s="40"/>
      <c r="G43" s="98">
        <v>2025</v>
      </c>
      <c r="H43" s="40"/>
      <c r="I43" s="98">
        <v>1</v>
      </c>
      <c r="J43" s="98">
        <v>1</v>
      </c>
      <c r="K43" s="40"/>
      <c r="L43" s="40"/>
      <c r="M43" s="40" t="s">
        <v>159</v>
      </c>
      <c r="N43" s="40"/>
      <c r="O43" s="40"/>
      <c r="P43" s="40" t="s">
        <v>160</v>
      </c>
      <c r="Q43" s="40"/>
      <c r="R43" s="40" t="s">
        <v>503</v>
      </c>
    </row>
    <row r="44" spans="3:18" x14ac:dyDescent="0.2">
      <c r="C44" s="40" t="s">
        <v>35</v>
      </c>
      <c r="D44" s="40"/>
      <c r="E44" s="40" t="s">
        <v>115</v>
      </c>
      <c r="F44" s="40" t="s">
        <v>116</v>
      </c>
      <c r="G44" s="97">
        <v>2025</v>
      </c>
      <c r="H44" s="40"/>
      <c r="I44" s="98">
        <v>0</v>
      </c>
      <c r="J44" s="98">
        <v>0</v>
      </c>
      <c r="K44" s="40"/>
      <c r="L44" s="40"/>
      <c r="M44" s="40" t="s">
        <v>117</v>
      </c>
      <c r="N44" s="40"/>
      <c r="O44" s="40"/>
      <c r="P44" s="40" t="s">
        <v>226</v>
      </c>
      <c r="Q44" s="40"/>
      <c r="R44" s="40"/>
    </row>
    <row r="45" spans="3:18" x14ac:dyDescent="0.2">
      <c r="C45" s="40" t="s">
        <v>35</v>
      </c>
      <c r="D45" s="40" t="s">
        <v>49</v>
      </c>
      <c r="E45" s="40" t="s">
        <v>50</v>
      </c>
      <c r="F45" s="40"/>
      <c r="G45" s="98">
        <v>0</v>
      </c>
      <c r="H45" s="40"/>
      <c r="I45" s="98">
        <v>4</v>
      </c>
      <c r="J45" s="98"/>
      <c r="K45" s="40"/>
      <c r="L45" s="40"/>
      <c r="M45" s="40" t="s">
        <v>194</v>
      </c>
      <c r="N45" s="40"/>
      <c r="O45" s="40"/>
      <c r="P45" s="40"/>
      <c r="Q45" s="40"/>
      <c r="R45" s="40"/>
    </row>
    <row r="46" spans="3:18" x14ac:dyDescent="0.2">
      <c r="C46" s="40" t="s">
        <v>35</v>
      </c>
      <c r="D46" s="40" t="s">
        <v>49</v>
      </c>
      <c r="E46" s="40" t="s">
        <v>50</v>
      </c>
      <c r="F46" s="40"/>
      <c r="G46" s="98">
        <v>2020</v>
      </c>
      <c r="H46" s="40"/>
      <c r="I46" s="98">
        <f>50*25/1000</f>
        <v>1.25</v>
      </c>
      <c r="J46" s="98"/>
      <c r="K46" s="40"/>
      <c r="L46" s="40"/>
      <c r="M46" s="40" t="s">
        <v>194</v>
      </c>
      <c r="N46" s="40"/>
      <c r="O46" s="40"/>
      <c r="P46" s="40"/>
      <c r="Q46" s="40"/>
      <c r="R46" s="40"/>
    </row>
    <row r="47" spans="3:18" x14ac:dyDescent="0.2">
      <c r="C47" s="40" t="s">
        <v>35</v>
      </c>
      <c r="D47" s="40" t="s">
        <v>28</v>
      </c>
      <c r="E47" s="40" t="s">
        <v>50</v>
      </c>
      <c r="F47" s="40"/>
      <c r="G47" s="98">
        <v>2030</v>
      </c>
      <c r="H47" s="40"/>
      <c r="I47" s="131">
        <v>5.6159999999999997</v>
      </c>
      <c r="J47" s="98"/>
      <c r="K47" s="40"/>
      <c r="L47" s="40"/>
      <c r="M47" s="40" t="s">
        <v>194</v>
      </c>
      <c r="N47" s="40"/>
      <c r="O47" s="40"/>
      <c r="P47" s="40"/>
      <c r="Q47" s="40"/>
      <c r="R47" s="40"/>
    </row>
    <row r="48" spans="3:18" x14ac:dyDescent="0.2">
      <c r="C48" s="210" t="s">
        <v>35</v>
      </c>
      <c r="D48" s="210"/>
      <c r="E48" s="210" t="s">
        <v>177</v>
      </c>
      <c r="F48" s="210"/>
      <c r="G48" s="221">
        <v>2010</v>
      </c>
      <c r="H48" s="210"/>
      <c r="I48" s="221">
        <v>5</v>
      </c>
      <c r="J48" s="221">
        <v>5</v>
      </c>
      <c r="K48" s="210"/>
      <c r="L48" s="210"/>
      <c r="M48" s="210" t="s">
        <v>350</v>
      </c>
      <c r="N48" s="210"/>
      <c r="O48" s="210"/>
      <c r="P48" s="210" t="s">
        <v>191</v>
      </c>
      <c r="Q48" s="210"/>
      <c r="R48" s="210" t="s">
        <v>503</v>
      </c>
    </row>
    <row r="49" spans="1:18" x14ac:dyDescent="0.2">
      <c r="C49" s="40" t="s">
        <v>35</v>
      </c>
      <c r="D49" s="40"/>
      <c r="E49" s="40" t="s">
        <v>158</v>
      </c>
      <c r="F49" s="40"/>
      <c r="G49" s="98">
        <v>2010</v>
      </c>
      <c r="H49" s="40"/>
      <c r="I49" s="98">
        <v>0.5</v>
      </c>
      <c r="J49" s="98">
        <v>0.5</v>
      </c>
      <c r="K49" s="40"/>
      <c r="L49" s="40"/>
      <c r="M49" s="40" t="s">
        <v>183</v>
      </c>
      <c r="N49" s="40"/>
      <c r="O49" s="40"/>
      <c r="P49" s="40" t="s">
        <v>184</v>
      </c>
      <c r="Q49" s="40"/>
      <c r="R49" s="40" t="s">
        <v>503</v>
      </c>
    </row>
    <row r="50" spans="1:18" x14ac:dyDescent="0.2">
      <c r="C50" s="40" t="s">
        <v>35</v>
      </c>
      <c r="D50" s="40" t="s">
        <v>28</v>
      </c>
      <c r="E50" s="40" t="s">
        <v>50</v>
      </c>
      <c r="F50" s="40"/>
      <c r="G50" s="98">
        <v>2030</v>
      </c>
      <c r="H50" s="40"/>
      <c r="I50" s="98">
        <v>0</v>
      </c>
      <c r="J50" s="98">
        <v>0</v>
      </c>
      <c r="K50" s="40"/>
      <c r="L50" s="40"/>
      <c r="M50" s="40" t="s">
        <v>252</v>
      </c>
      <c r="N50" s="40"/>
      <c r="O50" s="40"/>
      <c r="P50" s="40"/>
      <c r="Q50" s="40"/>
      <c r="R50" s="40"/>
    </row>
    <row r="51" spans="1:18" x14ac:dyDescent="0.2">
      <c r="C51" s="193"/>
      <c r="D51" s="193"/>
      <c r="E51" s="193" t="s">
        <v>104</v>
      </c>
      <c r="F51" s="193"/>
      <c r="G51" s="66">
        <v>0</v>
      </c>
      <c r="H51" s="193"/>
      <c r="I51" s="66">
        <v>0</v>
      </c>
      <c r="J51" s="66">
        <v>0</v>
      </c>
      <c r="K51" s="196"/>
      <c r="L51" s="196"/>
      <c r="M51" s="193"/>
      <c r="N51" s="196"/>
      <c r="O51" s="193"/>
      <c r="P51" s="196"/>
      <c r="Q51" s="196"/>
      <c r="R51" s="196"/>
    </row>
    <row r="52" spans="1:18" x14ac:dyDescent="0.2">
      <c r="C52" s="40"/>
      <c r="D52" s="40"/>
      <c r="E52" s="40" t="s">
        <v>26</v>
      </c>
      <c r="F52" s="40"/>
      <c r="G52" s="98">
        <v>2030</v>
      </c>
      <c r="H52" s="40"/>
      <c r="I52" s="98">
        <v>5.0000000000000001E-3</v>
      </c>
      <c r="J52" s="98">
        <v>5.0000000000000001E-4</v>
      </c>
      <c r="K52" s="40"/>
      <c r="L52" s="40"/>
      <c r="M52" s="40" t="s">
        <v>501</v>
      </c>
      <c r="N52" s="40"/>
      <c r="O52" s="40"/>
      <c r="P52" s="40"/>
      <c r="Q52" s="40"/>
      <c r="R52" s="40" t="s">
        <v>503</v>
      </c>
    </row>
    <row r="53" spans="1:18" x14ac:dyDescent="0.2">
      <c r="A53" t="s">
        <v>506</v>
      </c>
      <c r="C53" s="13"/>
      <c r="D53" s="13"/>
      <c r="E53" s="13" t="s">
        <v>148</v>
      </c>
      <c r="F53" s="13"/>
      <c r="G53" s="83">
        <v>2050</v>
      </c>
      <c r="H53" s="13"/>
      <c r="I53" s="83">
        <v>8</v>
      </c>
      <c r="J53" s="13"/>
      <c r="K53" s="13"/>
      <c r="L53" s="13"/>
      <c r="M53" s="13" t="s">
        <v>324</v>
      </c>
      <c r="N53" s="13"/>
      <c r="O53" s="13"/>
      <c r="P53" s="13"/>
      <c r="Q53" s="13"/>
      <c r="R53" s="13"/>
    </row>
    <row r="54" spans="1:18" x14ac:dyDescent="0.2">
      <c r="C54" s="40" t="s">
        <v>35</v>
      </c>
      <c r="D54" s="40"/>
      <c r="E54" s="40" t="s">
        <v>115</v>
      </c>
      <c r="F54" s="40" t="s">
        <v>225</v>
      </c>
      <c r="G54" s="98">
        <v>2010</v>
      </c>
      <c r="H54" s="40"/>
      <c r="I54" s="98">
        <v>1</v>
      </c>
      <c r="J54" s="98">
        <v>1</v>
      </c>
      <c r="K54" s="40"/>
      <c r="L54" s="40"/>
      <c r="M54" s="40" t="s">
        <v>358</v>
      </c>
      <c r="N54" s="40"/>
      <c r="O54" s="40"/>
      <c r="P54" s="40" t="s">
        <v>224</v>
      </c>
      <c r="Q54" s="40"/>
      <c r="R54" s="40"/>
    </row>
    <row r="55" spans="1:18" x14ac:dyDescent="0.2">
      <c r="C55" s="40" t="s">
        <v>35</v>
      </c>
      <c r="D55" s="40"/>
      <c r="E55" s="40" t="s">
        <v>115</v>
      </c>
      <c r="F55" s="40" t="s">
        <v>225</v>
      </c>
      <c r="G55" s="98">
        <v>2010</v>
      </c>
      <c r="H55" s="40"/>
      <c r="I55" s="98">
        <v>1</v>
      </c>
      <c r="J55" s="98">
        <v>1</v>
      </c>
      <c r="K55" s="40"/>
      <c r="L55" s="40"/>
      <c r="M55" s="40" t="s">
        <v>359</v>
      </c>
      <c r="N55" s="40"/>
      <c r="O55" s="40"/>
      <c r="P55" s="40" t="s">
        <v>224</v>
      </c>
      <c r="Q55" s="40"/>
      <c r="R55" s="40"/>
    </row>
    <row r="56" spans="1:18" x14ac:dyDescent="0.2">
      <c r="C56" s="40" t="s">
        <v>35</v>
      </c>
      <c r="D56" s="40"/>
      <c r="E56" s="40" t="s">
        <v>115</v>
      </c>
      <c r="F56" s="40" t="s">
        <v>225</v>
      </c>
      <c r="G56" s="98">
        <v>2010</v>
      </c>
      <c r="H56" s="40"/>
      <c r="I56" s="98">
        <v>1</v>
      </c>
      <c r="J56" s="98">
        <v>1</v>
      </c>
      <c r="K56" s="40"/>
      <c r="L56" s="40"/>
      <c r="M56" s="40" t="s">
        <v>360</v>
      </c>
      <c r="N56" s="40"/>
      <c r="O56" s="40"/>
      <c r="P56" s="40" t="s">
        <v>224</v>
      </c>
      <c r="Q56" s="40"/>
      <c r="R56" s="40"/>
    </row>
    <row r="57" spans="1:18" x14ac:dyDescent="0.2">
      <c r="C57" s="40" t="s">
        <v>35</v>
      </c>
      <c r="D57" s="40"/>
      <c r="E57" s="40" t="s">
        <v>115</v>
      </c>
      <c r="F57" s="40" t="s">
        <v>225</v>
      </c>
      <c r="G57" s="98">
        <v>2010</v>
      </c>
      <c r="H57" s="40"/>
      <c r="I57" s="98">
        <v>1</v>
      </c>
      <c r="J57" s="98">
        <v>1</v>
      </c>
      <c r="K57" s="40"/>
      <c r="L57" s="40"/>
      <c r="M57" s="40" t="s">
        <v>361</v>
      </c>
      <c r="N57" s="40"/>
      <c r="O57" s="40"/>
      <c r="P57" s="40" t="s">
        <v>224</v>
      </c>
      <c r="Q57" s="40"/>
      <c r="R57" s="40"/>
    </row>
    <row r="58" spans="1:18" x14ac:dyDescent="0.2">
      <c r="C58" s="40" t="s">
        <v>35</v>
      </c>
      <c r="D58" s="40"/>
      <c r="E58" s="40" t="s">
        <v>115</v>
      </c>
      <c r="F58" s="40" t="s">
        <v>225</v>
      </c>
      <c r="G58" s="98">
        <v>2010</v>
      </c>
      <c r="H58" s="40"/>
      <c r="I58" s="98">
        <v>1</v>
      </c>
      <c r="J58" s="98">
        <v>1</v>
      </c>
      <c r="K58" s="40"/>
      <c r="L58" s="40"/>
      <c r="M58" s="40" t="s">
        <v>362</v>
      </c>
      <c r="N58" s="40"/>
      <c r="O58" s="40"/>
      <c r="P58" s="40" t="s">
        <v>224</v>
      </c>
      <c r="Q58" s="40"/>
      <c r="R58" s="40"/>
    </row>
    <row r="59" spans="1:18" x14ac:dyDescent="0.2">
      <c r="C59" s="40" t="s">
        <v>35</v>
      </c>
      <c r="D59" s="40"/>
      <c r="E59" s="40" t="s">
        <v>115</v>
      </c>
      <c r="F59" s="40" t="s">
        <v>118</v>
      </c>
      <c r="G59" s="98">
        <v>2010</v>
      </c>
      <c r="H59" s="98"/>
      <c r="I59" s="98">
        <v>1</v>
      </c>
      <c r="J59" s="199"/>
      <c r="K59" s="40"/>
      <c r="L59" s="40"/>
      <c r="M59" s="40" t="s">
        <v>174</v>
      </c>
      <c r="N59" s="40"/>
      <c r="O59" s="40"/>
      <c r="P59" s="40" t="s">
        <v>224</v>
      </c>
      <c r="Q59" s="40"/>
      <c r="R59" s="40"/>
    </row>
    <row r="60" spans="1:18" x14ac:dyDescent="0.2">
      <c r="C60" s="40"/>
      <c r="D60" s="40"/>
      <c r="E60" s="40" t="s">
        <v>104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</row>
    <row r="61" spans="1:18" x14ac:dyDescent="0.2">
      <c r="C61" s="136" t="s">
        <v>35</v>
      </c>
      <c r="D61" s="40"/>
      <c r="E61" s="40" t="s">
        <v>115</v>
      </c>
      <c r="F61" s="40" t="s">
        <v>290</v>
      </c>
      <c r="G61" s="98">
        <v>2030</v>
      </c>
      <c r="H61" s="98">
        <v>10</v>
      </c>
      <c r="I61" s="40"/>
      <c r="J61" s="40"/>
      <c r="K61" s="40"/>
      <c r="L61" s="40"/>
      <c r="M61" s="40" t="s">
        <v>504</v>
      </c>
      <c r="N61" s="40"/>
      <c r="O61" s="40"/>
      <c r="P61" s="40" t="s">
        <v>505</v>
      </c>
      <c r="Q61" s="40"/>
      <c r="R61" s="40"/>
    </row>
    <row r="62" spans="1:18" x14ac:dyDescent="0.2">
      <c r="C62" s="123" t="s">
        <v>35</v>
      </c>
      <c r="D62" s="28" t="s">
        <v>52</v>
      </c>
      <c r="E62" s="28" t="s">
        <v>192</v>
      </c>
      <c r="F62" s="32"/>
      <c r="G62" s="32" t="s">
        <v>97</v>
      </c>
      <c r="H62" s="28"/>
      <c r="I62" s="33">
        <v>2</v>
      </c>
      <c r="J62" s="33">
        <v>2</v>
      </c>
      <c r="K62" s="28"/>
      <c r="L62" s="28"/>
      <c r="M62" s="28"/>
      <c r="N62" s="28"/>
      <c r="O62" s="28"/>
      <c r="P62" s="28" t="s">
        <v>500</v>
      </c>
      <c r="Q62" s="28"/>
      <c r="R62" s="28"/>
    </row>
    <row r="63" spans="1:18" x14ac:dyDescent="0.2">
      <c r="C63" s="123" t="s">
        <v>35</v>
      </c>
      <c r="D63" s="28" t="s">
        <v>52</v>
      </c>
      <c r="E63" s="28" t="s">
        <v>192</v>
      </c>
      <c r="F63" s="32"/>
      <c r="G63" s="32" t="s">
        <v>97</v>
      </c>
      <c r="H63" s="28"/>
      <c r="I63" s="33">
        <v>2</v>
      </c>
      <c r="J63" s="33">
        <v>2</v>
      </c>
      <c r="K63" s="28"/>
      <c r="L63" s="28"/>
      <c r="M63" s="28"/>
      <c r="N63" s="28"/>
      <c r="O63" s="28"/>
      <c r="P63" s="28" t="s">
        <v>499</v>
      </c>
      <c r="Q63" s="28"/>
      <c r="R63" s="28"/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82"/>
  <sheetViews>
    <sheetView zoomScale="80" workbookViewId="0">
      <selection activeCell="A41" sqref="A41"/>
    </sheetView>
  </sheetViews>
  <sheetFormatPr defaultRowHeight="12.75" x14ac:dyDescent="0.2"/>
  <cols>
    <col min="2" max="2" width="5.28515625" customWidth="1"/>
    <col min="3" max="3" width="7.42578125" customWidth="1"/>
    <col min="4" max="4" width="6.85546875" customWidth="1"/>
    <col min="5" max="5" width="14.85546875" customWidth="1"/>
    <col min="6" max="6" width="13.7109375" customWidth="1"/>
    <col min="10" max="10" width="9.85546875" bestFit="1" customWidth="1"/>
    <col min="15" max="15" width="11" customWidth="1"/>
    <col min="26" max="26" width="9.28515625" bestFit="1" customWidth="1"/>
  </cols>
  <sheetData>
    <row r="1" spans="1:31" x14ac:dyDescent="0.2">
      <c r="H1">
        <v>2010</v>
      </c>
      <c r="I1">
        <v>2017</v>
      </c>
      <c r="J1">
        <v>2020</v>
      </c>
      <c r="K1">
        <v>2030</v>
      </c>
      <c r="L1">
        <v>2040</v>
      </c>
      <c r="M1">
        <v>2050</v>
      </c>
      <c r="N1">
        <v>2070</v>
      </c>
      <c r="O1">
        <v>2025</v>
      </c>
      <c r="W1" s="7">
        <v>0</v>
      </c>
    </row>
    <row r="4" spans="1:31" x14ac:dyDescent="0.2">
      <c r="C4" s="8" t="s">
        <v>36</v>
      </c>
      <c r="L4" s="5"/>
      <c r="M4" s="6"/>
      <c r="N4" s="6"/>
      <c r="O4" s="6"/>
      <c r="P4" s="6"/>
      <c r="Q4" s="5"/>
      <c r="R4" s="6"/>
    </row>
    <row r="5" spans="1:31" ht="13.5" thickBot="1" x14ac:dyDescent="0.25">
      <c r="C5" s="9" t="s">
        <v>4</v>
      </c>
      <c r="D5" s="9" t="s">
        <v>5</v>
      </c>
      <c r="E5" s="9" t="s">
        <v>6</v>
      </c>
      <c r="F5" s="9" t="s">
        <v>3</v>
      </c>
      <c r="G5" s="9" t="s">
        <v>37</v>
      </c>
      <c r="H5" s="9">
        <v>2010</v>
      </c>
      <c r="I5" s="9">
        <v>2017</v>
      </c>
      <c r="J5" s="9">
        <v>2020</v>
      </c>
      <c r="K5" s="9">
        <v>2030</v>
      </c>
      <c r="L5" s="9">
        <v>2040</v>
      </c>
      <c r="M5" s="9">
        <v>2050</v>
      </c>
      <c r="N5" s="9">
        <v>2070</v>
      </c>
      <c r="O5" s="9">
        <v>2025</v>
      </c>
      <c r="P5" s="9">
        <v>2035</v>
      </c>
      <c r="Q5" s="12">
        <v>0</v>
      </c>
      <c r="R5" s="10" t="s">
        <v>11</v>
      </c>
      <c r="S5" s="10" t="s">
        <v>12</v>
      </c>
      <c r="T5" s="9" t="s">
        <v>13</v>
      </c>
      <c r="U5" s="9" t="s">
        <v>15</v>
      </c>
      <c r="V5" s="9" t="s">
        <v>8</v>
      </c>
      <c r="W5" s="10" t="s">
        <v>38</v>
      </c>
      <c r="Z5" s="12">
        <v>2030</v>
      </c>
      <c r="AA5" s="12">
        <v>2040</v>
      </c>
      <c r="AB5" s="12">
        <v>2050</v>
      </c>
      <c r="AC5" s="12">
        <v>2070</v>
      </c>
      <c r="AD5" s="12">
        <v>2025</v>
      </c>
      <c r="AE5" s="12">
        <v>2035</v>
      </c>
    </row>
    <row r="6" spans="1:31" x14ac:dyDescent="0.2">
      <c r="A6" s="24" t="s">
        <v>127</v>
      </c>
      <c r="C6" s="27"/>
      <c r="D6" s="27"/>
      <c r="E6" s="27" t="s">
        <v>104</v>
      </c>
      <c r="F6" s="27"/>
      <c r="G6" s="40" t="s">
        <v>17</v>
      </c>
      <c r="H6" s="27">
        <v>0</v>
      </c>
      <c r="I6" s="27">
        <v>0</v>
      </c>
      <c r="J6" s="27">
        <v>3</v>
      </c>
      <c r="K6" s="27">
        <v>10</v>
      </c>
      <c r="L6" s="27">
        <v>10</v>
      </c>
      <c r="M6" s="27">
        <v>10</v>
      </c>
      <c r="N6" s="27">
        <v>20</v>
      </c>
      <c r="O6" s="27">
        <v>0</v>
      </c>
      <c r="P6" s="27">
        <v>0</v>
      </c>
      <c r="Q6" s="91" t="s">
        <v>97</v>
      </c>
      <c r="R6" s="28"/>
      <c r="S6" s="28"/>
      <c r="T6" s="27"/>
      <c r="U6" s="27"/>
      <c r="V6" s="27"/>
      <c r="W6" s="28"/>
      <c r="Z6" s="199"/>
      <c r="AA6" s="199"/>
      <c r="AB6" s="199"/>
      <c r="AC6" s="199"/>
      <c r="AD6" s="199"/>
      <c r="AE6" s="199"/>
    </row>
    <row r="7" spans="1:31" ht="14.25" x14ac:dyDescent="0.2">
      <c r="A7" s="24" t="s">
        <v>374</v>
      </c>
      <c r="C7" s="27"/>
      <c r="D7" s="27"/>
      <c r="E7" s="40" t="s">
        <v>39</v>
      </c>
      <c r="F7" s="27"/>
      <c r="G7" s="40" t="s">
        <v>17</v>
      </c>
      <c r="H7" s="60">
        <v>1</v>
      </c>
      <c r="I7" s="60">
        <v>1</v>
      </c>
      <c r="J7" s="60">
        <f>DEMPROJ!F42/DEMPROJ!E42*I7</f>
        <v>0.94092867490111443</v>
      </c>
      <c r="K7" s="60">
        <f>DEMPROJ!G42*Z7</f>
        <v>0.86901365879273462</v>
      </c>
      <c r="L7" s="60">
        <f>DEMPROJ!H42*AA7</f>
        <v>0.78510229969327616</v>
      </c>
      <c r="M7" s="60">
        <f>DEMPROJ!I42*AB7</f>
        <v>0.7088197890609973</v>
      </c>
      <c r="N7" s="60">
        <f>DEMPROJ!J42*AC7</f>
        <v>0.7088197890609973</v>
      </c>
      <c r="O7" s="60">
        <f>DEMPROJ!K42*AD7</f>
        <v>0.90425652911041632</v>
      </c>
      <c r="P7" s="60">
        <f>DEMPROJ!L42*AE7</f>
        <v>0.8259931125518204</v>
      </c>
      <c r="Q7" s="91"/>
      <c r="R7" s="28"/>
      <c r="S7" s="28"/>
      <c r="T7" s="27"/>
      <c r="U7" s="27"/>
      <c r="V7" s="122" t="s">
        <v>40</v>
      </c>
      <c r="W7" s="98" t="str">
        <f>IF($W$1,0,T(0))</f>
        <v/>
      </c>
      <c r="Z7" s="7">
        <v>1</v>
      </c>
      <c r="AA7" s="199">
        <f t="shared" ref="AA7:AA18" si="0">SQRT(Z7*AB7)</f>
        <v>1</v>
      </c>
      <c r="AB7" s="7">
        <v>1</v>
      </c>
      <c r="AC7" s="199">
        <f t="array" ref="AC7:AC18">AB7:AB18</f>
        <v>1</v>
      </c>
      <c r="AD7" s="199">
        <f t="array" ref="AD7:AD18">1</f>
        <v>1</v>
      </c>
      <c r="AE7" s="199">
        <f t="shared" ref="AE7:AE18" si="1">SQRT(Z7*AA7)</f>
        <v>1</v>
      </c>
    </row>
    <row r="8" spans="1:31" ht="14.25" x14ac:dyDescent="0.2">
      <c r="A8" s="24"/>
      <c r="C8" s="27"/>
      <c r="D8" s="27"/>
      <c r="E8" s="40" t="s">
        <v>39</v>
      </c>
      <c r="F8" s="27"/>
      <c r="G8" s="40" t="s">
        <v>17</v>
      </c>
      <c r="H8" s="60">
        <v>1</v>
      </c>
      <c r="I8" s="60">
        <v>1</v>
      </c>
      <c r="J8" s="60">
        <f>DEMPROJ!F43/DEMPROJ!E43*I8</f>
        <v>1.0479841219120323</v>
      </c>
      <c r="K8" s="60">
        <f>DEMPROJ!G43*Z8</f>
        <v>1.0989800245555117</v>
      </c>
      <c r="L8" s="60">
        <f>DEMPROJ!H43*AA8</f>
        <v>1.1524574362524667</v>
      </c>
      <c r="M8" s="60">
        <f>DEMPROJ!I43*AB8</f>
        <v>1.1524574362524667</v>
      </c>
      <c r="N8" s="60">
        <f>DEMPROJ!J43*AC8</f>
        <v>1.1524574362524667</v>
      </c>
      <c r="O8" s="60">
        <f>DEMPROJ!K43*AD8</f>
        <v>1.0772457436252401</v>
      </c>
      <c r="P8" s="60">
        <f>DEMPROJ!L43*AE8</f>
        <v>1.1524574362524667</v>
      </c>
      <c r="Q8" s="91"/>
      <c r="R8" s="28"/>
      <c r="S8" s="28"/>
      <c r="T8" s="27"/>
      <c r="U8" s="27"/>
      <c r="V8" s="122" t="s">
        <v>41</v>
      </c>
      <c r="W8" s="98" t="str">
        <f t="shared" ref="W8:W50" si="2">IF($W$1,0,T(0))</f>
        <v/>
      </c>
      <c r="Z8" s="7">
        <v>1</v>
      </c>
      <c r="AA8" s="199">
        <f t="shared" si="0"/>
        <v>1</v>
      </c>
      <c r="AB8" s="7">
        <v>1</v>
      </c>
      <c r="AC8" s="199">
        <v>1</v>
      </c>
      <c r="AD8" s="199">
        <v>1</v>
      </c>
      <c r="AE8" s="199">
        <f t="shared" si="1"/>
        <v>1</v>
      </c>
    </row>
    <row r="9" spans="1:31" ht="14.25" x14ac:dyDescent="0.2">
      <c r="A9" s="24"/>
      <c r="C9" s="27"/>
      <c r="D9" s="27"/>
      <c r="E9" s="40" t="s">
        <v>39</v>
      </c>
      <c r="F9" s="27"/>
      <c r="G9" s="40" t="s">
        <v>17</v>
      </c>
      <c r="H9" s="60">
        <v>1</v>
      </c>
      <c r="I9" s="60">
        <v>1</v>
      </c>
      <c r="J9" s="60">
        <f>DEMPROJ!F44/DEMPROJ!E44*I9</f>
        <v>1.0394243718343128</v>
      </c>
      <c r="K9" s="60">
        <f>DEMPROJ!G44*Z9</f>
        <v>1.1325080949618316</v>
      </c>
      <c r="L9" s="60">
        <f>DEMPROJ!H44*AA9</f>
        <v>1.1554128438610747</v>
      </c>
      <c r="M9" s="60">
        <f>DEMPROJ!I44*AB9</f>
        <v>1.1808651554232772</v>
      </c>
      <c r="N9" s="60">
        <f>DEMPROJ!J44*AC9</f>
        <v>1.2281005278892942</v>
      </c>
      <c r="O9" s="60">
        <f>DEMPROJ!K44*AD9</f>
        <v>1.0849684397266937</v>
      </c>
      <c r="P9" s="60">
        <f>DEMPROJ!L44*AE9</f>
        <v>1.1439031421827366</v>
      </c>
      <c r="Q9" s="91"/>
      <c r="R9" s="28"/>
      <c r="S9" s="28"/>
      <c r="T9" s="27"/>
      <c r="U9" s="27"/>
      <c r="V9" s="122" t="s">
        <v>42</v>
      </c>
      <c r="W9" s="98" t="str">
        <f t="shared" si="2"/>
        <v/>
      </c>
      <c r="Z9" s="7">
        <v>1</v>
      </c>
      <c r="AA9" s="199">
        <f t="shared" si="0"/>
        <v>1</v>
      </c>
      <c r="AB9" s="7">
        <v>1</v>
      </c>
      <c r="AC9" s="199">
        <v>1</v>
      </c>
      <c r="AD9" s="199">
        <v>1</v>
      </c>
      <c r="AE9" s="199">
        <f t="shared" si="1"/>
        <v>1</v>
      </c>
    </row>
    <row r="10" spans="1:31" ht="14.25" x14ac:dyDescent="0.2">
      <c r="A10" s="24"/>
      <c r="C10" s="27"/>
      <c r="D10" s="27"/>
      <c r="E10" s="40" t="s">
        <v>39</v>
      </c>
      <c r="F10" s="27"/>
      <c r="G10" s="40" t="s">
        <v>17</v>
      </c>
      <c r="H10" s="60">
        <v>1</v>
      </c>
      <c r="I10" s="60">
        <v>1</v>
      </c>
      <c r="J10" s="60">
        <f>DEMPROJ!F45/DEMPROJ!E45*I10</f>
        <v>1.0189646223761117</v>
      </c>
      <c r="K10" s="60">
        <f>DEMPROJ!G45*Z10</f>
        <v>1.0541959520216426</v>
      </c>
      <c r="L10" s="60">
        <f>DEMPROJ!H45*AA10</f>
        <v>1.2031466436468798</v>
      </c>
      <c r="M10" s="60">
        <f>DEMPROJ!I45*AB10</f>
        <v>1.355114715876913</v>
      </c>
      <c r="N10" s="60">
        <f>DEMPROJ!J45*AC10</f>
        <v>1.6607734085736054</v>
      </c>
      <c r="O10" s="60">
        <f>DEMPROJ!K45*AD10</f>
        <v>1.0235977323007526</v>
      </c>
      <c r="P10" s="60">
        <f>DEMPROJ!L45*AE10</f>
        <v>1.1205612498117254</v>
      </c>
      <c r="Q10" s="91"/>
      <c r="R10" s="28"/>
      <c r="S10" s="28"/>
      <c r="T10" s="27"/>
      <c r="U10" s="27"/>
      <c r="V10" s="123" t="s">
        <v>86</v>
      </c>
      <c r="W10" s="98" t="str">
        <f t="shared" si="2"/>
        <v/>
      </c>
      <c r="Z10" s="7">
        <v>1</v>
      </c>
      <c r="AA10" s="199">
        <f t="shared" si="0"/>
        <v>1</v>
      </c>
      <c r="AB10" s="7">
        <v>1</v>
      </c>
      <c r="AC10" s="199">
        <v>1</v>
      </c>
      <c r="AD10" s="199">
        <v>1</v>
      </c>
      <c r="AE10" s="199">
        <f t="shared" si="1"/>
        <v>1</v>
      </c>
    </row>
    <row r="11" spans="1:31" ht="14.25" x14ac:dyDescent="0.2">
      <c r="A11" s="24"/>
      <c r="C11" s="27"/>
      <c r="D11" s="27"/>
      <c r="E11" s="40" t="s">
        <v>39</v>
      </c>
      <c r="F11" s="27"/>
      <c r="G11" s="40" t="s">
        <v>17</v>
      </c>
      <c r="H11" s="60">
        <v>1</v>
      </c>
      <c r="I11" s="60">
        <v>1</v>
      </c>
      <c r="J11" s="60">
        <f>DEMPROJ!F46/DEMPROJ!E46*I11</f>
        <v>1.0543367680027234</v>
      </c>
      <c r="K11" s="60">
        <f>DEMPROJ!G46*Z11</f>
        <v>1.1612854936803894</v>
      </c>
      <c r="L11" s="60">
        <f>DEMPROJ!H46*AA11</f>
        <v>1.2526460557126471</v>
      </c>
      <c r="M11" s="60">
        <f>DEMPROJ!I46*AB11</f>
        <v>1.3410001055782204</v>
      </c>
      <c r="N11" s="60">
        <f>DEMPROJ!J46*AC11</f>
        <v>1.5067651226515808</v>
      </c>
      <c r="O11" s="60">
        <f>DEMPROJ!K46*AD11</f>
        <v>1.1523036321255611</v>
      </c>
      <c r="P11" s="60">
        <f>DEMPROJ!L46*AE11</f>
        <v>1.2085391782874604</v>
      </c>
      <c r="Q11" s="91"/>
      <c r="R11" s="28"/>
      <c r="S11" s="28"/>
      <c r="T11" s="27"/>
      <c r="U11" s="27"/>
      <c r="V11" s="123" t="s">
        <v>102</v>
      </c>
      <c r="W11" s="98" t="str">
        <f t="shared" si="2"/>
        <v/>
      </c>
      <c r="Z11" s="7">
        <v>1</v>
      </c>
      <c r="AA11" s="199">
        <f t="shared" si="0"/>
        <v>1</v>
      </c>
      <c r="AB11" s="7">
        <v>1</v>
      </c>
      <c r="AC11" s="199">
        <v>1</v>
      </c>
      <c r="AD11" s="199">
        <v>1</v>
      </c>
      <c r="AE11" s="199">
        <f t="shared" si="1"/>
        <v>1</v>
      </c>
    </row>
    <row r="12" spans="1:31" ht="14.25" x14ac:dyDescent="0.2">
      <c r="A12" s="24"/>
      <c r="C12" s="27"/>
      <c r="D12" s="27"/>
      <c r="E12" s="40" t="s">
        <v>39</v>
      </c>
      <c r="F12" s="27"/>
      <c r="G12" s="40" t="s">
        <v>17</v>
      </c>
      <c r="H12" s="60">
        <v>1</v>
      </c>
      <c r="I12" s="60">
        <v>1</v>
      </c>
      <c r="J12" s="60">
        <f>DEMPROJ!F47/DEMPROJ!E47*I12</f>
        <v>1.2609773689622583</v>
      </c>
      <c r="K12" s="60">
        <f>DEMPROJ!G47*Z12</f>
        <v>1.8173481236589095</v>
      </c>
      <c r="L12" s="60">
        <f>DEMPROJ!H47*AA12</f>
        <v>2.2879622032528339</v>
      </c>
      <c r="M12" s="60">
        <f>DEMPROJ!I47*AB12</f>
        <v>2.688167640499219</v>
      </c>
      <c r="N12" s="60">
        <f>DEMPROJ!J47*AC12</f>
        <v>3.2566064418001464</v>
      </c>
      <c r="O12" s="60">
        <f>DEMPROJ!K47*AD12</f>
        <v>1.5414451548117916</v>
      </c>
      <c r="P12" s="60">
        <f>DEMPROJ!L47*AE12</f>
        <v>2.0758286948810243</v>
      </c>
      <c r="Q12" s="91"/>
      <c r="R12" s="28"/>
      <c r="S12" s="28"/>
      <c r="T12" s="27"/>
      <c r="U12" s="27"/>
      <c r="V12" s="40" t="s">
        <v>87</v>
      </c>
      <c r="W12" s="98" t="str">
        <f t="shared" si="2"/>
        <v/>
      </c>
      <c r="Z12" s="7">
        <v>1</v>
      </c>
      <c r="AA12" s="199">
        <f t="shared" si="0"/>
        <v>1</v>
      </c>
      <c r="AB12" s="7">
        <v>1</v>
      </c>
      <c r="AC12" s="199">
        <v>1</v>
      </c>
      <c r="AD12" s="199">
        <v>1</v>
      </c>
      <c r="AE12" s="199">
        <f t="shared" si="1"/>
        <v>1</v>
      </c>
    </row>
    <row r="13" spans="1:31" ht="14.25" x14ac:dyDescent="0.2">
      <c r="A13" s="24"/>
      <c r="C13" s="27"/>
      <c r="D13" s="27"/>
      <c r="E13" s="40" t="s">
        <v>39</v>
      </c>
      <c r="F13" s="27"/>
      <c r="G13" s="40" t="s">
        <v>17</v>
      </c>
      <c r="H13" s="60">
        <v>1</v>
      </c>
      <c r="I13" s="60">
        <v>1</v>
      </c>
      <c r="J13" s="60">
        <f>DEMPROJ!F48/DEMPROJ!E48*I13</f>
        <v>1.0730561266114809</v>
      </c>
      <c r="K13" s="60">
        <f>DEMPROJ!G48*Z13</f>
        <v>1.4998532355258221</v>
      </c>
      <c r="L13" s="60">
        <f>DEMPROJ!H48*AA13</f>
        <v>1.8458818778733392</v>
      </c>
      <c r="M13" s="60">
        <f>DEMPROJ!I48*AB13</f>
        <v>2.0907253793250278</v>
      </c>
      <c r="N13" s="60">
        <f>DEMPROJ!J48*AC13</f>
        <v>2.3562770477088906</v>
      </c>
      <c r="O13" s="60">
        <f>DEMPROJ!K48*AD13</f>
        <v>1.2917871758393051</v>
      </c>
      <c r="P13" s="60">
        <f>DEMPROJ!L48*AE13</f>
        <v>1.6938477046354525</v>
      </c>
      <c r="Q13" s="91"/>
      <c r="R13" s="28"/>
      <c r="S13" s="28"/>
      <c r="T13" s="27"/>
      <c r="U13" s="27"/>
      <c r="V13" s="40" t="s">
        <v>88</v>
      </c>
      <c r="W13" s="98" t="str">
        <f t="shared" si="2"/>
        <v/>
      </c>
      <c r="Z13" s="7">
        <v>1</v>
      </c>
      <c r="AA13" s="199">
        <f t="shared" si="0"/>
        <v>1</v>
      </c>
      <c r="AB13" s="7">
        <v>1</v>
      </c>
      <c r="AC13" s="199">
        <v>1</v>
      </c>
      <c r="AD13" s="199">
        <v>1</v>
      </c>
      <c r="AE13" s="199">
        <f t="shared" si="1"/>
        <v>1</v>
      </c>
    </row>
    <row r="14" spans="1:31" ht="14.25" x14ac:dyDescent="0.2">
      <c r="A14" s="24"/>
      <c r="C14" s="27"/>
      <c r="D14" s="27"/>
      <c r="E14" s="40" t="s">
        <v>39</v>
      </c>
      <c r="F14" s="27"/>
      <c r="G14" s="40" t="s">
        <v>17</v>
      </c>
      <c r="H14" s="60">
        <v>1</v>
      </c>
      <c r="I14" s="60">
        <v>1</v>
      </c>
      <c r="J14" s="60">
        <f>DEMPROJ!F49/DEMPROJ!E49*I14</f>
        <v>1.0555047826782802</v>
      </c>
      <c r="K14" s="60">
        <f>DEMPROJ!G49*Z14</f>
        <v>1.5978976806228098</v>
      </c>
      <c r="L14" s="60">
        <f>DEMPROJ!H49*AA14</f>
        <v>2.0132473641930049</v>
      </c>
      <c r="M14" s="60">
        <f>DEMPROJ!I49*AB14</f>
        <v>2.3126294022132821</v>
      </c>
      <c r="N14" s="60">
        <f>DEMPROJ!J49*AC14</f>
        <v>2.6418404797434536</v>
      </c>
      <c r="O14" s="60">
        <f>DEMPROJ!K49*AD14</f>
        <v>1.3223912085622567</v>
      </c>
      <c r="P14" s="60">
        <f>DEMPROJ!L49*AE14</f>
        <v>1.8258751481351896</v>
      </c>
      <c r="Q14" s="91"/>
      <c r="R14" s="28"/>
      <c r="S14" s="28"/>
      <c r="T14" s="27"/>
      <c r="U14" s="27"/>
      <c r="V14" s="40" t="s">
        <v>89</v>
      </c>
      <c r="W14" s="98" t="str">
        <f t="shared" si="2"/>
        <v/>
      </c>
      <c r="Z14" s="7">
        <v>1</v>
      </c>
      <c r="AA14" s="199">
        <f t="shared" si="0"/>
        <v>1</v>
      </c>
      <c r="AB14" s="7">
        <v>1</v>
      </c>
      <c r="AC14" s="199">
        <v>1</v>
      </c>
      <c r="AD14" s="199">
        <v>1</v>
      </c>
      <c r="AE14" s="199">
        <f t="shared" si="1"/>
        <v>1</v>
      </c>
    </row>
    <row r="15" spans="1:31" ht="14.25" x14ac:dyDescent="0.2">
      <c r="A15" s="24"/>
      <c r="C15" s="27"/>
      <c r="D15" s="27"/>
      <c r="E15" s="40" t="s">
        <v>39</v>
      </c>
      <c r="F15" s="27"/>
      <c r="G15" s="40" t="s">
        <v>17</v>
      </c>
      <c r="H15" s="60">
        <v>1</v>
      </c>
      <c r="I15" s="60">
        <v>1</v>
      </c>
      <c r="J15" s="60">
        <f>DEMPROJ!F50/DEMPROJ!E50*I15</f>
        <v>1.0670803512315767</v>
      </c>
      <c r="K15" s="60">
        <f>DEMPROJ!G50*Z15</f>
        <v>1.4905521565296853</v>
      </c>
      <c r="L15" s="60">
        <f>DEMPROJ!H50*AA15</f>
        <v>1.8379046012520279</v>
      </c>
      <c r="M15" s="60">
        <f>DEMPROJ!I50*AB15</f>
        <v>2.0840514563644952</v>
      </c>
      <c r="N15" s="60">
        <f>DEMPROJ!J50*AC15</f>
        <v>2.3513132518141262</v>
      </c>
      <c r="O15" s="60">
        <f>DEMPROJ!K50*AD15</f>
        <v>1.2841847773885879</v>
      </c>
      <c r="P15" s="60">
        <f>DEMPROJ!L50*AE15</f>
        <v>1.6849347834294148</v>
      </c>
      <c r="Q15" s="91"/>
      <c r="R15" s="28"/>
      <c r="S15" s="28"/>
      <c r="T15" s="27"/>
      <c r="U15" s="27"/>
      <c r="V15" s="40" t="s">
        <v>90</v>
      </c>
      <c r="W15" s="98" t="str">
        <f t="shared" si="2"/>
        <v/>
      </c>
      <c r="Z15" s="7">
        <v>1</v>
      </c>
      <c r="AA15" s="199">
        <f t="shared" si="0"/>
        <v>1</v>
      </c>
      <c r="AB15" s="7">
        <v>1</v>
      </c>
      <c r="AC15" s="199">
        <v>1</v>
      </c>
      <c r="AD15" s="199">
        <v>1</v>
      </c>
      <c r="AE15" s="199">
        <f t="shared" si="1"/>
        <v>1</v>
      </c>
    </row>
    <row r="16" spans="1:31" ht="14.25" x14ac:dyDescent="0.2">
      <c r="A16" s="24"/>
      <c r="C16" s="27"/>
      <c r="D16" s="27"/>
      <c r="E16" s="40" t="s">
        <v>39</v>
      </c>
      <c r="F16" s="27"/>
      <c r="G16" s="40" t="s">
        <v>17</v>
      </c>
      <c r="H16" s="60">
        <v>1</v>
      </c>
      <c r="I16" s="60">
        <v>1</v>
      </c>
      <c r="J16" s="60">
        <f>DEMPROJ!F51/DEMPROJ!E51*I16</f>
        <v>1.0938502844885714</v>
      </c>
      <c r="K16" s="60">
        <f>DEMPROJ!G51*Z16</f>
        <v>1.5617192384247951</v>
      </c>
      <c r="L16" s="60">
        <f>DEMPROJ!H51*AA16</f>
        <v>1.9384078185382094</v>
      </c>
      <c r="M16" s="60">
        <f>DEMPROJ!I51*AB16</f>
        <v>2.254938427237982</v>
      </c>
      <c r="N16" s="60">
        <f>DEMPROJ!J51*AC16</f>
        <v>2.6996361439831702</v>
      </c>
      <c r="O16" s="60">
        <f>DEMPROJ!K51*AD16</f>
        <v>1.3308704722858877</v>
      </c>
      <c r="P16" s="60">
        <f>DEMPROJ!L51*AE16</f>
        <v>1.7712182619934189</v>
      </c>
      <c r="Q16" s="91"/>
      <c r="R16" s="28"/>
      <c r="S16" s="28"/>
      <c r="T16" s="27"/>
      <c r="U16" s="27"/>
      <c r="V16" s="40" t="s">
        <v>91</v>
      </c>
      <c r="W16" s="98" t="str">
        <f t="shared" si="2"/>
        <v/>
      </c>
      <c r="Z16" s="7">
        <v>1</v>
      </c>
      <c r="AA16" s="199">
        <f t="shared" si="0"/>
        <v>1</v>
      </c>
      <c r="AB16" s="7">
        <v>1</v>
      </c>
      <c r="AC16" s="199">
        <v>1</v>
      </c>
      <c r="AD16" s="199">
        <v>1</v>
      </c>
      <c r="AE16" s="199">
        <f t="shared" si="1"/>
        <v>1</v>
      </c>
    </row>
    <row r="17" spans="1:31" ht="14.25" x14ac:dyDescent="0.2">
      <c r="A17" s="24"/>
      <c r="C17" s="27"/>
      <c r="D17" s="27"/>
      <c r="E17" s="40" t="s">
        <v>39</v>
      </c>
      <c r="F17" s="27"/>
      <c r="G17" s="40" t="s">
        <v>17</v>
      </c>
      <c r="H17" s="60">
        <v>1</v>
      </c>
      <c r="I17" s="60">
        <v>1</v>
      </c>
      <c r="J17" s="60">
        <f>DEMPROJ!F52/DEMPROJ!E52*I17</f>
        <v>1.0179569278762093</v>
      </c>
      <c r="K17" s="60">
        <f>DEMPROJ!G52*Z17</f>
        <v>1.1340939397941407</v>
      </c>
      <c r="L17" s="60">
        <f>DEMPROJ!H52*AA17</f>
        <v>1.2528381124831169</v>
      </c>
      <c r="M17" s="60">
        <f>DEMPROJ!I52*AB17</f>
        <v>1.3715822851720931</v>
      </c>
      <c r="N17" s="60">
        <f>DEMPROJ!J52*AC17</f>
        <v>1.5015810472665936</v>
      </c>
      <c r="O17" s="60">
        <f>DEMPROJ!K52*AD17</f>
        <v>1.0449920927560175</v>
      </c>
      <c r="P17" s="60">
        <f>DEMPROJ!L52*AE17</f>
        <v>1.3511686121408917</v>
      </c>
      <c r="Q17" s="91"/>
      <c r="R17" s="28"/>
      <c r="S17" s="28"/>
      <c r="T17" s="27"/>
      <c r="U17" s="27"/>
      <c r="V17" s="40" t="s">
        <v>92</v>
      </c>
      <c r="W17" s="98" t="str">
        <f t="shared" si="2"/>
        <v/>
      </c>
      <c r="Z17" s="7">
        <v>1</v>
      </c>
      <c r="AA17" s="199">
        <f t="shared" si="0"/>
        <v>1</v>
      </c>
      <c r="AB17" s="7">
        <v>1</v>
      </c>
      <c r="AC17" s="199">
        <v>1</v>
      </c>
      <c r="AD17" s="199">
        <v>1</v>
      </c>
      <c r="AE17" s="199">
        <f t="shared" si="1"/>
        <v>1</v>
      </c>
    </row>
    <row r="18" spans="1:31" ht="14.25" x14ac:dyDescent="0.2">
      <c r="A18" s="24"/>
      <c r="C18" s="27"/>
      <c r="D18" s="27"/>
      <c r="E18" s="40" t="s">
        <v>39</v>
      </c>
      <c r="F18" s="27"/>
      <c r="G18" s="40" t="s">
        <v>17</v>
      </c>
      <c r="H18" s="60">
        <v>1</v>
      </c>
      <c r="I18" s="60">
        <v>1</v>
      </c>
      <c r="J18" s="60">
        <f>DEMPROJ!F53/DEMPROJ!E53*I18</f>
        <v>1.0610147362981242</v>
      </c>
      <c r="K18" s="60">
        <f>DEMPROJ!G53*Z18</f>
        <v>1.4958916777107185</v>
      </c>
      <c r="L18" s="60">
        <f>DEMPROJ!H53*AA18</f>
        <v>1.8737951872154439</v>
      </c>
      <c r="M18" s="60">
        <f>DEMPROJ!I53*AB18</f>
        <v>2.1938023649935108</v>
      </c>
      <c r="N18" s="60">
        <f>DEMPROJ!J53*AC18</f>
        <v>2.6465688949723645</v>
      </c>
      <c r="O18" s="60">
        <f>DEMPROJ!K53*AD18</f>
        <v>1.2828212584753105</v>
      </c>
      <c r="P18" s="60">
        <f>DEMPROJ!L53*AE18</f>
        <v>1.7043514613359794</v>
      </c>
      <c r="Q18" s="91"/>
      <c r="R18" s="28"/>
      <c r="S18" s="28"/>
      <c r="T18" s="27"/>
      <c r="U18" s="27"/>
      <c r="V18" s="40" t="s">
        <v>93</v>
      </c>
      <c r="W18" s="98" t="str">
        <f t="shared" si="2"/>
        <v/>
      </c>
      <c r="Z18" s="7">
        <v>1</v>
      </c>
      <c r="AA18" s="199">
        <f t="shared" si="0"/>
        <v>1</v>
      </c>
      <c r="AB18" s="7">
        <v>1</v>
      </c>
      <c r="AC18" s="199">
        <v>1</v>
      </c>
      <c r="AD18" s="199">
        <v>1</v>
      </c>
      <c r="AE18" s="199">
        <f t="shared" si="1"/>
        <v>1</v>
      </c>
    </row>
    <row r="19" spans="1:31" x14ac:dyDescent="0.2">
      <c r="A19" s="24"/>
      <c r="C19" s="27"/>
      <c r="D19" s="27"/>
      <c r="E19" s="40" t="s">
        <v>104</v>
      </c>
      <c r="F19" s="27"/>
      <c r="G19" s="40"/>
      <c r="H19" s="27"/>
      <c r="I19" s="27"/>
      <c r="J19" s="27"/>
      <c r="K19" s="27"/>
      <c r="L19" s="27"/>
      <c r="M19" s="27"/>
      <c r="N19" s="27"/>
      <c r="O19" s="27"/>
      <c r="P19" s="27"/>
      <c r="Q19" s="91"/>
      <c r="R19" s="28"/>
      <c r="S19" s="28"/>
      <c r="T19" s="27"/>
      <c r="U19" s="27"/>
      <c r="V19" s="27"/>
      <c r="W19" s="28"/>
    </row>
    <row r="20" spans="1:31" x14ac:dyDescent="0.2">
      <c r="A20" s="24" t="s">
        <v>245</v>
      </c>
      <c r="C20" s="27"/>
      <c r="D20" s="27"/>
      <c r="E20" s="40" t="s">
        <v>39</v>
      </c>
      <c r="F20" s="40"/>
      <c r="G20" s="122" t="s">
        <v>17</v>
      </c>
      <c r="H20" s="101">
        <f>GetData!$G$4</f>
        <v>16.721895376092199</v>
      </c>
      <c r="I20" s="40">
        <f>H20</f>
        <v>16.721895376092199</v>
      </c>
      <c r="J20" s="40">
        <v>8.9999999999999993E-3</v>
      </c>
      <c r="K20" s="40">
        <v>6.0000000000000001E-3</v>
      </c>
      <c r="L20" s="40">
        <v>4.0000000000000001E-3</v>
      </c>
      <c r="M20" s="40">
        <v>3.0000000000000001E-3</v>
      </c>
      <c r="N20" s="40">
        <v>2E-3</v>
      </c>
      <c r="O20" s="40">
        <f>AVERAGE(J20:K20)</f>
        <v>7.4999999999999997E-3</v>
      </c>
      <c r="P20" s="40"/>
      <c r="Q20" s="98">
        <v>2019</v>
      </c>
      <c r="R20" s="40"/>
      <c r="S20" s="40"/>
      <c r="T20" s="40"/>
      <c r="U20" s="40"/>
      <c r="V20" s="40" t="s">
        <v>245</v>
      </c>
      <c r="W20" s="98" t="str">
        <f t="shared" si="2"/>
        <v/>
      </c>
      <c r="Z20" s="124">
        <f t="array" ref="Z20">PRODUCT((1+J20:N20)^J6:N6)</f>
        <v>1.2171782824196351</v>
      </c>
    </row>
    <row r="21" spans="1:31" x14ac:dyDescent="0.2">
      <c r="A21" t="s">
        <v>107</v>
      </c>
      <c r="C21" s="27"/>
      <c r="D21" s="27"/>
      <c r="E21" s="40" t="s">
        <v>39</v>
      </c>
      <c r="F21" s="40"/>
      <c r="G21" s="122" t="s">
        <v>17</v>
      </c>
      <c r="H21" s="116">
        <v>1</v>
      </c>
      <c r="I21" s="116">
        <f>HLOOKUP(I$1,DEMPROJ!$F$6:$L$16,$Z21+1)</f>
        <v>1</v>
      </c>
      <c r="J21" s="116">
        <f>HLOOKUP(J$1,DEMPROJ!$F$6:$L$16,$Z21+1)</f>
        <v>1.0323829121194987</v>
      </c>
      <c r="K21" s="116">
        <f>HLOOKUP(K$1,DEMPROJ!$F$6:$L$16,$Z21+1)</f>
        <v>1.1441117064019013</v>
      </c>
      <c r="L21" s="116">
        <f>HLOOKUP(L$1,DEMPROJ!$F$6:$L$16,$Z21+1)</f>
        <v>1.2310267469109761</v>
      </c>
      <c r="M21" s="116">
        <f>HLOOKUP(M$1,DEMPROJ!$F$6:$L$16,$Z21+1)</f>
        <v>1.308858277819599</v>
      </c>
      <c r="N21" s="116">
        <f>HLOOKUP(N$1,DEMPROJ!$F$6:$L$16,$Z21+1)</f>
        <v>1.3662501368904865</v>
      </c>
      <c r="O21" s="116">
        <f>HLOOKUP(O$1,DEMPROJ!$F$6:$L$16,$Z21+1)</f>
        <v>1.0862645343705124</v>
      </c>
      <c r="P21" s="116"/>
      <c r="Q21" s="98"/>
      <c r="R21" s="40"/>
      <c r="S21" s="40"/>
      <c r="T21" s="40"/>
      <c r="U21" s="40"/>
      <c r="V21" s="40" t="s">
        <v>333</v>
      </c>
      <c r="W21" s="98" t="str">
        <f t="shared" si="2"/>
        <v/>
      </c>
      <c r="Y21" s="7"/>
      <c r="Z21" s="124">
        <v>1</v>
      </c>
    </row>
    <row r="22" spans="1:31" x14ac:dyDescent="0.2">
      <c r="A22" t="s">
        <v>108</v>
      </c>
      <c r="C22" s="27"/>
      <c r="D22" s="27"/>
      <c r="E22" s="40" t="s">
        <v>39</v>
      </c>
      <c r="F22" s="40"/>
      <c r="G22" s="122" t="s">
        <v>17</v>
      </c>
      <c r="H22" s="116">
        <v>1</v>
      </c>
      <c r="I22" s="116">
        <f>HLOOKUP(I$1,DEMPROJ!$F$6:$L$16,$Z22+1)</f>
        <v>1</v>
      </c>
      <c r="J22" s="116">
        <f>HLOOKUP(J$1,DEMPROJ!$F$6:$L$16,$Z22+1)</f>
        <v>1.015134350114375</v>
      </c>
      <c r="K22" s="116">
        <f>HLOOKUP(K$1,DEMPROJ!$F$6:$L$16,$Z22+1)</f>
        <v>1.0722892996228317</v>
      </c>
      <c r="L22" s="116">
        <f>HLOOKUP(L$1,DEMPROJ!$F$6:$L$16,$Z22+1)</f>
        <v>1.1663766902703312</v>
      </c>
      <c r="M22" s="116">
        <f>HLOOKUP(M$1,DEMPROJ!$F$6:$L$16,$Z22+1)</f>
        <v>1.287594658513562</v>
      </c>
      <c r="N22" s="116">
        <f>HLOOKUP(N$1,DEMPROJ!$F$6:$L$16,$Z22+1)</f>
        <v>1.3798675468696333</v>
      </c>
      <c r="O22" s="116">
        <f>HLOOKUP(O$1,DEMPROJ!$F$6:$L$16,$Z22+1)</f>
        <v>1.044204871018956</v>
      </c>
      <c r="P22" s="116"/>
      <c r="Q22" s="98"/>
      <c r="R22" s="40"/>
      <c r="S22" s="40"/>
      <c r="T22" s="40"/>
      <c r="U22" s="40"/>
      <c r="V22" s="40" t="s">
        <v>334</v>
      </c>
      <c r="W22" s="98" t="str">
        <f t="shared" si="2"/>
        <v/>
      </c>
      <c r="Y22" s="7"/>
      <c r="Z22" s="124">
        <v>2</v>
      </c>
    </row>
    <row r="23" spans="1:31" x14ac:dyDescent="0.2">
      <c r="A23" t="s">
        <v>109</v>
      </c>
      <c r="C23" s="27"/>
      <c r="D23" s="27"/>
      <c r="E23" s="40" t="s">
        <v>39</v>
      </c>
      <c r="F23" s="40"/>
      <c r="G23" s="122" t="s">
        <v>17</v>
      </c>
      <c r="H23" s="116">
        <v>1</v>
      </c>
      <c r="I23" s="116">
        <f>HLOOKUP(I$1,DEMPROJ!$F$6:$L$16,$Z23+1)</f>
        <v>1</v>
      </c>
      <c r="J23" s="116">
        <f>HLOOKUP(J$1,DEMPROJ!$F$6:$L$16,$Z23+1)</f>
        <v>1.0251321661606476</v>
      </c>
      <c r="K23" s="116">
        <f>HLOOKUP(K$1,DEMPROJ!$F$6:$L$16,$Z23+1)</f>
        <v>1.1109656786297952</v>
      </c>
      <c r="L23" s="116">
        <f>HLOOKUP(L$1,DEMPROJ!$F$6:$L$16,$Z23+1)</f>
        <v>1.2029548246275665</v>
      </c>
      <c r="M23" s="116">
        <f>HLOOKUP(M$1,DEMPROJ!$F$6:$L$16,$Z23+1)</f>
        <v>1.2973109416704114</v>
      </c>
      <c r="N23" s="116">
        <f>HLOOKUP(N$1,DEMPROJ!$F$6:$L$16,$Z23+1)</f>
        <v>1.3677301321931161</v>
      </c>
      <c r="O23" s="116">
        <f>HLOOKUP(O$1,DEMPROJ!$F$6:$L$16,$Z23+1)</f>
        <v>1.0660364004512082</v>
      </c>
      <c r="P23" s="116"/>
      <c r="Q23" s="98"/>
      <c r="R23" s="40"/>
      <c r="S23" s="40"/>
      <c r="T23" s="40"/>
      <c r="U23" s="40"/>
      <c r="V23" s="40" t="s">
        <v>335</v>
      </c>
      <c r="W23" s="98" t="str">
        <f t="shared" si="2"/>
        <v/>
      </c>
      <c r="Y23" s="7"/>
      <c r="Z23" s="124">
        <v>3</v>
      </c>
    </row>
    <row r="24" spans="1:31" x14ac:dyDescent="0.2">
      <c r="C24" s="27"/>
      <c r="D24" s="27"/>
      <c r="E24" s="40" t="s">
        <v>104</v>
      </c>
      <c r="F24" s="40"/>
      <c r="G24" s="122"/>
      <c r="H24" s="116"/>
      <c r="I24" s="116"/>
      <c r="J24" s="116"/>
      <c r="K24" s="116"/>
      <c r="L24" s="116"/>
      <c r="M24" s="116"/>
      <c r="N24" s="116"/>
      <c r="O24" s="116"/>
      <c r="P24" s="116"/>
      <c r="Q24" s="98"/>
      <c r="R24" s="40"/>
      <c r="S24" s="40"/>
      <c r="T24" s="40"/>
      <c r="U24" s="40"/>
      <c r="V24" s="40"/>
      <c r="W24" s="98"/>
      <c r="Y24" s="7"/>
      <c r="Z24" s="124"/>
    </row>
    <row r="25" spans="1:31" x14ac:dyDescent="0.2">
      <c r="A25" s="24" t="s">
        <v>171</v>
      </c>
      <c r="B25" s="24"/>
      <c r="C25" s="40"/>
      <c r="D25" s="40"/>
      <c r="E25" s="40" t="s">
        <v>39</v>
      </c>
      <c r="F25" s="40"/>
      <c r="G25" s="40" t="s">
        <v>17</v>
      </c>
      <c r="H25" s="30">
        <v>1</v>
      </c>
      <c r="I25" s="30">
        <f>DEMPROJ!E22</f>
        <v>1</v>
      </c>
      <c r="J25" s="30">
        <f>DEMPROJ!F22</f>
        <v>1.2042384842121647</v>
      </c>
      <c r="K25" s="30">
        <f>DEMPROJ!G22</f>
        <v>2.1511145076486953</v>
      </c>
      <c r="L25" s="30">
        <f>DEMPROJ!H22</f>
        <v>2.9478683357777022</v>
      </c>
      <c r="M25" s="30">
        <f>DEMPROJ!I22</f>
        <v>3.8190400037450183</v>
      </c>
      <c r="N25" s="30">
        <f>DEMPROJ!J22</f>
        <v>4.9731114035082671</v>
      </c>
      <c r="O25" s="30">
        <f>SQRT(J25*K25)</f>
        <v>1.6094890102320245</v>
      </c>
      <c r="P25" s="30"/>
      <c r="Q25" s="40"/>
      <c r="R25" s="40"/>
      <c r="S25" s="30"/>
      <c r="T25" s="40"/>
      <c r="U25" s="40"/>
      <c r="V25" s="40" t="s">
        <v>128</v>
      </c>
      <c r="W25" s="98" t="str">
        <f t="shared" si="2"/>
        <v/>
      </c>
    </row>
    <row r="26" spans="1:31" x14ac:dyDescent="0.2">
      <c r="C26" s="40"/>
      <c r="D26" s="40"/>
      <c r="E26" s="40" t="s">
        <v>39</v>
      </c>
      <c r="F26" s="40"/>
      <c r="G26" s="40" t="s">
        <v>17</v>
      </c>
      <c r="H26" s="30">
        <v>1</v>
      </c>
      <c r="I26" s="30">
        <f>DEMPROJ!E23</f>
        <v>1</v>
      </c>
      <c r="J26" s="30">
        <f>DEMPROJ!F23</f>
        <v>1.0191586637630026</v>
      </c>
      <c r="K26" s="30">
        <f>DEMPROJ!G23</f>
        <v>1.1066666816187221</v>
      </c>
      <c r="L26" s="30">
        <f>DEMPROJ!H23</f>
        <v>1.1774708124050526</v>
      </c>
      <c r="M26" s="30">
        <f>DEMPROJ!I23</f>
        <v>1.2375491812077213</v>
      </c>
      <c r="N26" s="30">
        <f>DEMPROJ!J23</f>
        <v>1.3016768503011749</v>
      </c>
      <c r="O26" s="40"/>
      <c r="P26" s="40"/>
      <c r="Q26" s="40"/>
      <c r="R26" s="40"/>
      <c r="S26" s="30"/>
      <c r="T26" s="40"/>
      <c r="U26" s="40"/>
      <c r="V26" s="40" t="s">
        <v>131</v>
      </c>
      <c r="W26" s="98" t="str">
        <f t="shared" si="2"/>
        <v/>
      </c>
    </row>
    <row r="27" spans="1:31" x14ac:dyDescent="0.2">
      <c r="C27" s="40"/>
      <c r="D27" s="40"/>
      <c r="E27" s="40" t="s">
        <v>39</v>
      </c>
      <c r="F27" s="40"/>
      <c r="G27" s="40" t="s">
        <v>17</v>
      </c>
      <c r="H27" s="30">
        <v>1</v>
      </c>
      <c r="I27" s="30">
        <f>DEMPROJ!E24</f>
        <v>1</v>
      </c>
      <c r="J27" s="30">
        <f>DEMPROJ!F24</f>
        <v>1.03170685373813</v>
      </c>
      <c r="K27" s="30">
        <f>DEMPROJ!G24</f>
        <v>1.1680591825682547</v>
      </c>
      <c r="L27" s="30">
        <f>DEMPROJ!H24</f>
        <v>1.2563889026667827</v>
      </c>
      <c r="M27" s="30">
        <f>DEMPROJ!I24</f>
        <v>1.3324744449569861</v>
      </c>
      <c r="N27" s="30">
        <f>DEMPROJ!J24</f>
        <v>1.4141354871357465</v>
      </c>
      <c r="O27" s="40"/>
      <c r="P27" s="40"/>
      <c r="Q27" s="40"/>
      <c r="R27" s="40"/>
      <c r="S27" s="30"/>
      <c r="T27" s="40"/>
      <c r="U27" s="40"/>
      <c r="V27" s="40" t="s">
        <v>135</v>
      </c>
      <c r="W27" s="98" t="str">
        <f t="shared" si="2"/>
        <v/>
      </c>
    </row>
    <row r="28" spans="1:31" x14ac:dyDescent="0.2">
      <c r="C28" s="40"/>
      <c r="D28" s="40"/>
      <c r="E28" s="40" t="s">
        <v>39</v>
      </c>
      <c r="F28" s="40"/>
      <c r="G28" s="40" t="s">
        <v>17</v>
      </c>
      <c r="H28" s="30">
        <v>1</v>
      </c>
      <c r="I28" s="30">
        <f>DEMPROJ!E25</f>
        <v>1</v>
      </c>
      <c r="J28" s="30">
        <f>DEMPROJ!F25</f>
        <v>1.0205268932251015</v>
      </c>
      <c r="K28" s="30">
        <f>DEMPROJ!G25</f>
        <v>1.1123289372727767</v>
      </c>
      <c r="L28" s="30">
        <f>DEMPROJ!H25</f>
        <v>1.1862375469223319</v>
      </c>
      <c r="M28" s="30">
        <f>DEMPROJ!I25</f>
        <v>1.2467632228717893</v>
      </c>
      <c r="N28" s="30">
        <f>DEMPROJ!J25</f>
        <v>1.3113683477494811</v>
      </c>
      <c r="O28" s="40"/>
      <c r="P28" s="40"/>
      <c r="Q28" s="40"/>
      <c r="R28" s="40"/>
      <c r="S28" s="30"/>
      <c r="T28" s="40"/>
      <c r="U28" s="40"/>
      <c r="V28" s="40" t="s">
        <v>129</v>
      </c>
      <c r="W28" s="98" t="str">
        <f t="shared" si="2"/>
        <v/>
      </c>
    </row>
    <row r="29" spans="1:31" x14ac:dyDescent="0.2">
      <c r="C29" s="40"/>
      <c r="D29" s="40"/>
      <c r="E29" s="40" t="s">
        <v>39</v>
      </c>
      <c r="F29" s="40"/>
      <c r="G29" s="40" t="s">
        <v>17</v>
      </c>
      <c r="H29" s="30">
        <v>1</v>
      </c>
      <c r="I29" s="30">
        <f>DEMPROJ!E26</f>
        <v>1</v>
      </c>
      <c r="J29" s="30">
        <f>DEMPROJ!F26</f>
        <v>1.0453013263717892</v>
      </c>
      <c r="K29" s="30">
        <f>DEMPROJ!G26</f>
        <v>1.195768086511015</v>
      </c>
      <c r="L29" s="30">
        <f>DEMPROJ!H26</f>
        <v>1.2900527777158306</v>
      </c>
      <c r="M29" s="30">
        <f>DEMPROJ!I26</f>
        <v>1.3658605029471775</v>
      </c>
      <c r="N29" s="30">
        <f>DEMPROJ!J26</f>
        <v>1.4476216053458044</v>
      </c>
      <c r="O29" s="40"/>
      <c r="P29" s="40"/>
      <c r="Q29" s="40"/>
      <c r="R29" s="40"/>
      <c r="S29" s="30"/>
      <c r="T29" s="40"/>
      <c r="U29" s="40"/>
      <c r="V29" s="40" t="s">
        <v>130</v>
      </c>
      <c r="W29" s="98" t="str">
        <f t="shared" si="2"/>
        <v/>
      </c>
    </row>
    <row r="30" spans="1:31" x14ac:dyDescent="0.2">
      <c r="C30" s="40"/>
      <c r="D30" s="40"/>
      <c r="E30" s="40" t="s">
        <v>39</v>
      </c>
      <c r="F30" s="40"/>
      <c r="G30" s="40" t="s">
        <v>17</v>
      </c>
      <c r="H30" s="30">
        <v>1</v>
      </c>
      <c r="I30" s="30">
        <f>DEMPROJ!E27</f>
        <v>1</v>
      </c>
      <c r="J30" s="30">
        <f>DEMPROJ!F27</f>
        <v>1.0370503969146003</v>
      </c>
      <c r="K30" s="30">
        <f>DEMPROJ!G27</f>
        <v>1.1579018417288758</v>
      </c>
      <c r="L30" s="30">
        <f>DEMPROJ!H27</f>
        <v>1.2291353596265535</v>
      </c>
      <c r="M30" s="30">
        <f>DEMPROJ!I27</f>
        <v>1.2942223231949015</v>
      </c>
      <c r="N30" s="30">
        <f>DEMPROJ!J27</f>
        <v>1.3638817478251442</v>
      </c>
      <c r="O30" s="40"/>
      <c r="P30" s="40"/>
      <c r="Q30" s="40"/>
      <c r="R30" s="40"/>
      <c r="S30" s="30"/>
      <c r="T30" s="40"/>
      <c r="U30" s="40"/>
      <c r="V30" s="40" t="s">
        <v>132</v>
      </c>
      <c r="W30" s="98" t="str">
        <f t="shared" si="2"/>
        <v/>
      </c>
    </row>
    <row r="31" spans="1:31" x14ac:dyDescent="0.2">
      <c r="C31" s="40"/>
      <c r="D31" s="40"/>
      <c r="E31" s="40" t="s">
        <v>39</v>
      </c>
      <c r="F31" s="40"/>
      <c r="G31" s="40" t="s">
        <v>17</v>
      </c>
      <c r="H31" s="30">
        <v>1</v>
      </c>
      <c r="I31" s="30">
        <f>DEMPROJ!E28</f>
        <v>1</v>
      </c>
      <c r="J31" s="30">
        <f>DEMPROJ!F28</f>
        <v>1.0273672097633273</v>
      </c>
      <c r="K31" s="30">
        <f>DEMPROJ!G28</f>
        <v>1.14102177545647</v>
      </c>
      <c r="L31" s="30">
        <f>DEMPROJ!H28</f>
        <v>1.230989794314358</v>
      </c>
      <c r="M31" s="30">
        <f>DEMPROJ!I28</f>
        <v>1.3033267852514303</v>
      </c>
      <c r="N31" s="30">
        <f>DEMPROJ!J28</f>
        <v>1.3813445875949955</v>
      </c>
      <c r="O31" s="40"/>
      <c r="P31" s="40"/>
      <c r="Q31" s="40"/>
      <c r="R31" s="40"/>
      <c r="S31" s="30"/>
      <c r="T31" s="40"/>
      <c r="U31" s="40"/>
      <c r="V31" s="40" t="s">
        <v>133</v>
      </c>
      <c r="W31" s="98" t="str">
        <f t="shared" si="2"/>
        <v/>
      </c>
    </row>
    <row r="32" spans="1:31" x14ac:dyDescent="0.2">
      <c r="C32" s="40"/>
      <c r="D32" s="40"/>
      <c r="E32" s="40" t="s">
        <v>39</v>
      </c>
      <c r="F32" s="40"/>
      <c r="G32" s="40" t="s">
        <v>17</v>
      </c>
      <c r="H32" s="30">
        <v>1</v>
      </c>
      <c r="I32" s="30">
        <f>DEMPROJ!E29</f>
        <v>1</v>
      </c>
      <c r="J32" s="30">
        <f>DEMPROJ!F29</f>
        <v>1.0422685274080117</v>
      </c>
      <c r="K32" s="30">
        <f>DEMPROJ!G29</f>
        <v>1.2175659205612843</v>
      </c>
      <c r="L32" s="30">
        <f>DEMPROJ!H29</f>
        <v>1.3286410002227047</v>
      </c>
      <c r="M32" s="30">
        <f>DEMPROJ!I29</f>
        <v>1.4228749532033873</v>
      </c>
      <c r="N32" s="30">
        <f>DEMPROJ!J29</f>
        <v>1.5251978552563272</v>
      </c>
      <c r="O32" s="40"/>
      <c r="P32" s="40"/>
      <c r="Q32" s="40"/>
      <c r="R32" s="40"/>
      <c r="S32" s="30"/>
      <c r="T32" s="40"/>
      <c r="U32" s="40"/>
      <c r="V32" s="40" t="s">
        <v>134</v>
      </c>
      <c r="W32" s="98" t="str">
        <f t="shared" si="2"/>
        <v/>
      </c>
    </row>
    <row r="33" spans="1:31" x14ac:dyDescent="0.2">
      <c r="A33" s="24" t="s">
        <v>242</v>
      </c>
      <c r="C33" s="40"/>
      <c r="D33" s="40"/>
      <c r="E33" s="40" t="s">
        <v>39</v>
      </c>
      <c r="F33" s="40"/>
      <c r="G33" s="40" t="s">
        <v>17</v>
      </c>
      <c r="H33" s="30">
        <v>1</v>
      </c>
      <c r="I33" s="30">
        <f>DEMPROJ!E30</f>
        <v>1</v>
      </c>
      <c r="J33" s="30">
        <f>DEMPROJ!F30</f>
        <v>1.2007331735694069</v>
      </c>
      <c r="K33" s="30">
        <f>DEMPROJ!G30</f>
        <v>2.0367639750598454</v>
      </c>
      <c r="L33" s="30">
        <f>DEMPROJ!H30</f>
        <v>2.9574284063051755</v>
      </c>
      <c r="M33" s="30">
        <f>DEMPROJ!I30</f>
        <v>3.7489858943847714</v>
      </c>
      <c r="N33" s="30">
        <f>DEMPROJ!J30</f>
        <v>5.0493404213376341</v>
      </c>
      <c r="O33" s="40"/>
      <c r="P33" s="40"/>
      <c r="Q33" s="40"/>
      <c r="R33" s="40"/>
      <c r="S33" s="30"/>
      <c r="T33" s="40"/>
      <c r="U33" s="40"/>
      <c r="V33" s="40" t="s">
        <v>136</v>
      </c>
      <c r="W33" s="98" t="str">
        <f t="shared" si="2"/>
        <v/>
      </c>
    </row>
    <row r="34" spans="1:31" x14ac:dyDescent="0.2">
      <c r="C34" s="40"/>
      <c r="D34" s="40"/>
      <c r="E34" s="40" t="s">
        <v>39</v>
      </c>
      <c r="F34" s="40"/>
      <c r="G34" s="40" t="s">
        <v>17</v>
      </c>
      <c r="H34" s="30">
        <v>1</v>
      </c>
      <c r="I34" s="30">
        <f>DEMPROJ!E31</f>
        <v>1</v>
      </c>
      <c r="J34" s="30">
        <f>DEMPROJ!F31</f>
        <v>1.0584559792320778</v>
      </c>
      <c r="K34" s="30">
        <f>DEMPROJ!G31</f>
        <v>1.2441835837436983</v>
      </c>
      <c r="L34" s="30">
        <f>DEMPROJ!H31</f>
        <v>1.4018114139984978</v>
      </c>
      <c r="M34" s="30">
        <f>DEMPROJ!I31</f>
        <v>1.5180808887191082</v>
      </c>
      <c r="N34" s="30">
        <f>DEMPROJ!J31</f>
        <v>1.6773208597574392</v>
      </c>
      <c r="O34" s="40"/>
      <c r="P34" s="40"/>
      <c r="Q34" s="40"/>
      <c r="R34" s="40"/>
      <c r="S34" s="30"/>
      <c r="T34" s="40"/>
      <c r="U34" s="40"/>
      <c r="V34" s="40" t="s">
        <v>138</v>
      </c>
      <c r="W34" s="98" t="str">
        <f t="shared" si="2"/>
        <v/>
      </c>
    </row>
    <row r="35" spans="1:31" x14ac:dyDescent="0.2">
      <c r="C35" s="40"/>
      <c r="D35" s="40"/>
      <c r="E35" s="40" t="s">
        <v>39</v>
      </c>
      <c r="F35" s="40"/>
      <c r="G35" s="40" t="s">
        <v>17</v>
      </c>
      <c r="H35" s="30">
        <v>1</v>
      </c>
      <c r="I35" s="30">
        <f>DEMPROJ!E32</f>
        <v>1</v>
      </c>
      <c r="J35" s="30">
        <f>DEMPROJ!F32</f>
        <v>1.0898407252411118</v>
      </c>
      <c r="K35" s="30">
        <f>DEMPROJ!G32</f>
        <v>1.3841426649918076</v>
      </c>
      <c r="L35" s="30">
        <f>DEMPROJ!H32</f>
        <v>1.6382885079302951</v>
      </c>
      <c r="M35" s="30">
        <f>DEMPROJ!I32</f>
        <v>1.8168696082480733</v>
      </c>
      <c r="N35" s="30">
        <f>DEMPROJ!J32</f>
        <v>2.0682324356602271</v>
      </c>
      <c r="O35" s="40"/>
      <c r="P35" s="40"/>
      <c r="Q35" s="40"/>
      <c r="R35" s="40"/>
      <c r="S35" s="30"/>
      <c r="T35" s="40"/>
      <c r="U35" s="40"/>
      <c r="V35" s="40" t="s">
        <v>137</v>
      </c>
      <c r="W35" s="98" t="str">
        <f t="shared" si="2"/>
        <v/>
      </c>
    </row>
    <row r="36" spans="1:31" x14ac:dyDescent="0.2">
      <c r="C36" s="40"/>
      <c r="D36" s="40"/>
      <c r="E36" s="40" t="s">
        <v>39</v>
      </c>
      <c r="F36" s="40"/>
      <c r="G36" s="40" t="s">
        <v>17</v>
      </c>
      <c r="H36" s="30">
        <v>1</v>
      </c>
      <c r="I36" s="30">
        <f>DEMPROJ!E33</f>
        <v>1</v>
      </c>
      <c r="J36" s="30">
        <f>DEMPROJ!F33</f>
        <v>1.0584559792320778</v>
      </c>
      <c r="K36" s="30">
        <f>DEMPROJ!G33</f>
        <v>1.2441835837436983</v>
      </c>
      <c r="L36" s="30">
        <f>DEMPROJ!H33</f>
        <v>1.4018114139984978</v>
      </c>
      <c r="M36" s="30">
        <f>DEMPROJ!I33</f>
        <v>1.5180808887191082</v>
      </c>
      <c r="N36" s="30">
        <f>DEMPROJ!J33</f>
        <v>1.6773208597574392</v>
      </c>
      <c r="O36" s="40"/>
      <c r="P36" s="40"/>
      <c r="Q36" s="40"/>
      <c r="R36" s="40"/>
      <c r="S36" s="30"/>
      <c r="T36" s="40"/>
      <c r="U36" s="40"/>
      <c r="V36" s="40" t="s">
        <v>139</v>
      </c>
      <c r="W36" s="98" t="str">
        <f t="shared" si="2"/>
        <v/>
      </c>
    </row>
    <row r="37" spans="1:31" x14ac:dyDescent="0.2">
      <c r="C37" s="40"/>
      <c r="D37" s="40"/>
      <c r="E37" s="40" t="s">
        <v>39</v>
      </c>
      <c r="F37" s="40"/>
      <c r="G37" s="40" t="s">
        <v>17</v>
      </c>
      <c r="H37" s="30">
        <v>1</v>
      </c>
      <c r="I37" s="30">
        <f>DEMPROJ!E34</f>
        <v>1</v>
      </c>
      <c r="J37" s="30">
        <f>DEMPROJ!F34</f>
        <v>1.0943157945155639</v>
      </c>
      <c r="K37" s="30">
        <f>DEMPROJ!G34</f>
        <v>1.4075632145133057</v>
      </c>
      <c r="L37" s="30">
        <f>DEMPROJ!H34</f>
        <v>1.6824636439068104</v>
      </c>
      <c r="M37" s="30">
        <f>DEMPROJ!I34</f>
        <v>1.8956179542004965</v>
      </c>
      <c r="N37" s="30">
        <f>DEMPROJ!J34</f>
        <v>2.2011615082828406</v>
      </c>
      <c r="O37" s="40"/>
      <c r="P37" s="40"/>
      <c r="Q37" s="40"/>
      <c r="R37" s="40"/>
      <c r="S37" s="30"/>
      <c r="T37" s="40"/>
      <c r="U37" s="40"/>
      <c r="V37" s="40" t="s">
        <v>140</v>
      </c>
      <c r="W37" s="98" t="str">
        <f t="shared" si="2"/>
        <v/>
      </c>
    </row>
    <row r="38" spans="1:31" x14ac:dyDescent="0.2">
      <c r="C38" s="40"/>
      <c r="D38" s="40"/>
      <c r="E38" s="40" t="s">
        <v>39</v>
      </c>
      <c r="F38" s="40"/>
      <c r="G38" s="40" t="s">
        <v>17</v>
      </c>
      <c r="H38" s="30">
        <v>1</v>
      </c>
      <c r="I38" s="30">
        <f>DEMPROJ!E35</f>
        <v>1</v>
      </c>
      <c r="J38" s="30">
        <f>DEMPROJ!F35</f>
        <v>1.0831237640909199</v>
      </c>
      <c r="K38" s="30">
        <f>DEMPROJ!G35</f>
        <v>1.3338260235689088</v>
      </c>
      <c r="L38" s="30">
        <f>DEMPROJ!H35</f>
        <v>1.525234838972864</v>
      </c>
      <c r="M38" s="30">
        <f>DEMPROJ!I35</f>
        <v>1.6517413374804724</v>
      </c>
      <c r="N38" s="30">
        <f>DEMPROJ!J35</f>
        <v>1.8250016984386637</v>
      </c>
      <c r="O38" s="40"/>
      <c r="P38" s="40"/>
      <c r="Q38" s="40"/>
      <c r="R38" s="40"/>
      <c r="S38" s="30"/>
      <c r="T38" s="40"/>
      <c r="U38" s="40"/>
      <c r="V38" s="40" t="s">
        <v>141</v>
      </c>
      <c r="W38" s="98" t="str">
        <f t="shared" si="2"/>
        <v/>
      </c>
    </row>
    <row r="39" spans="1:31" ht="13.5" thickBot="1" x14ac:dyDescent="0.25">
      <c r="C39" s="40"/>
      <c r="D39" s="40"/>
      <c r="E39" s="40" t="s">
        <v>104</v>
      </c>
      <c r="F39" s="40"/>
      <c r="G39" s="40"/>
      <c r="H39" s="40"/>
      <c r="I39" s="40"/>
      <c r="J39" s="40"/>
      <c r="K39" s="40"/>
      <c r="L39" s="40"/>
      <c r="M39" s="40"/>
      <c r="N39" s="30"/>
      <c r="O39" s="40"/>
      <c r="P39" s="40"/>
      <c r="Q39" s="40"/>
      <c r="R39" s="40"/>
      <c r="S39" s="40"/>
      <c r="T39" s="40"/>
      <c r="U39" s="40"/>
      <c r="V39" s="40"/>
      <c r="W39" s="98"/>
      <c r="Z39" s="12">
        <v>2030</v>
      </c>
      <c r="AA39" s="12">
        <v>2040</v>
      </c>
      <c r="AB39" s="12">
        <v>2050</v>
      </c>
      <c r="AC39" s="12">
        <v>2070</v>
      </c>
      <c r="AD39" s="12">
        <v>2025</v>
      </c>
      <c r="AE39" s="12">
        <v>2035</v>
      </c>
    </row>
    <row r="40" spans="1:31" x14ac:dyDescent="0.2">
      <c r="A40" s="24" t="s">
        <v>127</v>
      </c>
      <c r="B40" s="24"/>
      <c r="C40" s="40"/>
      <c r="D40" s="40"/>
      <c r="E40" s="40" t="s">
        <v>39</v>
      </c>
      <c r="F40" s="40"/>
      <c r="G40" s="40" t="s">
        <v>17</v>
      </c>
      <c r="H40" s="30">
        <v>1</v>
      </c>
      <c r="I40" s="30">
        <f>DEMPROJ!E60*$H40</f>
        <v>1</v>
      </c>
      <c r="J40" s="30">
        <f>DEMPROJ!F60*$H40</f>
        <v>1.0348010376165906</v>
      </c>
      <c r="K40" s="30">
        <f>DEMPROJ!G60*$H40*Z40</f>
        <v>1.062424832377185</v>
      </c>
      <c r="L40" s="30">
        <f>DEMPROJ!H60*$H40*AA40</f>
        <v>1.0833089236911668</v>
      </c>
      <c r="M40" s="30">
        <f>DEMPROJ!I60*$H40*AB40</f>
        <v>1.1033383868660978</v>
      </c>
      <c r="N40" s="30">
        <f>DEMPROJ!J60*$H40*AC40</f>
        <v>1.1089627365503281</v>
      </c>
      <c r="O40" s="30">
        <f>DEMPROJ!K60*$H40*AD40</f>
        <v>1.0472446682283443</v>
      </c>
      <c r="P40" s="30"/>
      <c r="Q40" s="40"/>
      <c r="R40" s="40"/>
      <c r="S40" s="40"/>
      <c r="T40" s="40"/>
      <c r="U40" s="40"/>
      <c r="V40" s="40" t="s">
        <v>338</v>
      </c>
      <c r="W40" s="98" t="str">
        <f t="shared" si="2"/>
        <v/>
      </c>
      <c r="Z40" s="7">
        <v>1</v>
      </c>
      <c r="AA40" s="199">
        <f t="shared" ref="AA40:AA49" si="3">SQRT(Z40*AB40)</f>
        <v>1</v>
      </c>
      <c r="AB40" s="7">
        <v>1</v>
      </c>
      <c r="AC40" s="199">
        <f t="array" ref="AC40">AB40:AB52</f>
        <v>1</v>
      </c>
      <c r="AD40" s="199">
        <f t="array" ref="AD40">1</f>
        <v>1</v>
      </c>
      <c r="AE40" s="199">
        <f t="shared" ref="AE40:AE49" si="4">SQRT(Z40*AA40)</f>
        <v>1</v>
      </c>
    </row>
    <row r="41" spans="1:31" x14ac:dyDescent="0.2">
      <c r="A41" s="24" t="s">
        <v>237</v>
      </c>
      <c r="C41" s="40"/>
      <c r="D41" s="40"/>
      <c r="E41" s="40" t="s">
        <v>39</v>
      </c>
      <c r="F41" s="40"/>
      <c r="G41" s="40" t="s">
        <v>17</v>
      </c>
      <c r="H41" s="30">
        <v>1</v>
      </c>
      <c r="I41" s="30">
        <f>DEMPROJ!E61*$H41</f>
        <v>1</v>
      </c>
      <c r="J41" s="30">
        <f>DEMPROJ!F61*$H41</f>
        <v>1.0187905726688982</v>
      </c>
      <c r="K41" s="30">
        <f>DEMPROJ!G61*$H41*Z41</f>
        <v>1.0150992875400242</v>
      </c>
      <c r="L41" s="30">
        <f>DEMPROJ!H61*$H41*AA41</f>
        <v>1.0495610771492352</v>
      </c>
      <c r="M41" s="30">
        <f>DEMPROJ!I61*$H41*AB41</f>
        <v>1.071102812432855</v>
      </c>
      <c r="N41" s="30">
        <f>DEMPROJ!J61*$H41*AC41</f>
        <v>1.071102812432855</v>
      </c>
      <c r="O41" s="30">
        <f>DEMPROJ!K61*$H41*AD41</f>
        <v>1.0146548976196272</v>
      </c>
      <c r="P41" s="30"/>
      <c r="Q41" s="40"/>
      <c r="R41" s="40"/>
      <c r="S41" s="40"/>
      <c r="T41" s="40"/>
      <c r="U41" s="40"/>
      <c r="V41" s="40" t="s">
        <v>339</v>
      </c>
      <c r="W41" s="98" t="str">
        <f t="shared" si="2"/>
        <v/>
      </c>
      <c r="Z41" s="7">
        <v>1</v>
      </c>
      <c r="AA41" s="199">
        <f t="shared" si="3"/>
        <v>1</v>
      </c>
      <c r="AB41" s="7">
        <v>1</v>
      </c>
      <c r="AC41" s="199">
        <f t="array" ref="AC41">AB41:AB53</f>
        <v>1</v>
      </c>
      <c r="AD41" s="199">
        <f t="array" ref="AD41">1</f>
        <v>1</v>
      </c>
      <c r="AE41" s="199">
        <f t="shared" si="4"/>
        <v>1</v>
      </c>
    </row>
    <row r="42" spans="1:31" x14ac:dyDescent="0.2">
      <c r="C42" s="40"/>
      <c r="D42" s="40"/>
      <c r="E42" s="40" t="s">
        <v>39</v>
      </c>
      <c r="F42" s="40"/>
      <c r="G42" s="40" t="s">
        <v>17</v>
      </c>
      <c r="H42" s="30">
        <v>1</v>
      </c>
      <c r="I42" s="30">
        <f>DEMPROJ!E62*$H42</f>
        <v>1</v>
      </c>
      <c r="J42" s="30">
        <f>DEMPROJ!F62*$H42</f>
        <v>1.0420277996246523</v>
      </c>
      <c r="K42" s="30">
        <f>DEMPROJ!G62*$H42*Z42</f>
        <v>1.1482891702663238</v>
      </c>
      <c r="L42" s="30">
        <f>DEMPROJ!H62*$H42*AA42</f>
        <v>1.1922073787904381</v>
      </c>
      <c r="M42" s="30">
        <f>DEMPROJ!I62*$H42*AB42</f>
        <v>1.1710503092218856</v>
      </c>
      <c r="N42" s="30">
        <f>DEMPROJ!J62*$H42*AC42</f>
        <v>1.1710503092218858</v>
      </c>
      <c r="O42" s="30">
        <f>DEMPROJ!K62*$H42*AD42</f>
        <v>1.0985161422849872</v>
      </c>
      <c r="P42" s="30"/>
      <c r="Q42" s="40"/>
      <c r="R42" s="40"/>
      <c r="S42" s="40"/>
      <c r="T42" s="40"/>
      <c r="U42" s="40"/>
      <c r="V42" s="40" t="s">
        <v>341</v>
      </c>
      <c r="W42" s="98" t="str">
        <f t="shared" si="2"/>
        <v/>
      </c>
      <c r="Z42" s="7">
        <v>1</v>
      </c>
      <c r="AA42" s="199">
        <f t="shared" si="3"/>
        <v>1</v>
      </c>
      <c r="AB42" s="7">
        <v>1</v>
      </c>
      <c r="AC42" s="199">
        <f t="array" ref="AC42">AB42:AB54</f>
        <v>1</v>
      </c>
      <c r="AD42" s="199">
        <f t="array" ref="AD42">1</f>
        <v>1</v>
      </c>
      <c r="AE42" s="199">
        <f t="shared" si="4"/>
        <v>1</v>
      </c>
    </row>
    <row r="43" spans="1:31" x14ac:dyDescent="0.2">
      <c r="C43" s="40"/>
      <c r="D43" s="40"/>
      <c r="E43" s="40" t="s">
        <v>39</v>
      </c>
      <c r="F43" s="40"/>
      <c r="G43" s="40" t="s">
        <v>17</v>
      </c>
      <c r="H43" s="30">
        <v>1</v>
      </c>
      <c r="I43" s="30">
        <f>DEMPROJ!E63*$H43</f>
        <v>1</v>
      </c>
      <c r="J43" s="30">
        <f>DEMPROJ!F63*$H43</f>
        <v>1.0420277996246525</v>
      </c>
      <c r="K43" s="30">
        <f>DEMPROJ!G63*$H43*Z43</f>
        <v>1.2188056118621087</v>
      </c>
      <c r="L43" s="30">
        <f>DEMPROJ!H63*$H43*AA43</f>
        <v>1.2667141202753545</v>
      </c>
      <c r="M43" s="30">
        <f>DEMPROJ!I63*$H43*AB43</f>
        <v>1.2577400660452216</v>
      </c>
      <c r="N43" s="30">
        <f>DEMPROJ!J63*$H43*AC43</f>
        <v>1.2577400660452216</v>
      </c>
      <c r="O43" s="30">
        <f>DEMPROJ!K63*$H43*AD43</f>
        <v>1.1349633205434642</v>
      </c>
      <c r="P43" s="30"/>
      <c r="Q43" s="40"/>
      <c r="R43" s="40"/>
      <c r="S43" s="40"/>
      <c r="T43" s="40"/>
      <c r="U43" s="40"/>
      <c r="V43" s="40" t="s">
        <v>340</v>
      </c>
      <c r="W43" s="98" t="str">
        <f t="shared" si="2"/>
        <v/>
      </c>
      <c r="Z43" s="7">
        <v>1</v>
      </c>
      <c r="AA43" s="199">
        <f t="shared" si="3"/>
        <v>1</v>
      </c>
      <c r="AB43" s="7">
        <v>1</v>
      </c>
      <c r="AC43" s="199">
        <f t="array" ref="AC43">AB43:AB55</f>
        <v>1</v>
      </c>
      <c r="AD43" s="199">
        <f t="array" ref="AD43">1</f>
        <v>1</v>
      </c>
      <c r="AE43" s="199">
        <f t="shared" si="4"/>
        <v>1</v>
      </c>
    </row>
    <row r="44" spans="1:31" x14ac:dyDescent="0.2">
      <c r="C44" s="40"/>
      <c r="D44" s="40"/>
      <c r="E44" s="40" t="s">
        <v>39</v>
      </c>
      <c r="F44" s="40"/>
      <c r="G44" s="40" t="s">
        <v>17</v>
      </c>
      <c r="H44" s="30">
        <v>1</v>
      </c>
      <c r="I44" s="30">
        <f>DEMPROJ!E64*$H44</f>
        <v>1</v>
      </c>
      <c r="J44" s="30">
        <f>DEMPROJ!F64*$H44</f>
        <v>0.99837144468547212</v>
      </c>
      <c r="K44" s="30">
        <f>DEMPROJ!G64*$H44*Z44</f>
        <v>1.040874588943127</v>
      </c>
      <c r="L44" s="30">
        <f>DEMPROJ!H64*$H44*AA44</f>
        <v>1.0493768775980552</v>
      </c>
      <c r="M44" s="30">
        <f>DEMPROJ!I64*$H44*AB44</f>
        <v>1.0501305199698803</v>
      </c>
      <c r="N44" s="30">
        <f>DEMPROJ!J64*$H44*AC44</f>
        <v>1.0122496325006349</v>
      </c>
      <c r="O44" s="30">
        <f>DEMPROJ!K64*$H44*AD44</f>
        <v>1.0225507401000038</v>
      </c>
      <c r="P44" s="30"/>
      <c r="Q44" s="40"/>
      <c r="R44" s="40"/>
      <c r="S44" s="40"/>
      <c r="T44" s="40"/>
      <c r="U44" s="40"/>
      <c r="V44" s="40" t="s">
        <v>342</v>
      </c>
      <c r="W44" s="98" t="str">
        <f t="shared" si="2"/>
        <v/>
      </c>
      <c r="Z44" s="7">
        <v>1</v>
      </c>
      <c r="AA44" s="199">
        <f t="shared" si="3"/>
        <v>1</v>
      </c>
      <c r="AB44" s="7">
        <v>1</v>
      </c>
      <c r="AC44" s="199">
        <f t="array" ref="AC44">AB44:AB56</f>
        <v>1</v>
      </c>
      <c r="AD44" s="199">
        <f t="array" ref="AD44">1</f>
        <v>1</v>
      </c>
      <c r="AE44" s="199">
        <f t="shared" si="4"/>
        <v>1</v>
      </c>
    </row>
    <row r="45" spans="1:31" x14ac:dyDescent="0.2">
      <c r="C45" s="40"/>
      <c r="D45" s="40"/>
      <c r="E45" s="40" t="s">
        <v>39</v>
      </c>
      <c r="F45" s="40"/>
      <c r="G45" s="40" t="s">
        <v>17</v>
      </c>
      <c r="H45" s="30">
        <v>1</v>
      </c>
      <c r="I45" s="30">
        <f>DEMPROJ!E65*$H45</f>
        <v>1</v>
      </c>
      <c r="J45" s="30">
        <f>DEMPROJ!F65*$H45</f>
        <v>1.0196082956262369</v>
      </c>
      <c r="K45" s="30">
        <f>DEMPROJ!G65*$H45*Z45</f>
        <v>1.0479271978028621</v>
      </c>
      <c r="L45" s="30">
        <f>DEMPROJ!H65*$H45*AA45</f>
        <v>1.0894038768561838</v>
      </c>
      <c r="M45" s="30">
        <f>DEMPROJ!I65*$H45*AB45</f>
        <v>1.1383202027429797</v>
      </c>
      <c r="N45" s="30">
        <f>DEMPROJ!J65*$H45*AC45</f>
        <v>1.139879370763222</v>
      </c>
      <c r="O45" s="30">
        <f>DEMPROJ!K65*$H45*AD45</f>
        <v>1.0314318647761631</v>
      </c>
      <c r="P45" s="30"/>
      <c r="Q45" s="40"/>
      <c r="R45" s="40"/>
      <c r="S45" s="40"/>
      <c r="T45" s="40"/>
      <c r="U45" s="40"/>
      <c r="V45" s="40" t="s">
        <v>343</v>
      </c>
      <c r="W45" s="98" t="str">
        <f t="shared" si="2"/>
        <v/>
      </c>
      <c r="Z45" s="7">
        <v>1</v>
      </c>
      <c r="AA45" s="199">
        <f t="shared" si="3"/>
        <v>1</v>
      </c>
      <c r="AB45" s="7">
        <v>1</v>
      </c>
      <c r="AC45" s="199">
        <f t="array" ref="AC45">AB45:AB57</f>
        <v>1</v>
      </c>
      <c r="AD45" s="199">
        <f t="array" ref="AD45">1</f>
        <v>1</v>
      </c>
      <c r="AE45" s="199">
        <f t="shared" si="4"/>
        <v>1</v>
      </c>
    </row>
    <row r="46" spans="1:31" x14ac:dyDescent="0.2">
      <c r="C46" s="40"/>
      <c r="D46" s="40"/>
      <c r="E46" s="40" t="s">
        <v>39</v>
      </c>
      <c r="F46" s="40"/>
      <c r="G46" s="40" t="s">
        <v>17</v>
      </c>
      <c r="H46" s="30">
        <v>1</v>
      </c>
      <c r="I46" s="30">
        <f>DEMPROJ!E66</f>
        <v>1</v>
      </c>
      <c r="J46" s="30">
        <f>DEMPROJ!F66</f>
        <v>1.0119047619047619</v>
      </c>
      <c r="K46" s="30">
        <f>DEMPROJ!G66*$H46*Z46</f>
        <v>1.1408730158730158</v>
      </c>
      <c r="L46" s="30">
        <f>DEMPROJ!H66*$H46*AA46</f>
        <v>1.1408730158730158</v>
      </c>
      <c r="M46" s="30">
        <f>DEMPROJ!I66*$H46*AB46</f>
        <v>1.1408730158730158</v>
      </c>
      <c r="N46" s="30">
        <f>DEMPROJ!J66*$H46*AC46</f>
        <v>1.1408730158730158</v>
      </c>
      <c r="O46" s="30">
        <f>DEMPROJ!K66*$H46*AD46</f>
        <v>1.0744556005208179</v>
      </c>
      <c r="P46" s="30"/>
      <c r="Q46" s="40"/>
      <c r="R46" s="40"/>
      <c r="S46" s="40"/>
      <c r="T46" s="40"/>
      <c r="U46" s="40"/>
      <c r="V46" s="40" t="s">
        <v>344</v>
      </c>
      <c r="W46" s="98" t="str">
        <f t="shared" si="2"/>
        <v/>
      </c>
      <c r="Z46" s="7">
        <v>1</v>
      </c>
      <c r="AA46" s="199">
        <f t="shared" si="3"/>
        <v>1</v>
      </c>
      <c r="AB46" s="7">
        <v>1</v>
      </c>
      <c r="AC46" s="199">
        <f t="array" ref="AC46">AB46:AB58</f>
        <v>1</v>
      </c>
      <c r="AD46" s="199">
        <f t="array" ref="AD46">1</f>
        <v>1</v>
      </c>
      <c r="AE46" s="199">
        <f t="shared" si="4"/>
        <v>1</v>
      </c>
    </row>
    <row r="47" spans="1:31" x14ac:dyDescent="0.2">
      <c r="C47" s="40"/>
      <c r="D47" s="40"/>
      <c r="E47" s="40" t="s">
        <v>39</v>
      </c>
      <c r="F47" s="40"/>
      <c r="G47" s="40" t="s">
        <v>17</v>
      </c>
      <c r="H47" s="30">
        <v>1</v>
      </c>
      <c r="I47" s="30">
        <f>DEMPROJ!E67</f>
        <v>1</v>
      </c>
      <c r="J47" s="30">
        <f>DEMPROJ!F67</f>
        <v>1.0030403037943643</v>
      </c>
      <c r="K47" s="30">
        <f>DEMPROJ!G67*$H47*Z47</f>
        <v>0.99819870850016945</v>
      </c>
      <c r="L47" s="30">
        <f>DEMPROJ!H67*$H47*AA47</f>
        <v>0.98994895889707779</v>
      </c>
      <c r="M47" s="30">
        <f>DEMPROJ!I67*$H47*AB47</f>
        <v>0.98243548918766754</v>
      </c>
      <c r="N47" s="30">
        <f>DEMPROJ!J67*$H47*AC47</f>
        <v>0.95862155266523363</v>
      </c>
      <c r="O47" s="30">
        <f>DEMPROJ!K67*$H47*AD47</f>
        <v>0.99669889033101855</v>
      </c>
      <c r="P47" s="30"/>
      <c r="Q47" s="40"/>
      <c r="R47" s="40"/>
      <c r="S47" s="40"/>
      <c r="T47" s="40"/>
      <c r="U47" s="40"/>
      <c r="V47" s="40" t="s">
        <v>345</v>
      </c>
      <c r="W47" s="98" t="str">
        <f t="shared" si="2"/>
        <v/>
      </c>
      <c r="Z47" s="7">
        <v>1</v>
      </c>
      <c r="AA47" s="199">
        <f t="shared" si="3"/>
        <v>1</v>
      </c>
      <c r="AB47" s="7">
        <v>1</v>
      </c>
      <c r="AC47" s="199">
        <f t="array" ref="AC47">AB47:AB59</f>
        <v>1</v>
      </c>
      <c r="AD47" s="199">
        <f t="array" ref="AD47">1</f>
        <v>1</v>
      </c>
      <c r="AE47" s="199">
        <f t="shared" si="4"/>
        <v>1</v>
      </c>
    </row>
    <row r="48" spans="1:31" x14ac:dyDescent="0.2">
      <c r="C48" s="40"/>
      <c r="D48" s="40"/>
      <c r="E48" s="40" t="s">
        <v>39</v>
      </c>
      <c r="F48" s="40"/>
      <c r="G48" s="40" t="s">
        <v>17</v>
      </c>
      <c r="H48" s="30">
        <v>1</v>
      </c>
      <c r="I48" s="30">
        <f>DEMPROJ!E68</f>
        <v>1</v>
      </c>
      <c r="J48" s="30">
        <f>DEMPROJ!F68</f>
        <v>0.93804612672308796</v>
      </c>
      <c r="K48" s="30">
        <f>DEMPROJ!G68*$H48*Z48</f>
        <v>1.2653910032503979</v>
      </c>
      <c r="L48" s="30">
        <f>DEMPROJ!H68*$H48*AA48</f>
        <v>1.2962217418426061</v>
      </c>
      <c r="M48" s="30">
        <f>DEMPROJ!I68*$H48*AB48</f>
        <v>1.3278309952191329</v>
      </c>
      <c r="N48" s="30">
        <f>DEMPROJ!J68*$H48*AC48</f>
        <v>1.373383111415992</v>
      </c>
      <c r="O48" s="30">
        <f>DEMPROJ!K68*$H48*AD48</f>
        <v>1.1124210858159518</v>
      </c>
      <c r="P48" s="30"/>
      <c r="Q48" s="40"/>
      <c r="R48" s="40"/>
      <c r="S48" s="40"/>
      <c r="T48" s="40"/>
      <c r="U48" s="40"/>
      <c r="V48" s="40" t="s">
        <v>346</v>
      </c>
      <c r="W48" s="98" t="str">
        <f t="shared" si="2"/>
        <v/>
      </c>
      <c r="Z48" s="7">
        <v>1</v>
      </c>
      <c r="AA48" s="199">
        <f t="shared" si="3"/>
        <v>1</v>
      </c>
      <c r="AB48" s="7">
        <v>1</v>
      </c>
      <c r="AC48" s="199">
        <f t="array" ref="AC48">AB48:AB60</f>
        <v>1</v>
      </c>
      <c r="AD48" s="199">
        <f t="array" ref="AD48">1</f>
        <v>1</v>
      </c>
      <c r="AE48" s="199">
        <f t="shared" si="4"/>
        <v>1</v>
      </c>
    </row>
    <row r="49" spans="1:31" x14ac:dyDescent="0.2">
      <c r="C49" s="40"/>
      <c r="D49" s="40"/>
      <c r="E49" s="40" t="s">
        <v>39</v>
      </c>
      <c r="F49" s="40"/>
      <c r="G49" s="40" t="s">
        <v>17</v>
      </c>
      <c r="H49" s="30">
        <v>1</v>
      </c>
      <c r="I49" s="30">
        <f>DEMPROJ!E69</f>
        <v>1</v>
      </c>
      <c r="J49" s="30">
        <f>DEMPROJ!F69</f>
        <v>0.6</v>
      </c>
      <c r="K49" s="30">
        <f>DEMPROJ!G69*$H49*Z49</f>
        <v>1.2478959449120122</v>
      </c>
      <c r="L49" s="30">
        <f>DEMPROJ!H69*$H49*AA49</f>
        <v>1.2478959449120122</v>
      </c>
      <c r="M49" s="30">
        <f>DEMPROJ!I69*$H49*AB49</f>
        <v>1.2478959449120122</v>
      </c>
      <c r="N49" s="30">
        <f>DEMPROJ!J69*$H49*AC49</f>
        <v>1.2478959449120122</v>
      </c>
      <c r="O49" s="30">
        <f>DEMPROJ!K69*$H49*AD49</f>
        <v>1.1170926304080662</v>
      </c>
      <c r="P49" s="30"/>
      <c r="Q49" s="40"/>
      <c r="R49" s="40"/>
      <c r="S49" s="40"/>
      <c r="T49" s="40"/>
      <c r="U49" s="40"/>
      <c r="V49" s="40" t="s">
        <v>347</v>
      </c>
      <c r="W49" s="98" t="str">
        <f t="shared" si="2"/>
        <v/>
      </c>
      <c r="Z49" s="7">
        <v>1</v>
      </c>
      <c r="AA49" s="199">
        <f t="shared" si="3"/>
        <v>1</v>
      </c>
      <c r="AB49" s="7">
        <v>1</v>
      </c>
      <c r="AC49" s="199">
        <f t="array" ref="AC49">AB49:AB61</f>
        <v>1</v>
      </c>
      <c r="AD49" s="199">
        <f t="array" ref="AD49">1</f>
        <v>1</v>
      </c>
      <c r="AE49" s="199">
        <f t="shared" si="4"/>
        <v>1</v>
      </c>
    </row>
    <row r="50" spans="1:31" x14ac:dyDescent="0.2">
      <c r="C50" s="40"/>
      <c r="D50" s="40"/>
      <c r="E50" s="40" t="s">
        <v>39</v>
      </c>
      <c r="F50" s="40"/>
      <c r="G50" s="40" t="s">
        <v>17</v>
      </c>
      <c r="H50" s="30">
        <v>1</v>
      </c>
      <c r="I50" s="30">
        <f>DEMPROJ!E70</f>
        <v>1</v>
      </c>
      <c r="J50" s="30">
        <f>DEMPROJ!F70</f>
        <v>0.58357212978672357</v>
      </c>
      <c r="K50" s="30">
        <f>DEMPROJ!G70*$H50*Z50</f>
        <v>1.2735225851077225</v>
      </c>
      <c r="L50" s="30">
        <f>DEMPROJ!H70*$H50*AA50</f>
        <v>1.3969889545817922</v>
      </c>
      <c r="M50" s="30">
        <f>DEMPROJ!I70*$H50*AB50</f>
        <v>1.6274117845738689</v>
      </c>
      <c r="N50" s="30">
        <f>DEMPROJ!J70*$H50*AC50</f>
        <v>1.6274117845738689</v>
      </c>
      <c r="O50" s="30">
        <f>DEMPROJ!K70*$H50*AD50</f>
        <v>1.1778815441902746</v>
      </c>
      <c r="P50" s="30">
        <f>DEMPROJ!L70*$H50*AE50</f>
        <v>1.3720996961144001</v>
      </c>
      <c r="Q50" s="40"/>
      <c r="R50" s="40"/>
      <c r="S50" s="40"/>
      <c r="T50" s="40"/>
      <c r="U50" s="40"/>
      <c r="V50" s="40" t="s">
        <v>555</v>
      </c>
      <c r="W50" s="98" t="str">
        <f t="shared" si="2"/>
        <v/>
      </c>
      <c r="Z50" s="7">
        <v>1</v>
      </c>
      <c r="AA50" s="199">
        <f>SQRT(Z50*AB50)</f>
        <v>1</v>
      </c>
      <c r="AB50" s="7">
        <v>1</v>
      </c>
      <c r="AC50" s="199">
        <f t="array" ref="AC50">AB50:AB62</f>
        <v>1</v>
      </c>
      <c r="AD50" s="199">
        <f t="array" ref="AD50">1</f>
        <v>1</v>
      </c>
      <c r="AE50" s="199">
        <f>SQRT(Z50*AA50)</f>
        <v>1</v>
      </c>
    </row>
    <row r="51" spans="1:31" x14ac:dyDescent="0.2">
      <c r="A51" s="24" t="s">
        <v>119</v>
      </c>
      <c r="B51" s="24"/>
      <c r="C51" s="40" t="s">
        <v>35</v>
      </c>
      <c r="D51" s="40"/>
      <c r="E51" s="40" t="s">
        <v>33</v>
      </c>
      <c r="F51" s="40"/>
      <c r="G51" s="40" t="s">
        <v>17</v>
      </c>
      <c r="H51" s="30"/>
      <c r="I51" s="30"/>
      <c r="J51" s="30">
        <v>0</v>
      </c>
      <c r="K51" s="30">
        <v>0</v>
      </c>
      <c r="L51" s="30">
        <v>0</v>
      </c>
      <c r="M51" s="30">
        <v>0</v>
      </c>
      <c r="N51" s="30"/>
      <c r="O51" s="40"/>
      <c r="P51" s="40"/>
      <c r="Q51" s="98">
        <v>2017</v>
      </c>
      <c r="R51" s="40"/>
      <c r="S51" s="40"/>
      <c r="T51" s="40"/>
      <c r="U51" s="40"/>
      <c r="V51" s="40" t="s">
        <v>75</v>
      </c>
      <c r="W51" s="40"/>
    </row>
    <row r="52" spans="1:31" x14ac:dyDescent="0.2">
      <c r="C52" s="40" t="s">
        <v>35</v>
      </c>
      <c r="D52" s="40"/>
      <c r="E52" s="40" t="s">
        <v>33</v>
      </c>
      <c r="F52" s="40"/>
      <c r="G52" s="40" t="s">
        <v>17</v>
      </c>
      <c r="H52" s="30"/>
      <c r="I52" s="30"/>
      <c r="J52" s="30">
        <v>0</v>
      </c>
      <c r="K52" s="30">
        <v>0</v>
      </c>
      <c r="L52" s="30">
        <v>0</v>
      </c>
      <c r="M52" s="30">
        <v>0</v>
      </c>
      <c r="N52" s="40"/>
      <c r="O52" s="40"/>
      <c r="P52" s="40"/>
      <c r="Q52" s="98">
        <v>2017</v>
      </c>
      <c r="R52" s="40"/>
      <c r="S52" s="40"/>
      <c r="T52" s="40"/>
      <c r="U52" s="40"/>
      <c r="V52" s="40" t="s">
        <v>120</v>
      </c>
      <c r="W52" s="40"/>
    </row>
    <row r="53" spans="1:31" x14ac:dyDescent="0.2">
      <c r="C53" s="40" t="s">
        <v>35</v>
      </c>
      <c r="D53" s="40"/>
      <c r="E53" s="40" t="s">
        <v>33</v>
      </c>
      <c r="F53" s="40"/>
      <c r="G53" s="40" t="s">
        <v>17</v>
      </c>
      <c r="H53" s="30"/>
      <c r="I53" s="30"/>
      <c r="J53" s="30">
        <v>0</v>
      </c>
      <c r="K53" s="30">
        <v>0</v>
      </c>
      <c r="L53" s="30">
        <v>0</v>
      </c>
      <c r="M53" s="30">
        <v>0</v>
      </c>
      <c r="N53" s="40"/>
      <c r="O53" s="40"/>
      <c r="P53" s="40"/>
      <c r="Q53" s="98">
        <v>2017</v>
      </c>
      <c r="R53" s="40"/>
      <c r="S53" s="40"/>
      <c r="T53" s="40"/>
      <c r="U53" s="40"/>
      <c r="V53" s="40" t="s">
        <v>81</v>
      </c>
      <c r="W53" s="40"/>
    </row>
    <row r="54" spans="1:31" x14ac:dyDescent="0.2">
      <c r="C54" s="40" t="s">
        <v>35</v>
      </c>
      <c r="D54" s="40"/>
      <c r="E54" s="40" t="s">
        <v>33</v>
      </c>
      <c r="F54" s="40"/>
      <c r="G54" s="40" t="s">
        <v>17</v>
      </c>
      <c r="H54" s="30"/>
      <c r="I54" s="30"/>
      <c r="J54" s="30">
        <v>0</v>
      </c>
      <c r="K54" s="30">
        <v>0</v>
      </c>
      <c r="L54" s="30">
        <v>0</v>
      </c>
      <c r="M54" s="30">
        <v>0</v>
      </c>
      <c r="N54" s="40"/>
      <c r="O54" s="40"/>
      <c r="P54" s="40"/>
      <c r="Q54" s="98">
        <v>2017</v>
      </c>
      <c r="R54" s="40"/>
      <c r="S54" s="40"/>
      <c r="T54" s="40"/>
      <c r="U54" s="40"/>
      <c r="V54" s="40" t="s">
        <v>80</v>
      </c>
      <c r="W54" s="40"/>
    </row>
    <row r="55" spans="1:31" x14ac:dyDescent="0.2">
      <c r="C55" s="40" t="s">
        <v>35</v>
      </c>
      <c r="D55" s="40"/>
      <c r="E55" s="40" t="s">
        <v>33</v>
      </c>
      <c r="F55" s="40"/>
      <c r="G55" s="40" t="s">
        <v>17</v>
      </c>
      <c r="H55" s="30"/>
      <c r="I55" s="30"/>
      <c r="J55" s="30">
        <v>0</v>
      </c>
      <c r="K55" s="30">
        <v>0</v>
      </c>
      <c r="L55" s="30">
        <v>0</v>
      </c>
      <c r="M55" s="30">
        <v>0</v>
      </c>
      <c r="N55" s="40"/>
      <c r="O55" s="40"/>
      <c r="P55" s="40"/>
      <c r="Q55" s="98">
        <v>2017</v>
      </c>
      <c r="R55" s="40"/>
      <c r="S55" s="40"/>
      <c r="T55" s="40"/>
      <c r="U55" s="40"/>
      <c r="V55" s="40" t="s">
        <v>121</v>
      </c>
      <c r="W55" s="40"/>
    </row>
    <row r="56" spans="1:31" x14ac:dyDescent="0.2">
      <c r="C56" s="40" t="s">
        <v>35</v>
      </c>
      <c r="D56" s="40"/>
      <c r="E56" s="40" t="s">
        <v>33</v>
      </c>
      <c r="F56" s="40"/>
      <c r="G56" s="40" t="s">
        <v>17</v>
      </c>
      <c r="H56" s="30"/>
      <c r="I56" s="30"/>
      <c r="J56" s="30">
        <v>0</v>
      </c>
      <c r="K56" s="30">
        <v>0</v>
      </c>
      <c r="L56" s="30">
        <v>0</v>
      </c>
      <c r="M56" s="30">
        <v>0</v>
      </c>
      <c r="N56" s="40"/>
      <c r="O56" s="40"/>
      <c r="P56" s="40"/>
      <c r="Q56" s="98">
        <v>2017</v>
      </c>
      <c r="R56" s="40"/>
      <c r="S56" s="40"/>
      <c r="T56" s="40"/>
      <c r="U56" s="40"/>
      <c r="V56" s="40" t="s">
        <v>122</v>
      </c>
      <c r="W56" s="40"/>
    </row>
    <row r="57" spans="1:31" x14ac:dyDescent="0.2">
      <c r="C57" s="40" t="s">
        <v>35</v>
      </c>
      <c r="D57" s="40"/>
      <c r="E57" s="40" t="s">
        <v>33</v>
      </c>
      <c r="F57" s="40"/>
      <c r="G57" s="40" t="s">
        <v>17</v>
      </c>
      <c r="H57" s="40"/>
      <c r="I57" s="40"/>
      <c r="J57" s="30">
        <v>0</v>
      </c>
      <c r="K57" s="30">
        <v>0</v>
      </c>
      <c r="L57" s="30">
        <v>0</v>
      </c>
      <c r="M57" s="30">
        <v>0</v>
      </c>
      <c r="N57" s="40"/>
      <c r="O57" s="40"/>
      <c r="P57" s="40"/>
      <c r="Q57" s="98">
        <v>2017</v>
      </c>
      <c r="R57" s="40"/>
      <c r="S57" s="40"/>
      <c r="T57" s="40"/>
      <c r="U57" s="40"/>
      <c r="V57" s="40" t="s">
        <v>123</v>
      </c>
      <c r="W57" s="40"/>
    </row>
    <row r="58" spans="1:31" x14ac:dyDescent="0.2">
      <c r="C58" s="40" t="s">
        <v>35</v>
      </c>
      <c r="D58" s="40"/>
      <c r="E58" s="40" t="s">
        <v>33</v>
      </c>
      <c r="F58" s="40"/>
      <c r="G58" s="40" t="s">
        <v>17</v>
      </c>
      <c r="H58" s="40"/>
      <c r="I58" s="40"/>
      <c r="J58" s="30">
        <v>0</v>
      </c>
      <c r="K58" s="30">
        <v>0</v>
      </c>
      <c r="L58" s="30">
        <v>0</v>
      </c>
      <c r="M58" s="30">
        <v>0</v>
      </c>
      <c r="N58" s="40"/>
      <c r="O58" s="40"/>
      <c r="P58" s="40"/>
      <c r="Q58" s="98">
        <v>2017</v>
      </c>
      <c r="R58" s="40"/>
      <c r="S58" s="40"/>
      <c r="T58" s="40"/>
      <c r="U58" s="40"/>
      <c r="V58" s="40" t="s">
        <v>124</v>
      </c>
      <c r="W58" s="40"/>
    </row>
    <row r="59" spans="1:31" x14ac:dyDescent="0.2">
      <c r="A59" s="24" t="s">
        <v>172</v>
      </c>
      <c r="B59" s="24"/>
      <c r="C59" s="34" t="s">
        <v>35</v>
      </c>
      <c r="D59" s="34" t="s">
        <v>49</v>
      </c>
      <c r="E59" s="34" t="s">
        <v>50</v>
      </c>
      <c r="F59" s="34"/>
      <c r="G59" s="34" t="s">
        <v>17</v>
      </c>
      <c r="H59" s="34"/>
      <c r="I59" s="34">
        <v>0.2</v>
      </c>
      <c r="J59" s="34">
        <v>0.35</v>
      </c>
      <c r="K59" s="34">
        <v>0.35</v>
      </c>
      <c r="L59" s="34"/>
      <c r="M59" s="34">
        <v>0.2</v>
      </c>
      <c r="N59" s="34">
        <v>0.1</v>
      </c>
      <c r="O59" s="34"/>
      <c r="P59" s="34"/>
      <c r="Q59" s="34"/>
      <c r="R59" s="34"/>
      <c r="S59" s="34"/>
      <c r="T59" s="34" t="s">
        <v>351</v>
      </c>
      <c r="U59" s="34"/>
      <c r="V59" s="34"/>
      <c r="W59" s="34"/>
      <c r="X59" s="24"/>
    </row>
    <row r="60" spans="1:31" x14ac:dyDescent="0.2">
      <c r="A60" s="24" t="s">
        <v>236</v>
      </c>
      <c r="B60" s="24"/>
      <c r="C60" s="235"/>
      <c r="D60" s="235" t="s">
        <v>49</v>
      </c>
      <c r="E60" s="235" t="s">
        <v>29</v>
      </c>
      <c r="F60" s="235" t="s">
        <v>215</v>
      </c>
      <c r="G60" s="235" t="s">
        <v>17</v>
      </c>
      <c r="H60" s="235"/>
      <c r="I60" s="235"/>
      <c r="J60" s="235">
        <v>0.02</v>
      </c>
      <c r="K60" s="235">
        <v>0.11</v>
      </c>
      <c r="L60" s="235"/>
      <c r="M60" s="235"/>
      <c r="N60" s="235"/>
      <c r="O60" s="235"/>
      <c r="P60" s="235"/>
      <c r="Q60" s="235"/>
      <c r="R60" s="235"/>
      <c r="S60" s="235"/>
      <c r="T60" s="235" t="s">
        <v>72</v>
      </c>
      <c r="U60" s="235"/>
      <c r="V60" s="235" t="s">
        <v>75</v>
      </c>
      <c r="W60" s="235"/>
    </row>
    <row r="61" spans="1:31" x14ac:dyDescent="0.2">
      <c r="C61" s="235"/>
      <c r="D61" s="235" t="s">
        <v>49</v>
      </c>
      <c r="E61" s="235" t="s">
        <v>29</v>
      </c>
      <c r="F61" s="235" t="s">
        <v>215</v>
      </c>
      <c r="G61" s="235" t="s">
        <v>17</v>
      </c>
      <c r="H61" s="235"/>
      <c r="I61" s="235"/>
      <c r="J61" s="235">
        <v>0.02</v>
      </c>
      <c r="K61" s="235">
        <v>0.11</v>
      </c>
      <c r="L61" s="235"/>
      <c r="M61" s="235"/>
      <c r="N61" s="235"/>
      <c r="O61" s="235"/>
      <c r="P61" s="235"/>
      <c r="Q61" s="235"/>
      <c r="R61" s="235"/>
      <c r="S61" s="235"/>
      <c r="T61" s="235" t="s">
        <v>73</v>
      </c>
      <c r="U61" s="235"/>
      <c r="V61" s="235" t="s">
        <v>75</v>
      </c>
      <c r="W61" s="235"/>
    </row>
    <row r="62" spans="1:31" x14ac:dyDescent="0.2">
      <c r="C62" s="235"/>
      <c r="D62" s="235" t="s">
        <v>49</v>
      </c>
      <c r="E62" s="235" t="s">
        <v>29</v>
      </c>
      <c r="F62" s="235" t="s">
        <v>215</v>
      </c>
      <c r="G62" s="235" t="s">
        <v>17</v>
      </c>
      <c r="H62" s="235"/>
      <c r="I62" s="235"/>
      <c r="J62" s="235">
        <v>0.02</v>
      </c>
      <c r="K62" s="235">
        <v>0.11</v>
      </c>
      <c r="L62" s="235"/>
      <c r="M62" s="235"/>
      <c r="N62" s="235"/>
      <c r="O62" s="235"/>
      <c r="P62" s="235"/>
      <c r="Q62" s="235"/>
      <c r="R62" s="235"/>
      <c r="S62" s="235"/>
      <c r="T62" s="235" t="s">
        <v>74</v>
      </c>
      <c r="U62" s="235"/>
      <c r="V62" s="235" t="s">
        <v>75</v>
      </c>
      <c r="W62" s="235"/>
    </row>
    <row r="63" spans="1:31" x14ac:dyDescent="0.2">
      <c r="C63" s="235"/>
      <c r="D63" s="235" t="s">
        <v>28</v>
      </c>
      <c r="E63" s="235" t="s">
        <v>29</v>
      </c>
      <c r="F63" s="235" t="s">
        <v>216</v>
      </c>
      <c r="G63" s="235" t="s">
        <v>17</v>
      </c>
      <c r="H63" s="235"/>
      <c r="I63" s="235"/>
      <c r="J63" s="235">
        <v>0.12</v>
      </c>
      <c r="K63" s="235">
        <v>0.33</v>
      </c>
      <c r="L63" s="235"/>
      <c r="M63" s="235"/>
      <c r="N63" s="235"/>
      <c r="O63" s="235"/>
      <c r="P63" s="235"/>
      <c r="Q63" s="235"/>
      <c r="R63" s="235"/>
      <c r="S63" s="235"/>
      <c r="T63" s="235" t="s">
        <v>211</v>
      </c>
      <c r="U63" s="235"/>
      <c r="V63" s="235" t="s">
        <v>120</v>
      </c>
      <c r="W63" s="235"/>
    </row>
    <row r="64" spans="1:31" x14ac:dyDescent="0.2">
      <c r="C64" s="235"/>
      <c r="D64" s="235" t="s">
        <v>28</v>
      </c>
      <c r="E64" s="235" t="s">
        <v>29</v>
      </c>
      <c r="F64" s="235" t="s">
        <v>216</v>
      </c>
      <c r="G64" s="235" t="s">
        <v>17</v>
      </c>
      <c r="H64" s="235"/>
      <c r="I64" s="235"/>
      <c r="J64" s="235">
        <v>0.12</v>
      </c>
      <c r="K64" s="235">
        <v>0.33</v>
      </c>
      <c r="L64" s="235"/>
      <c r="M64" s="235"/>
      <c r="N64" s="235"/>
      <c r="O64" s="235"/>
      <c r="P64" s="235"/>
      <c r="Q64" s="235"/>
      <c r="R64" s="235"/>
      <c r="S64" s="235"/>
      <c r="T64" s="235" t="s">
        <v>212</v>
      </c>
      <c r="U64" s="235"/>
      <c r="V64" s="235" t="s">
        <v>120</v>
      </c>
      <c r="W64" s="235"/>
    </row>
    <row r="65" spans="1:25" x14ac:dyDescent="0.2">
      <c r="C65" s="235"/>
      <c r="D65" s="235" t="s">
        <v>28</v>
      </c>
      <c r="E65" s="235" t="s">
        <v>29</v>
      </c>
      <c r="F65" s="235" t="s">
        <v>216</v>
      </c>
      <c r="G65" s="235" t="s">
        <v>17</v>
      </c>
      <c r="H65" s="235"/>
      <c r="I65" s="235"/>
      <c r="J65" s="235">
        <v>0.12</v>
      </c>
      <c r="K65" s="235">
        <v>0.33</v>
      </c>
      <c r="L65" s="235"/>
      <c r="M65" s="235"/>
      <c r="N65" s="235"/>
      <c r="O65" s="235"/>
      <c r="P65" s="235"/>
      <c r="Q65" s="235"/>
      <c r="R65" s="235"/>
      <c r="S65" s="235"/>
      <c r="T65" s="235" t="s">
        <v>213</v>
      </c>
      <c r="U65" s="235"/>
      <c r="V65" s="235" t="s">
        <v>120</v>
      </c>
      <c r="W65" s="235"/>
    </row>
    <row r="66" spans="1:25" x14ac:dyDescent="0.2">
      <c r="C66" s="235"/>
      <c r="D66" s="235" t="s">
        <v>28</v>
      </c>
      <c r="E66" s="235" t="s">
        <v>29</v>
      </c>
      <c r="F66" s="235" t="s">
        <v>217</v>
      </c>
      <c r="G66" s="235" t="s">
        <v>17</v>
      </c>
      <c r="H66" s="235"/>
      <c r="I66" s="235"/>
      <c r="J66" s="235">
        <v>0.05</v>
      </c>
      <c r="K66" s="235">
        <v>0.12</v>
      </c>
      <c r="L66" s="235">
        <v>0.33</v>
      </c>
      <c r="M66" s="235">
        <v>0.6</v>
      </c>
      <c r="N66" s="235"/>
      <c r="O66" s="235"/>
      <c r="P66" s="235"/>
      <c r="Q66" s="235"/>
      <c r="R66" s="235"/>
      <c r="S66" s="235"/>
      <c r="T66" s="235" t="s">
        <v>78</v>
      </c>
      <c r="U66" s="235"/>
      <c r="V66" s="235" t="s">
        <v>81</v>
      </c>
      <c r="W66" s="235"/>
    </row>
    <row r="67" spans="1:25" x14ac:dyDescent="0.2">
      <c r="C67" s="235"/>
      <c r="D67" s="235" t="s">
        <v>28</v>
      </c>
      <c r="E67" s="235" t="s">
        <v>29</v>
      </c>
      <c r="F67" s="235" t="s">
        <v>217</v>
      </c>
      <c r="G67" s="235" t="s">
        <v>17</v>
      </c>
      <c r="H67" s="235"/>
      <c r="I67" s="235"/>
      <c r="J67" s="235">
        <v>0.05</v>
      </c>
      <c r="K67" s="235">
        <v>0.12</v>
      </c>
      <c r="L67" s="235">
        <v>0.33</v>
      </c>
      <c r="M67" s="235">
        <v>0.6</v>
      </c>
      <c r="N67" s="235"/>
      <c r="O67" s="235"/>
      <c r="P67" s="235"/>
      <c r="Q67" s="235"/>
      <c r="R67" s="235"/>
      <c r="S67" s="235"/>
      <c r="T67" s="235" t="s">
        <v>552</v>
      </c>
      <c r="U67" s="235"/>
      <c r="V67" s="235" t="s">
        <v>81</v>
      </c>
      <c r="W67" s="235"/>
    </row>
    <row r="68" spans="1:25" x14ac:dyDescent="0.2">
      <c r="C68" s="235"/>
      <c r="D68" s="235" t="s">
        <v>28</v>
      </c>
      <c r="E68" s="235" t="s">
        <v>29</v>
      </c>
      <c r="F68" s="235" t="s">
        <v>218</v>
      </c>
      <c r="G68" s="235" t="s">
        <v>17</v>
      </c>
      <c r="H68" s="235"/>
      <c r="I68" s="235"/>
      <c r="J68" s="235">
        <v>0.05</v>
      </c>
      <c r="K68" s="235">
        <v>0.15</v>
      </c>
      <c r="L68" s="235">
        <v>0.4</v>
      </c>
      <c r="M68" s="235">
        <v>0.75</v>
      </c>
      <c r="N68" s="235"/>
      <c r="O68" s="235"/>
      <c r="P68" s="235"/>
      <c r="Q68" s="235"/>
      <c r="R68" s="235"/>
      <c r="S68" s="235"/>
      <c r="T68" s="235" t="s">
        <v>79</v>
      </c>
      <c r="U68" s="235"/>
      <c r="V68" s="235" t="s">
        <v>80</v>
      </c>
      <c r="W68" s="235"/>
    </row>
    <row r="69" spans="1:25" x14ac:dyDescent="0.2">
      <c r="C69" s="235"/>
      <c r="D69" s="235" t="s">
        <v>28</v>
      </c>
      <c r="E69" s="235" t="s">
        <v>29</v>
      </c>
      <c r="F69" s="235" t="s">
        <v>218</v>
      </c>
      <c r="G69" s="235" t="s">
        <v>17</v>
      </c>
      <c r="H69" s="235"/>
      <c r="I69" s="235"/>
      <c r="J69" s="235">
        <v>0.05</v>
      </c>
      <c r="K69" s="235">
        <v>0.15</v>
      </c>
      <c r="L69" s="235">
        <v>0.4</v>
      </c>
      <c r="M69" s="235">
        <v>0.75</v>
      </c>
      <c r="N69" s="235"/>
      <c r="O69" s="235"/>
      <c r="P69" s="235"/>
      <c r="Q69" s="235"/>
      <c r="R69" s="235"/>
      <c r="S69" s="235"/>
      <c r="T69" s="235" t="s">
        <v>551</v>
      </c>
      <c r="U69" s="235"/>
      <c r="V69" s="235" t="s">
        <v>80</v>
      </c>
      <c r="W69" s="235"/>
    </row>
    <row r="70" spans="1:25" x14ac:dyDescent="0.2">
      <c r="C70" s="235"/>
      <c r="D70" s="235" t="s">
        <v>28</v>
      </c>
      <c r="E70" s="235" t="s">
        <v>29</v>
      </c>
      <c r="F70" s="235" t="s">
        <v>219</v>
      </c>
      <c r="G70" s="235" t="s">
        <v>17</v>
      </c>
      <c r="H70" s="235"/>
      <c r="I70" s="235"/>
      <c r="J70" s="235">
        <v>0.05</v>
      </c>
      <c r="K70" s="235">
        <v>0.2</v>
      </c>
      <c r="L70" s="235">
        <v>0.45</v>
      </c>
      <c r="M70" s="235">
        <v>0.85</v>
      </c>
      <c r="N70" s="235"/>
      <c r="O70" s="235"/>
      <c r="P70" s="235"/>
      <c r="Q70" s="235"/>
      <c r="R70" s="235"/>
      <c r="S70" s="235"/>
      <c r="T70" s="235" t="s">
        <v>214</v>
      </c>
      <c r="U70" s="235"/>
      <c r="V70" s="235" t="s">
        <v>121</v>
      </c>
      <c r="W70" s="235"/>
    </row>
    <row r="71" spans="1:25" x14ac:dyDescent="0.2">
      <c r="C71" s="235"/>
      <c r="D71" s="235" t="s">
        <v>28</v>
      </c>
      <c r="E71" s="235" t="s">
        <v>29</v>
      </c>
      <c r="F71" s="235" t="s">
        <v>219</v>
      </c>
      <c r="G71" s="235" t="s">
        <v>17</v>
      </c>
      <c r="H71" s="235"/>
      <c r="I71" s="235"/>
      <c r="J71" s="235">
        <v>0.05</v>
      </c>
      <c r="K71" s="235">
        <v>0.2</v>
      </c>
      <c r="L71" s="235">
        <v>0.45</v>
      </c>
      <c r="M71" s="235">
        <v>0.85</v>
      </c>
      <c r="N71" s="235"/>
      <c r="O71" s="235"/>
      <c r="P71" s="235"/>
      <c r="Q71" s="235"/>
      <c r="R71" s="235"/>
      <c r="S71" s="235"/>
      <c r="T71" s="235" t="s">
        <v>550</v>
      </c>
      <c r="U71" s="235"/>
      <c r="V71" s="235" t="s">
        <v>121</v>
      </c>
      <c r="W71" s="235"/>
    </row>
    <row r="72" spans="1:25" ht="14.25" x14ac:dyDescent="0.2">
      <c r="A72" s="24" t="s">
        <v>197</v>
      </c>
      <c r="B72" s="24"/>
      <c r="C72" s="34"/>
      <c r="D72" s="34"/>
      <c r="E72" s="50" t="s">
        <v>104</v>
      </c>
      <c r="F72" s="34"/>
      <c r="G72" s="50"/>
      <c r="H72" s="77"/>
      <c r="I72" s="34"/>
      <c r="J72" s="107"/>
      <c r="K72" s="77"/>
      <c r="L72" s="77"/>
      <c r="M72" s="77"/>
      <c r="N72" s="34"/>
      <c r="O72" s="34"/>
      <c r="P72" s="34"/>
      <c r="Q72" s="34"/>
      <c r="R72" s="34"/>
      <c r="S72" s="34"/>
      <c r="T72" s="34"/>
      <c r="U72" s="34"/>
      <c r="V72" s="34"/>
      <c r="W72" s="34"/>
    </row>
    <row r="73" spans="1:25" ht="14.25" x14ac:dyDescent="0.2">
      <c r="C73" s="13" t="s">
        <v>35</v>
      </c>
      <c r="D73" s="13" t="s">
        <v>52</v>
      </c>
      <c r="E73" s="23" t="s">
        <v>50</v>
      </c>
      <c r="F73" s="13"/>
      <c r="G73" s="23" t="s">
        <v>17</v>
      </c>
      <c r="H73" s="25">
        <v>289.339</v>
      </c>
      <c r="I73" s="25">
        <v>285</v>
      </c>
      <c r="J73" s="25">
        <v>285</v>
      </c>
      <c r="K73" s="25">
        <v>285</v>
      </c>
      <c r="L73" s="25">
        <v>275</v>
      </c>
      <c r="M73" s="25">
        <v>260</v>
      </c>
      <c r="N73" s="13"/>
      <c r="O73" s="13"/>
      <c r="P73" s="13"/>
      <c r="Q73" s="13"/>
      <c r="R73" s="13"/>
      <c r="S73" s="13"/>
      <c r="T73" s="13" t="s">
        <v>149</v>
      </c>
      <c r="U73" s="13"/>
      <c r="V73" s="13"/>
      <c r="W73" s="13"/>
    </row>
    <row r="74" spans="1:25" x14ac:dyDescent="0.2">
      <c r="C74" s="13" t="s">
        <v>35</v>
      </c>
      <c r="D74" s="13" t="s">
        <v>52</v>
      </c>
      <c r="E74" s="13" t="s">
        <v>50</v>
      </c>
      <c r="F74" s="13"/>
      <c r="G74" s="13" t="s">
        <v>17</v>
      </c>
      <c r="H74" s="25">
        <v>628.37900000000002</v>
      </c>
      <c r="I74" s="25">
        <v>620</v>
      </c>
      <c r="J74" s="25">
        <v>615</v>
      </c>
      <c r="K74" s="25">
        <v>610</v>
      </c>
      <c r="L74" s="25">
        <v>580</v>
      </c>
      <c r="M74" s="25">
        <v>550</v>
      </c>
      <c r="N74" s="13"/>
      <c r="O74" s="13"/>
      <c r="P74" s="13"/>
      <c r="Q74" s="13"/>
      <c r="R74" s="13"/>
      <c r="S74" s="13"/>
      <c r="T74" s="13" t="s">
        <v>150</v>
      </c>
      <c r="U74" s="13"/>
      <c r="V74" s="13"/>
      <c r="W74" s="13"/>
    </row>
    <row r="75" spans="1:25" x14ac:dyDescent="0.2">
      <c r="C75" s="13" t="s">
        <v>35</v>
      </c>
      <c r="D75" s="13" t="s">
        <v>52</v>
      </c>
      <c r="E75" s="13" t="s">
        <v>50</v>
      </c>
      <c r="F75" s="13"/>
      <c r="G75" s="13" t="s">
        <v>17</v>
      </c>
      <c r="H75" s="25">
        <v>1366.932</v>
      </c>
      <c r="I75" s="25">
        <v>1430</v>
      </c>
      <c r="J75" s="25">
        <v>1480</v>
      </c>
      <c r="K75" s="25">
        <v>1550</v>
      </c>
      <c r="L75" s="25">
        <v>1550</v>
      </c>
      <c r="M75" s="25">
        <v>1550</v>
      </c>
      <c r="N75" s="13"/>
      <c r="O75" s="13"/>
      <c r="P75" s="13"/>
      <c r="Q75" s="13"/>
      <c r="R75" s="13"/>
      <c r="S75" s="13"/>
      <c r="T75" s="13" t="s">
        <v>151</v>
      </c>
      <c r="U75" s="13"/>
      <c r="V75" s="13"/>
      <c r="W75" s="13"/>
      <c r="Y75" s="20"/>
    </row>
    <row r="76" spans="1:25" x14ac:dyDescent="0.2">
      <c r="C76" s="13" t="s">
        <v>35</v>
      </c>
      <c r="D76" s="13" t="s">
        <v>52</v>
      </c>
      <c r="E76" s="13" t="s">
        <v>50</v>
      </c>
      <c r="F76" s="13"/>
      <c r="G76" s="13" t="s">
        <v>17</v>
      </c>
      <c r="H76" s="25">
        <v>330.56299999999999</v>
      </c>
      <c r="I76" s="25">
        <v>330</v>
      </c>
      <c r="J76" s="25">
        <v>330</v>
      </c>
      <c r="K76" s="25">
        <v>330</v>
      </c>
      <c r="L76" s="25">
        <v>330</v>
      </c>
      <c r="M76" s="25">
        <v>330</v>
      </c>
      <c r="N76" s="13"/>
      <c r="O76" s="13"/>
      <c r="P76" s="13"/>
      <c r="Q76" s="13"/>
      <c r="R76" s="13"/>
      <c r="S76" s="13"/>
      <c r="T76" s="13" t="s">
        <v>152</v>
      </c>
      <c r="U76" s="13"/>
      <c r="V76" s="13"/>
      <c r="W76" s="13"/>
      <c r="Y76" s="20"/>
    </row>
    <row r="77" spans="1:25" x14ac:dyDescent="0.2">
      <c r="C77" s="13" t="s">
        <v>35</v>
      </c>
      <c r="D77" s="13" t="s">
        <v>52</v>
      </c>
      <c r="E77" s="13" t="s">
        <v>50</v>
      </c>
      <c r="F77" s="13"/>
      <c r="G77" s="13" t="s">
        <v>17</v>
      </c>
      <c r="H77" s="25">
        <v>68.788000000000011</v>
      </c>
      <c r="I77" s="25">
        <v>68.092549365304194</v>
      </c>
      <c r="J77" s="25">
        <v>68.092549365304194</v>
      </c>
      <c r="K77" s="25">
        <v>68.092549365304194</v>
      </c>
      <c r="L77" s="25">
        <v>68.092549365304194</v>
      </c>
      <c r="M77" s="25">
        <v>68.092549365304194</v>
      </c>
      <c r="N77" s="13"/>
      <c r="O77" s="13"/>
      <c r="P77" s="13"/>
      <c r="Q77" s="13"/>
      <c r="R77" s="13"/>
      <c r="S77" s="13"/>
      <c r="T77" s="13" t="s">
        <v>153</v>
      </c>
      <c r="U77" s="13"/>
      <c r="V77" s="13"/>
      <c r="W77" s="13"/>
      <c r="Y77" s="20"/>
    </row>
    <row r="78" spans="1:25" x14ac:dyDescent="0.2">
      <c r="C78" s="13" t="s">
        <v>35</v>
      </c>
      <c r="D78" s="13" t="s">
        <v>52</v>
      </c>
      <c r="E78" s="13" t="s">
        <v>50</v>
      </c>
      <c r="F78" s="13"/>
      <c r="G78" s="13" t="s">
        <v>17</v>
      </c>
      <c r="H78" s="25">
        <v>13086.815000000001</v>
      </c>
      <c r="I78" s="25">
        <v>13000</v>
      </c>
      <c r="J78" s="25">
        <v>13000</v>
      </c>
      <c r="K78" s="25">
        <v>13000</v>
      </c>
      <c r="L78" s="25">
        <v>13000</v>
      </c>
      <c r="M78" s="25">
        <v>13000</v>
      </c>
      <c r="N78" s="13"/>
      <c r="O78" s="13"/>
      <c r="P78" s="13"/>
      <c r="Q78" s="13"/>
      <c r="R78" s="13"/>
      <c r="S78" s="13"/>
      <c r="T78" s="13" t="s">
        <v>154</v>
      </c>
      <c r="U78" s="13"/>
      <c r="V78" s="13"/>
      <c r="W78" s="13"/>
      <c r="Y78" s="20"/>
    </row>
    <row r="79" spans="1:25" x14ac:dyDescent="0.2">
      <c r="C79" s="13"/>
      <c r="D79" s="13"/>
      <c r="E79" s="13" t="s">
        <v>148</v>
      </c>
      <c r="F79" s="13"/>
      <c r="G79" s="13" t="s">
        <v>17</v>
      </c>
      <c r="H79" s="25">
        <v>2000</v>
      </c>
      <c r="I79" s="25">
        <v>2024.8456731316587</v>
      </c>
      <c r="J79" s="25">
        <v>2050</v>
      </c>
      <c r="K79" s="25">
        <v>2100</v>
      </c>
      <c r="L79" s="25">
        <v>2150</v>
      </c>
      <c r="M79" s="25">
        <v>2200</v>
      </c>
      <c r="N79" s="25"/>
      <c r="O79" s="13"/>
      <c r="P79" s="13"/>
      <c r="Q79" s="13"/>
      <c r="R79" s="13"/>
      <c r="S79" s="13"/>
      <c r="T79" s="13" t="s">
        <v>198</v>
      </c>
      <c r="U79" s="13"/>
      <c r="V79" s="13"/>
      <c r="W79" s="13"/>
      <c r="Y79" s="20"/>
    </row>
    <row r="80" spans="1:25" x14ac:dyDescent="0.2">
      <c r="C80" s="13" t="s">
        <v>35</v>
      </c>
      <c r="D80" s="13" t="s">
        <v>52</v>
      </c>
      <c r="E80" s="13" t="s">
        <v>50</v>
      </c>
      <c r="F80" s="13"/>
      <c r="G80" s="13" t="s">
        <v>17</v>
      </c>
      <c r="H80" s="25">
        <v>1946.4</v>
      </c>
      <c r="I80" s="25">
        <v>1938.1826539312542</v>
      </c>
      <c r="J80" s="25">
        <v>1930</v>
      </c>
      <c r="K80" s="25">
        <v>1900</v>
      </c>
      <c r="L80" s="25">
        <v>1900</v>
      </c>
      <c r="M80" s="25">
        <v>1900</v>
      </c>
      <c r="N80" s="13"/>
      <c r="O80" s="13"/>
      <c r="P80" s="13"/>
      <c r="Q80" s="13"/>
      <c r="R80" s="13"/>
      <c r="S80" s="13"/>
      <c r="T80" s="13" t="s">
        <v>155</v>
      </c>
      <c r="U80" s="13"/>
      <c r="V80" s="13"/>
      <c r="W80" s="13"/>
      <c r="Y80" s="20"/>
    </row>
    <row r="81" spans="1:25" x14ac:dyDescent="0.2">
      <c r="A81" s="24" t="s">
        <v>365</v>
      </c>
      <c r="B81" s="24"/>
      <c r="C81" s="13" t="s">
        <v>35</v>
      </c>
      <c r="D81" s="13" t="s">
        <v>49</v>
      </c>
      <c r="E81" s="13" t="s">
        <v>46</v>
      </c>
      <c r="F81" s="13" t="s">
        <v>118</v>
      </c>
      <c r="G81" s="13" t="s">
        <v>17</v>
      </c>
      <c r="H81" s="26">
        <v>0.91060419235511714</v>
      </c>
      <c r="I81" s="26">
        <v>0.89517131839246455</v>
      </c>
      <c r="J81" s="26">
        <v>0.88</v>
      </c>
      <c r="K81" s="26">
        <v>0.85</v>
      </c>
      <c r="L81" s="26">
        <v>0.82</v>
      </c>
      <c r="M81" s="26">
        <v>0.78</v>
      </c>
      <c r="N81" s="13"/>
      <c r="O81" s="13"/>
      <c r="P81" s="13"/>
      <c r="Q81" s="13"/>
      <c r="R81" s="13"/>
      <c r="S81" s="13"/>
      <c r="T81" s="13" t="s">
        <v>155</v>
      </c>
      <c r="U81" s="13"/>
      <c r="V81" s="13" t="s">
        <v>199</v>
      </c>
      <c r="W81" s="13"/>
      <c r="Y81" s="20"/>
    </row>
    <row r="82" spans="1:25" x14ac:dyDescent="0.2">
      <c r="C82" s="13" t="s">
        <v>35</v>
      </c>
      <c r="D82" s="13" t="s">
        <v>28</v>
      </c>
      <c r="E82" s="13" t="s">
        <v>46</v>
      </c>
      <c r="F82" s="13" t="s">
        <v>118</v>
      </c>
      <c r="G82" s="13" t="s">
        <v>17</v>
      </c>
      <c r="H82" s="13">
        <v>0.94</v>
      </c>
      <c r="I82" s="13">
        <v>0.93</v>
      </c>
      <c r="J82" s="13">
        <v>0.92</v>
      </c>
      <c r="K82" s="13">
        <v>0.88</v>
      </c>
      <c r="L82" s="13">
        <v>0.86</v>
      </c>
      <c r="M82" s="13">
        <v>0.84</v>
      </c>
      <c r="N82" s="13"/>
      <c r="O82" s="13"/>
      <c r="P82" s="13"/>
      <c r="Q82" s="13"/>
      <c r="R82" s="13"/>
      <c r="S82" s="13"/>
      <c r="T82" s="13" t="s">
        <v>155</v>
      </c>
      <c r="U82" s="13"/>
      <c r="V82" s="13" t="s">
        <v>199</v>
      </c>
      <c r="W82" s="13"/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69"/>
  <sheetViews>
    <sheetView topLeftCell="A22" zoomScale="80" workbookViewId="0">
      <selection activeCell="A38" sqref="A38"/>
    </sheetView>
  </sheetViews>
  <sheetFormatPr defaultRowHeight="12.75" x14ac:dyDescent="0.2"/>
  <cols>
    <col min="2" max="2" width="3.7109375" customWidth="1"/>
    <col min="5" max="5" width="11.85546875" customWidth="1"/>
  </cols>
  <sheetData>
    <row r="1" spans="1:31" x14ac:dyDescent="0.2">
      <c r="H1">
        <v>2010</v>
      </c>
      <c r="I1">
        <v>2017</v>
      </c>
      <c r="J1">
        <v>2020</v>
      </c>
      <c r="K1">
        <v>2030</v>
      </c>
      <c r="L1">
        <v>2040</v>
      </c>
      <c r="M1">
        <v>2050</v>
      </c>
      <c r="N1">
        <v>2070</v>
      </c>
      <c r="O1">
        <v>2025</v>
      </c>
      <c r="P1">
        <v>2035</v>
      </c>
      <c r="W1" s="7">
        <v>0</v>
      </c>
    </row>
    <row r="3" spans="1:31" x14ac:dyDescent="0.2">
      <c r="C3" s="8" t="s">
        <v>36</v>
      </c>
      <c r="M3" s="5"/>
      <c r="N3" s="6"/>
      <c r="O3" s="6"/>
      <c r="P3" s="6"/>
      <c r="Q3" s="6"/>
      <c r="R3" s="5"/>
      <c r="S3" s="6"/>
      <c r="T3" s="6"/>
    </row>
    <row r="4" spans="1:31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9">
        <v>2010</v>
      </c>
      <c r="I4" s="9">
        <v>2017</v>
      </c>
      <c r="J4" s="9">
        <v>2020</v>
      </c>
      <c r="K4" s="9">
        <v>2030</v>
      </c>
      <c r="L4" s="9">
        <v>2040</v>
      </c>
      <c r="M4" s="9">
        <v>2050</v>
      </c>
      <c r="N4" s="9">
        <v>2070</v>
      </c>
      <c r="O4" s="9">
        <v>2025</v>
      </c>
      <c r="P4" s="9">
        <v>2035</v>
      </c>
      <c r="Q4" s="12">
        <v>0</v>
      </c>
      <c r="R4" s="10" t="s">
        <v>11</v>
      </c>
      <c r="S4" s="10" t="s">
        <v>12</v>
      </c>
      <c r="T4" s="9" t="s">
        <v>13</v>
      </c>
      <c r="U4" s="9" t="s">
        <v>15</v>
      </c>
      <c r="V4" s="9" t="s">
        <v>8</v>
      </c>
      <c r="W4" s="10" t="s">
        <v>38</v>
      </c>
      <c r="Z4" s="12">
        <v>2030</v>
      </c>
      <c r="AA4" s="12">
        <v>2040</v>
      </c>
      <c r="AB4" s="12">
        <v>2050</v>
      </c>
      <c r="AC4" s="12">
        <v>2070</v>
      </c>
      <c r="AD4" s="12">
        <v>2025</v>
      </c>
      <c r="AE4" s="12">
        <v>2035</v>
      </c>
    </row>
    <row r="5" spans="1:31" ht="14.25" x14ac:dyDescent="0.2">
      <c r="A5" s="24" t="s">
        <v>127</v>
      </c>
      <c r="C5" s="40"/>
      <c r="D5" s="40"/>
      <c r="E5" s="27" t="s">
        <v>104</v>
      </c>
      <c r="F5" s="27"/>
      <c r="G5" s="29" t="s">
        <v>235</v>
      </c>
      <c r="H5" s="28">
        <v>0</v>
      </c>
      <c r="I5" s="40"/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7"/>
      <c r="P5" s="28"/>
      <c r="Q5" s="28">
        <v>0</v>
      </c>
      <c r="R5" s="28"/>
      <c r="S5" s="28"/>
      <c r="T5" s="27"/>
      <c r="U5" s="27"/>
      <c r="V5" s="27"/>
      <c r="W5" s="28"/>
      <c r="Z5" s="199"/>
      <c r="AA5" s="199"/>
      <c r="AB5" s="199"/>
      <c r="AC5" s="199"/>
      <c r="AD5" s="199"/>
      <c r="AE5" s="199"/>
    </row>
    <row r="6" spans="1:31" ht="14.25" x14ac:dyDescent="0.2">
      <c r="A6" s="24" t="s">
        <v>374</v>
      </c>
      <c r="C6" s="40"/>
      <c r="D6" s="40"/>
      <c r="E6" s="122" t="s">
        <v>39</v>
      </c>
      <c r="F6" s="29"/>
      <c r="G6" s="122" t="s">
        <v>235</v>
      </c>
      <c r="H6" s="191">
        <v>1</v>
      </c>
      <c r="I6" s="191">
        <v>1</v>
      </c>
      <c r="J6" s="192">
        <f>DEMPROJ!F42</f>
        <v>0.94092867490111443</v>
      </c>
      <c r="K6" s="192">
        <f>DEMPROJ!G42*Z6</f>
        <v>0.86901365879273462</v>
      </c>
      <c r="L6" s="192">
        <f>DEMPROJ!H42*AA6</f>
        <v>0.78510229969327616</v>
      </c>
      <c r="M6" s="192">
        <f>DEMPROJ!I42*AB6</f>
        <v>0.7088197890609973</v>
      </c>
      <c r="N6" s="192">
        <f>DEMPROJ!J42*AC6</f>
        <v>0.7088197890609973</v>
      </c>
      <c r="O6" s="192">
        <f>DEMPROJ!K42*AD6</f>
        <v>0.90425652911041632</v>
      </c>
      <c r="P6" s="192">
        <f>DEMPROJ!L42*AE6</f>
        <v>0.8259931125518204</v>
      </c>
      <c r="Q6" s="123"/>
      <c r="R6" s="122"/>
      <c r="S6" s="122"/>
      <c r="T6" s="122"/>
      <c r="U6" s="122"/>
      <c r="V6" s="122" t="s">
        <v>40</v>
      </c>
      <c r="W6" s="98" t="str">
        <f>IF($W$1,0,T(0))</f>
        <v/>
      </c>
      <c r="Z6" s="7">
        <v>1</v>
      </c>
      <c r="AA6" s="199">
        <f t="shared" ref="AA6:AA17" si="0">SQRT(Z6*AB6)</f>
        <v>1</v>
      </c>
      <c r="AB6" s="7">
        <v>1</v>
      </c>
      <c r="AC6" s="199">
        <f t="array" ref="AC6:AC17">AB6:AB17</f>
        <v>1</v>
      </c>
      <c r="AD6" s="199">
        <f t="array" ref="AD6:AD17">1</f>
        <v>1</v>
      </c>
      <c r="AE6" s="199">
        <f t="shared" ref="AE6:AE17" si="1">SQRT(Z6*AA6)</f>
        <v>1</v>
      </c>
    </row>
    <row r="7" spans="1:31" ht="14.25" x14ac:dyDescent="0.2">
      <c r="C7" s="40"/>
      <c r="D7" s="40"/>
      <c r="E7" s="122" t="s">
        <v>39</v>
      </c>
      <c r="F7" s="29"/>
      <c r="G7" s="122" t="s">
        <v>235</v>
      </c>
      <c r="H7" s="191">
        <v>1</v>
      </c>
      <c r="I7" s="191">
        <v>1</v>
      </c>
      <c r="J7" s="192">
        <f>DEMPROJ!F43</f>
        <v>1.0479841219120323</v>
      </c>
      <c r="K7" s="192">
        <f>DEMPROJ!G43*Z7</f>
        <v>1.0989800245555117</v>
      </c>
      <c r="L7" s="192">
        <f>DEMPROJ!H43*AA7</f>
        <v>1.1524574362524667</v>
      </c>
      <c r="M7" s="192">
        <f>DEMPROJ!I43*AB7</f>
        <v>1.1524574362524667</v>
      </c>
      <c r="N7" s="192">
        <f>DEMPROJ!J43*AC7</f>
        <v>1.1524574362524667</v>
      </c>
      <c r="O7" s="192">
        <f>DEMPROJ!K43*AD7</f>
        <v>1.0772457436252401</v>
      </c>
      <c r="P7" s="192">
        <f>DEMPROJ!L43*AE7</f>
        <v>1.1524574362524667</v>
      </c>
      <c r="Q7" s="123"/>
      <c r="R7" s="122"/>
      <c r="S7" s="122"/>
      <c r="T7" s="122"/>
      <c r="U7" s="122"/>
      <c r="V7" s="122" t="s">
        <v>41</v>
      </c>
      <c r="W7" s="98" t="str">
        <f t="shared" ref="W7:W17" si="2">IF($W$1,0,T(0))</f>
        <v/>
      </c>
      <c r="Z7" s="7">
        <v>1</v>
      </c>
      <c r="AA7" s="199">
        <f t="shared" si="0"/>
        <v>1</v>
      </c>
      <c r="AB7" s="7">
        <v>1</v>
      </c>
      <c r="AC7" s="199">
        <v>1</v>
      </c>
      <c r="AD7" s="199">
        <v>1</v>
      </c>
      <c r="AE7" s="199">
        <f t="shared" si="1"/>
        <v>1</v>
      </c>
    </row>
    <row r="8" spans="1:31" ht="14.25" x14ac:dyDescent="0.2">
      <c r="C8" s="40"/>
      <c r="D8" s="40"/>
      <c r="E8" s="122" t="s">
        <v>39</v>
      </c>
      <c r="F8" s="29"/>
      <c r="G8" s="122" t="s">
        <v>235</v>
      </c>
      <c r="H8" s="191">
        <v>1</v>
      </c>
      <c r="I8" s="191">
        <v>1</v>
      </c>
      <c r="J8" s="192">
        <f>DEMPROJ!F44</f>
        <v>1.0394243718343128</v>
      </c>
      <c r="K8" s="192">
        <f>DEMPROJ!G44*Z8</f>
        <v>1.1325080949618316</v>
      </c>
      <c r="L8" s="192">
        <f>DEMPROJ!H44*AA8</f>
        <v>1.1554128438610747</v>
      </c>
      <c r="M8" s="192">
        <f>DEMPROJ!I44*AB8</f>
        <v>1.1808651554232772</v>
      </c>
      <c r="N8" s="192">
        <f>DEMPROJ!J44*AC8</f>
        <v>1.2281005278892942</v>
      </c>
      <c r="O8" s="192">
        <f>DEMPROJ!K44*AD8</f>
        <v>1.0849684397266937</v>
      </c>
      <c r="P8" s="192">
        <f>DEMPROJ!L44*AE8</f>
        <v>1.1439031421827366</v>
      </c>
      <c r="Q8" s="123"/>
      <c r="R8" s="122"/>
      <c r="S8" s="122"/>
      <c r="T8" s="122"/>
      <c r="U8" s="122"/>
      <c r="V8" s="122" t="s">
        <v>42</v>
      </c>
      <c r="W8" s="98" t="str">
        <f t="shared" si="2"/>
        <v/>
      </c>
      <c r="Z8" s="7">
        <v>1</v>
      </c>
      <c r="AA8" s="199">
        <f t="shared" si="0"/>
        <v>1</v>
      </c>
      <c r="AB8" s="7">
        <v>1</v>
      </c>
      <c r="AC8" s="199">
        <v>1</v>
      </c>
      <c r="AD8" s="199">
        <v>1</v>
      </c>
      <c r="AE8" s="199">
        <f t="shared" si="1"/>
        <v>1</v>
      </c>
    </row>
    <row r="9" spans="1:31" x14ac:dyDescent="0.2">
      <c r="C9" s="40"/>
      <c r="D9" s="40"/>
      <c r="E9" s="122" t="s">
        <v>39</v>
      </c>
      <c r="F9" s="40"/>
      <c r="G9" s="122" t="s">
        <v>235</v>
      </c>
      <c r="H9" s="191">
        <v>1</v>
      </c>
      <c r="I9" s="191">
        <v>1</v>
      </c>
      <c r="J9" s="192">
        <f>DEMPROJ!F45</f>
        <v>1.0189646223761117</v>
      </c>
      <c r="K9" s="192">
        <f>DEMPROJ!G45*Z9</f>
        <v>1.0541959520216426</v>
      </c>
      <c r="L9" s="192">
        <f>DEMPROJ!H45*AA9</f>
        <v>1.2031466436468798</v>
      </c>
      <c r="M9" s="192">
        <f>DEMPROJ!I45*AB9</f>
        <v>1.355114715876913</v>
      </c>
      <c r="N9" s="192">
        <f>DEMPROJ!J45*AC9</f>
        <v>1.6607734085736054</v>
      </c>
      <c r="O9" s="192">
        <f>DEMPROJ!K45*AD9</f>
        <v>1.0235977323007526</v>
      </c>
      <c r="P9" s="192">
        <f>DEMPROJ!L45*AE9</f>
        <v>1.1205612498117254</v>
      </c>
      <c r="Q9" s="123"/>
      <c r="R9" s="123"/>
      <c r="S9" s="123"/>
      <c r="T9" s="123"/>
      <c r="U9" s="123"/>
      <c r="V9" s="123" t="s">
        <v>86</v>
      </c>
      <c r="W9" s="98" t="str">
        <f t="shared" si="2"/>
        <v/>
      </c>
      <c r="Z9" s="7">
        <v>1</v>
      </c>
      <c r="AA9" s="199">
        <f t="shared" si="0"/>
        <v>1</v>
      </c>
      <c r="AB9" s="7">
        <v>1</v>
      </c>
      <c r="AC9" s="199">
        <v>1</v>
      </c>
      <c r="AD9" s="199">
        <v>1</v>
      </c>
      <c r="AE9" s="199">
        <f t="shared" si="1"/>
        <v>1</v>
      </c>
    </row>
    <row r="10" spans="1:31" x14ac:dyDescent="0.2">
      <c r="C10" s="40"/>
      <c r="D10" s="40"/>
      <c r="E10" s="122" t="s">
        <v>39</v>
      </c>
      <c r="F10" s="40"/>
      <c r="G10" s="122" t="s">
        <v>235</v>
      </c>
      <c r="H10" s="191">
        <v>1</v>
      </c>
      <c r="I10" s="191">
        <v>1</v>
      </c>
      <c r="J10" s="192">
        <f>DEMPROJ!F46</f>
        <v>1.0543367680027234</v>
      </c>
      <c r="K10" s="192">
        <f>DEMPROJ!G46*Z10</f>
        <v>1.1612854936803894</v>
      </c>
      <c r="L10" s="192">
        <f>DEMPROJ!H46*AA10</f>
        <v>1.2526460557126471</v>
      </c>
      <c r="M10" s="192">
        <f>DEMPROJ!I46*AB10</f>
        <v>1.3410001055782204</v>
      </c>
      <c r="N10" s="192">
        <f>DEMPROJ!J46*AC10</f>
        <v>1.5067651226515808</v>
      </c>
      <c r="O10" s="192">
        <f>DEMPROJ!K46*AD10</f>
        <v>1.1523036321255611</v>
      </c>
      <c r="P10" s="192">
        <f>DEMPROJ!L46*AE10</f>
        <v>1.2085391782874604</v>
      </c>
      <c r="Q10" s="123"/>
      <c r="R10" s="123"/>
      <c r="S10" s="123"/>
      <c r="T10" s="123"/>
      <c r="U10" s="123"/>
      <c r="V10" s="123" t="s">
        <v>102</v>
      </c>
      <c r="W10" s="98" t="str">
        <f t="shared" si="2"/>
        <v/>
      </c>
      <c r="Z10" s="7">
        <v>1</v>
      </c>
      <c r="AA10" s="199">
        <f t="shared" si="0"/>
        <v>1</v>
      </c>
      <c r="AB10" s="7">
        <v>1</v>
      </c>
      <c r="AC10" s="199">
        <v>1</v>
      </c>
      <c r="AD10" s="199">
        <v>1</v>
      </c>
      <c r="AE10" s="199">
        <f t="shared" si="1"/>
        <v>1</v>
      </c>
    </row>
    <row r="11" spans="1:31" x14ac:dyDescent="0.2">
      <c r="C11" s="40"/>
      <c r="D11" s="40"/>
      <c r="E11" s="122" t="s">
        <v>39</v>
      </c>
      <c r="F11" s="40"/>
      <c r="G11" s="122" t="s">
        <v>235</v>
      </c>
      <c r="H11" s="191">
        <v>1</v>
      </c>
      <c r="I11" s="191">
        <v>1</v>
      </c>
      <c r="J11" s="192">
        <f>DEMPROJ!F47</f>
        <v>1.2609773689622583</v>
      </c>
      <c r="K11" s="192">
        <f>DEMPROJ!G47*Z11</f>
        <v>1.8173481236589095</v>
      </c>
      <c r="L11" s="192">
        <f>DEMPROJ!H47*AA11</f>
        <v>2.2879622032528339</v>
      </c>
      <c r="M11" s="192">
        <f>DEMPROJ!I47*AB11</f>
        <v>2.688167640499219</v>
      </c>
      <c r="N11" s="192">
        <f>DEMPROJ!J47*AC11</f>
        <v>3.2566064418001464</v>
      </c>
      <c r="O11" s="192">
        <f>DEMPROJ!K47*AD11</f>
        <v>1.5414451548117916</v>
      </c>
      <c r="P11" s="192">
        <f>DEMPROJ!L47*AE11</f>
        <v>2.0758286948810243</v>
      </c>
      <c r="Q11" s="40"/>
      <c r="R11" s="40"/>
      <c r="S11" s="40"/>
      <c r="T11" s="40"/>
      <c r="U11" s="40"/>
      <c r="V11" s="40" t="s">
        <v>87</v>
      </c>
      <c r="W11" s="98" t="str">
        <f t="shared" si="2"/>
        <v/>
      </c>
      <c r="Z11" s="7">
        <v>1</v>
      </c>
      <c r="AA11" s="199">
        <f t="shared" si="0"/>
        <v>1</v>
      </c>
      <c r="AB11" s="7">
        <v>1</v>
      </c>
      <c r="AC11" s="199">
        <v>1</v>
      </c>
      <c r="AD11" s="199">
        <v>1</v>
      </c>
      <c r="AE11" s="199">
        <f t="shared" si="1"/>
        <v>1</v>
      </c>
    </row>
    <row r="12" spans="1:31" x14ac:dyDescent="0.2">
      <c r="C12" s="40"/>
      <c r="D12" s="40"/>
      <c r="E12" s="122" t="s">
        <v>39</v>
      </c>
      <c r="F12" s="40"/>
      <c r="G12" s="122" t="s">
        <v>235</v>
      </c>
      <c r="H12" s="191">
        <v>1</v>
      </c>
      <c r="I12" s="191">
        <v>1</v>
      </c>
      <c r="J12" s="192">
        <f>DEMPROJ!F48</f>
        <v>1.0730561266114809</v>
      </c>
      <c r="K12" s="192">
        <f>DEMPROJ!G48*Z12</f>
        <v>1.4998532355258221</v>
      </c>
      <c r="L12" s="192">
        <f>DEMPROJ!H48*AA12</f>
        <v>1.8458818778733392</v>
      </c>
      <c r="M12" s="192">
        <f>DEMPROJ!I48*AB12</f>
        <v>2.0907253793250278</v>
      </c>
      <c r="N12" s="192">
        <f>DEMPROJ!J48*AC12</f>
        <v>2.3562770477088906</v>
      </c>
      <c r="O12" s="192">
        <f>DEMPROJ!K48*AD12</f>
        <v>1.2917871758393051</v>
      </c>
      <c r="P12" s="192">
        <f>DEMPROJ!L48*AE12</f>
        <v>1.6938477046354525</v>
      </c>
      <c r="Q12" s="40"/>
      <c r="R12" s="40"/>
      <c r="S12" s="40"/>
      <c r="T12" s="40"/>
      <c r="U12" s="40"/>
      <c r="V12" s="40" t="s">
        <v>88</v>
      </c>
      <c r="W12" s="98" t="str">
        <f t="shared" si="2"/>
        <v/>
      </c>
      <c r="Z12" s="7">
        <v>1</v>
      </c>
      <c r="AA12" s="199">
        <f t="shared" si="0"/>
        <v>1</v>
      </c>
      <c r="AB12" s="7">
        <v>1</v>
      </c>
      <c r="AC12" s="199">
        <v>1</v>
      </c>
      <c r="AD12" s="199">
        <v>1</v>
      </c>
      <c r="AE12" s="199">
        <f t="shared" si="1"/>
        <v>1</v>
      </c>
    </row>
    <row r="13" spans="1:31" x14ac:dyDescent="0.2">
      <c r="C13" s="40"/>
      <c r="D13" s="40"/>
      <c r="E13" s="122" t="s">
        <v>39</v>
      </c>
      <c r="F13" s="40"/>
      <c r="G13" s="122" t="s">
        <v>235</v>
      </c>
      <c r="H13" s="191">
        <v>1</v>
      </c>
      <c r="I13" s="191">
        <v>1</v>
      </c>
      <c r="J13" s="192">
        <f>DEMPROJ!F49</f>
        <v>1.0555047826782802</v>
      </c>
      <c r="K13" s="192">
        <f>DEMPROJ!G49*Z13</f>
        <v>1.5978976806228098</v>
      </c>
      <c r="L13" s="192">
        <f>DEMPROJ!H49*AA13</f>
        <v>2.0132473641930049</v>
      </c>
      <c r="M13" s="192">
        <f>DEMPROJ!I49*AB13</f>
        <v>2.3126294022132821</v>
      </c>
      <c r="N13" s="192">
        <f>DEMPROJ!J49*AC13</f>
        <v>2.6418404797434536</v>
      </c>
      <c r="O13" s="192">
        <f>DEMPROJ!K49*AD13</f>
        <v>1.3223912085622567</v>
      </c>
      <c r="P13" s="192">
        <f>DEMPROJ!L49*AE13</f>
        <v>1.8258751481351896</v>
      </c>
      <c r="Q13" s="40"/>
      <c r="R13" s="40"/>
      <c r="S13" s="40"/>
      <c r="T13" s="40"/>
      <c r="U13" s="40"/>
      <c r="V13" s="40" t="s">
        <v>89</v>
      </c>
      <c r="W13" s="98" t="str">
        <f t="shared" si="2"/>
        <v/>
      </c>
      <c r="Z13" s="7">
        <v>1</v>
      </c>
      <c r="AA13" s="199">
        <f t="shared" si="0"/>
        <v>1</v>
      </c>
      <c r="AB13" s="7">
        <v>1</v>
      </c>
      <c r="AC13" s="199">
        <v>1</v>
      </c>
      <c r="AD13" s="199">
        <v>1</v>
      </c>
      <c r="AE13" s="199">
        <f t="shared" si="1"/>
        <v>1</v>
      </c>
    </row>
    <row r="14" spans="1:31" x14ac:dyDescent="0.2">
      <c r="C14" s="40"/>
      <c r="D14" s="40"/>
      <c r="E14" s="122" t="s">
        <v>39</v>
      </c>
      <c r="F14" s="40"/>
      <c r="G14" s="122" t="s">
        <v>235</v>
      </c>
      <c r="H14" s="191">
        <v>1</v>
      </c>
      <c r="I14" s="191">
        <v>1</v>
      </c>
      <c r="J14" s="192">
        <f>DEMPROJ!F50</f>
        <v>1.0670803512315767</v>
      </c>
      <c r="K14" s="192">
        <f>DEMPROJ!G50*Z14</f>
        <v>1.4905521565296853</v>
      </c>
      <c r="L14" s="192">
        <f>DEMPROJ!H50*AA14</f>
        <v>1.8379046012520279</v>
      </c>
      <c r="M14" s="192">
        <f>DEMPROJ!I50*AB14</f>
        <v>2.0840514563644952</v>
      </c>
      <c r="N14" s="192">
        <f>DEMPROJ!J50*AC14</f>
        <v>2.3513132518141262</v>
      </c>
      <c r="O14" s="192">
        <f>DEMPROJ!K50*AD14</f>
        <v>1.2841847773885879</v>
      </c>
      <c r="P14" s="192">
        <f>DEMPROJ!L50*AE14</f>
        <v>1.6849347834294148</v>
      </c>
      <c r="Q14" s="40"/>
      <c r="R14" s="40"/>
      <c r="S14" s="40"/>
      <c r="T14" s="40"/>
      <c r="U14" s="40"/>
      <c r="V14" s="40" t="s">
        <v>90</v>
      </c>
      <c r="W14" s="98" t="str">
        <f t="shared" si="2"/>
        <v/>
      </c>
      <c r="Z14" s="7">
        <v>1</v>
      </c>
      <c r="AA14" s="199">
        <f t="shared" si="0"/>
        <v>1</v>
      </c>
      <c r="AB14" s="7">
        <v>1</v>
      </c>
      <c r="AC14" s="199">
        <v>1</v>
      </c>
      <c r="AD14" s="199">
        <v>1</v>
      </c>
      <c r="AE14" s="199">
        <f t="shared" si="1"/>
        <v>1</v>
      </c>
    </row>
    <row r="15" spans="1:31" x14ac:dyDescent="0.2">
      <c r="C15" s="40"/>
      <c r="D15" s="40"/>
      <c r="E15" s="122" t="s">
        <v>39</v>
      </c>
      <c r="F15" s="40"/>
      <c r="G15" s="122" t="s">
        <v>235</v>
      </c>
      <c r="H15" s="191">
        <v>1</v>
      </c>
      <c r="I15" s="191">
        <v>1</v>
      </c>
      <c r="J15" s="192">
        <f>DEMPROJ!F51</f>
        <v>1.0938502844885714</v>
      </c>
      <c r="K15" s="192">
        <f>DEMPROJ!G51*Z15</f>
        <v>1.5617192384247951</v>
      </c>
      <c r="L15" s="192">
        <f>DEMPROJ!H51*AA15</f>
        <v>1.9384078185382094</v>
      </c>
      <c r="M15" s="192">
        <f>DEMPROJ!I51*AB15</f>
        <v>2.254938427237982</v>
      </c>
      <c r="N15" s="192">
        <f>DEMPROJ!J51*AC15</f>
        <v>2.6996361439831702</v>
      </c>
      <c r="O15" s="192">
        <f>DEMPROJ!K51*AD15</f>
        <v>1.3308704722858877</v>
      </c>
      <c r="P15" s="192">
        <f>DEMPROJ!L51*AE15</f>
        <v>1.7712182619934189</v>
      </c>
      <c r="Q15" s="40"/>
      <c r="R15" s="40"/>
      <c r="S15" s="40"/>
      <c r="T15" s="40"/>
      <c r="U15" s="40"/>
      <c r="V15" s="40" t="s">
        <v>91</v>
      </c>
      <c r="W15" s="98" t="str">
        <f t="shared" si="2"/>
        <v/>
      </c>
      <c r="Z15" s="7">
        <v>1</v>
      </c>
      <c r="AA15" s="199">
        <f t="shared" si="0"/>
        <v>1</v>
      </c>
      <c r="AB15" s="7">
        <v>1</v>
      </c>
      <c r="AC15" s="199">
        <v>1</v>
      </c>
      <c r="AD15" s="199">
        <v>1</v>
      </c>
      <c r="AE15" s="199">
        <f t="shared" si="1"/>
        <v>1</v>
      </c>
    </row>
    <row r="16" spans="1:31" x14ac:dyDescent="0.2">
      <c r="C16" s="40"/>
      <c r="D16" s="40"/>
      <c r="E16" s="122" t="s">
        <v>39</v>
      </c>
      <c r="F16" s="40"/>
      <c r="G16" s="122" t="s">
        <v>235</v>
      </c>
      <c r="H16" s="191">
        <v>1</v>
      </c>
      <c r="I16" s="191">
        <v>1</v>
      </c>
      <c r="J16" s="192">
        <f>DEMPROJ!F52</f>
        <v>1.0179569278762093</v>
      </c>
      <c r="K16" s="192">
        <f>DEMPROJ!G52*Z16</f>
        <v>1.1340939397941407</v>
      </c>
      <c r="L16" s="192">
        <f>DEMPROJ!H52*AA16</f>
        <v>1.2528381124831169</v>
      </c>
      <c r="M16" s="192">
        <f>DEMPROJ!I52*AB16</f>
        <v>1.3715822851720931</v>
      </c>
      <c r="N16" s="192">
        <f>DEMPROJ!J52*AC16</f>
        <v>1.5015810472665936</v>
      </c>
      <c r="O16" s="192">
        <f>DEMPROJ!K52*AD16</f>
        <v>1.0449920927560175</v>
      </c>
      <c r="P16" s="192">
        <f>DEMPROJ!L52*AE16</f>
        <v>1.3511686121408917</v>
      </c>
      <c r="Q16" s="40"/>
      <c r="R16" s="40"/>
      <c r="S16" s="40"/>
      <c r="T16" s="40"/>
      <c r="U16" s="40"/>
      <c r="V16" s="40" t="s">
        <v>92</v>
      </c>
      <c r="W16" s="98" t="str">
        <f t="shared" si="2"/>
        <v/>
      </c>
      <c r="Z16" s="7">
        <v>1</v>
      </c>
      <c r="AA16" s="199">
        <f t="shared" si="0"/>
        <v>1</v>
      </c>
      <c r="AB16" s="7">
        <v>1</v>
      </c>
      <c r="AC16" s="199">
        <v>1</v>
      </c>
      <c r="AD16" s="199">
        <v>1</v>
      </c>
      <c r="AE16" s="199">
        <f t="shared" si="1"/>
        <v>1</v>
      </c>
    </row>
    <row r="17" spans="1:31" x14ac:dyDescent="0.2">
      <c r="C17" s="40"/>
      <c r="D17" s="40"/>
      <c r="E17" s="122" t="s">
        <v>39</v>
      </c>
      <c r="F17" s="40"/>
      <c r="G17" s="122" t="s">
        <v>235</v>
      </c>
      <c r="H17" s="191">
        <v>1</v>
      </c>
      <c r="I17" s="191">
        <v>1</v>
      </c>
      <c r="J17" s="192">
        <f>DEMPROJ!F53</f>
        <v>1.0610147362981242</v>
      </c>
      <c r="K17" s="192">
        <f>DEMPROJ!G53*Z17</f>
        <v>1.4958916777107185</v>
      </c>
      <c r="L17" s="192">
        <f>DEMPROJ!H53*AA17</f>
        <v>1.8737951872154439</v>
      </c>
      <c r="M17" s="192">
        <f>DEMPROJ!I53*AB17</f>
        <v>2.1938023649935108</v>
      </c>
      <c r="N17" s="192">
        <f>DEMPROJ!J53*AC17</f>
        <v>2.6465688949723645</v>
      </c>
      <c r="O17" s="192">
        <f>DEMPROJ!K53*AD17</f>
        <v>1.2828212584753105</v>
      </c>
      <c r="P17" s="192">
        <f>DEMPROJ!L53*AE17</f>
        <v>1.7043514613359794</v>
      </c>
      <c r="Q17" s="40"/>
      <c r="R17" s="40"/>
      <c r="S17" s="40"/>
      <c r="T17" s="40"/>
      <c r="U17" s="40"/>
      <c r="V17" s="40" t="s">
        <v>93</v>
      </c>
      <c r="W17" s="98" t="str">
        <f t="shared" si="2"/>
        <v/>
      </c>
      <c r="Z17" s="7">
        <v>1</v>
      </c>
      <c r="AA17" s="199">
        <f t="shared" si="0"/>
        <v>1</v>
      </c>
      <c r="AB17" s="7">
        <v>1</v>
      </c>
      <c r="AC17" s="199">
        <v>1</v>
      </c>
      <c r="AD17" s="199">
        <v>1</v>
      </c>
      <c r="AE17" s="199">
        <f t="shared" si="1"/>
        <v>1</v>
      </c>
    </row>
    <row r="18" spans="1:31" x14ac:dyDescent="0.2">
      <c r="A18" t="s">
        <v>106</v>
      </c>
      <c r="C18" s="40"/>
      <c r="D18" s="40"/>
      <c r="E18" s="40" t="s">
        <v>104</v>
      </c>
      <c r="F18" s="40"/>
      <c r="G18" s="122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</row>
    <row r="19" spans="1:31" x14ac:dyDescent="0.2">
      <c r="C19" s="40"/>
      <c r="D19" s="40"/>
      <c r="E19" s="40" t="s">
        <v>39</v>
      </c>
      <c r="F19" s="40"/>
      <c r="G19" s="122" t="s">
        <v>235</v>
      </c>
      <c r="H19" s="116">
        <v>1</v>
      </c>
      <c r="I19" s="116">
        <f>HLOOKUP(I$1,DEMPROJ!$F$6:$L$16,$Z19+1,0)</f>
        <v>1</v>
      </c>
      <c r="J19" s="116">
        <f>HLOOKUP(J$1,DEMPROJ!$F$6:$L$16,$Z19+1,0)</f>
        <v>1.04497991127553</v>
      </c>
      <c r="K19" s="116">
        <f>HLOOKUP(K$1,DEMPROJ!$F$6:$L$16,$Z19+1,0)</f>
        <v>1.1656965352876492</v>
      </c>
      <c r="L19" s="116">
        <f>HLOOKUP(L$1,DEMPROJ!$F$6:$L$16,$Z19+1,0)</f>
        <v>1.2437204119154244</v>
      </c>
      <c r="M19" s="116">
        <f>HLOOKUP(M$1,DEMPROJ!$F$6:$L$16,$Z19+1,0)</f>
        <v>1.3203910418710392</v>
      </c>
      <c r="N19" s="116">
        <f>HLOOKUP(N$1,DEMPROJ!$F$6:$L$16,$Z19+1,0)</f>
        <v>1.3768557235225378</v>
      </c>
      <c r="O19" s="116">
        <f>HLOOKUP(O$1,DEMPROJ!$F$6:$L$16,$Z19+1,0)</f>
        <v>1.125740142797641</v>
      </c>
      <c r="P19" s="116"/>
      <c r="Q19" s="40"/>
      <c r="R19" s="40"/>
      <c r="S19" s="40"/>
      <c r="T19" s="40"/>
      <c r="U19" s="40"/>
      <c r="V19" s="40" t="s">
        <v>333</v>
      </c>
      <c r="W19" s="98" t="str">
        <f>IF($W$1,0,T(0))</f>
        <v/>
      </c>
      <c r="Z19">
        <v>4</v>
      </c>
    </row>
    <row r="20" spans="1:31" x14ac:dyDescent="0.2">
      <c r="C20" s="40"/>
      <c r="D20" s="40"/>
      <c r="E20" s="40" t="s">
        <v>39</v>
      </c>
      <c r="F20" s="40"/>
      <c r="G20" s="122" t="s">
        <v>235</v>
      </c>
      <c r="H20" s="116">
        <v>1</v>
      </c>
      <c r="I20" s="116">
        <f>HLOOKUP(I$1,DEMPROJ!$F$6:$L$16,$Z20+1,0)</f>
        <v>1</v>
      </c>
      <c r="J20" s="116">
        <f>HLOOKUP(J$1,DEMPROJ!$F$6:$L$16,$Z20+1,0)</f>
        <v>1.0569698455197483</v>
      </c>
      <c r="K20" s="116">
        <f>HLOOKUP(K$1,DEMPROJ!$F$6:$L$16,$Z20+1,0)</f>
        <v>1.2397093681063434</v>
      </c>
      <c r="L20" s="116">
        <f>HLOOKUP(L$1,DEMPROJ!$F$6:$L$16,$Z20+1,0)</f>
        <v>1.3517707019116676</v>
      </c>
      <c r="M20" s="116">
        <f>HLOOKUP(M$1,DEMPROJ!$F$6:$L$16,$Z20+1,0)</f>
        <v>1.414561902014799</v>
      </c>
      <c r="N20" s="116">
        <f>HLOOKUP(N$1,DEMPROJ!$F$6:$L$16,$Z20+1,0)</f>
        <v>1.4602432475035858</v>
      </c>
      <c r="O20" s="116">
        <f>HLOOKUP(O$1,DEMPROJ!$F$6:$L$16,$Z20+1,0)</f>
        <v>1.1460146019233157</v>
      </c>
      <c r="P20" s="116"/>
      <c r="Q20" s="40"/>
      <c r="R20" s="40"/>
      <c r="S20" s="40"/>
      <c r="T20" s="40"/>
      <c r="U20" s="40"/>
      <c r="V20" s="40" t="s">
        <v>334</v>
      </c>
      <c r="W20" s="98" t="str">
        <f>IF($W$1,0,T(0))</f>
        <v/>
      </c>
      <c r="Z20">
        <v>5</v>
      </c>
    </row>
    <row r="21" spans="1:31" x14ac:dyDescent="0.2">
      <c r="C21" s="40"/>
      <c r="D21" s="40"/>
      <c r="E21" s="40" t="s">
        <v>39</v>
      </c>
      <c r="F21" s="40"/>
      <c r="G21" s="122" t="s">
        <v>235</v>
      </c>
      <c r="H21" s="116">
        <v>1</v>
      </c>
      <c r="I21" s="116">
        <f>HLOOKUP(I$1,DEMPROJ!$F$6:$L$16,$Z21+1,0)</f>
        <v>1</v>
      </c>
      <c r="J21" s="116">
        <f>HLOOKUP(J$1,DEMPROJ!$F$6:$L$16,$Z21+1,0)</f>
        <v>1.0449799112755298</v>
      </c>
      <c r="K21" s="116">
        <f>HLOOKUP(K$1,DEMPROJ!$F$6:$L$16,$Z21+1,0)</f>
        <v>1.1949251869576538</v>
      </c>
      <c r="L21" s="116">
        <f>HLOOKUP(L$1,DEMPROJ!$F$6:$L$16,$Z21+1,0)</f>
        <v>1.3330613804151912</v>
      </c>
      <c r="M21" s="116">
        <f>HLOOKUP(M$1,DEMPROJ!$F$6:$L$16,$Z21+1,0)</f>
        <v>1.4725290953378227</v>
      </c>
      <c r="N21" s="116">
        <f>HLOOKUP(N$1,DEMPROJ!$F$6:$L$16,$Z21+1,0)</f>
        <v>1.5787505001178337</v>
      </c>
      <c r="O21" s="116">
        <f>HLOOKUP(O$1,DEMPROJ!$F$6:$L$16,$Z21+1,0)</f>
        <v>1.1257401427976412</v>
      </c>
      <c r="P21" s="116"/>
      <c r="Q21" s="40"/>
      <c r="R21" s="40"/>
      <c r="S21" s="40"/>
      <c r="T21" s="40"/>
      <c r="U21" s="40"/>
      <c r="V21" s="40" t="s">
        <v>335</v>
      </c>
      <c r="W21" s="98" t="str">
        <f>IF($W$1,0,T(0))</f>
        <v/>
      </c>
      <c r="Z21">
        <v>6</v>
      </c>
    </row>
    <row r="22" spans="1:31" x14ac:dyDescent="0.2">
      <c r="C22" s="27"/>
      <c r="D22" s="27"/>
      <c r="E22" s="27" t="s">
        <v>104</v>
      </c>
      <c r="F22" s="27"/>
      <c r="G22" s="40" t="s">
        <v>235</v>
      </c>
      <c r="H22" s="27"/>
      <c r="I22" s="27"/>
      <c r="J22" s="27"/>
      <c r="K22" s="27"/>
      <c r="L22" s="27"/>
      <c r="M22" s="27"/>
      <c r="N22" s="27"/>
      <c r="O22" s="27"/>
      <c r="P22" s="116"/>
      <c r="Q22" s="91"/>
      <c r="R22" s="28"/>
      <c r="S22" s="28"/>
      <c r="T22" s="27"/>
      <c r="U22" s="27"/>
      <c r="V22" s="27"/>
      <c r="W22" s="28"/>
    </row>
    <row r="23" spans="1:31" x14ac:dyDescent="0.2">
      <c r="A23" s="24" t="s">
        <v>171</v>
      </c>
      <c r="B23" s="24"/>
      <c r="C23" s="40"/>
      <c r="D23" s="40"/>
      <c r="E23" s="40" t="s">
        <v>39</v>
      </c>
      <c r="F23" s="40"/>
      <c r="G23" s="40" t="s">
        <v>235</v>
      </c>
      <c r="H23" s="30">
        <v>1</v>
      </c>
      <c r="I23" s="30">
        <f>DEMPROJ!O22</f>
        <v>1</v>
      </c>
      <c r="J23" s="30">
        <f>DEMPROJ!P22</f>
        <v>1.222462693274265</v>
      </c>
      <c r="K23" s="30">
        <f>DEMPROJ!Q22</f>
        <v>2.2819288521472041</v>
      </c>
      <c r="L23" s="30">
        <f>DEMPROJ!R22</f>
        <v>3.2279745589858808</v>
      </c>
      <c r="M23" s="30">
        <f>DEMPROJ!S22</f>
        <v>4.2678472336084505</v>
      </c>
      <c r="N23" s="30">
        <f>DEMPROJ!T22</f>
        <v>4.6407961727038538</v>
      </c>
      <c r="O23" s="30">
        <f>SQRT(J23*K23)</f>
        <v>1.6702014520578419</v>
      </c>
      <c r="P23" s="116"/>
      <c r="Q23" s="40"/>
      <c r="R23" s="40"/>
      <c r="S23" s="40"/>
      <c r="T23" s="40"/>
      <c r="U23" s="40"/>
      <c r="V23" s="40" t="s">
        <v>128</v>
      </c>
      <c r="W23" s="98" t="str">
        <f t="shared" ref="W23:W36" si="3">IF($W$1,0,T(0))</f>
        <v/>
      </c>
    </row>
    <row r="24" spans="1:31" x14ac:dyDescent="0.2">
      <c r="C24" s="40"/>
      <c r="D24" s="40"/>
      <c r="E24" s="40" t="s">
        <v>39</v>
      </c>
      <c r="F24" s="40"/>
      <c r="G24" s="40" t="s">
        <v>235</v>
      </c>
      <c r="H24" s="30">
        <v>1</v>
      </c>
      <c r="I24" s="30">
        <f>DEMPROJ!O23</f>
        <v>1</v>
      </c>
      <c r="J24" s="30">
        <f>DEMPROJ!P23</f>
        <v>1.0346101357188666</v>
      </c>
      <c r="K24" s="30">
        <f>DEMPROJ!Q23</f>
        <v>1.1675561841496789</v>
      </c>
      <c r="L24" s="30">
        <f>DEMPROJ!R23</f>
        <v>1.27723738971867</v>
      </c>
      <c r="M24" s="30">
        <f>DEMPROJ!S23</f>
        <v>1.3660128097948145</v>
      </c>
      <c r="N24" s="30">
        <f>DEMPROJ!T23</f>
        <v>1.3938297069772754</v>
      </c>
      <c r="O24" s="40"/>
      <c r="P24" s="116"/>
      <c r="Q24" s="40"/>
      <c r="R24" s="40"/>
      <c r="S24" s="40"/>
      <c r="T24" s="40"/>
      <c r="U24" s="40"/>
      <c r="V24" s="40" t="s">
        <v>131</v>
      </c>
      <c r="W24" s="98" t="str">
        <f t="shared" si="3"/>
        <v/>
      </c>
    </row>
    <row r="25" spans="1:31" x14ac:dyDescent="0.2">
      <c r="C25" s="40"/>
      <c r="D25" s="40"/>
      <c r="E25" s="40" t="s">
        <v>39</v>
      </c>
      <c r="F25" s="40"/>
      <c r="G25" s="40" t="s">
        <v>235</v>
      </c>
      <c r="H25" s="30">
        <v>1</v>
      </c>
      <c r="I25" s="30">
        <f>DEMPROJ!O24</f>
        <v>1</v>
      </c>
      <c r="J25" s="30">
        <f>DEMPROJ!P24</f>
        <v>1.0472140336511067</v>
      </c>
      <c r="K25" s="30">
        <f>DEMPROJ!Q24</f>
        <v>1.2321682431794063</v>
      </c>
      <c r="L25" s="30">
        <f>DEMPROJ!R24</f>
        <v>1.362667113209981</v>
      </c>
      <c r="M25" s="30">
        <f>DEMPROJ!S24</f>
        <v>1.4706028500901345</v>
      </c>
      <c r="N25" s="30">
        <f>DEMPROJ!T24</f>
        <v>1.5046209061825839</v>
      </c>
      <c r="O25" s="40"/>
      <c r="P25" s="116"/>
      <c r="Q25" s="40"/>
      <c r="R25" s="40"/>
      <c r="S25" s="40"/>
      <c r="T25" s="40"/>
      <c r="U25" s="40"/>
      <c r="V25" s="40" t="s">
        <v>135</v>
      </c>
      <c r="W25" s="98" t="str">
        <f t="shared" si="3"/>
        <v/>
      </c>
    </row>
    <row r="26" spans="1:31" x14ac:dyDescent="0.2">
      <c r="C26" s="40"/>
      <c r="D26" s="40"/>
      <c r="E26" s="40" t="s">
        <v>39</v>
      </c>
      <c r="F26" s="40"/>
      <c r="G26" s="40" t="s">
        <v>235</v>
      </c>
      <c r="H26" s="30">
        <v>1</v>
      </c>
      <c r="I26" s="30">
        <f>DEMPROJ!O25</f>
        <v>1</v>
      </c>
      <c r="J26" s="30">
        <f>DEMPROJ!P25</f>
        <v>1.0359845967676511</v>
      </c>
      <c r="K26" s="30">
        <f>DEMPROJ!Q25</f>
        <v>1.1735135420340947</v>
      </c>
      <c r="L26" s="30">
        <f>DEMPROJ!R25</f>
        <v>1.2867289011503009</v>
      </c>
      <c r="M26" s="30">
        <f>DEMPROJ!S25</f>
        <v>1.3761640364221355</v>
      </c>
      <c r="N26" s="30">
        <f>DEMPROJ!T25</f>
        <v>1.4041876488164473</v>
      </c>
      <c r="O26" s="40"/>
      <c r="P26" s="116"/>
      <c r="Q26" s="40"/>
      <c r="R26" s="40"/>
      <c r="S26" s="40"/>
      <c r="T26" s="40"/>
      <c r="U26" s="40"/>
      <c r="V26" s="40" t="s">
        <v>129</v>
      </c>
      <c r="W26" s="98" t="str">
        <f t="shared" si="3"/>
        <v/>
      </c>
    </row>
    <row r="27" spans="1:31" x14ac:dyDescent="0.2">
      <c r="C27" s="40"/>
      <c r="D27" s="40"/>
      <c r="E27" s="40" t="s">
        <v>39</v>
      </c>
      <c r="F27" s="40"/>
      <c r="G27" s="40" t="s">
        <v>235</v>
      </c>
      <c r="H27" s="30">
        <v>1</v>
      </c>
      <c r="I27" s="30">
        <f>DEMPROJ!O26</f>
        <v>1</v>
      </c>
      <c r="J27" s="30">
        <f>DEMPROJ!P26</f>
        <v>1.0630936456147926</v>
      </c>
      <c r="K27" s="30">
        <f>DEMPROJ!Q26</f>
        <v>1.2708445685901943</v>
      </c>
      <c r="L27" s="30">
        <f>DEMPROJ!R26</f>
        <v>1.4152605716803848</v>
      </c>
      <c r="M27" s="30">
        <f>DEMPROJ!S26</f>
        <v>1.5292127594595055</v>
      </c>
      <c r="N27" s="30">
        <f>DEMPROJ!T26</f>
        <v>1.5651550421750597</v>
      </c>
      <c r="O27" s="40"/>
      <c r="P27" s="116"/>
      <c r="Q27" s="40"/>
      <c r="R27" s="40"/>
      <c r="S27" s="40"/>
      <c r="T27" s="40"/>
      <c r="U27" s="40"/>
      <c r="V27" s="40" t="s">
        <v>130</v>
      </c>
      <c r="W27" s="98" t="str">
        <f t="shared" si="3"/>
        <v/>
      </c>
    </row>
    <row r="28" spans="1:31" x14ac:dyDescent="0.2">
      <c r="C28" s="40"/>
      <c r="D28" s="40"/>
      <c r="E28" s="40" t="s">
        <v>39</v>
      </c>
      <c r="F28" s="40"/>
      <c r="G28" s="40" t="s">
        <v>235</v>
      </c>
      <c r="H28" s="30">
        <v>1</v>
      </c>
      <c r="I28" s="30">
        <f>DEMPROJ!O27</f>
        <v>1</v>
      </c>
      <c r="J28" s="30">
        <f>DEMPROJ!P27</f>
        <v>1.054804109127589</v>
      </c>
      <c r="K28" s="30">
        <f>DEMPROJ!Q27</f>
        <v>1.2307197032419663</v>
      </c>
      <c r="L28" s="30">
        <f>DEMPROJ!R27</f>
        <v>1.3485609264300167</v>
      </c>
      <c r="M28" s="30">
        <f>DEMPROJ!S27</f>
        <v>1.4491468028155443</v>
      </c>
      <c r="N28" s="30">
        <f>DEMPROJ!T27</f>
        <v>1.4807608592733708</v>
      </c>
      <c r="O28" s="40"/>
      <c r="P28" s="116"/>
      <c r="Q28" s="40"/>
      <c r="R28" s="40"/>
      <c r="S28" s="40"/>
      <c r="T28" s="40"/>
      <c r="U28" s="40"/>
      <c r="V28" s="40" t="s">
        <v>132</v>
      </c>
      <c r="W28" s="98" t="str">
        <f t="shared" si="3"/>
        <v/>
      </c>
    </row>
    <row r="29" spans="1:31" x14ac:dyDescent="0.2">
      <c r="C29" s="40"/>
      <c r="D29" s="40"/>
      <c r="E29" s="40" t="s">
        <v>39</v>
      </c>
      <c r="F29" s="40"/>
      <c r="G29" s="40" t="s">
        <v>235</v>
      </c>
      <c r="H29" s="30">
        <v>1</v>
      </c>
      <c r="I29" s="30">
        <f>DEMPROJ!O28</f>
        <v>1</v>
      </c>
      <c r="J29" s="30">
        <f>DEMPROJ!P28</f>
        <v>1.0450735713491335</v>
      </c>
      <c r="K29" s="30">
        <f>DEMPROJ!Q28</f>
        <v>1.212915525924507</v>
      </c>
      <c r="L29" s="30">
        <f>DEMPROJ!R28</f>
        <v>1.3507485990393182</v>
      </c>
      <c r="M29" s="30">
        <f>DEMPROJ!S28</f>
        <v>1.4595064921652161</v>
      </c>
      <c r="N29" s="30">
        <f>DEMPROJ!T28</f>
        <v>1.493810413998258</v>
      </c>
      <c r="O29" s="40"/>
      <c r="P29" s="116"/>
      <c r="Q29" s="40"/>
      <c r="R29" s="40"/>
      <c r="S29" s="40"/>
      <c r="T29" s="40"/>
      <c r="U29" s="40"/>
      <c r="V29" s="40" t="s">
        <v>133</v>
      </c>
      <c r="W29" s="98" t="str">
        <f t="shared" si="3"/>
        <v/>
      </c>
    </row>
    <row r="30" spans="1:31" x14ac:dyDescent="0.2">
      <c r="C30" s="40"/>
      <c r="D30" s="40"/>
      <c r="E30" s="40" t="s">
        <v>39</v>
      </c>
      <c r="F30" s="40"/>
      <c r="G30" s="40" t="s">
        <v>235</v>
      </c>
      <c r="H30" s="30">
        <v>1</v>
      </c>
      <c r="I30" s="30">
        <f>DEMPROJ!O29</f>
        <v>1</v>
      </c>
      <c r="J30" s="30">
        <f>DEMPROJ!P29</f>
        <v>1.0555945800519946</v>
      </c>
      <c r="K30" s="30">
        <f>DEMPROJ!Q29</f>
        <v>1.2745198534324909</v>
      </c>
      <c r="L30" s="30">
        <f>DEMPROJ!R29</f>
        <v>1.4242930639359785</v>
      </c>
      <c r="M30" s="30">
        <f>DEMPROJ!S29</f>
        <v>1.5521342257899469</v>
      </c>
      <c r="N30" s="30">
        <f>DEMPROJ!T29</f>
        <v>1.5926789876571892</v>
      </c>
      <c r="O30" s="40"/>
      <c r="P30" s="116"/>
      <c r="Q30" s="40"/>
      <c r="R30" s="40"/>
      <c r="S30" s="40"/>
      <c r="T30" s="40"/>
      <c r="U30" s="40"/>
      <c r="V30" s="40" t="s">
        <v>134</v>
      </c>
      <c r="W30" s="98" t="str">
        <f t="shared" si="3"/>
        <v/>
      </c>
    </row>
    <row r="31" spans="1:31" x14ac:dyDescent="0.2">
      <c r="C31" s="40"/>
      <c r="D31" s="40"/>
      <c r="E31" s="40" t="s">
        <v>39</v>
      </c>
      <c r="F31" s="40"/>
      <c r="G31" s="40" t="s">
        <v>235</v>
      </c>
      <c r="H31" s="30">
        <v>1</v>
      </c>
      <c r="I31" s="30">
        <f>DEMPROJ!O30</f>
        <v>1</v>
      </c>
      <c r="J31" s="30">
        <f>DEMPROJ!P30</f>
        <v>1.2235118713384547</v>
      </c>
      <c r="K31" s="30">
        <f>DEMPROJ!Q30</f>
        <v>2.1927883002821211</v>
      </c>
      <c r="L31" s="30">
        <f>DEMPROJ!R30</f>
        <v>3.312833078549791</v>
      </c>
      <c r="M31" s="30">
        <f>DEMPROJ!S30</f>
        <v>4.3233179218182487</v>
      </c>
      <c r="N31" s="30">
        <f>DEMPROJ!T30</f>
        <v>4.9388516677167686</v>
      </c>
      <c r="O31" s="40"/>
      <c r="P31" s="116"/>
      <c r="Q31" s="40"/>
      <c r="R31" s="40"/>
      <c r="S31" s="40"/>
      <c r="T31" s="40"/>
      <c r="U31" s="40"/>
      <c r="V31" s="40" t="s">
        <v>136</v>
      </c>
      <c r="W31" s="98" t="str">
        <f t="shared" si="3"/>
        <v/>
      </c>
    </row>
    <row r="32" spans="1:31" x14ac:dyDescent="0.2">
      <c r="A32" s="24" t="s">
        <v>242</v>
      </c>
      <c r="C32" s="40"/>
      <c r="D32" s="40"/>
      <c r="E32" s="40" t="s">
        <v>39</v>
      </c>
      <c r="F32" s="40"/>
      <c r="G32" s="40" t="s">
        <v>235</v>
      </c>
      <c r="H32" s="30">
        <v>1</v>
      </c>
      <c r="I32" s="30">
        <f>DEMPROJ!O31</f>
        <v>1</v>
      </c>
      <c r="J32" s="30">
        <f>DEMPROJ!P31</f>
        <v>1.0704968054099468</v>
      </c>
      <c r="K32" s="30">
        <f>DEMPROJ!Q31</f>
        <v>1.2962834486550614</v>
      </c>
      <c r="L32" s="30">
        <f>DEMPROJ!R31</f>
        <v>1.4921377923583161</v>
      </c>
      <c r="M32" s="30">
        <f>DEMPROJ!S31</f>
        <v>1.644315243859038</v>
      </c>
      <c r="N32" s="30">
        <f>DEMPROJ!T31</f>
        <v>1.6929258203014097</v>
      </c>
      <c r="O32" s="40"/>
      <c r="P32" s="116"/>
      <c r="Q32" s="40"/>
      <c r="R32" s="40"/>
      <c r="S32" s="40"/>
      <c r="T32" s="40"/>
      <c r="U32" s="40"/>
      <c r="V32" s="40" t="s">
        <v>138</v>
      </c>
      <c r="W32" s="98" t="str">
        <f t="shared" si="3"/>
        <v/>
      </c>
    </row>
    <row r="33" spans="1:31" x14ac:dyDescent="0.2">
      <c r="C33" s="40"/>
      <c r="D33" s="40"/>
      <c r="E33" s="40" t="s">
        <v>39</v>
      </c>
      <c r="F33" s="40"/>
      <c r="G33" s="40" t="s">
        <v>235</v>
      </c>
      <c r="H33" s="30">
        <v>1</v>
      </c>
      <c r="I33" s="30">
        <f>DEMPROJ!O32</f>
        <v>1</v>
      </c>
      <c r="J33" s="30">
        <f>DEMPROJ!P32</f>
        <v>1.1033146587233382</v>
      </c>
      <c r="K33" s="30">
        <f>DEMPROJ!Q32</f>
        <v>1.4482842396363795</v>
      </c>
      <c r="L33" s="30">
        <f>DEMPROJ!R32</f>
        <v>1.7555003564436835</v>
      </c>
      <c r="M33" s="30">
        <f>DEMPROJ!S32</f>
        <v>1.9810942122262885</v>
      </c>
      <c r="N33" s="30">
        <f>DEMPROJ!T32</f>
        <v>2.0542646429892302</v>
      </c>
      <c r="O33" s="40"/>
      <c r="P33" s="116"/>
      <c r="Q33" s="40"/>
      <c r="R33" s="40"/>
      <c r="S33" s="40"/>
      <c r="T33" s="40"/>
      <c r="U33" s="40"/>
      <c r="V33" s="40" t="s">
        <v>137</v>
      </c>
      <c r="W33" s="98" t="str">
        <f t="shared" si="3"/>
        <v/>
      </c>
    </row>
    <row r="34" spans="1:31" x14ac:dyDescent="0.2">
      <c r="C34" s="40"/>
      <c r="D34" s="40"/>
      <c r="E34" s="40" t="s">
        <v>39</v>
      </c>
      <c r="F34" s="40"/>
      <c r="G34" s="40" t="s">
        <v>235</v>
      </c>
      <c r="H34" s="30">
        <v>1</v>
      </c>
      <c r="I34" s="30">
        <f>DEMPROJ!O33</f>
        <v>1</v>
      </c>
      <c r="J34" s="30">
        <f>DEMPROJ!P33</f>
        <v>1.071836820654682</v>
      </c>
      <c r="K34" s="30">
        <f>DEMPROJ!Q33</f>
        <v>1.3021977236089735</v>
      </c>
      <c r="L34" s="30">
        <f>DEMPROJ!R33</f>
        <v>1.502517866556099</v>
      </c>
      <c r="M34" s="30">
        <f>DEMPROJ!S33</f>
        <v>1.6557539422977567</v>
      </c>
      <c r="N34" s="30">
        <f>DEMPROJ!T33</f>
        <v>1.7047026787899928</v>
      </c>
      <c r="O34" s="40"/>
      <c r="P34" s="116"/>
      <c r="Q34" s="40"/>
      <c r="R34" s="40"/>
      <c r="S34" s="40"/>
      <c r="T34" s="40"/>
      <c r="U34" s="40"/>
      <c r="V34" s="40" t="s">
        <v>139</v>
      </c>
      <c r="W34" s="98" t="str">
        <f t="shared" si="3"/>
        <v/>
      </c>
    </row>
    <row r="35" spans="1:31" x14ac:dyDescent="0.2">
      <c r="C35" s="40"/>
      <c r="D35" s="40"/>
      <c r="E35" s="40" t="s">
        <v>39</v>
      </c>
      <c r="F35" s="40"/>
      <c r="G35" s="40" t="s">
        <v>235</v>
      </c>
      <c r="H35" s="30">
        <v>1</v>
      </c>
      <c r="I35" s="30">
        <f>DEMPROJ!O34</f>
        <v>1</v>
      </c>
      <c r="J35" s="30">
        <f>DEMPROJ!P34</f>
        <v>1.1060014742323272</v>
      </c>
      <c r="K35" s="30">
        <f>DEMPROJ!Q34</f>
        <v>1.4638817425349591</v>
      </c>
      <c r="L35" s="30">
        <f>DEMPROJ!R34</f>
        <v>1.7862531897581566</v>
      </c>
      <c r="M35" s="30">
        <f>DEMPROJ!S34</f>
        <v>2.0479482308020605</v>
      </c>
      <c r="N35" s="30">
        <f>DEMPROJ!T34</f>
        <v>2.1336921584158892</v>
      </c>
      <c r="O35" s="40"/>
      <c r="P35" s="116"/>
      <c r="Q35" s="40"/>
      <c r="R35" s="40"/>
      <c r="S35" s="40"/>
      <c r="T35" s="40"/>
      <c r="U35" s="40"/>
      <c r="V35" s="40" t="s">
        <v>140</v>
      </c>
      <c r="W35" s="98" t="str">
        <f t="shared" si="3"/>
        <v/>
      </c>
    </row>
    <row r="36" spans="1:31" x14ac:dyDescent="0.2">
      <c r="C36" s="40"/>
      <c r="D36" s="40"/>
      <c r="E36" s="40" t="s">
        <v>39</v>
      </c>
      <c r="F36" s="40"/>
      <c r="G36" s="40" t="s">
        <v>235</v>
      </c>
      <c r="H36" s="30">
        <v>1</v>
      </c>
      <c r="I36" s="30">
        <f>DEMPROJ!O35</f>
        <v>1</v>
      </c>
      <c r="J36" s="30">
        <f>DEMPROJ!P35</f>
        <v>1.0947830102986076</v>
      </c>
      <c r="K36" s="30">
        <f>DEMPROJ!Q35</f>
        <v>1.3873121781573379</v>
      </c>
      <c r="L36" s="30">
        <f>DEMPROJ!R35</f>
        <v>1.6194627830836021</v>
      </c>
      <c r="M36" s="30">
        <f>DEMPROJ!S35</f>
        <v>1.7846256255449695</v>
      </c>
      <c r="N36" s="30">
        <f>DEMPROJ!T35</f>
        <v>1.837384170912445</v>
      </c>
      <c r="O36" s="40"/>
      <c r="P36" s="116"/>
      <c r="Q36" s="40"/>
      <c r="R36" s="40"/>
      <c r="S36" s="40"/>
      <c r="T36" s="40"/>
      <c r="U36" s="40"/>
      <c r="V36" s="40" t="s">
        <v>141</v>
      </c>
      <c r="W36" s="98" t="str">
        <f t="shared" si="3"/>
        <v/>
      </c>
    </row>
    <row r="37" spans="1:31" ht="13.5" thickBot="1" x14ac:dyDescent="0.25">
      <c r="C37" s="40"/>
      <c r="D37" s="40"/>
      <c r="E37" s="40" t="s">
        <v>104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116"/>
      <c r="Q37" s="40"/>
      <c r="R37" s="40"/>
      <c r="S37" s="40"/>
      <c r="T37" s="40"/>
      <c r="U37" s="40"/>
      <c r="V37" s="40"/>
      <c r="W37" s="40"/>
      <c r="Z37" s="12">
        <v>2030</v>
      </c>
      <c r="AA37" s="12">
        <v>2040</v>
      </c>
      <c r="AB37" s="12">
        <v>2050</v>
      </c>
      <c r="AC37" s="12">
        <v>2070</v>
      </c>
      <c r="AD37" s="12">
        <v>2025</v>
      </c>
      <c r="AE37" s="12">
        <v>2035</v>
      </c>
    </row>
    <row r="38" spans="1:31" x14ac:dyDescent="0.2">
      <c r="A38" s="24" t="s">
        <v>237</v>
      </c>
      <c r="C38" s="40"/>
      <c r="D38" s="40"/>
      <c r="E38" s="40" t="s">
        <v>39</v>
      </c>
      <c r="F38" s="40"/>
      <c r="G38" s="40" t="s">
        <v>235</v>
      </c>
      <c r="H38" s="30">
        <v>1</v>
      </c>
      <c r="I38" s="30">
        <f>DEMPROJ!O60*$H38</f>
        <v>1</v>
      </c>
      <c r="J38" s="30">
        <f>DEMPROJ!P60*$H38</f>
        <v>1.0463747539056161</v>
      </c>
      <c r="K38" s="30">
        <f>DEMPROJ!Q60*$H38*Z38</f>
        <v>1.051924496152381</v>
      </c>
      <c r="L38" s="30">
        <f>DEMPROJ!R60*$H38*AA38</f>
        <v>1.0499202486907162</v>
      </c>
      <c r="M38" s="30">
        <f>DEMPROJ!S60*$H38*AB38</f>
        <v>1.034715791363906</v>
      </c>
      <c r="N38" s="30">
        <f>DEMPROJ!T60*$H38*AC38</f>
        <v>0.99498947981061747</v>
      </c>
      <c r="O38" s="30">
        <f>DEMPROJ!U60*$H38*AD38</f>
        <v>1.051382343828573</v>
      </c>
      <c r="P38" s="116"/>
      <c r="Q38" s="40"/>
      <c r="R38" s="40"/>
      <c r="S38" s="40"/>
      <c r="T38" s="40"/>
      <c r="U38" s="40"/>
      <c r="V38" s="40" t="s">
        <v>338</v>
      </c>
      <c r="W38" s="98" t="str">
        <f t="shared" ref="W38:W48" si="4">IF($W$1,0,T(0))</f>
        <v/>
      </c>
      <c r="Z38" s="7">
        <v>1</v>
      </c>
      <c r="AA38" s="199">
        <f t="shared" ref="AA38:AA47" si="5">SQRT(Z38*AB38)</f>
        <v>1</v>
      </c>
      <c r="AB38" s="7">
        <v>1</v>
      </c>
      <c r="AC38" s="199">
        <f t="array" ref="AC38">AB38:AB50</f>
        <v>1</v>
      </c>
      <c r="AD38" s="199">
        <f t="array" ref="AD38">1</f>
        <v>1</v>
      </c>
      <c r="AE38" s="199">
        <f t="shared" ref="AE38:AE47" si="6">SQRT(Z38*AA38)</f>
        <v>1</v>
      </c>
    </row>
    <row r="39" spans="1:31" x14ac:dyDescent="0.2">
      <c r="C39" s="40"/>
      <c r="D39" s="40"/>
      <c r="E39" s="40" t="s">
        <v>39</v>
      </c>
      <c r="F39" s="40"/>
      <c r="G39" s="40" t="s">
        <v>235</v>
      </c>
      <c r="H39" s="30">
        <v>1</v>
      </c>
      <c r="I39" s="30">
        <f>DEMPROJ!O61*$H39</f>
        <v>1</v>
      </c>
      <c r="J39" s="30">
        <f>DEMPROJ!P61*$H39</f>
        <v>1.0187905726688982</v>
      </c>
      <c r="K39" s="30">
        <f>DEMPROJ!Q61*$H39*Z39</f>
        <v>1.0150992875400242</v>
      </c>
      <c r="L39" s="30">
        <f>DEMPROJ!R61*$H39*AA39</f>
        <v>1.0495610771492352</v>
      </c>
      <c r="M39" s="30">
        <f>DEMPROJ!S61*$H39*AB39</f>
        <v>1.071102812432855</v>
      </c>
      <c r="N39" s="30">
        <f>DEMPROJ!T61*$H39*AC39</f>
        <v>1.071102812432855</v>
      </c>
      <c r="O39" s="30">
        <f>DEMPROJ!U61*$H39*AD39</f>
        <v>1.0146548976196272</v>
      </c>
      <c r="P39" s="116"/>
      <c r="Q39" s="40"/>
      <c r="R39" s="40"/>
      <c r="S39" s="40"/>
      <c r="T39" s="40"/>
      <c r="U39" s="40"/>
      <c r="V39" s="40" t="s">
        <v>339</v>
      </c>
      <c r="W39" s="98" t="str">
        <f t="shared" si="4"/>
        <v/>
      </c>
      <c r="Z39" s="7">
        <v>1</v>
      </c>
      <c r="AA39" s="199">
        <f t="shared" si="5"/>
        <v>1</v>
      </c>
      <c r="AB39" s="7">
        <v>1</v>
      </c>
      <c r="AC39" s="199">
        <f t="array" ref="AC39">AB39:AB51</f>
        <v>1</v>
      </c>
      <c r="AD39" s="199">
        <f t="array" ref="AD39">1</f>
        <v>1</v>
      </c>
      <c r="AE39" s="199">
        <f t="shared" si="6"/>
        <v>1</v>
      </c>
    </row>
    <row r="40" spans="1:31" x14ac:dyDescent="0.2">
      <c r="C40" s="40"/>
      <c r="D40" s="40"/>
      <c r="E40" s="40" t="s">
        <v>39</v>
      </c>
      <c r="F40" s="40"/>
      <c r="G40" s="40" t="s">
        <v>235</v>
      </c>
      <c r="H40" s="30">
        <v>1</v>
      </c>
      <c r="I40" s="30">
        <f>DEMPROJ!O62*$H40</f>
        <v>1</v>
      </c>
      <c r="J40" s="30">
        <f>DEMPROJ!P62*$H40</f>
        <v>1.0420277996246523</v>
      </c>
      <c r="K40" s="30">
        <f>DEMPROJ!Q62*$H40*Z40</f>
        <v>1.1482891702663238</v>
      </c>
      <c r="L40" s="30">
        <f>DEMPROJ!R62*$H40*AA40</f>
        <v>1.1922073787904381</v>
      </c>
      <c r="M40" s="30">
        <f>DEMPROJ!S62*$H40*AB40</f>
        <v>1.1710503092218856</v>
      </c>
      <c r="N40" s="30">
        <f>DEMPROJ!T62*$H40*AC40</f>
        <v>1.1710503092218858</v>
      </c>
      <c r="O40" s="30">
        <f>DEMPROJ!U62*$H40*AD40</f>
        <v>1.0985161422849872</v>
      </c>
      <c r="P40" s="116"/>
      <c r="Q40" s="40"/>
      <c r="R40" s="40"/>
      <c r="S40" s="40"/>
      <c r="T40" s="40"/>
      <c r="U40" s="40"/>
      <c r="V40" s="40" t="s">
        <v>341</v>
      </c>
      <c r="W40" s="98" t="str">
        <f t="shared" si="4"/>
        <v/>
      </c>
      <c r="Z40" s="7">
        <v>1</v>
      </c>
      <c r="AA40" s="199">
        <f t="shared" si="5"/>
        <v>1</v>
      </c>
      <c r="AB40" s="7">
        <v>1</v>
      </c>
      <c r="AC40" s="199">
        <f t="array" ref="AC40">AB40:AB52</f>
        <v>1</v>
      </c>
      <c r="AD40" s="199">
        <f t="array" ref="AD40">1</f>
        <v>1</v>
      </c>
      <c r="AE40" s="199">
        <f t="shared" si="6"/>
        <v>1</v>
      </c>
    </row>
    <row r="41" spans="1:31" x14ac:dyDescent="0.2">
      <c r="C41" s="40"/>
      <c r="D41" s="40"/>
      <c r="E41" s="40" t="s">
        <v>39</v>
      </c>
      <c r="F41" s="40"/>
      <c r="G41" s="40" t="s">
        <v>235</v>
      </c>
      <c r="H41" s="30">
        <v>1</v>
      </c>
      <c r="I41" s="30">
        <f>DEMPROJ!O63*$H41</f>
        <v>1</v>
      </c>
      <c r="J41" s="30">
        <f>DEMPROJ!P63*$H41</f>
        <v>1.0420277996246525</v>
      </c>
      <c r="K41" s="30">
        <f>DEMPROJ!Q63*$H41*Z41</f>
        <v>1.2188056118621087</v>
      </c>
      <c r="L41" s="30">
        <f>DEMPROJ!R63*$H41*AA41</f>
        <v>1.2667141202753545</v>
      </c>
      <c r="M41" s="30">
        <f>DEMPROJ!S63*$H41*AB41</f>
        <v>1.2577400660452216</v>
      </c>
      <c r="N41" s="30">
        <f>DEMPROJ!T63*$H41*AC41</f>
        <v>1.2577400660452216</v>
      </c>
      <c r="O41" s="30">
        <f>DEMPROJ!U63*$H41*AD41</f>
        <v>1.1349633205434642</v>
      </c>
      <c r="P41" s="116"/>
      <c r="Q41" s="40"/>
      <c r="R41" s="40"/>
      <c r="S41" s="40"/>
      <c r="T41" s="40"/>
      <c r="U41" s="40"/>
      <c r="V41" s="40" t="s">
        <v>340</v>
      </c>
      <c r="W41" s="98" t="str">
        <f t="shared" si="4"/>
        <v/>
      </c>
      <c r="Z41" s="7">
        <v>1</v>
      </c>
      <c r="AA41" s="199">
        <f t="shared" si="5"/>
        <v>1</v>
      </c>
      <c r="AB41" s="7">
        <v>1</v>
      </c>
      <c r="AC41" s="199">
        <f t="array" ref="AC41">AB41:AB53</f>
        <v>1</v>
      </c>
      <c r="AD41" s="199">
        <f t="array" ref="AD41">1</f>
        <v>1</v>
      </c>
      <c r="AE41" s="199">
        <f t="shared" si="6"/>
        <v>1</v>
      </c>
    </row>
    <row r="42" spans="1:31" x14ac:dyDescent="0.2">
      <c r="C42" s="40"/>
      <c r="D42" s="40"/>
      <c r="E42" s="40" t="s">
        <v>39</v>
      </c>
      <c r="F42" s="40"/>
      <c r="G42" s="40" t="s">
        <v>235</v>
      </c>
      <c r="H42" s="30">
        <v>1</v>
      </c>
      <c r="I42" s="30">
        <f>DEMPROJ!O64*$H42</f>
        <v>1</v>
      </c>
      <c r="J42" s="30">
        <f>DEMPROJ!P64*$H42</f>
        <v>1.0180319903343111</v>
      </c>
      <c r="K42" s="30">
        <f>DEMPROJ!Q64*$H42*Z42</f>
        <v>1.1426947236835214</v>
      </c>
      <c r="L42" s="30">
        <f>DEMPROJ!R64*$H42*AA42</f>
        <v>1.1799834540478205</v>
      </c>
      <c r="M42" s="30">
        <f>DEMPROJ!S64*$H42*AB42</f>
        <v>1.3267888943690953</v>
      </c>
      <c r="N42" s="30">
        <f>DEMPROJ!T64*$H42*AC42</f>
        <v>1.5161635606963706</v>
      </c>
      <c r="O42" s="30">
        <f>DEMPROJ!U64*$H42*AD42</f>
        <v>1.0825626398646908</v>
      </c>
      <c r="P42" s="116"/>
      <c r="Q42" s="40"/>
      <c r="R42" s="40"/>
      <c r="S42" s="40"/>
      <c r="T42" s="40"/>
      <c r="U42" s="40"/>
      <c r="V42" s="40" t="s">
        <v>342</v>
      </c>
      <c r="W42" s="98" t="str">
        <f t="shared" si="4"/>
        <v/>
      </c>
      <c r="Z42" s="7">
        <v>1</v>
      </c>
      <c r="AA42" s="199">
        <f t="shared" si="5"/>
        <v>1</v>
      </c>
      <c r="AB42" s="7">
        <v>1</v>
      </c>
      <c r="AC42" s="199">
        <f t="array" ref="AC42">AB42:AB54</f>
        <v>1</v>
      </c>
      <c r="AD42" s="199">
        <f t="array" ref="AD42">1</f>
        <v>1</v>
      </c>
      <c r="AE42" s="199">
        <f t="shared" si="6"/>
        <v>1</v>
      </c>
    </row>
    <row r="43" spans="1:31" x14ac:dyDescent="0.2">
      <c r="C43" s="40"/>
      <c r="D43" s="40"/>
      <c r="E43" s="40" t="s">
        <v>39</v>
      </c>
      <c r="F43" s="40"/>
      <c r="G43" s="40" t="s">
        <v>235</v>
      </c>
      <c r="H43" s="30">
        <v>1</v>
      </c>
      <c r="I43" s="30">
        <f>DEMPROJ!O65*$H43</f>
        <v>1</v>
      </c>
      <c r="J43" s="30">
        <f>DEMPROJ!P65*$H43</f>
        <v>1.0277754754257722</v>
      </c>
      <c r="K43" s="30">
        <f>DEMPROJ!Q65*$H43*Z43</f>
        <v>1.0982743068788929</v>
      </c>
      <c r="L43" s="30">
        <f>DEMPROJ!R65*$H43*AA43</f>
        <v>1.1534064373151094</v>
      </c>
      <c r="M43" s="30">
        <f>DEMPROJ!S65*$H43*AB43</f>
        <v>1.1999860613609621</v>
      </c>
      <c r="N43" s="30">
        <f>DEMPROJ!T65*$H43*AC43</f>
        <v>1.1943722919466462</v>
      </c>
      <c r="O43" s="30">
        <f>DEMPROJ!U65*$H43*AD43</f>
        <v>1.0651949799865856</v>
      </c>
      <c r="P43" s="116"/>
      <c r="Q43" s="40"/>
      <c r="R43" s="40"/>
      <c r="S43" s="40"/>
      <c r="T43" s="40"/>
      <c r="U43" s="40"/>
      <c r="V43" s="40" t="s">
        <v>343</v>
      </c>
      <c r="W43" s="98" t="str">
        <f t="shared" si="4"/>
        <v/>
      </c>
      <c r="Z43" s="7">
        <v>1</v>
      </c>
      <c r="AA43" s="199">
        <f t="shared" si="5"/>
        <v>1</v>
      </c>
      <c r="AB43" s="7">
        <v>1</v>
      </c>
      <c r="AC43" s="199">
        <f t="array" ref="AC43">AB43:AB55</f>
        <v>1</v>
      </c>
      <c r="AD43" s="199">
        <f t="array" ref="AD43">1</f>
        <v>1</v>
      </c>
      <c r="AE43" s="199">
        <f t="shared" si="6"/>
        <v>1</v>
      </c>
    </row>
    <row r="44" spans="1:31" x14ac:dyDescent="0.2">
      <c r="C44" s="40"/>
      <c r="D44" s="40"/>
      <c r="E44" s="40" t="s">
        <v>39</v>
      </c>
      <c r="F44" s="40"/>
      <c r="G44" s="40" t="s">
        <v>235</v>
      </c>
      <c r="H44" s="30">
        <v>1</v>
      </c>
      <c r="I44" s="30">
        <f>DEMPROJ!O66</f>
        <v>1</v>
      </c>
      <c r="J44" s="30">
        <f>DEMPROJ!P66</f>
        <v>1.0119047619047619</v>
      </c>
      <c r="K44" s="30">
        <f>DEMPROJ!Q66*$H44*Z44</f>
        <v>1.1408730158730158</v>
      </c>
      <c r="L44" s="30">
        <f>DEMPROJ!R66*$H44*AA44</f>
        <v>1.1408730158730158</v>
      </c>
      <c r="M44" s="30">
        <f>DEMPROJ!S66*$H44*AB44</f>
        <v>1.1408730158730158</v>
      </c>
      <c r="N44" s="30">
        <f>DEMPROJ!T66*$H44*AC44</f>
        <v>1.1408730158730158</v>
      </c>
      <c r="O44" s="30">
        <f>DEMPROJ!U66*$H44*AD44</f>
        <v>1.0744556005208179</v>
      </c>
      <c r="P44" s="116"/>
      <c r="Q44" s="40"/>
      <c r="R44" s="40"/>
      <c r="S44" s="40"/>
      <c r="T44" s="40"/>
      <c r="U44" s="40"/>
      <c r="V44" s="40" t="s">
        <v>344</v>
      </c>
      <c r="W44" s="98" t="str">
        <f t="shared" si="4"/>
        <v/>
      </c>
      <c r="Z44" s="7">
        <v>1</v>
      </c>
      <c r="AA44" s="199">
        <f t="shared" si="5"/>
        <v>1</v>
      </c>
      <c r="AB44" s="7">
        <v>1</v>
      </c>
      <c r="AC44" s="199">
        <f t="array" ref="AC44">AB44:AB56</f>
        <v>1</v>
      </c>
      <c r="AD44" s="199">
        <f t="array" ref="AD44">1</f>
        <v>1</v>
      </c>
      <c r="AE44" s="199">
        <f t="shared" si="6"/>
        <v>1</v>
      </c>
    </row>
    <row r="45" spans="1:31" x14ac:dyDescent="0.2">
      <c r="C45" s="40"/>
      <c r="D45" s="40"/>
      <c r="E45" s="40" t="s">
        <v>39</v>
      </c>
      <c r="F45" s="40"/>
      <c r="G45" s="40" t="s">
        <v>235</v>
      </c>
      <c r="H45" s="30">
        <v>1</v>
      </c>
      <c r="I45" s="30">
        <f>DEMPROJ!O67</f>
        <v>1</v>
      </c>
      <c r="J45" s="30">
        <f>DEMPROJ!P67</f>
        <v>1.080066828043214</v>
      </c>
      <c r="K45" s="30">
        <f>DEMPROJ!Q67*$H45*Z45</f>
        <v>1.2918793634862598</v>
      </c>
      <c r="L45" s="30">
        <f>DEMPROJ!R67*$H45*AA45</f>
        <v>1.4886615909548762</v>
      </c>
      <c r="M45" s="30">
        <f>DEMPROJ!S67*$H45*AB45</f>
        <v>1.7088061771459784</v>
      </c>
      <c r="N45" s="30">
        <f>DEMPROJ!T67*$H45*AC45</f>
        <v>2.0727568358846651</v>
      </c>
      <c r="O45" s="30">
        <f>DEMPROJ!U67*$H45*AD45</f>
        <v>1.1970758665432744</v>
      </c>
      <c r="P45" s="116"/>
      <c r="Q45" s="40"/>
      <c r="R45" s="40"/>
      <c r="S45" s="40"/>
      <c r="T45" s="40"/>
      <c r="U45" s="40"/>
      <c r="V45" s="40" t="s">
        <v>345</v>
      </c>
      <c r="W45" s="98" t="str">
        <f t="shared" si="4"/>
        <v/>
      </c>
      <c r="Z45" s="7">
        <v>1</v>
      </c>
      <c r="AA45" s="199">
        <f t="shared" si="5"/>
        <v>1</v>
      </c>
      <c r="AB45" s="7">
        <v>1</v>
      </c>
      <c r="AC45" s="199">
        <f t="array" ref="AC45">AB45:AB57</f>
        <v>1</v>
      </c>
      <c r="AD45" s="199">
        <f t="array" ref="AD45">1</f>
        <v>1</v>
      </c>
      <c r="AE45" s="199">
        <f t="shared" si="6"/>
        <v>1</v>
      </c>
    </row>
    <row r="46" spans="1:31" x14ac:dyDescent="0.2">
      <c r="C46" s="40"/>
      <c r="D46" s="40"/>
      <c r="E46" s="40" t="s">
        <v>39</v>
      </c>
      <c r="F46" s="40"/>
      <c r="G46" s="40" t="s">
        <v>235</v>
      </c>
      <c r="H46" s="30">
        <v>1</v>
      </c>
      <c r="I46" s="30">
        <f>DEMPROJ!O68</f>
        <v>1</v>
      </c>
      <c r="J46" s="30">
        <f>DEMPROJ!P68</f>
        <v>0.93804612672308796</v>
      </c>
      <c r="K46" s="30">
        <f>DEMPROJ!Q68*$H46*Z46</f>
        <v>1.2653910032503979</v>
      </c>
      <c r="L46" s="30">
        <f>DEMPROJ!R68*$H46*AA46</f>
        <v>1.2962217418426061</v>
      </c>
      <c r="M46" s="30">
        <f>DEMPROJ!S68*$H46*AB46</f>
        <v>1.3278309952191329</v>
      </c>
      <c r="N46" s="30">
        <f>DEMPROJ!T68*$H46*AC46</f>
        <v>1.373383111415992</v>
      </c>
      <c r="O46" s="30">
        <f>DEMPROJ!U68*$H46*AD46</f>
        <v>1.1124210858159518</v>
      </c>
      <c r="P46" s="116"/>
      <c r="Q46" s="40"/>
      <c r="R46" s="40"/>
      <c r="S46" s="40"/>
      <c r="T46" s="40"/>
      <c r="U46" s="40"/>
      <c r="V46" s="40" t="s">
        <v>346</v>
      </c>
      <c r="W46" s="98" t="str">
        <f t="shared" si="4"/>
        <v/>
      </c>
      <c r="Z46" s="7">
        <v>1</v>
      </c>
      <c r="AA46" s="199">
        <f t="shared" si="5"/>
        <v>1</v>
      </c>
      <c r="AB46" s="7">
        <v>1</v>
      </c>
      <c r="AC46" s="199">
        <f t="array" ref="AC46">AB46:AB58</f>
        <v>1</v>
      </c>
      <c r="AD46" s="199">
        <f t="array" ref="AD46">1</f>
        <v>1</v>
      </c>
      <c r="AE46" s="199">
        <f t="shared" si="6"/>
        <v>1</v>
      </c>
    </row>
    <row r="47" spans="1:31" x14ac:dyDescent="0.2">
      <c r="C47" s="40"/>
      <c r="D47" s="40"/>
      <c r="E47" s="40" t="s">
        <v>39</v>
      </c>
      <c r="F47" s="40"/>
      <c r="G47" s="40" t="s">
        <v>235</v>
      </c>
      <c r="H47" s="30">
        <v>1</v>
      </c>
      <c r="I47" s="30">
        <f>DEMPROJ!O69</f>
        <v>1</v>
      </c>
      <c r="J47" s="30">
        <f>DEMPROJ!P69</f>
        <v>0.6</v>
      </c>
      <c r="K47" s="30">
        <f>DEMPROJ!Q69*$H47*Z47</f>
        <v>1.2478959449120122</v>
      </c>
      <c r="L47" s="30">
        <f>DEMPROJ!R69*$H47*AA47</f>
        <v>1.2478959449120122</v>
      </c>
      <c r="M47" s="30">
        <f>DEMPROJ!S69*$H47*AB47</f>
        <v>1.2478959449120122</v>
      </c>
      <c r="N47" s="30">
        <f>DEMPROJ!T69*$H47*AC47</f>
        <v>1.2478959449120122</v>
      </c>
      <c r="O47" s="30">
        <f>DEMPROJ!U69*$H47*AD47</f>
        <v>1.1170926304080662</v>
      </c>
      <c r="P47" s="116"/>
      <c r="Q47" s="40"/>
      <c r="R47" s="40"/>
      <c r="S47" s="40"/>
      <c r="T47" s="40"/>
      <c r="U47" s="40"/>
      <c r="V47" s="40" t="s">
        <v>347</v>
      </c>
      <c r="W47" s="98" t="str">
        <f t="shared" si="4"/>
        <v/>
      </c>
      <c r="Z47" s="7">
        <v>1</v>
      </c>
      <c r="AA47" s="199">
        <f t="shared" si="5"/>
        <v>1</v>
      </c>
      <c r="AB47" s="7">
        <v>1</v>
      </c>
      <c r="AC47" s="199">
        <f t="array" ref="AC47">AB47:AB59</f>
        <v>1</v>
      </c>
      <c r="AD47" s="199">
        <f t="array" ref="AD47">1</f>
        <v>1</v>
      </c>
      <c r="AE47" s="199">
        <f t="shared" si="6"/>
        <v>1</v>
      </c>
    </row>
    <row r="48" spans="1:31" x14ac:dyDescent="0.2">
      <c r="C48" s="40"/>
      <c r="D48" s="40"/>
      <c r="E48" s="40" t="s">
        <v>39</v>
      </c>
      <c r="F48" s="40"/>
      <c r="G48" s="40" t="s">
        <v>235</v>
      </c>
      <c r="H48" s="30">
        <v>1</v>
      </c>
      <c r="I48" s="30">
        <f>DEMPROJ!O70</f>
        <v>1</v>
      </c>
      <c r="J48" s="30">
        <f>DEMPROJ!P70</f>
        <v>0.58357212978672357</v>
      </c>
      <c r="K48" s="30">
        <f>DEMPROJ!Q70*$H48*Z48</f>
        <v>1.2735225851077225</v>
      </c>
      <c r="L48" s="30">
        <f>DEMPROJ!R70*$H48*AA48</f>
        <v>1.3969889545817922</v>
      </c>
      <c r="M48" s="30">
        <f>DEMPROJ!S70*$H48*AB48</f>
        <v>1.6274117845738689</v>
      </c>
      <c r="N48" s="30">
        <f>DEMPROJ!T70*$H48*AC48</f>
        <v>1.6274117845738689</v>
      </c>
      <c r="O48" s="30">
        <f>DEMPROJ!U70*$H48*AD48</f>
        <v>1.1778815441902746</v>
      </c>
      <c r="P48" s="30">
        <f>DEMPROJ!V70*$H48*AE48</f>
        <v>1.3720996961144001</v>
      </c>
      <c r="Q48" s="40"/>
      <c r="R48" s="40"/>
      <c r="S48" s="40"/>
      <c r="T48" s="40"/>
      <c r="U48" s="40"/>
      <c r="V48" s="40" t="s">
        <v>555</v>
      </c>
      <c r="W48" s="98" t="str">
        <f t="shared" si="4"/>
        <v/>
      </c>
      <c r="Z48" s="7">
        <v>1</v>
      </c>
      <c r="AA48" s="199">
        <f>SQRT(Z48*AB48)</f>
        <v>1</v>
      </c>
      <c r="AB48" s="7">
        <v>1</v>
      </c>
      <c r="AC48" s="199">
        <f t="array" ref="AC48">AB48:AB60</f>
        <v>1</v>
      </c>
      <c r="AD48" s="199">
        <f t="array" ref="AD48">1</f>
        <v>1</v>
      </c>
      <c r="AE48" s="199">
        <f>SQRT(Z48*AA48)</f>
        <v>1</v>
      </c>
    </row>
    <row r="49" spans="1:23" x14ac:dyDescent="0.2">
      <c r="C49" s="40"/>
      <c r="D49" s="40"/>
      <c r="E49" s="40" t="s">
        <v>104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</row>
    <row r="50" spans="1:23" x14ac:dyDescent="0.2">
      <c r="A50" s="24" t="s">
        <v>119</v>
      </c>
      <c r="B50" s="24"/>
      <c r="C50" s="40" t="s">
        <v>35</v>
      </c>
      <c r="D50" s="40"/>
      <c r="E50" s="40" t="s">
        <v>33</v>
      </c>
      <c r="F50" s="40"/>
      <c r="G50" s="40" t="s">
        <v>235</v>
      </c>
      <c r="H50" s="30"/>
      <c r="I50" s="30"/>
      <c r="J50" s="30">
        <v>0</v>
      </c>
      <c r="K50" s="30">
        <v>0</v>
      </c>
      <c r="L50" s="30">
        <v>0</v>
      </c>
      <c r="M50" s="30">
        <v>0</v>
      </c>
      <c r="N50" s="40"/>
      <c r="O50" s="40"/>
      <c r="P50" s="40"/>
      <c r="Q50" s="98">
        <v>2017</v>
      </c>
      <c r="R50" s="40"/>
      <c r="S50" s="40"/>
      <c r="T50" s="40"/>
      <c r="U50" s="40"/>
      <c r="V50" s="40" t="s">
        <v>75</v>
      </c>
      <c r="W50" s="40"/>
    </row>
    <row r="51" spans="1:23" x14ac:dyDescent="0.2">
      <c r="C51" s="40" t="s">
        <v>35</v>
      </c>
      <c r="D51" s="40"/>
      <c r="E51" s="40" t="s">
        <v>33</v>
      </c>
      <c r="F51" s="40"/>
      <c r="G51" s="40" t="s">
        <v>235</v>
      </c>
      <c r="H51" s="30"/>
      <c r="I51" s="30"/>
      <c r="J51" s="30">
        <v>0</v>
      </c>
      <c r="K51" s="30">
        <v>0</v>
      </c>
      <c r="L51" s="30">
        <v>0</v>
      </c>
      <c r="M51" s="30">
        <v>0</v>
      </c>
      <c r="N51" s="40"/>
      <c r="O51" s="40"/>
      <c r="P51" s="40"/>
      <c r="Q51" s="98">
        <v>2017</v>
      </c>
      <c r="R51" s="40"/>
      <c r="S51" s="40"/>
      <c r="T51" s="40"/>
      <c r="U51" s="40"/>
      <c r="V51" s="40" t="s">
        <v>120</v>
      </c>
      <c r="W51" s="40"/>
    </row>
    <row r="52" spans="1:23" x14ac:dyDescent="0.2">
      <c r="C52" s="40" t="s">
        <v>35</v>
      </c>
      <c r="D52" s="40"/>
      <c r="E52" s="40" t="s">
        <v>33</v>
      </c>
      <c r="F52" s="40"/>
      <c r="G52" s="40" t="s">
        <v>235</v>
      </c>
      <c r="H52" s="30"/>
      <c r="I52" s="30"/>
      <c r="J52" s="30">
        <v>0</v>
      </c>
      <c r="K52" s="30">
        <v>0</v>
      </c>
      <c r="L52" s="30">
        <v>0</v>
      </c>
      <c r="M52" s="30">
        <v>0</v>
      </c>
      <c r="N52" s="40"/>
      <c r="O52" s="40"/>
      <c r="P52" s="40"/>
      <c r="Q52" s="98">
        <v>2017</v>
      </c>
      <c r="R52" s="40"/>
      <c r="S52" s="40"/>
      <c r="T52" s="40"/>
      <c r="U52" s="40"/>
      <c r="V52" s="40" t="s">
        <v>81</v>
      </c>
      <c r="W52" s="40"/>
    </row>
    <row r="53" spans="1:23" x14ac:dyDescent="0.2">
      <c r="C53" s="40" t="s">
        <v>35</v>
      </c>
      <c r="D53" s="40"/>
      <c r="E53" s="40" t="s">
        <v>33</v>
      </c>
      <c r="F53" s="40"/>
      <c r="G53" s="40" t="s">
        <v>235</v>
      </c>
      <c r="H53" s="30"/>
      <c r="I53" s="30"/>
      <c r="J53" s="30">
        <v>0</v>
      </c>
      <c r="K53" s="30">
        <v>0</v>
      </c>
      <c r="L53" s="30">
        <v>0</v>
      </c>
      <c r="M53" s="30">
        <v>0</v>
      </c>
      <c r="N53" s="40"/>
      <c r="O53" s="40"/>
      <c r="P53" s="40"/>
      <c r="Q53" s="98">
        <v>2017</v>
      </c>
      <c r="R53" s="40"/>
      <c r="S53" s="40"/>
      <c r="T53" s="40"/>
      <c r="U53" s="40"/>
      <c r="V53" s="40" t="s">
        <v>80</v>
      </c>
      <c r="W53" s="40"/>
    </row>
    <row r="54" spans="1:23" x14ac:dyDescent="0.2">
      <c r="C54" s="40" t="s">
        <v>35</v>
      </c>
      <c r="D54" s="40"/>
      <c r="E54" s="40" t="s">
        <v>33</v>
      </c>
      <c r="F54" s="40"/>
      <c r="G54" s="40" t="s">
        <v>235</v>
      </c>
      <c r="H54" s="30"/>
      <c r="I54" s="30"/>
      <c r="J54" s="30">
        <v>0</v>
      </c>
      <c r="K54" s="30">
        <v>0</v>
      </c>
      <c r="L54" s="30">
        <v>0</v>
      </c>
      <c r="M54" s="30">
        <v>0</v>
      </c>
      <c r="N54" s="40"/>
      <c r="O54" s="40"/>
      <c r="P54" s="40"/>
      <c r="Q54" s="98">
        <v>2017</v>
      </c>
      <c r="R54" s="40"/>
      <c r="S54" s="40"/>
      <c r="T54" s="40"/>
      <c r="U54" s="40"/>
      <c r="V54" s="40" t="s">
        <v>121</v>
      </c>
      <c r="W54" s="40"/>
    </row>
    <row r="55" spans="1:23" x14ac:dyDescent="0.2">
      <c r="C55" s="40" t="s">
        <v>35</v>
      </c>
      <c r="D55" s="40"/>
      <c r="E55" s="40" t="s">
        <v>33</v>
      </c>
      <c r="F55" s="40"/>
      <c r="G55" s="40" t="s">
        <v>235</v>
      </c>
      <c r="H55" s="30"/>
      <c r="I55" s="30"/>
      <c r="J55" s="30">
        <v>0</v>
      </c>
      <c r="K55" s="30">
        <v>0</v>
      </c>
      <c r="L55" s="30">
        <v>0</v>
      </c>
      <c r="M55" s="30">
        <v>0</v>
      </c>
      <c r="N55" s="40"/>
      <c r="O55" s="40"/>
      <c r="P55" s="40"/>
      <c r="Q55" s="98">
        <v>2017</v>
      </c>
      <c r="R55" s="40"/>
      <c r="S55" s="40"/>
      <c r="T55" s="40"/>
      <c r="U55" s="40"/>
      <c r="V55" s="40" t="s">
        <v>122</v>
      </c>
      <c r="W55" s="40"/>
    </row>
    <row r="56" spans="1:23" x14ac:dyDescent="0.2">
      <c r="A56" s="24" t="s">
        <v>172</v>
      </c>
      <c r="B56" s="24"/>
      <c r="C56" s="34" t="s">
        <v>35</v>
      </c>
      <c r="D56" s="34" t="s">
        <v>49</v>
      </c>
      <c r="E56" s="34" t="s">
        <v>50</v>
      </c>
      <c r="F56" s="34"/>
      <c r="G56" s="34" t="s">
        <v>235</v>
      </c>
      <c r="H56" s="34"/>
      <c r="I56" s="34">
        <v>0.03</v>
      </c>
      <c r="J56" s="34">
        <v>0.05</v>
      </c>
      <c r="K56" s="34">
        <v>0.1</v>
      </c>
      <c r="L56" s="34"/>
      <c r="M56" s="34">
        <v>0.1</v>
      </c>
      <c r="N56" s="34">
        <v>0.1</v>
      </c>
      <c r="O56" s="34"/>
      <c r="P56" s="34"/>
      <c r="Q56" s="34"/>
      <c r="R56" s="34"/>
      <c r="S56" s="34"/>
      <c r="T56" s="34" t="s">
        <v>351</v>
      </c>
      <c r="U56" s="34"/>
      <c r="V56" s="34"/>
      <c r="W56" s="34"/>
    </row>
    <row r="57" spans="1:23" x14ac:dyDescent="0.2">
      <c r="A57" s="24"/>
      <c r="B57" s="24"/>
      <c r="C57" s="34"/>
      <c r="D57" s="34"/>
      <c r="E57" s="34" t="s">
        <v>104</v>
      </c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spans="1:23" x14ac:dyDescent="0.2">
      <c r="A58" s="24" t="s">
        <v>236</v>
      </c>
      <c r="B58" s="24"/>
      <c r="C58" s="63"/>
      <c r="D58" s="63" t="s">
        <v>49</v>
      </c>
      <c r="E58" s="63" t="s">
        <v>29</v>
      </c>
      <c r="F58" s="63" t="s">
        <v>215</v>
      </c>
      <c r="G58" s="63" t="s">
        <v>235</v>
      </c>
      <c r="H58" s="63"/>
      <c r="I58" s="63"/>
      <c r="J58" s="235">
        <f t="array" ref="J58:K63">FIN_DEM!J60:K66</f>
        <v>0.02</v>
      </c>
      <c r="K58" s="235">
        <v>0.11</v>
      </c>
      <c r="L58" s="235"/>
      <c r="M58" s="235"/>
      <c r="N58" s="63"/>
      <c r="O58" s="63"/>
      <c r="P58" s="63"/>
      <c r="Q58" s="63"/>
      <c r="R58" s="63"/>
      <c r="S58" s="63"/>
      <c r="T58" s="63" t="s">
        <v>72</v>
      </c>
      <c r="U58" s="63"/>
      <c r="V58" s="63" t="s">
        <v>75</v>
      </c>
      <c r="W58" s="63"/>
    </row>
    <row r="59" spans="1:23" x14ac:dyDescent="0.2">
      <c r="C59" s="63"/>
      <c r="D59" s="63" t="s">
        <v>49</v>
      </c>
      <c r="E59" s="63" t="s">
        <v>29</v>
      </c>
      <c r="F59" s="63" t="s">
        <v>215</v>
      </c>
      <c r="G59" s="63" t="s">
        <v>235</v>
      </c>
      <c r="H59" s="63"/>
      <c r="I59" s="63"/>
      <c r="J59" s="235">
        <v>0.02</v>
      </c>
      <c r="K59" s="235">
        <v>0.11</v>
      </c>
      <c r="L59" s="235"/>
      <c r="M59" s="235"/>
      <c r="N59" s="63"/>
      <c r="O59" s="63"/>
      <c r="P59" s="63"/>
      <c r="Q59" s="63"/>
      <c r="R59" s="63"/>
      <c r="S59" s="63"/>
      <c r="T59" s="63" t="s">
        <v>73</v>
      </c>
      <c r="U59" s="63"/>
      <c r="V59" s="63" t="s">
        <v>75</v>
      </c>
      <c r="W59" s="63"/>
    </row>
    <row r="60" spans="1:23" x14ac:dyDescent="0.2">
      <c r="C60" s="63"/>
      <c r="D60" s="63" t="s">
        <v>49</v>
      </c>
      <c r="E60" s="63" t="s">
        <v>29</v>
      </c>
      <c r="F60" s="63" t="s">
        <v>215</v>
      </c>
      <c r="G60" s="63" t="s">
        <v>235</v>
      </c>
      <c r="H60" s="63"/>
      <c r="I60" s="63"/>
      <c r="J60" s="235">
        <v>0.02</v>
      </c>
      <c r="K60" s="235">
        <v>0.11</v>
      </c>
      <c r="L60" s="235"/>
      <c r="M60" s="235"/>
      <c r="N60" s="63"/>
      <c r="O60" s="63"/>
      <c r="P60" s="63"/>
      <c r="Q60" s="63"/>
      <c r="R60" s="63"/>
      <c r="S60" s="63"/>
      <c r="T60" s="63" t="s">
        <v>74</v>
      </c>
      <c r="U60" s="63"/>
      <c r="V60" s="63" t="s">
        <v>75</v>
      </c>
      <c r="W60" s="63"/>
    </row>
    <row r="61" spans="1:23" x14ac:dyDescent="0.2">
      <c r="C61" s="63"/>
      <c r="D61" s="63" t="s">
        <v>28</v>
      </c>
      <c r="E61" s="63" t="s">
        <v>29</v>
      </c>
      <c r="F61" s="63" t="s">
        <v>216</v>
      </c>
      <c r="G61" s="63" t="s">
        <v>235</v>
      </c>
      <c r="H61" s="63"/>
      <c r="I61" s="63"/>
      <c r="J61" s="235">
        <v>0.12</v>
      </c>
      <c r="K61" s="235">
        <v>0.33</v>
      </c>
      <c r="L61" s="235"/>
      <c r="M61" s="235"/>
      <c r="N61" s="63"/>
      <c r="O61" s="63"/>
      <c r="P61" s="63"/>
      <c r="Q61" s="63"/>
      <c r="R61" s="63"/>
      <c r="S61" s="63"/>
      <c r="T61" s="63" t="s">
        <v>211</v>
      </c>
      <c r="U61" s="63"/>
      <c r="V61" s="63" t="s">
        <v>120</v>
      </c>
      <c r="W61" s="63"/>
    </row>
    <row r="62" spans="1:23" x14ac:dyDescent="0.2">
      <c r="C62" s="63"/>
      <c r="D62" s="63" t="s">
        <v>28</v>
      </c>
      <c r="E62" s="63" t="s">
        <v>29</v>
      </c>
      <c r="F62" s="63" t="s">
        <v>216</v>
      </c>
      <c r="G62" s="63" t="s">
        <v>235</v>
      </c>
      <c r="H62" s="63"/>
      <c r="I62" s="63"/>
      <c r="J62" s="235">
        <v>0.12</v>
      </c>
      <c r="K62" s="235">
        <v>0.33</v>
      </c>
      <c r="L62" s="235"/>
      <c r="M62" s="235"/>
      <c r="N62" s="63"/>
      <c r="O62" s="63"/>
      <c r="P62" s="63"/>
      <c r="Q62" s="63"/>
      <c r="R62" s="63"/>
      <c r="S62" s="63"/>
      <c r="T62" s="63" t="s">
        <v>212</v>
      </c>
      <c r="U62" s="63"/>
      <c r="V62" s="63" t="s">
        <v>120</v>
      </c>
      <c r="W62" s="63"/>
    </row>
    <row r="63" spans="1:23" x14ac:dyDescent="0.2">
      <c r="C63" s="63"/>
      <c r="D63" s="63" t="s">
        <v>28</v>
      </c>
      <c r="E63" s="63" t="s">
        <v>29</v>
      </c>
      <c r="F63" s="63" t="s">
        <v>216</v>
      </c>
      <c r="G63" s="63" t="s">
        <v>235</v>
      </c>
      <c r="H63" s="63"/>
      <c r="I63" s="63"/>
      <c r="J63" s="235">
        <v>0.12</v>
      </c>
      <c r="K63" s="235">
        <v>0.33</v>
      </c>
      <c r="L63" s="235"/>
      <c r="M63" s="235"/>
      <c r="N63" s="63"/>
      <c r="O63" s="63"/>
      <c r="P63" s="63"/>
      <c r="Q63" s="63"/>
      <c r="R63" s="63"/>
      <c r="S63" s="63"/>
      <c r="T63" s="63" t="s">
        <v>213</v>
      </c>
      <c r="U63" s="63"/>
      <c r="V63" s="63" t="s">
        <v>120</v>
      </c>
      <c r="W63" s="63"/>
    </row>
    <row r="64" spans="1:23" x14ac:dyDescent="0.2">
      <c r="C64" s="63"/>
      <c r="D64" s="63" t="s">
        <v>28</v>
      </c>
      <c r="E64" s="63" t="s">
        <v>29</v>
      </c>
      <c r="F64" s="63" t="s">
        <v>217</v>
      </c>
      <c r="G64" s="63" t="s">
        <v>235</v>
      </c>
      <c r="H64" s="63"/>
      <c r="I64" s="63"/>
      <c r="J64" s="235">
        <f t="array" ref="J64:M69">FIN_DEM!$J$66:$M$71</f>
        <v>0.05</v>
      </c>
      <c r="K64" s="235">
        <v>0.12</v>
      </c>
      <c r="L64" s="235">
        <v>0.33</v>
      </c>
      <c r="M64" s="235">
        <v>0.6</v>
      </c>
      <c r="N64" s="63"/>
      <c r="O64" s="63"/>
      <c r="P64" s="63"/>
      <c r="Q64" s="63"/>
      <c r="R64" s="63"/>
      <c r="S64" s="63"/>
      <c r="T64" s="63" t="s">
        <v>78</v>
      </c>
      <c r="U64" s="63"/>
      <c r="V64" s="63" t="s">
        <v>81</v>
      </c>
      <c r="W64" s="63"/>
    </row>
    <row r="65" spans="3:23" x14ac:dyDescent="0.2">
      <c r="C65" s="63"/>
      <c r="D65" s="63" t="s">
        <v>28</v>
      </c>
      <c r="E65" s="63" t="s">
        <v>29</v>
      </c>
      <c r="F65" s="63" t="s">
        <v>217</v>
      </c>
      <c r="G65" s="63" t="s">
        <v>235</v>
      </c>
      <c r="H65" s="63"/>
      <c r="I65" s="63"/>
      <c r="J65" s="235">
        <v>0.05</v>
      </c>
      <c r="K65" s="235">
        <v>0.12</v>
      </c>
      <c r="L65" s="235">
        <v>0.33</v>
      </c>
      <c r="M65" s="235">
        <v>0.6</v>
      </c>
      <c r="N65" s="63"/>
      <c r="O65" s="63"/>
      <c r="P65" s="63"/>
      <c r="Q65" s="63"/>
      <c r="R65" s="63"/>
      <c r="S65" s="63"/>
      <c r="T65" s="63" t="s">
        <v>552</v>
      </c>
      <c r="U65" s="63"/>
      <c r="V65" s="63" t="s">
        <v>81</v>
      </c>
      <c r="W65" s="63"/>
    </row>
    <row r="66" spans="3:23" x14ac:dyDescent="0.2">
      <c r="C66" s="63"/>
      <c r="D66" s="63" t="s">
        <v>28</v>
      </c>
      <c r="E66" s="63" t="s">
        <v>29</v>
      </c>
      <c r="F66" s="63" t="s">
        <v>218</v>
      </c>
      <c r="G66" s="63" t="s">
        <v>235</v>
      </c>
      <c r="H66" s="63"/>
      <c r="I66" s="63"/>
      <c r="J66" s="235">
        <v>0.05</v>
      </c>
      <c r="K66" s="235">
        <v>0.15</v>
      </c>
      <c r="L66" s="235">
        <v>0.4</v>
      </c>
      <c r="M66" s="235">
        <v>0.75</v>
      </c>
      <c r="N66" s="63"/>
      <c r="O66" s="63"/>
      <c r="P66" s="63"/>
      <c r="Q66" s="63"/>
      <c r="R66" s="63"/>
      <c r="S66" s="63"/>
      <c r="T66" s="63" t="s">
        <v>79</v>
      </c>
      <c r="U66" s="63"/>
      <c r="V66" s="63" t="s">
        <v>80</v>
      </c>
      <c r="W66" s="63"/>
    </row>
    <row r="67" spans="3:23" x14ac:dyDescent="0.2">
      <c r="C67" s="63"/>
      <c r="D67" s="63" t="s">
        <v>28</v>
      </c>
      <c r="E67" s="63" t="s">
        <v>29</v>
      </c>
      <c r="F67" s="63" t="s">
        <v>218</v>
      </c>
      <c r="G67" s="63" t="s">
        <v>235</v>
      </c>
      <c r="H67" s="63"/>
      <c r="I67" s="63"/>
      <c r="J67" s="235">
        <v>0.05</v>
      </c>
      <c r="K67" s="235">
        <v>0.15</v>
      </c>
      <c r="L67" s="235">
        <v>0.4</v>
      </c>
      <c r="M67" s="235">
        <v>0.75</v>
      </c>
      <c r="N67" s="63"/>
      <c r="O67" s="63"/>
      <c r="P67" s="63"/>
      <c r="Q67" s="63"/>
      <c r="R67" s="63"/>
      <c r="S67" s="63"/>
      <c r="T67" s="63" t="s">
        <v>551</v>
      </c>
      <c r="U67" s="63"/>
      <c r="V67" s="63" t="s">
        <v>80</v>
      </c>
      <c r="W67" s="63"/>
    </row>
    <row r="68" spans="3:23" x14ac:dyDescent="0.2">
      <c r="C68" s="63"/>
      <c r="D68" s="63" t="s">
        <v>28</v>
      </c>
      <c r="E68" s="63" t="s">
        <v>29</v>
      </c>
      <c r="F68" s="63" t="s">
        <v>219</v>
      </c>
      <c r="G68" s="63" t="s">
        <v>235</v>
      </c>
      <c r="H68" s="63"/>
      <c r="I68" s="63"/>
      <c r="J68" s="235">
        <v>0.05</v>
      </c>
      <c r="K68" s="235">
        <v>0.2</v>
      </c>
      <c r="L68" s="235">
        <v>0.45</v>
      </c>
      <c r="M68" s="235">
        <v>0.85</v>
      </c>
      <c r="N68" s="63"/>
      <c r="O68" s="63"/>
      <c r="P68" s="63"/>
      <c r="Q68" s="63"/>
      <c r="R68" s="63"/>
      <c r="S68" s="63"/>
      <c r="T68" s="63" t="s">
        <v>214</v>
      </c>
      <c r="U68" s="63"/>
      <c r="V68" s="63" t="s">
        <v>121</v>
      </c>
      <c r="W68" s="63"/>
    </row>
    <row r="69" spans="3:23" x14ac:dyDescent="0.2">
      <c r="C69" s="63"/>
      <c r="D69" s="63" t="s">
        <v>28</v>
      </c>
      <c r="E69" s="63" t="s">
        <v>29</v>
      </c>
      <c r="F69" s="63" t="s">
        <v>219</v>
      </c>
      <c r="G69" s="63" t="s">
        <v>235</v>
      </c>
      <c r="H69" s="63"/>
      <c r="I69" s="63"/>
      <c r="J69" s="235">
        <v>0.05</v>
      </c>
      <c r="K69" s="235">
        <v>0.2</v>
      </c>
      <c r="L69" s="235">
        <v>0.45</v>
      </c>
      <c r="M69" s="235">
        <v>0.85</v>
      </c>
      <c r="N69" s="63"/>
      <c r="O69" s="63"/>
      <c r="P69" s="63"/>
      <c r="Q69" s="63"/>
      <c r="R69" s="63"/>
      <c r="S69" s="63"/>
      <c r="T69" s="63" t="s">
        <v>550</v>
      </c>
      <c r="U69" s="63"/>
      <c r="V69" s="63" t="s">
        <v>121</v>
      </c>
      <c r="W69" s="63"/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3:Z69"/>
  <sheetViews>
    <sheetView zoomScale="85" workbookViewId="0">
      <selection activeCell="A16" sqref="A16"/>
    </sheetView>
  </sheetViews>
  <sheetFormatPr defaultRowHeight="12.75" x14ac:dyDescent="0.2"/>
  <cols>
    <col min="3" max="3" width="9.7109375" customWidth="1"/>
    <col min="5" max="5" width="12.85546875" customWidth="1"/>
    <col min="6" max="6" width="14.5703125" customWidth="1"/>
    <col min="12" max="12" width="11" customWidth="1"/>
  </cols>
  <sheetData>
    <row r="3" spans="1:26" x14ac:dyDescent="0.2">
      <c r="C3" s="8" t="s">
        <v>36</v>
      </c>
    </row>
    <row r="4" spans="1:26" x14ac:dyDescent="0.2">
      <c r="C4" s="149" t="s">
        <v>4</v>
      </c>
      <c r="D4" s="149" t="s">
        <v>5</v>
      </c>
      <c r="E4" s="149" t="s">
        <v>6</v>
      </c>
      <c r="F4" s="149" t="s">
        <v>3</v>
      </c>
      <c r="G4" s="149" t="s">
        <v>37</v>
      </c>
      <c r="H4" s="149">
        <v>2015</v>
      </c>
      <c r="I4" s="149">
        <v>2020</v>
      </c>
      <c r="J4" s="149">
        <v>2025</v>
      </c>
      <c r="K4" s="149">
        <v>2030</v>
      </c>
      <c r="L4" s="149">
        <v>2040</v>
      </c>
      <c r="M4" s="149">
        <v>2050</v>
      </c>
      <c r="N4" s="149">
        <v>2070</v>
      </c>
      <c r="O4" s="150">
        <v>0</v>
      </c>
      <c r="P4" s="149" t="s">
        <v>10</v>
      </c>
      <c r="Q4" s="151" t="s">
        <v>12</v>
      </c>
      <c r="R4" s="151" t="s">
        <v>13</v>
      </c>
      <c r="S4" s="151" t="s">
        <v>398</v>
      </c>
      <c r="T4" s="149" t="s">
        <v>15</v>
      </c>
      <c r="U4" s="152" t="s">
        <v>8</v>
      </c>
    </row>
    <row r="5" spans="1:26" x14ac:dyDescent="0.2">
      <c r="C5" s="140"/>
      <c r="D5" s="140"/>
      <c r="E5" s="140" t="s">
        <v>104</v>
      </c>
      <c r="F5" s="140"/>
      <c r="G5" s="140"/>
      <c r="H5" s="140">
        <v>0</v>
      </c>
      <c r="I5" s="140">
        <v>0</v>
      </c>
      <c r="J5" s="140">
        <v>0</v>
      </c>
      <c r="K5" s="140">
        <v>0</v>
      </c>
      <c r="L5" s="140">
        <v>0</v>
      </c>
      <c r="M5" s="140">
        <v>0</v>
      </c>
      <c r="N5" s="140">
        <v>0</v>
      </c>
      <c r="O5" s="141">
        <v>0</v>
      </c>
      <c r="P5" s="140"/>
      <c r="Q5" s="140"/>
      <c r="R5" s="140"/>
      <c r="S5" s="140"/>
      <c r="T5" s="140"/>
      <c r="U5" s="140"/>
      <c r="X5" s="153"/>
      <c r="Y5" s="153">
        <v>2010</v>
      </c>
      <c r="Z5" s="153">
        <v>2017</v>
      </c>
    </row>
    <row r="6" spans="1:26" x14ac:dyDescent="0.2">
      <c r="A6" t="s">
        <v>507</v>
      </c>
      <c r="C6" s="40"/>
      <c r="D6" s="40" t="s">
        <v>49</v>
      </c>
      <c r="E6" s="40" t="s">
        <v>101</v>
      </c>
      <c r="F6" s="40"/>
      <c r="G6" s="40" t="s">
        <v>17</v>
      </c>
      <c r="H6" s="30"/>
      <c r="I6" s="30">
        <f>VLOOKUP($U6,$X$5:$Z$11,3,0)*0.77</f>
        <v>0.18561205974659148</v>
      </c>
      <c r="J6" s="101"/>
      <c r="K6" s="101">
        <f>I6*0.72</f>
        <v>0.13364068301754586</v>
      </c>
      <c r="L6" s="101">
        <f>K6*0.8</f>
        <v>0.10691254641403669</v>
      </c>
      <c r="M6" s="101">
        <f>L6*0.8</f>
        <v>8.5530037131229364E-2</v>
      </c>
      <c r="N6" s="40"/>
      <c r="O6" s="98">
        <v>5</v>
      </c>
      <c r="P6" s="40"/>
      <c r="Q6" s="40"/>
      <c r="R6" s="40" t="s">
        <v>469</v>
      </c>
      <c r="S6" s="40"/>
      <c r="T6" s="40"/>
      <c r="U6" s="40" t="s">
        <v>107</v>
      </c>
      <c r="X6" s="71" t="s">
        <v>107</v>
      </c>
      <c r="Y6" s="148">
        <v>0.29105255062804736</v>
      </c>
      <c r="Z6" s="148">
        <v>0.2410546230475214</v>
      </c>
    </row>
    <row r="7" spans="1:26" x14ac:dyDescent="0.2">
      <c r="A7" t="s">
        <v>508</v>
      </c>
      <c r="C7" s="40"/>
      <c r="D7" s="40" t="s">
        <v>49</v>
      </c>
      <c r="E7" s="40" t="s">
        <v>29</v>
      </c>
      <c r="F7" s="40" t="s">
        <v>469</v>
      </c>
      <c r="G7" s="40" t="s">
        <v>17</v>
      </c>
      <c r="H7" s="40"/>
      <c r="I7" s="40">
        <v>0</v>
      </c>
      <c r="J7" s="40"/>
      <c r="K7" s="40"/>
      <c r="L7" s="40"/>
      <c r="M7" s="40"/>
      <c r="N7" s="40"/>
      <c r="O7" s="98">
        <v>5</v>
      </c>
      <c r="P7" s="40"/>
      <c r="Q7" s="40"/>
      <c r="R7" s="40" t="s">
        <v>470</v>
      </c>
      <c r="S7" s="40"/>
      <c r="T7" s="40"/>
      <c r="U7" s="40" t="s">
        <v>107</v>
      </c>
      <c r="X7" s="71" t="s">
        <v>108</v>
      </c>
      <c r="Y7" s="148">
        <v>0.11079788084064388</v>
      </c>
      <c r="Z7" s="148">
        <v>0.13717133531809647</v>
      </c>
    </row>
    <row r="8" spans="1:26" x14ac:dyDescent="0.2">
      <c r="C8" s="40"/>
      <c r="D8" s="40" t="s">
        <v>49</v>
      </c>
      <c r="E8" s="40" t="s">
        <v>29</v>
      </c>
      <c r="F8" s="40" t="s">
        <v>469</v>
      </c>
      <c r="G8" s="40" t="s">
        <v>17</v>
      </c>
      <c r="H8" s="40"/>
      <c r="I8" s="40">
        <v>0</v>
      </c>
      <c r="J8" s="40"/>
      <c r="K8" s="40"/>
      <c r="L8" s="40"/>
      <c r="M8" s="40"/>
      <c r="N8" s="40"/>
      <c r="O8" s="98">
        <v>5</v>
      </c>
      <c r="P8" s="40"/>
      <c r="Q8" s="40"/>
      <c r="R8" s="40" t="s">
        <v>471</v>
      </c>
      <c r="S8" s="40"/>
      <c r="T8" s="40"/>
      <c r="U8" s="40" t="s">
        <v>107</v>
      </c>
      <c r="X8" s="71" t="s">
        <v>109</v>
      </c>
      <c r="Y8" s="148">
        <v>0.11039889099891884</v>
      </c>
      <c r="Z8" s="148">
        <v>0.12499714079179922</v>
      </c>
    </row>
    <row r="9" spans="1:26" x14ac:dyDescent="0.2">
      <c r="C9" s="40"/>
      <c r="D9" s="40" t="s">
        <v>49</v>
      </c>
      <c r="E9" s="40" t="s">
        <v>101</v>
      </c>
      <c r="F9" s="40"/>
      <c r="G9" s="40" t="s">
        <v>17</v>
      </c>
      <c r="H9" s="40"/>
      <c r="I9" s="30">
        <f>VLOOKUP($U9,$X$5:$Z$11,3,0)*0.77</f>
        <v>0.10562192819493428</v>
      </c>
      <c r="J9" s="101"/>
      <c r="K9" s="101">
        <f>I9*0.72</f>
        <v>7.6047788300352678E-2</v>
      </c>
      <c r="L9" s="101">
        <f>K9*0.8</f>
        <v>6.0838230640282147E-2</v>
      </c>
      <c r="M9" s="101">
        <f>L9*0.8</f>
        <v>4.8670584512225723E-2</v>
      </c>
      <c r="N9" s="40"/>
      <c r="O9" s="98">
        <v>5</v>
      </c>
      <c r="P9" s="40"/>
      <c r="Q9" s="40"/>
      <c r="R9" s="40" t="str">
        <f>F10</f>
        <v>RH2ELC005</v>
      </c>
      <c r="S9" s="40"/>
      <c r="T9" s="40"/>
      <c r="U9" s="40" t="s">
        <v>108</v>
      </c>
      <c r="X9" s="71" t="s">
        <v>472</v>
      </c>
      <c r="Y9" s="148">
        <v>0.2351116928607363</v>
      </c>
      <c r="Z9" s="63"/>
    </row>
    <row r="10" spans="1:26" x14ac:dyDescent="0.2">
      <c r="C10" s="40"/>
      <c r="D10" s="40" t="s">
        <v>49</v>
      </c>
      <c r="E10" s="40" t="s">
        <v>29</v>
      </c>
      <c r="F10" s="40" t="str">
        <f>U10&amp;"ELC005"</f>
        <v>RH2ELC005</v>
      </c>
      <c r="G10" s="40" t="s">
        <v>17</v>
      </c>
      <c r="H10" s="40"/>
      <c r="I10" s="40">
        <v>0</v>
      </c>
      <c r="J10" s="40"/>
      <c r="K10" s="40"/>
      <c r="L10" s="40"/>
      <c r="M10" s="40"/>
      <c r="N10" s="40"/>
      <c r="O10" s="98">
        <v>5</v>
      </c>
      <c r="P10" s="40"/>
      <c r="Q10" s="40"/>
      <c r="R10" s="40" t="s">
        <v>473</v>
      </c>
      <c r="S10" s="40"/>
      <c r="T10" s="40"/>
      <c r="U10" s="40" t="s">
        <v>108</v>
      </c>
      <c r="X10" s="71" t="s">
        <v>474</v>
      </c>
      <c r="Y10" s="148">
        <v>0.34666013254845746</v>
      </c>
      <c r="Z10" s="63"/>
    </row>
    <row r="11" spans="1:26" x14ac:dyDescent="0.2">
      <c r="C11" s="40"/>
      <c r="D11" s="40" t="s">
        <v>49</v>
      </c>
      <c r="E11" s="40" t="s">
        <v>29</v>
      </c>
      <c r="F11" s="40" t="str">
        <f>U11&amp;"ELC005"</f>
        <v>RH2ELC005</v>
      </c>
      <c r="G11" s="40" t="s">
        <v>17</v>
      </c>
      <c r="H11" s="40"/>
      <c r="I11" s="40">
        <v>0</v>
      </c>
      <c r="J11" s="40"/>
      <c r="K11" s="40"/>
      <c r="L11" s="40"/>
      <c r="M11" s="40"/>
      <c r="N11" s="40"/>
      <c r="O11" s="98">
        <v>5</v>
      </c>
      <c r="P11" s="40"/>
      <c r="Q11" s="40"/>
      <c r="R11" s="40" t="s">
        <v>475</v>
      </c>
      <c r="S11" s="40"/>
      <c r="T11" s="40"/>
      <c r="U11" s="40" t="s">
        <v>108</v>
      </c>
      <c r="X11" s="71" t="s">
        <v>476</v>
      </c>
      <c r="Y11" s="148">
        <v>0.25978851047707829</v>
      </c>
      <c r="Z11" s="63"/>
    </row>
    <row r="12" spans="1:26" x14ac:dyDescent="0.2">
      <c r="C12" s="40"/>
      <c r="D12" s="40" t="s">
        <v>49</v>
      </c>
      <c r="E12" s="40" t="s">
        <v>101</v>
      </c>
      <c r="F12" s="40"/>
      <c r="G12" s="40" t="s">
        <v>17</v>
      </c>
      <c r="H12" s="40"/>
      <c r="I12" s="30">
        <f>VLOOKUP($U12,$X$5:$Z$11,3,0)*0.77</f>
        <v>9.6247798409685392E-2</v>
      </c>
      <c r="J12" s="101"/>
      <c r="K12" s="101">
        <f>I12*0.72</f>
        <v>6.9298414854973484E-2</v>
      </c>
      <c r="L12" s="101">
        <f>K12*0.8</f>
        <v>5.5438731883978791E-2</v>
      </c>
      <c r="M12" s="101">
        <f>L12*0.8</f>
        <v>4.4350985507183034E-2</v>
      </c>
      <c r="N12" s="40"/>
      <c r="O12" s="98">
        <v>5</v>
      </c>
      <c r="P12" s="40"/>
      <c r="Q12" s="40"/>
      <c r="R12" s="40" t="s">
        <v>477</v>
      </c>
      <c r="S12" s="40"/>
      <c r="T12" s="40"/>
      <c r="U12" s="40" t="s">
        <v>109</v>
      </c>
      <c r="Y12" s="36"/>
    </row>
    <row r="13" spans="1:26" x14ac:dyDescent="0.2">
      <c r="C13" s="40"/>
      <c r="D13" s="40" t="s">
        <v>49</v>
      </c>
      <c r="E13" s="40" t="s">
        <v>29</v>
      </c>
      <c r="F13" s="40" t="str">
        <f>U13&amp;"ELC005"</f>
        <v>CH1ELC005</v>
      </c>
      <c r="G13" s="40" t="s">
        <v>17</v>
      </c>
      <c r="H13" s="40"/>
      <c r="I13" s="40">
        <v>0</v>
      </c>
      <c r="J13" s="40"/>
      <c r="K13" s="40"/>
      <c r="L13" s="40"/>
      <c r="M13" s="40"/>
      <c r="N13" s="40"/>
      <c r="O13" s="98">
        <v>5</v>
      </c>
      <c r="P13" s="40"/>
      <c r="Q13" s="40"/>
      <c r="R13" s="40" t="s">
        <v>478</v>
      </c>
      <c r="S13" s="40"/>
      <c r="T13" s="40"/>
      <c r="U13" s="40" t="s">
        <v>109</v>
      </c>
      <c r="Y13" s="36"/>
    </row>
    <row r="14" spans="1:26" x14ac:dyDescent="0.2">
      <c r="C14" s="40"/>
      <c r="D14" s="40" t="s">
        <v>49</v>
      </c>
      <c r="E14" s="40" t="s">
        <v>29</v>
      </c>
      <c r="F14" s="40" t="str">
        <f>U14&amp;"ELC005"</f>
        <v>CH1ELC005</v>
      </c>
      <c r="G14" s="40" t="s">
        <v>17</v>
      </c>
      <c r="H14" s="40"/>
      <c r="I14" s="40">
        <v>0</v>
      </c>
      <c r="J14" s="40"/>
      <c r="K14" s="40"/>
      <c r="L14" s="40"/>
      <c r="M14" s="40"/>
      <c r="N14" s="40"/>
      <c r="O14" s="98">
        <v>5</v>
      </c>
      <c r="P14" s="40"/>
      <c r="Q14" s="40"/>
      <c r="R14" s="40" t="s">
        <v>479</v>
      </c>
      <c r="S14" s="40"/>
      <c r="T14" s="40"/>
      <c r="U14" s="40" t="s">
        <v>109</v>
      </c>
      <c r="Y14" s="36"/>
    </row>
    <row r="15" spans="1:26" x14ac:dyDescent="0.2">
      <c r="C15" s="140"/>
      <c r="D15" s="140"/>
      <c r="E15" s="140" t="s">
        <v>104</v>
      </c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</row>
    <row r="16" spans="1:26" x14ac:dyDescent="0.2">
      <c r="A16" t="s">
        <v>516</v>
      </c>
      <c r="C16" s="34"/>
      <c r="D16" s="34" t="s">
        <v>49</v>
      </c>
      <c r="E16" s="34" t="s">
        <v>101</v>
      </c>
      <c r="F16" s="34"/>
      <c r="G16" s="34" t="s">
        <v>17</v>
      </c>
      <c r="H16" s="34"/>
      <c r="I16" s="34">
        <v>0.125</v>
      </c>
      <c r="J16" s="34"/>
      <c r="K16" s="34">
        <f>I16</f>
        <v>0.125</v>
      </c>
      <c r="L16" s="34"/>
      <c r="M16" s="34"/>
      <c r="N16" s="34"/>
      <c r="O16" s="35">
        <v>11</v>
      </c>
      <c r="P16" s="34"/>
      <c r="Q16" s="34"/>
      <c r="R16" s="34" t="s">
        <v>352</v>
      </c>
      <c r="S16" s="34"/>
      <c r="T16" s="34"/>
      <c r="U16" s="34" t="s">
        <v>142</v>
      </c>
    </row>
    <row r="17" spans="1:21" x14ac:dyDescent="0.2">
      <c r="A17" t="s">
        <v>517</v>
      </c>
      <c r="C17" s="34"/>
      <c r="D17" s="34" t="s">
        <v>49</v>
      </c>
      <c r="E17" s="34" t="s">
        <v>101</v>
      </c>
      <c r="F17" s="34"/>
      <c r="G17" s="175" t="s">
        <v>235</v>
      </c>
      <c r="H17" s="34"/>
      <c r="I17" s="34">
        <v>0.125</v>
      </c>
      <c r="J17" s="34"/>
      <c r="K17" s="34">
        <f>I17</f>
        <v>0.125</v>
      </c>
      <c r="L17" s="34"/>
      <c r="M17" s="34"/>
      <c r="N17" s="34"/>
      <c r="O17" s="35">
        <v>11</v>
      </c>
      <c r="P17" s="34"/>
      <c r="Q17" s="34"/>
      <c r="R17" s="34" t="s">
        <v>352</v>
      </c>
      <c r="S17" s="34"/>
      <c r="T17" s="34"/>
      <c r="U17" s="34" t="s">
        <v>142</v>
      </c>
    </row>
    <row r="18" spans="1:21" x14ac:dyDescent="0.2">
      <c r="A18" t="s">
        <v>518</v>
      </c>
      <c r="C18" s="34"/>
      <c r="D18" s="34" t="s">
        <v>28</v>
      </c>
      <c r="E18" s="34" t="s">
        <v>101</v>
      </c>
      <c r="F18" s="34"/>
      <c r="G18" s="34" t="s">
        <v>17</v>
      </c>
      <c r="H18" s="34"/>
      <c r="I18" s="34">
        <v>0.13</v>
      </c>
      <c r="J18" s="34"/>
      <c r="K18" s="34">
        <v>0.15</v>
      </c>
      <c r="L18" s="34">
        <v>0.25</v>
      </c>
      <c r="M18" s="34">
        <v>0.33</v>
      </c>
      <c r="N18" s="34"/>
      <c r="O18" s="35">
        <v>5</v>
      </c>
      <c r="P18" s="34"/>
      <c r="Q18" s="34"/>
      <c r="R18" s="34" t="s">
        <v>352</v>
      </c>
      <c r="S18" s="34"/>
      <c r="T18" s="34"/>
      <c r="U18" s="34" t="s">
        <v>142</v>
      </c>
    </row>
    <row r="19" spans="1:21" x14ac:dyDescent="0.2">
      <c r="C19" s="34"/>
      <c r="D19" s="34" t="s">
        <v>28</v>
      </c>
      <c r="E19" s="34" t="s">
        <v>101</v>
      </c>
      <c r="F19" s="34"/>
      <c r="G19" s="175" t="s">
        <v>235</v>
      </c>
      <c r="H19" s="34"/>
      <c r="I19" s="34">
        <v>0.13</v>
      </c>
      <c r="J19" s="34"/>
      <c r="K19" s="34">
        <v>0.15</v>
      </c>
      <c r="L19" s="34">
        <v>0.25</v>
      </c>
      <c r="M19" s="34">
        <v>0.33</v>
      </c>
      <c r="N19" s="34"/>
      <c r="O19" s="35">
        <v>5</v>
      </c>
      <c r="P19" s="34"/>
      <c r="Q19" s="34"/>
      <c r="R19" s="34" t="s">
        <v>352</v>
      </c>
      <c r="S19" s="34"/>
      <c r="T19" s="34"/>
      <c r="U19" s="34" t="s">
        <v>142</v>
      </c>
    </row>
    <row r="20" spans="1:21" x14ac:dyDescent="0.2">
      <c r="C20" s="34" t="s">
        <v>35</v>
      </c>
      <c r="D20" s="34" t="s">
        <v>49</v>
      </c>
      <c r="E20" s="34" t="s">
        <v>46</v>
      </c>
      <c r="F20" s="34" t="s">
        <v>515</v>
      </c>
      <c r="G20" s="34" t="s">
        <v>17</v>
      </c>
      <c r="H20" s="34"/>
      <c r="I20" s="34">
        <v>0.2</v>
      </c>
      <c r="J20" s="34">
        <v>0.27</v>
      </c>
      <c r="K20" s="34">
        <v>0.35</v>
      </c>
      <c r="L20" s="34"/>
      <c r="M20" s="34"/>
      <c r="N20" s="34"/>
      <c r="O20" s="35">
        <v>5</v>
      </c>
      <c r="P20" s="34"/>
      <c r="Q20" s="34"/>
      <c r="R20" s="34" t="s">
        <v>349</v>
      </c>
      <c r="S20" s="34"/>
      <c r="T20" s="34"/>
      <c r="U20" s="34" t="s">
        <v>143</v>
      </c>
    </row>
    <row r="21" spans="1:21" x14ac:dyDescent="0.2">
      <c r="C21" s="34" t="s">
        <v>35</v>
      </c>
      <c r="D21" s="34" t="s">
        <v>49</v>
      </c>
      <c r="E21" s="34" t="s">
        <v>46</v>
      </c>
      <c r="F21" s="34" t="s">
        <v>515</v>
      </c>
      <c r="G21" s="175" t="s">
        <v>235</v>
      </c>
      <c r="H21" s="34"/>
      <c r="I21" s="34">
        <v>0.2</v>
      </c>
      <c r="J21" s="34">
        <v>0.27</v>
      </c>
      <c r="K21" s="34">
        <v>0.35</v>
      </c>
      <c r="L21" s="34"/>
      <c r="M21" s="34"/>
      <c r="N21" s="34"/>
      <c r="O21" s="35">
        <v>5</v>
      </c>
      <c r="P21" s="34"/>
      <c r="Q21" s="34"/>
      <c r="R21" s="34" t="s">
        <v>349</v>
      </c>
      <c r="S21" s="34"/>
      <c r="T21" s="34"/>
      <c r="U21" s="34" t="s">
        <v>143</v>
      </c>
    </row>
    <row r="22" spans="1:21" x14ac:dyDescent="0.2">
      <c r="C22" s="34"/>
      <c r="D22" s="34" t="s">
        <v>28</v>
      </c>
      <c r="E22" s="34" t="s">
        <v>29</v>
      </c>
      <c r="F22" s="34" t="s">
        <v>83</v>
      </c>
      <c r="G22" s="34" t="s">
        <v>17</v>
      </c>
      <c r="H22" s="34"/>
      <c r="I22" s="34"/>
      <c r="J22" s="34">
        <v>0.09</v>
      </c>
      <c r="K22" s="34">
        <v>0.22</v>
      </c>
      <c r="L22" s="34">
        <v>0.54</v>
      </c>
      <c r="M22" s="34">
        <v>0.85</v>
      </c>
      <c r="N22" s="34"/>
      <c r="O22" s="34"/>
      <c r="P22" s="34"/>
      <c r="Q22" s="34"/>
      <c r="R22" s="34" t="s">
        <v>72</v>
      </c>
      <c r="S22" s="34"/>
      <c r="T22" s="34"/>
      <c r="U22" s="34" t="s">
        <v>75</v>
      </c>
    </row>
    <row r="23" spans="1:21" x14ac:dyDescent="0.2">
      <c r="C23" s="34"/>
      <c r="D23" s="34" t="s">
        <v>28</v>
      </c>
      <c r="E23" s="34" t="s">
        <v>29</v>
      </c>
      <c r="F23" s="34" t="s">
        <v>83</v>
      </c>
      <c r="G23" s="34" t="s">
        <v>17</v>
      </c>
      <c r="H23" s="34"/>
      <c r="I23" s="34"/>
      <c r="J23" s="34">
        <v>0.09</v>
      </c>
      <c r="K23" s="34">
        <v>0.22</v>
      </c>
      <c r="L23" s="34">
        <v>0.54</v>
      </c>
      <c r="M23" s="34">
        <v>0.85</v>
      </c>
      <c r="N23" s="34"/>
      <c r="O23" s="34"/>
      <c r="P23" s="34"/>
      <c r="Q23" s="34"/>
      <c r="R23" s="34" t="s">
        <v>73</v>
      </c>
      <c r="S23" s="34"/>
      <c r="T23" s="34"/>
      <c r="U23" s="34" t="s">
        <v>75</v>
      </c>
    </row>
    <row r="24" spans="1:21" x14ac:dyDescent="0.2">
      <c r="C24" s="34"/>
      <c r="D24" s="34" t="s">
        <v>28</v>
      </c>
      <c r="E24" s="34" t="s">
        <v>29</v>
      </c>
      <c r="F24" s="34" t="s">
        <v>83</v>
      </c>
      <c r="G24" s="34" t="s">
        <v>17</v>
      </c>
      <c r="H24" s="34"/>
      <c r="I24" s="34"/>
      <c r="J24" s="34">
        <v>0.09</v>
      </c>
      <c r="K24" s="34">
        <v>0.22</v>
      </c>
      <c r="L24" s="34">
        <v>0.54</v>
      </c>
      <c r="M24" s="34">
        <v>0.85</v>
      </c>
      <c r="N24" s="34"/>
      <c r="O24" s="34"/>
      <c r="P24" s="34"/>
      <c r="Q24" s="34"/>
      <c r="R24" s="34" t="s">
        <v>74</v>
      </c>
      <c r="S24" s="34"/>
      <c r="T24" s="34"/>
      <c r="U24" s="34" t="s">
        <v>75</v>
      </c>
    </row>
    <row r="25" spans="1:21" x14ac:dyDescent="0.2">
      <c r="C25" s="34"/>
      <c r="D25" s="34" t="s">
        <v>28</v>
      </c>
      <c r="E25" s="34" t="s">
        <v>29</v>
      </c>
      <c r="F25" s="34" t="s">
        <v>83</v>
      </c>
      <c r="G25" s="175" t="s">
        <v>235</v>
      </c>
      <c r="H25" s="34"/>
      <c r="I25" s="34"/>
      <c r="J25" s="34">
        <v>0.09</v>
      </c>
      <c r="K25" s="34">
        <v>0.22</v>
      </c>
      <c r="L25" s="34">
        <v>0.54</v>
      </c>
      <c r="M25" s="34">
        <v>0.85</v>
      </c>
      <c r="N25" s="34"/>
      <c r="O25" s="34"/>
      <c r="P25" s="34"/>
      <c r="Q25" s="34"/>
      <c r="R25" s="34" t="s">
        <v>72</v>
      </c>
      <c r="S25" s="34"/>
      <c r="T25" s="34"/>
      <c r="U25" s="34" t="s">
        <v>75</v>
      </c>
    </row>
    <row r="26" spans="1:21" x14ac:dyDescent="0.2">
      <c r="C26" s="34"/>
      <c r="D26" s="34" t="s">
        <v>28</v>
      </c>
      <c r="E26" s="34" t="s">
        <v>29</v>
      </c>
      <c r="F26" s="34" t="s">
        <v>83</v>
      </c>
      <c r="G26" s="175" t="s">
        <v>235</v>
      </c>
      <c r="H26" s="34"/>
      <c r="I26" s="34"/>
      <c r="J26" s="34">
        <v>0.09</v>
      </c>
      <c r="K26" s="34">
        <v>0.22</v>
      </c>
      <c r="L26" s="34">
        <v>0.54</v>
      </c>
      <c r="M26" s="34">
        <v>0.85</v>
      </c>
      <c r="N26" s="34"/>
      <c r="O26" s="34"/>
      <c r="P26" s="34"/>
      <c r="Q26" s="34"/>
      <c r="R26" s="34" t="s">
        <v>73</v>
      </c>
      <c r="S26" s="34"/>
      <c r="T26" s="34"/>
      <c r="U26" s="34" t="s">
        <v>75</v>
      </c>
    </row>
    <row r="27" spans="1:21" x14ac:dyDescent="0.2">
      <c r="C27" s="34"/>
      <c r="D27" s="34" t="s">
        <v>28</v>
      </c>
      <c r="E27" s="34" t="s">
        <v>29</v>
      </c>
      <c r="F27" s="34" t="s">
        <v>83</v>
      </c>
      <c r="G27" s="175" t="s">
        <v>235</v>
      </c>
      <c r="H27" s="34"/>
      <c r="I27" s="34"/>
      <c r="J27" s="34">
        <v>0.09</v>
      </c>
      <c r="K27" s="34">
        <v>0.22</v>
      </c>
      <c r="L27" s="34">
        <v>0.54</v>
      </c>
      <c r="M27" s="34">
        <v>0.85</v>
      </c>
      <c r="N27" s="34"/>
      <c r="O27" s="34"/>
      <c r="P27" s="34"/>
      <c r="Q27" s="34"/>
      <c r="R27" s="34" t="s">
        <v>74</v>
      </c>
      <c r="S27" s="34"/>
      <c r="T27" s="34"/>
      <c r="U27" s="34" t="s">
        <v>75</v>
      </c>
    </row>
    <row r="28" spans="1:21" x14ac:dyDescent="0.2">
      <c r="C28" s="34"/>
      <c r="D28" s="34" t="s">
        <v>28</v>
      </c>
      <c r="E28" s="34" t="s">
        <v>29</v>
      </c>
      <c r="F28" s="34" t="s">
        <v>82</v>
      </c>
      <c r="G28" s="34" t="s">
        <v>17</v>
      </c>
      <c r="H28" s="34"/>
      <c r="I28" s="34"/>
      <c r="J28" s="34"/>
      <c r="K28" s="34">
        <v>0.04</v>
      </c>
      <c r="L28" s="34">
        <v>0.11</v>
      </c>
      <c r="M28" s="34">
        <v>0.2</v>
      </c>
      <c r="N28" s="34"/>
      <c r="O28" s="34"/>
      <c r="P28" s="34"/>
      <c r="Q28" s="34"/>
      <c r="R28" s="34" t="s">
        <v>77</v>
      </c>
      <c r="S28" s="34"/>
      <c r="T28" s="34"/>
      <c r="U28" s="34" t="s">
        <v>75</v>
      </c>
    </row>
    <row r="29" spans="1:21" x14ac:dyDescent="0.2">
      <c r="C29" s="34"/>
      <c r="D29" s="34" t="s">
        <v>28</v>
      </c>
      <c r="E29" s="34" t="s">
        <v>29</v>
      </c>
      <c r="F29" s="34" t="s">
        <v>82</v>
      </c>
      <c r="G29" s="34" t="s">
        <v>17</v>
      </c>
      <c r="H29" s="34"/>
      <c r="I29" s="34"/>
      <c r="J29" s="34"/>
      <c r="K29" s="34">
        <v>0.04</v>
      </c>
      <c r="L29" s="34">
        <v>0.11</v>
      </c>
      <c r="M29" s="34">
        <v>0.2</v>
      </c>
      <c r="N29" s="34"/>
      <c r="O29" s="34"/>
      <c r="P29" s="34"/>
      <c r="Q29" s="34"/>
      <c r="R29" s="34" t="s">
        <v>76</v>
      </c>
      <c r="S29" s="34"/>
      <c r="T29" s="34"/>
      <c r="U29" s="34" t="s">
        <v>75</v>
      </c>
    </row>
    <row r="30" spans="1:21" x14ac:dyDescent="0.2">
      <c r="C30" s="34"/>
      <c r="D30" s="34" t="s">
        <v>28</v>
      </c>
      <c r="E30" s="34" t="s">
        <v>29</v>
      </c>
      <c r="F30" s="34" t="s">
        <v>82</v>
      </c>
      <c r="G30" s="175" t="s">
        <v>235</v>
      </c>
      <c r="H30" s="34"/>
      <c r="I30" s="34"/>
      <c r="J30" s="34"/>
      <c r="K30" s="34">
        <v>0.04</v>
      </c>
      <c r="L30" s="34">
        <v>0.11</v>
      </c>
      <c r="M30" s="34">
        <v>0.2</v>
      </c>
      <c r="N30" s="34"/>
      <c r="O30" s="34"/>
      <c r="P30" s="34"/>
      <c r="Q30" s="34"/>
      <c r="R30" s="34" t="s">
        <v>77</v>
      </c>
      <c r="S30" s="34"/>
      <c r="T30" s="34"/>
      <c r="U30" s="34" t="s">
        <v>75</v>
      </c>
    </row>
    <row r="31" spans="1:21" x14ac:dyDescent="0.2">
      <c r="C31" s="34"/>
      <c r="D31" s="34" t="s">
        <v>28</v>
      </c>
      <c r="E31" s="34" t="s">
        <v>29</v>
      </c>
      <c r="F31" s="34" t="s">
        <v>82</v>
      </c>
      <c r="G31" s="175" t="s">
        <v>235</v>
      </c>
      <c r="H31" s="34"/>
      <c r="I31" s="34"/>
      <c r="J31" s="34"/>
      <c r="K31" s="34">
        <v>0.04</v>
      </c>
      <c r="L31" s="34">
        <v>0.11</v>
      </c>
      <c r="M31" s="34">
        <v>0.2</v>
      </c>
      <c r="N31" s="34"/>
      <c r="O31" s="34"/>
      <c r="P31" s="34"/>
      <c r="Q31" s="34"/>
      <c r="R31" s="34" t="s">
        <v>76</v>
      </c>
      <c r="S31" s="34"/>
      <c r="T31" s="34"/>
      <c r="U31" s="34" t="s">
        <v>75</v>
      </c>
    </row>
    <row r="32" spans="1:21" x14ac:dyDescent="0.2">
      <c r="C32" s="34"/>
      <c r="D32" s="34" t="s">
        <v>28</v>
      </c>
      <c r="E32" s="34" t="s">
        <v>29</v>
      </c>
      <c r="F32" s="34" t="s">
        <v>84</v>
      </c>
      <c r="G32" s="34" t="s">
        <v>17</v>
      </c>
      <c r="H32" s="34"/>
      <c r="I32" s="34"/>
      <c r="J32" s="51">
        <v>7.0000000000000007E-2</v>
      </c>
      <c r="K32" s="51">
        <v>0.2</v>
      </c>
      <c r="L32" s="51">
        <v>0.4</v>
      </c>
      <c r="M32" s="51">
        <v>0.65</v>
      </c>
      <c r="N32" s="34"/>
      <c r="O32" s="34"/>
      <c r="P32" s="34"/>
      <c r="Q32" s="34"/>
      <c r="R32" s="34" t="s">
        <v>189</v>
      </c>
      <c r="S32" s="34"/>
      <c r="T32" s="34"/>
      <c r="U32" s="34" t="s">
        <v>80</v>
      </c>
    </row>
    <row r="33" spans="3:21" x14ac:dyDescent="0.2">
      <c r="C33" s="34"/>
      <c r="D33" s="34" t="s">
        <v>28</v>
      </c>
      <c r="E33" s="34" t="s">
        <v>29</v>
      </c>
      <c r="F33" s="34" t="s">
        <v>84</v>
      </c>
      <c r="G33" s="34" t="s">
        <v>17</v>
      </c>
      <c r="H33" s="34"/>
      <c r="I33" s="34"/>
      <c r="J33" s="51">
        <v>7.0000000000000007E-2</v>
      </c>
      <c r="K33" s="51">
        <v>0.2</v>
      </c>
      <c r="L33" s="51">
        <v>0.4</v>
      </c>
      <c r="M33" s="51">
        <v>0.65</v>
      </c>
      <c r="N33" s="34"/>
      <c r="O33" s="34"/>
      <c r="P33" s="34"/>
      <c r="Q33" s="34"/>
      <c r="R33" s="34" t="s">
        <v>79</v>
      </c>
      <c r="S33" s="34"/>
      <c r="T33" s="34"/>
      <c r="U33" s="34" t="s">
        <v>80</v>
      </c>
    </row>
    <row r="34" spans="3:21" x14ac:dyDescent="0.2">
      <c r="C34" s="34"/>
      <c r="D34" s="34" t="s">
        <v>28</v>
      </c>
      <c r="E34" s="34" t="s">
        <v>29</v>
      </c>
      <c r="F34" s="34" t="s">
        <v>84</v>
      </c>
      <c r="G34" s="175" t="s">
        <v>235</v>
      </c>
      <c r="H34" s="34"/>
      <c r="I34" s="34"/>
      <c r="J34" s="51">
        <v>7.0000000000000007E-2</v>
      </c>
      <c r="K34" s="51">
        <v>0.2</v>
      </c>
      <c r="L34" s="51">
        <v>0.4</v>
      </c>
      <c r="M34" s="51">
        <v>0.65</v>
      </c>
      <c r="N34" s="34"/>
      <c r="O34" s="34"/>
      <c r="P34" s="34"/>
      <c r="Q34" s="34"/>
      <c r="R34" s="34" t="s">
        <v>189</v>
      </c>
      <c r="S34" s="34"/>
      <c r="T34" s="34"/>
      <c r="U34" s="34" t="s">
        <v>80</v>
      </c>
    </row>
    <row r="35" spans="3:21" x14ac:dyDescent="0.2">
      <c r="C35" s="34"/>
      <c r="D35" s="34" t="s">
        <v>28</v>
      </c>
      <c r="E35" s="34" t="s">
        <v>29</v>
      </c>
      <c r="F35" s="34" t="s">
        <v>84</v>
      </c>
      <c r="G35" s="175" t="s">
        <v>235</v>
      </c>
      <c r="H35" s="34"/>
      <c r="I35" s="34"/>
      <c r="J35" s="51">
        <v>7.0000000000000007E-2</v>
      </c>
      <c r="K35" s="51">
        <v>0.2</v>
      </c>
      <c r="L35" s="51">
        <v>0.4</v>
      </c>
      <c r="M35" s="51">
        <v>0.65</v>
      </c>
      <c r="N35" s="34"/>
      <c r="O35" s="34"/>
      <c r="P35" s="34"/>
      <c r="Q35" s="34"/>
      <c r="R35" s="34" t="s">
        <v>79</v>
      </c>
      <c r="S35" s="34"/>
      <c r="T35" s="34"/>
      <c r="U35" s="34" t="s">
        <v>80</v>
      </c>
    </row>
    <row r="36" spans="3:21" x14ac:dyDescent="0.2">
      <c r="C36" s="34"/>
      <c r="D36" s="34" t="s">
        <v>28</v>
      </c>
      <c r="E36" s="34" t="s">
        <v>29</v>
      </c>
      <c r="F36" s="34" t="s">
        <v>553</v>
      </c>
      <c r="G36" s="34" t="s">
        <v>17</v>
      </c>
      <c r="H36" s="34"/>
      <c r="I36" s="34"/>
      <c r="J36" s="51">
        <v>0.05</v>
      </c>
      <c r="K36" s="51">
        <v>0.12</v>
      </c>
      <c r="L36" s="51">
        <v>0.25</v>
      </c>
      <c r="M36" s="51">
        <v>0.4</v>
      </c>
      <c r="N36" s="34"/>
      <c r="O36" s="34"/>
      <c r="P36" s="34"/>
      <c r="Q36" s="34"/>
      <c r="R36" s="34" t="s">
        <v>190</v>
      </c>
      <c r="S36" s="34"/>
      <c r="T36" s="34"/>
      <c r="U36" s="34" t="s">
        <v>81</v>
      </c>
    </row>
    <row r="37" spans="3:21" x14ac:dyDescent="0.2">
      <c r="C37" s="34"/>
      <c r="D37" s="34" t="s">
        <v>28</v>
      </c>
      <c r="E37" s="34" t="s">
        <v>29</v>
      </c>
      <c r="F37" s="34" t="s">
        <v>553</v>
      </c>
      <c r="G37" s="34" t="s">
        <v>17</v>
      </c>
      <c r="H37" s="34"/>
      <c r="I37" s="34"/>
      <c r="J37" s="51">
        <v>0.05</v>
      </c>
      <c r="K37" s="51">
        <v>0.12</v>
      </c>
      <c r="L37" s="51">
        <v>0.25</v>
      </c>
      <c r="M37" s="51">
        <v>0.4</v>
      </c>
      <c r="N37" s="34"/>
      <c r="O37" s="34"/>
      <c r="P37" s="34"/>
      <c r="Q37" s="34"/>
      <c r="R37" s="34" t="s">
        <v>78</v>
      </c>
      <c r="S37" s="34"/>
      <c r="T37" s="34"/>
      <c r="U37" s="34" t="s">
        <v>81</v>
      </c>
    </row>
    <row r="38" spans="3:21" x14ac:dyDescent="0.2">
      <c r="C38" s="34"/>
      <c r="D38" s="34" t="s">
        <v>28</v>
      </c>
      <c r="E38" s="34" t="s">
        <v>29</v>
      </c>
      <c r="F38" s="34" t="s">
        <v>553</v>
      </c>
      <c r="G38" s="175" t="s">
        <v>235</v>
      </c>
      <c r="H38" s="34"/>
      <c r="I38" s="34"/>
      <c r="J38" s="51">
        <v>0.05</v>
      </c>
      <c r="K38" s="51">
        <v>0.12</v>
      </c>
      <c r="L38" s="51">
        <v>0.25</v>
      </c>
      <c r="M38" s="51">
        <v>0.4</v>
      </c>
      <c r="N38" s="34"/>
      <c r="O38" s="34"/>
      <c r="P38" s="34"/>
      <c r="Q38" s="34"/>
      <c r="R38" s="34" t="s">
        <v>190</v>
      </c>
      <c r="S38" s="34"/>
      <c r="T38" s="34"/>
      <c r="U38" s="34" t="s">
        <v>81</v>
      </c>
    </row>
    <row r="39" spans="3:21" x14ac:dyDescent="0.2">
      <c r="C39" s="34"/>
      <c r="D39" s="34" t="s">
        <v>28</v>
      </c>
      <c r="E39" s="34" t="s">
        <v>29</v>
      </c>
      <c r="F39" s="34" t="s">
        <v>553</v>
      </c>
      <c r="G39" s="175" t="s">
        <v>235</v>
      </c>
      <c r="H39" s="34"/>
      <c r="I39" s="34"/>
      <c r="J39" s="51">
        <v>0.05</v>
      </c>
      <c r="K39" s="51">
        <v>0.12</v>
      </c>
      <c r="L39" s="51">
        <v>0.25</v>
      </c>
      <c r="M39" s="51">
        <v>0.4</v>
      </c>
      <c r="N39" s="34"/>
      <c r="O39" s="34"/>
      <c r="P39" s="34"/>
      <c r="Q39" s="34"/>
      <c r="R39" s="34" t="s">
        <v>78</v>
      </c>
      <c r="S39" s="34"/>
      <c r="T39" s="34"/>
      <c r="U39" s="34" t="s">
        <v>81</v>
      </c>
    </row>
    <row r="44" spans="3:21" x14ac:dyDescent="0.2">
      <c r="C44" s="8" t="s">
        <v>9</v>
      </c>
      <c r="L44" s="5"/>
      <c r="M44" s="6"/>
      <c r="N44" s="6"/>
      <c r="O44" s="6"/>
      <c r="P44" s="6"/>
      <c r="Q44" s="5"/>
      <c r="R44" s="6"/>
      <c r="S44" s="6"/>
    </row>
    <row r="45" spans="3:21" x14ac:dyDescent="0.2">
      <c r="C45" s="149" t="s">
        <v>4</v>
      </c>
      <c r="D45" s="149" t="s">
        <v>5</v>
      </c>
      <c r="E45" s="149" t="s">
        <v>6</v>
      </c>
      <c r="F45" s="149" t="s">
        <v>3</v>
      </c>
      <c r="G45" s="150" t="s">
        <v>7</v>
      </c>
      <c r="H45" s="150" t="s">
        <v>17</v>
      </c>
      <c r="I45" s="150" t="s">
        <v>235</v>
      </c>
      <c r="J45" s="151" t="s">
        <v>11</v>
      </c>
      <c r="K45" s="151" t="s">
        <v>12</v>
      </c>
      <c r="L45" s="149" t="s">
        <v>13</v>
      </c>
      <c r="M45" s="151" t="s">
        <v>14</v>
      </c>
      <c r="N45" s="149" t="s">
        <v>15</v>
      </c>
      <c r="O45" s="151" t="s">
        <v>8</v>
      </c>
      <c r="P45" s="151" t="s">
        <v>16</v>
      </c>
    </row>
    <row r="46" spans="3:21" x14ac:dyDescent="0.2">
      <c r="C46" s="193"/>
      <c r="D46" s="193"/>
      <c r="E46" s="193" t="s">
        <v>104</v>
      </c>
      <c r="F46" s="193"/>
      <c r="G46" s="194" t="s">
        <v>97</v>
      </c>
      <c r="H46" s="195">
        <v>0</v>
      </c>
      <c r="I46" s="195">
        <v>0</v>
      </c>
      <c r="J46" s="196"/>
      <c r="K46" s="196"/>
      <c r="L46" s="193"/>
      <c r="M46" s="196"/>
      <c r="N46" s="193"/>
      <c r="O46" s="196"/>
      <c r="P46" s="196"/>
    </row>
    <row r="47" spans="3:21" x14ac:dyDescent="0.2">
      <c r="C47" s="34"/>
      <c r="D47" s="34" t="s">
        <v>96</v>
      </c>
      <c r="E47" s="34" t="s">
        <v>69</v>
      </c>
      <c r="F47" s="34"/>
      <c r="G47" s="35" t="s">
        <v>97</v>
      </c>
      <c r="H47" s="34">
        <v>2035</v>
      </c>
      <c r="I47" s="34">
        <v>2035</v>
      </c>
      <c r="J47" s="34"/>
      <c r="K47" s="34"/>
      <c r="L47" s="34" t="s">
        <v>185</v>
      </c>
      <c r="M47" s="34"/>
      <c r="N47" s="34"/>
      <c r="O47" s="34"/>
      <c r="P47" s="34"/>
    </row>
    <row r="48" spans="3:21" x14ac:dyDescent="0.2">
      <c r="C48" s="34"/>
      <c r="D48" s="34" t="s">
        <v>96</v>
      </c>
      <c r="E48" s="34" t="s">
        <v>69</v>
      </c>
      <c r="F48" s="34"/>
      <c r="G48" s="35" t="s">
        <v>97</v>
      </c>
      <c r="H48" s="34">
        <v>2035</v>
      </c>
      <c r="I48" s="34">
        <v>2035</v>
      </c>
      <c r="J48" s="34"/>
      <c r="K48" s="34"/>
      <c r="L48" s="34" t="s">
        <v>186</v>
      </c>
      <c r="M48" s="34"/>
      <c r="N48" s="34"/>
      <c r="O48" s="34"/>
      <c r="P48" s="34"/>
    </row>
    <row r="49" spans="1:16" x14ac:dyDescent="0.2">
      <c r="C49" s="34"/>
      <c r="D49" s="34" t="s">
        <v>96</v>
      </c>
      <c r="E49" s="34" t="s">
        <v>69</v>
      </c>
      <c r="F49" s="34"/>
      <c r="G49" s="35" t="s">
        <v>97</v>
      </c>
      <c r="H49" s="34">
        <v>2035</v>
      </c>
      <c r="I49" s="34">
        <v>2035</v>
      </c>
      <c r="J49" s="34"/>
      <c r="K49" s="34"/>
      <c r="L49" s="34" t="s">
        <v>187</v>
      </c>
      <c r="M49" s="34"/>
      <c r="N49" s="34"/>
      <c r="O49" s="34"/>
      <c r="P49" s="34"/>
    </row>
    <row r="50" spans="1:16" x14ac:dyDescent="0.2">
      <c r="C50" s="34"/>
      <c r="D50" s="34" t="s">
        <v>96</v>
      </c>
      <c r="E50" s="34" t="s">
        <v>69</v>
      </c>
      <c r="F50" s="34"/>
      <c r="G50" s="35" t="s">
        <v>97</v>
      </c>
      <c r="H50" s="34">
        <v>2035</v>
      </c>
      <c r="I50" s="34">
        <v>2035</v>
      </c>
      <c r="J50" s="34"/>
      <c r="K50" s="34"/>
      <c r="L50" s="34" t="s">
        <v>188</v>
      </c>
      <c r="M50" s="34"/>
      <c r="N50" s="34"/>
      <c r="O50" s="34"/>
      <c r="P50" s="34"/>
    </row>
    <row r="51" spans="1:16" x14ac:dyDescent="0.2">
      <c r="C51" s="197" t="s">
        <v>35</v>
      </c>
      <c r="D51" s="140"/>
      <c r="E51" s="140" t="s">
        <v>104</v>
      </c>
      <c r="F51" s="197" t="s">
        <v>452</v>
      </c>
      <c r="G51" s="198">
        <v>2030</v>
      </c>
      <c r="H51" s="198">
        <v>0.9</v>
      </c>
      <c r="I51" s="198">
        <v>0.9</v>
      </c>
      <c r="J51" s="198"/>
      <c r="K51" s="197"/>
      <c r="L51" s="197" t="s">
        <v>453</v>
      </c>
      <c r="M51" s="140"/>
      <c r="N51" s="140"/>
      <c r="O51" s="140"/>
      <c r="P51" s="140"/>
    </row>
    <row r="52" spans="1:16" x14ac:dyDescent="0.2">
      <c r="A52" t="s">
        <v>448</v>
      </c>
      <c r="C52" s="40" t="s">
        <v>35</v>
      </c>
      <c r="D52" s="40" t="s">
        <v>49</v>
      </c>
      <c r="E52" s="169" t="s">
        <v>50</v>
      </c>
      <c r="F52" s="40"/>
      <c r="G52" s="98">
        <v>2020</v>
      </c>
      <c r="H52" s="98">
        <v>12</v>
      </c>
      <c r="I52" s="98">
        <v>0.85</v>
      </c>
      <c r="J52" s="40"/>
      <c r="K52" s="40"/>
      <c r="L52" s="40" t="s">
        <v>353</v>
      </c>
      <c r="M52" s="40"/>
      <c r="N52" s="40"/>
      <c r="O52" s="40"/>
      <c r="P52" s="40"/>
    </row>
    <row r="53" spans="1:16" x14ac:dyDescent="0.2">
      <c r="A53" t="s">
        <v>373</v>
      </c>
      <c r="C53" s="40" t="s">
        <v>35</v>
      </c>
      <c r="D53" s="40" t="s">
        <v>49</v>
      </c>
      <c r="E53" s="169" t="s">
        <v>50</v>
      </c>
      <c r="F53" s="40"/>
      <c r="G53" s="98">
        <v>2020</v>
      </c>
      <c r="H53" s="98">
        <v>4.5</v>
      </c>
      <c r="I53" s="98">
        <v>0.2</v>
      </c>
      <c r="J53" s="40"/>
      <c r="K53" s="40"/>
      <c r="L53" s="40" t="s">
        <v>354</v>
      </c>
      <c r="M53" s="40"/>
      <c r="N53" s="40"/>
      <c r="O53" s="40"/>
      <c r="P53" s="40"/>
    </row>
    <row r="54" spans="1:16" x14ac:dyDescent="0.2">
      <c r="A54" t="s">
        <v>178</v>
      </c>
      <c r="C54" s="40"/>
      <c r="D54" s="40"/>
      <c r="E54" s="169" t="s">
        <v>447</v>
      </c>
      <c r="F54" s="40"/>
      <c r="G54" s="98">
        <v>2020</v>
      </c>
      <c r="H54" s="98">
        <v>1</v>
      </c>
      <c r="I54" s="98">
        <v>1</v>
      </c>
      <c r="J54" s="40"/>
      <c r="K54" s="40"/>
      <c r="L54" s="40" t="s">
        <v>353</v>
      </c>
      <c r="M54" s="40"/>
      <c r="N54" s="40"/>
      <c r="O54" s="40"/>
      <c r="P54" s="40"/>
    </row>
    <row r="55" spans="1:16" x14ac:dyDescent="0.2">
      <c r="C55" s="40"/>
      <c r="D55" s="40"/>
      <c r="E55" s="169" t="s">
        <v>447</v>
      </c>
      <c r="F55" s="40"/>
      <c r="G55" s="98">
        <v>2020</v>
      </c>
      <c r="H55" s="98">
        <v>1</v>
      </c>
      <c r="I55" s="98">
        <v>1</v>
      </c>
      <c r="J55" s="40"/>
      <c r="K55" s="40"/>
      <c r="L55" s="40" t="s">
        <v>354</v>
      </c>
      <c r="M55" s="40"/>
      <c r="N55" s="40"/>
      <c r="O55" s="40"/>
      <c r="P55" s="40"/>
    </row>
    <row r="56" spans="1:16" ht="14.25" x14ac:dyDescent="0.2">
      <c r="C56" s="29" t="s">
        <v>35</v>
      </c>
      <c r="D56" s="138" t="s">
        <v>28</v>
      </c>
      <c r="E56" s="170" t="s">
        <v>50</v>
      </c>
      <c r="F56" s="40"/>
      <c r="G56" s="98">
        <v>2025</v>
      </c>
      <c r="H56" s="98">
        <v>0.55000000000000004</v>
      </c>
      <c r="I56" s="98">
        <v>0.05</v>
      </c>
      <c r="J56" s="40"/>
      <c r="K56" s="40"/>
      <c r="L56" s="40" t="s">
        <v>498</v>
      </c>
      <c r="M56" s="40"/>
      <c r="N56" s="40"/>
      <c r="O56" s="40"/>
      <c r="P56" s="40"/>
    </row>
    <row r="57" spans="1:16" x14ac:dyDescent="0.2">
      <c r="C57" s="40"/>
      <c r="D57" s="138" t="s">
        <v>96</v>
      </c>
      <c r="E57" s="171" t="s">
        <v>69</v>
      </c>
      <c r="F57" s="40"/>
      <c r="G57" s="98">
        <v>2025</v>
      </c>
      <c r="H57" s="98">
        <v>2100</v>
      </c>
      <c r="I57" s="98">
        <v>2100</v>
      </c>
      <c r="J57" s="40"/>
      <c r="K57" s="40"/>
      <c r="L57" s="40" t="s">
        <v>498</v>
      </c>
      <c r="M57" s="40"/>
      <c r="N57" s="40"/>
      <c r="O57" s="40"/>
      <c r="P57" s="40"/>
    </row>
    <row r="58" spans="1:16" x14ac:dyDescent="0.2">
      <c r="C58" s="34"/>
      <c r="D58" s="34" t="s">
        <v>52</v>
      </c>
      <c r="E58" s="34" t="s">
        <v>101</v>
      </c>
      <c r="F58" s="34"/>
      <c r="G58" s="35">
        <v>0</v>
      </c>
      <c r="H58" s="35">
        <v>1</v>
      </c>
      <c r="I58" s="35">
        <v>1</v>
      </c>
      <c r="J58" s="34"/>
      <c r="K58" s="34"/>
      <c r="L58" s="34" t="s">
        <v>352</v>
      </c>
      <c r="M58" s="34"/>
      <c r="N58" s="34"/>
      <c r="O58" s="34" t="s">
        <v>142</v>
      </c>
      <c r="P58" s="34"/>
    </row>
    <row r="62" spans="1:16" x14ac:dyDescent="0.2">
      <c r="C62" s="8" t="s">
        <v>428</v>
      </c>
    </row>
    <row r="63" spans="1:16" ht="13.5" thickBot="1" x14ac:dyDescent="0.25">
      <c r="C63" s="9" t="s">
        <v>4</v>
      </c>
      <c r="D63" s="9" t="s">
        <v>5</v>
      </c>
      <c r="E63" s="9" t="s">
        <v>6</v>
      </c>
      <c r="F63" s="9" t="s">
        <v>7</v>
      </c>
      <c r="G63" s="9" t="s">
        <v>429</v>
      </c>
      <c r="H63" s="9" t="s">
        <v>17</v>
      </c>
      <c r="I63" s="9" t="s">
        <v>235</v>
      </c>
      <c r="J63" s="10" t="s">
        <v>11</v>
      </c>
      <c r="K63" s="9" t="s">
        <v>13</v>
      </c>
      <c r="L63" s="10" t="s">
        <v>12</v>
      </c>
      <c r="M63" s="10" t="s">
        <v>14</v>
      </c>
    </row>
    <row r="64" spans="1:16" x14ac:dyDescent="0.2">
      <c r="A64" t="s">
        <v>443</v>
      </c>
      <c r="C64" s="40"/>
      <c r="D64" s="40"/>
      <c r="E64" s="40" t="s">
        <v>430</v>
      </c>
      <c r="F64" s="98">
        <v>2017</v>
      </c>
      <c r="G64" s="98">
        <v>2015</v>
      </c>
      <c r="H64" s="98" t="s">
        <v>431</v>
      </c>
      <c r="I64" s="98" t="s">
        <v>431</v>
      </c>
      <c r="J64" s="40" t="s">
        <v>107</v>
      </c>
      <c r="K64" s="40" t="s">
        <v>432</v>
      </c>
      <c r="L64" s="40"/>
      <c r="M64" s="40"/>
    </row>
    <row r="65" spans="3:13" x14ac:dyDescent="0.2">
      <c r="C65" s="40"/>
      <c r="D65" s="40"/>
      <c r="E65" s="40" t="s">
        <v>430</v>
      </c>
      <c r="F65" s="98">
        <v>2017</v>
      </c>
      <c r="G65" s="98">
        <v>2015</v>
      </c>
      <c r="H65" s="98" t="s">
        <v>431</v>
      </c>
      <c r="I65" s="98" t="s">
        <v>431</v>
      </c>
      <c r="J65" s="40" t="s">
        <v>108</v>
      </c>
      <c r="K65" s="40" t="s">
        <v>433</v>
      </c>
      <c r="L65" s="40"/>
      <c r="M65" s="40"/>
    </row>
    <row r="66" spans="3:13" x14ac:dyDescent="0.2">
      <c r="C66" s="40"/>
      <c r="D66" s="40"/>
      <c r="E66" s="40" t="s">
        <v>430</v>
      </c>
      <c r="F66" s="98">
        <v>2017</v>
      </c>
      <c r="G66" s="98">
        <v>2015</v>
      </c>
      <c r="H66" s="98" t="s">
        <v>431</v>
      </c>
      <c r="I66" s="98" t="s">
        <v>431</v>
      </c>
      <c r="J66" s="40" t="s">
        <v>109</v>
      </c>
      <c r="K66" s="40" t="s">
        <v>434</v>
      </c>
      <c r="L66" s="40"/>
      <c r="M66" s="40"/>
    </row>
    <row r="67" spans="3:13" x14ac:dyDescent="0.2">
      <c r="C67" s="40"/>
      <c r="D67" s="40"/>
      <c r="E67" s="40" t="s">
        <v>435</v>
      </c>
      <c r="F67" s="98">
        <v>2017</v>
      </c>
      <c r="G67" s="98">
        <v>2015</v>
      </c>
      <c r="H67" s="98" t="s">
        <v>436</v>
      </c>
      <c r="I67" s="98" t="s">
        <v>436</v>
      </c>
      <c r="J67" s="40" t="s">
        <v>417</v>
      </c>
      <c r="K67" s="40" t="s">
        <v>437</v>
      </c>
      <c r="L67" s="40"/>
      <c r="M67" s="40"/>
    </row>
    <row r="68" spans="3:13" x14ac:dyDescent="0.2">
      <c r="C68" s="40"/>
      <c r="D68" s="40"/>
      <c r="E68" s="40" t="s">
        <v>34</v>
      </c>
      <c r="F68" s="98">
        <v>2017</v>
      </c>
      <c r="G68" s="98">
        <v>2015</v>
      </c>
      <c r="H68" s="98" t="s">
        <v>438</v>
      </c>
      <c r="I68" s="98" t="s">
        <v>438</v>
      </c>
      <c r="J68" s="40" t="s">
        <v>418</v>
      </c>
      <c r="K68" s="40" t="s">
        <v>439</v>
      </c>
      <c r="L68" s="40"/>
      <c r="M68" s="40"/>
    </row>
    <row r="69" spans="3:13" x14ac:dyDescent="0.2">
      <c r="C69" s="40"/>
      <c r="D69" s="40" t="s">
        <v>49</v>
      </c>
      <c r="E69" s="40" t="s">
        <v>50</v>
      </c>
      <c r="F69" s="98">
        <v>2017</v>
      </c>
      <c r="G69" s="98">
        <v>2019</v>
      </c>
      <c r="H69" s="98" t="s">
        <v>440</v>
      </c>
      <c r="I69" s="98" t="s">
        <v>440</v>
      </c>
      <c r="J69" s="40"/>
      <c r="K69" s="40"/>
      <c r="L69" s="40" t="s">
        <v>441</v>
      </c>
      <c r="M69" s="40" t="s">
        <v>442</v>
      </c>
    </row>
  </sheetData>
  <phoneticPr fontId="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Z78"/>
  <sheetViews>
    <sheetView zoomScale="75" workbookViewId="0">
      <selection activeCell="V45" sqref="V45"/>
    </sheetView>
  </sheetViews>
  <sheetFormatPr defaultRowHeight="12.75" x14ac:dyDescent="0.2"/>
  <cols>
    <col min="1" max="1" width="14.140625" customWidth="1"/>
    <col min="2" max="2" width="4" customWidth="1"/>
    <col min="3" max="3" width="10.28515625" customWidth="1"/>
    <col min="4" max="4" width="8.140625" customWidth="1"/>
    <col min="5" max="5" width="16.5703125" customWidth="1"/>
    <col min="6" max="6" width="13.42578125" customWidth="1"/>
    <col min="7" max="7" width="8" customWidth="1"/>
    <col min="8" max="13" width="8.7109375" customWidth="1"/>
    <col min="15" max="15" width="9.85546875" customWidth="1"/>
    <col min="17" max="17" width="10.140625" customWidth="1"/>
  </cols>
  <sheetData>
    <row r="3" spans="1:21" x14ac:dyDescent="0.2">
      <c r="C3" s="8" t="s">
        <v>9</v>
      </c>
      <c r="N3" s="5"/>
      <c r="O3" s="6"/>
      <c r="P3" s="6"/>
      <c r="Q3" s="6"/>
      <c r="R3" s="6"/>
      <c r="S3" s="5"/>
      <c r="T3" s="6"/>
      <c r="U3" s="6"/>
    </row>
    <row r="4" spans="1:21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7</v>
      </c>
      <c r="H4" s="9" t="s">
        <v>17</v>
      </c>
      <c r="I4" s="9" t="s">
        <v>235</v>
      </c>
      <c r="J4" s="10" t="s">
        <v>11</v>
      </c>
      <c r="K4" s="10" t="s">
        <v>12</v>
      </c>
      <c r="L4" s="9" t="s">
        <v>13</v>
      </c>
      <c r="M4" s="10" t="s">
        <v>14</v>
      </c>
      <c r="N4" s="9" t="s">
        <v>15</v>
      </c>
      <c r="O4" s="10" t="s">
        <v>8</v>
      </c>
      <c r="P4" s="10" t="s">
        <v>502</v>
      </c>
    </row>
    <row r="5" spans="1:21" x14ac:dyDescent="0.2">
      <c r="A5" t="s">
        <v>71</v>
      </c>
      <c r="C5" s="61"/>
      <c r="D5" s="61" t="s">
        <v>52</v>
      </c>
      <c r="E5" s="95" t="s">
        <v>69</v>
      </c>
      <c r="F5" s="61"/>
      <c r="G5" s="62">
        <v>2030</v>
      </c>
      <c r="H5" s="156">
        <v>0</v>
      </c>
      <c r="I5" s="96"/>
      <c r="J5" s="96"/>
      <c r="K5" s="61"/>
      <c r="L5" s="61" t="s">
        <v>70</v>
      </c>
      <c r="M5" s="61"/>
      <c r="N5" s="61"/>
      <c r="O5" s="61"/>
      <c r="P5" s="61"/>
    </row>
    <row r="6" spans="1:21" x14ac:dyDescent="0.2">
      <c r="C6" s="40"/>
      <c r="D6" s="40" t="s">
        <v>96</v>
      </c>
      <c r="E6" s="40" t="s">
        <v>69</v>
      </c>
      <c r="F6" s="40"/>
      <c r="G6" s="98">
        <v>2035</v>
      </c>
      <c r="H6" s="98">
        <v>2100</v>
      </c>
      <c r="I6" s="40"/>
      <c r="J6" s="40"/>
      <c r="K6" s="40"/>
      <c r="L6" s="40" t="s">
        <v>289</v>
      </c>
      <c r="M6" s="40"/>
      <c r="N6" s="40"/>
      <c r="O6" s="40"/>
      <c r="P6" s="40"/>
    </row>
    <row r="7" spans="1:21" x14ac:dyDescent="0.2">
      <c r="C7" s="40" t="s">
        <v>35</v>
      </c>
      <c r="D7" s="40" t="s">
        <v>28</v>
      </c>
      <c r="E7" s="40" t="s">
        <v>50</v>
      </c>
      <c r="F7" s="40"/>
      <c r="G7" s="98">
        <v>2020</v>
      </c>
      <c r="H7" s="98">
        <v>50</v>
      </c>
      <c r="I7" s="139">
        <f>23.5*0+38.8*0.65</f>
        <v>25.22</v>
      </c>
      <c r="J7" s="40"/>
      <c r="K7" s="40"/>
      <c r="L7" s="40" t="s">
        <v>449</v>
      </c>
      <c r="M7" s="40"/>
      <c r="N7" s="40"/>
      <c r="O7" s="40"/>
      <c r="P7" s="40"/>
    </row>
    <row r="8" spans="1:21" x14ac:dyDescent="0.2">
      <c r="C8" s="40" t="s">
        <v>35</v>
      </c>
      <c r="D8" s="40" t="s">
        <v>28</v>
      </c>
      <c r="E8" s="40" t="s">
        <v>50</v>
      </c>
      <c r="F8" s="40"/>
      <c r="G8" s="98">
        <v>2030</v>
      </c>
      <c r="H8" s="98">
        <f>100*0.067</f>
        <v>6.7</v>
      </c>
      <c r="I8" s="98">
        <f>15*0</f>
        <v>0</v>
      </c>
      <c r="J8" s="40"/>
      <c r="K8" s="40"/>
      <c r="L8" s="40" t="s">
        <v>449</v>
      </c>
      <c r="M8" s="40"/>
      <c r="N8" s="40"/>
      <c r="O8" s="40"/>
      <c r="P8" s="40"/>
    </row>
    <row r="9" spans="1:21" x14ac:dyDescent="0.2">
      <c r="C9" s="40" t="s">
        <v>35</v>
      </c>
      <c r="D9" s="40" t="s">
        <v>28</v>
      </c>
      <c r="E9" s="40" t="s">
        <v>50</v>
      </c>
      <c r="F9" s="40"/>
      <c r="G9" s="98">
        <v>2040</v>
      </c>
      <c r="H9" s="98">
        <v>1</v>
      </c>
      <c r="I9" s="98">
        <f>15*0</f>
        <v>0</v>
      </c>
      <c r="J9" s="40"/>
      <c r="K9" s="40"/>
      <c r="L9" s="40" t="s">
        <v>449</v>
      </c>
      <c r="M9" s="40"/>
      <c r="N9" s="40"/>
      <c r="O9" s="40"/>
      <c r="P9" s="40"/>
    </row>
    <row r="10" spans="1:21" x14ac:dyDescent="0.2">
      <c r="C10" s="40" t="s">
        <v>35</v>
      </c>
      <c r="D10" s="40"/>
      <c r="E10" s="40" t="s">
        <v>450</v>
      </c>
      <c r="F10" s="40"/>
      <c r="G10" s="98">
        <v>2015</v>
      </c>
      <c r="H10" s="99">
        <v>0.74</v>
      </c>
      <c r="I10" s="99">
        <v>0.74</v>
      </c>
      <c r="J10" s="40"/>
      <c r="K10" s="40"/>
      <c r="L10" s="40" t="s">
        <v>451</v>
      </c>
      <c r="M10" s="40"/>
      <c r="N10" s="40"/>
      <c r="O10" s="40" t="s">
        <v>169</v>
      </c>
      <c r="P10" s="40" t="s">
        <v>503</v>
      </c>
    </row>
    <row r="11" spans="1:21" x14ac:dyDescent="0.2">
      <c r="D11" s="1"/>
      <c r="G11" s="22"/>
      <c r="N11" s="21"/>
      <c r="O11" s="21"/>
      <c r="P11" s="1"/>
      <c r="Q11" s="1"/>
    </row>
    <row r="12" spans="1:21" x14ac:dyDescent="0.2">
      <c r="D12" s="1"/>
      <c r="G12" s="22"/>
      <c r="N12" s="21"/>
      <c r="O12" s="21"/>
      <c r="P12" s="1"/>
      <c r="Q12" s="1"/>
    </row>
    <row r="13" spans="1:21" x14ac:dyDescent="0.2">
      <c r="D13" s="1"/>
      <c r="G13" s="22"/>
      <c r="N13" s="21"/>
      <c r="O13" s="21"/>
      <c r="P13" s="1"/>
      <c r="Q13" s="1"/>
    </row>
    <row r="14" spans="1:21" x14ac:dyDescent="0.2">
      <c r="D14" s="1"/>
      <c r="E14" s="3"/>
      <c r="G14" s="22"/>
      <c r="H14" s="22"/>
      <c r="I14" s="1"/>
      <c r="J14" s="21"/>
      <c r="K14" s="21"/>
      <c r="L14" s="21"/>
      <c r="M14" s="21"/>
      <c r="N14" s="21"/>
      <c r="O14" s="21"/>
      <c r="P14" s="1"/>
      <c r="Q14" s="1"/>
    </row>
    <row r="15" spans="1:21" x14ac:dyDescent="0.2">
      <c r="C15" s="8" t="s">
        <v>36</v>
      </c>
      <c r="J15" s="5"/>
      <c r="K15" s="6"/>
      <c r="L15" s="6"/>
      <c r="M15" s="6"/>
      <c r="N15" s="6"/>
      <c r="O15" s="6"/>
      <c r="P15" s="6"/>
      <c r="Q15" s="6"/>
      <c r="R15" s="7"/>
    </row>
    <row r="16" spans="1:21" x14ac:dyDescent="0.2">
      <c r="C16" s="149" t="s">
        <v>4</v>
      </c>
      <c r="D16" s="149" t="s">
        <v>5</v>
      </c>
      <c r="E16" s="149" t="s">
        <v>6</v>
      </c>
      <c r="F16" s="149" t="s">
        <v>3</v>
      </c>
      <c r="G16" s="149" t="s">
        <v>37</v>
      </c>
      <c r="H16" s="150">
        <v>2015</v>
      </c>
      <c r="I16" s="150">
        <v>2020</v>
      </c>
      <c r="J16" s="150">
        <v>2030</v>
      </c>
      <c r="K16" s="150">
        <v>2040</v>
      </c>
      <c r="L16" s="150">
        <v>2050</v>
      </c>
      <c r="M16" s="150">
        <v>2070</v>
      </c>
      <c r="N16" s="150">
        <v>0</v>
      </c>
      <c r="O16" s="149" t="s">
        <v>10</v>
      </c>
      <c r="P16" s="151" t="s">
        <v>11</v>
      </c>
      <c r="Q16" s="151" t="s">
        <v>12</v>
      </c>
      <c r="R16" s="151" t="s">
        <v>13</v>
      </c>
      <c r="S16" s="151" t="s">
        <v>398</v>
      </c>
      <c r="T16" s="149" t="s">
        <v>15</v>
      </c>
      <c r="U16" s="152" t="s">
        <v>8</v>
      </c>
    </row>
    <row r="17" spans="3:26" x14ac:dyDescent="0.2">
      <c r="C17" s="140"/>
      <c r="D17" s="140"/>
      <c r="E17" s="140" t="s">
        <v>104</v>
      </c>
      <c r="F17" s="140"/>
      <c r="G17" s="140" t="s">
        <v>17</v>
      </c>
      <c r="H17" s="141">
        <v>0</v>
      </c>
      <c r="I17" s="141">
        <v>0</v>
      </c>
      <c r="J17" s="141">
        <v>0</v>
      </c>
      <c r="K17" s="141">
        <v>0</v>
      </c>
      <c r="L17" s="141">
        <v>0</v>
      </c>
      <c r="M17" s="141">
        <v>0</v>
      </c>
      <c r="N17" s="141">
        <v>0</v>
      </c>
      <c r="O17" s="140"/>
      <c r="P17" s="140"/>
      <c r="Q17" s="140"/>
      <c r="R17" s="140"/>
      <c r="S17" s="140"/>
      <c r="T17" s="140"/>
      <c r="U17" s="140"/>
      <c r="W17" s="34"/>
      <c r="X17" s="34"/>
      <c r="Y17" s="35" t="s">
        <v>234</v>
      </c>
      <c r="Z17" s="35" t="s">
        <v>399</v>
      </c>
    </row>
    <row r="18" spans="3:26" x14ac:dyDescent="0.2">
      <c r="C18" s="40"/>
      <c r="D18" s="40" t="s">
        <v>28</v>
      </c>
      <c r="E18" s="40" t="s">
        <v>208</v>
      </c>
      <c r="F18" s="40"/>
      <c r="G18" s="40" t="s">
        <v>17</v>
      </c>
      <c r="H18" s="40"/>
      <c r="I18" s="40">
        <f>AVERAGE(Y18:Z18)</f>
        <v>0.53462126809531751</v>
      </c>
      <c r="J18" s="40"/>
      <c r="K18" s="40"/>
      <c r="L18" s="40"/>
      <c r="M18" s="40"/>
      <c r="N18" s="40"/>
      <c r="O18" s="40"/>
      <c r="P18" s="40"/>
      <c r="Q18" s="40"/>
      <c r="R18" s="40" t="s">
        <v>400</v>
      </c>
      <c r="S18" s="40"/>
      <c r="T18" s="40"/>
      <c r="U18" s="40"/>
      <c r="W18" s="34" t="s">
        <v>400</v>
      </c>
      <c r="X18" s="34">
        <v>0.607257551824117</v>
      </c>
      <c r="Y18" s="35">
        <v>0.52853898029136115</v>
      </c>
      <c r="Z18" s="35">
        <v>0.54070355589927377</v>
      </c>
    </row>
    <row r="19" spans="3:26" x14ac:dyDescent="0.2">
      <c r="C19" s="40"/>
      <c r="D19" s="40" t="s">
        <v>28</v>
      </c>
      <c r="E19" s="40" t="s">
        <v>208</v>
      </c>
      <c r="F19" s="40"/>
      <c r="G19" s="40" t="s">
        <v>17</v>
      </c>
      <c r="H19" s="40"/>
      <c r="I19" s="40">
        <f>AVERAGE(Y19:Z19)</f>
        <v>0.42686711559551382</v>
      </c>
      <c r="J19" s="40"/>
      <c r="K19" s="40"/>
      <c r="L19" s="40"/>
      <c r="M19" s="40"/>
      <c r="N19" s="40"/>
      <c r="O19" s="40"/>
      <c r="P19" s="40"/>
      <c r="Q19" s="40"/>
      <c r="R19" s="40" t="s">
        <v>401</v>
      </c>
      <c r="S19" s="40"/>
      <c r="T19" s="40"/>
      <c r="U19" s="40"/>
      <c r="W19" s="34" t="s">
        <v>401</v>
      </c>
      <c r="X19" s="34">
        <v>0.4664132962270568</v>
      </c>
      <c r="Y19" s="35">
        <v>0.40595231338280874</v>
      </c>
      <c r="Z19" s="35">
        <v>0.44778191780821897</v>
      </c>
    </row>
    <row r="20" spans="3:26" x14ac:dyDescent="0.2">
      <c r="C20" s="40" t="s">
        <v>35</v>
      </c>
      <c r="D20" s="40" t="s">
        <v>28</v>
      </c>
      <c r="E20" s="40" t="s">
        <v>220</v>
      </c>
      <c r="F20" s="40"/>
      <c r="G20" s="40" t="s">
        <v>17</v>
      </c>
      <c r="H20" s="40">
        <v>1</v>
      </c>
      <c r="I20" s="98">
        <v>0.9</v>
      </c>
      <c r="J20" s="40"/>
      <c r="K20" s="40"/>
      <c r="L20" s="40"/>
      <c r="M20" s="40"/>
      <c r="N20" s="40"/>
      <c r="O20" s="40"/>
      <c r="P20" s="40"/>
      <c r="Q20" s="40"/>
      <c r="R20" s="40" t="s">
        <v>400</v>
      </c>
      <c r="S20" s="40"/>
      <c r="T20" s="40"/>
      <c r="U20" s="40"/>
      <c r="W20" s="34"/>
      <c r="X20" s="34"/>
      <c r="Y20" s="34"/>
      <c r="Z20" s="34"/>
    </row>
    <row r="21" spans="3:26" x14ac:dyDescent="0.2">
      <c r="C21" s="40" t="s">
        <v>35</v>
      </c>
      <c r="D21" s="40" t="s">
        <v>28</v>
      </c>
      <c r="E21" s="40" t="s">
        <v>220</v>
      </c>
      <c r="F21" s="40"/>
      <c r="G21" s="40" t="s">
        <v>17</v>
      </c>
      <c r="H21" s="40">
        <v>1</v>
      </c>
      <c r="I21" s="98">
        <v>0.9</v>
      </c>
      <c r="J21" s="40"/>
      <c r="K21" s="40"/>
      <c r="L21" s="40"/>
      <c r="M21" s="40"/>
      <c r="N21" s="40"/>
      <c r="O21" s="40"/>
      <c r="P21" s="40"/>
      <c r="Q21" s="40"/>
      <c r="R21" s="40" t="s">
        <v>401</v>
      </c>
      <c r="S21" s="40"/>
      <c r="T21" s="40"/>
      <c r="U21" s="40"/>
    </row>
    <row r="22" spans="3:26" x14ac:dyDescent="0.2">
      <c r="C22" s="40"/>
      <c r="D22" s="40" t="s">
        <v>49</v>
      </c>
      <c r="E22" s="40" t="s">
        <v>208</v>
      </c>
      <c r="F22" s="40"/>
      <c r="G22" s="40" t="s">
        <v>235</v>
      </c>
      <c r="H22" s="40"/>
      <c r="I22" s="98">
        <v>0.27</v>
      </c>
      <c r="J22" s="40"/>
      <c r="K22" s="40"/>
      <c r="L22" s="40"/>
      <c r="M22" s="40"/>
      <c r="N22" s="40"/>
      <c r="O22" s="40"/>
      <c r="P22" s="40"/>
      <c r="Q22" s="40"/>
      <c r="R22" s="40" t="s">
        <v>402</v>
      </c>
      <c r="S22" s="40"/>
      <c r="T22" s="40"/>
      <c r="U22" s="40"/>
    </row>
    <row r="23" spans="3:26" x14ac:dyDescent="0.2">
      <c r="C23" s="140"/>
      <c r="D23" s="140"/>
      <c r="E23" s="140" t="s">
        <v>104</v>
      </c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</row>
    <row r="24" spans="3:26" x14ac:dyDescent="0.2">
      <c r="C24" s="40" t="s">
        <v>35</v>
      </c>
      <c r="D24" s="40" t="s">
        <v>28</v>
      </c>
      <c r="E24" s="40" t="s">
        <v>403</v>
      </c>
      <c r="F24" s="40"/>
      <c r="G24" s="40" t="s">
        <v>17</v>
      </c>
      <c r="H24" s="99"/>
      <c r="I24" s="99">
        <v>105.21299999999999</v>
      </c>
      <c r="J24" s="40"/>
      <c r="K24" s="40"/>
      <c r="L24" s="40"/>
      <c r="M24" s="40"/>
      <c r="N24" s="98">
        <v>1</v>
      </c>
      <c r="O24" s="40"/>
      <c r="P24" s="40"/>
      <c r="Q24" s="40"/>
      <c r="R24" s="40"/>
      <c r="S24" s="40"/>
      <c r="T24" s="40"/>
      <c r="U24" s="40" t="s">
        <v>404</v>
      </c>
    </row>
    <row r="25" spans="3:26" x14ac:dyDescent="0.2">
      <c r="C25" s="40" t="s">
        <v>35</v>
      </c>
      <c r="D25" s="40" t="s">
        <v>28</v>
      </c>
      <c r="E25" s="40" t="s">
        <v>403</v>
      </c>
      <c r="F25" s="40"/>
      <c r="G25" s="40" t="s">
        <v>17</v>
      </c>
      <c r="H25" s="99"/>
      <c r="I25" s="99">
        <v>103.9</v>
      </c>
      <c r="J25" s="40"/>
      <c r="K25" s="40"/>
      <c r="L25" s="40"/>
      <c r="M25" s="40"/>
      <c r="N25" s="98">
        <v>1</v>
      </c>
      <c r="O25" s="40"/>
      <c r="P25" s="40"/>
      <c r="Q25" s="40"/>
      <c r="R25" s="40"/>
      <c r="S25" s="40"/>
      <c r="T25" s="40"/>
      <c r="U25" s="40" t="s">
        <v>169</v>
      </c>
    </row>
    <row r="26" spans="3:26" x14ac:dyDescent="0.2">
      <c r="C26" s="40" t="s">
        <v>35</v>
      </c>
      <c r="D26" s="40" t="s">
        <v>49</v>
      </c>
      <c r="E26" s="40" t="s">
        <v>403</v>
      </c>
      <c r="F26" s="40"/>
      <c r="G26" s="40" t="s">
        <v>17</v>
      </c>
      <c r="H26" s="99">
        <v>4.0999999999999996</v>
      </c>
      <c r="I26" s="98">
        <v>5.6</v>
      </c>
      <c r="J26" s="40"/>
      <c r="K26" s="40"/>
      <c r="L26" s="40"/>
      <c r="M26" s="40"/>
      <c r="N26" s="98">
        <v>5</v>
      </c>
      <c r="O26" s="40"/>
      <c r="P26" s="40"/>
      <c r="Q26" s="40"/>
      <c r="R26" s="40"/>
      <c r="S26" s="40"/>
      <c r="T26" s="40"/>
      <c r="U26" s="40" t="s">
        <v>405</v>
      </c>
    </row>
    <row r="27" spans="3:26" x14ac:dyDescent="0.2">
      <c r="C27" s="40"/>
      <c r="D27" s="40" t="s">
        <v>49</v>
      </c>
      <c r="E27" s="40" t="s">
        <v>29</v>
      </c>
      <c r="F27" s="40" t="s">
        <v>406</v>
      </c>
      <c r="G27" s="40" t="s">
        <v>17</v>
      </c>
      <c r="H27" s="40"/>
      <c r="I27" s="98">
        <f>3.7*3.6/235</f>
        <v>5.6680851063829786E-2</v>
      </c>
      <c r="J27" s="40"/>
      <c r="K27" s="40"/>
      <c r="L27" s="40"/>
      <c r="M27" s="40"/>
      <c r="N27" s="98">
        <v>1</v>
      </c>
      <c r="O27" s="40"/>
      <c r="P27" s="40"/>
      <c r="Q27" s="40"/>
      <c r="R27" s="40" t="s">
        <v>407</v>
      </c>
      <c r="S27" s="40"/>
      <c r="T27" s="40"/>
      <c r="U27" s="40" t="s">
        <v>310</v>
      </c>
    </row>
    <row r="28" spans="3:26" x14ac:dyDescent="0.2">
      <c r="C28" s="40" t="s">
        <v>35</v>
      </c>
      <c r="D28" s="40" t="s">
        <v>28</v>
      </c>
      <c r="E28" s="40" t="s">
        <v>50</v>
      </c>
      <c r="F28" s="40"/>
      <c r="G28" s="40" t="s">
        <v>17</v>
      </c>
      <c r="H28" s="40"/>
      <c r="I28" s="99">
        <f>4.1*3.6</f>
        <v>14.76</v>
      </c>
      <c r="J28" s="40"/>
      <c r="K28" s="40"/>
      <c r="L28" s="40"/>
      <c r="M28" s="40"/>
      <c r="N28" s="98">
        <v>1</v>
      </c>
      <c r="O28" s="40"/>
      <c r="P28" s="40"/>
      <c r="Q28" s="40"/>
      <c r="R28" s="40" t="s">
        <v>407</v>
      </c>
      <c r="S28" s="40"/>
      <c r="T28" s="40"/>
      <c r="U28" s="40"/>
    </row>
    <row r="29" spans="3:26" x14ac:dyDescent="0.2">
      <c r="C29" s="40" t="s">
        <v>35</v>
      </c>
      <c r="D29" s="40" t="s">
        <v>28</v>
      </c>
      <c r="E29" s="40" t="s">
        <v>50</v>
      </c>
      <c r="F29" s="40"/>
      <c r="G29" s="40" t="s">
        <v>17</v>
      </c>
      <c r="H29" s="98">
        <v>45</v>
      </c>
      <c r="I29" s="98">
        <v>37</v>
      </c>
      <c r="J29" s="40">
        <v>27</v>
      </c>
      <c r="K29" s="40"/>
      <c r="L29" s="40"/>
      <c r="M29" s="40"/>
      <c r="N29" s="98">
        <v>1</v>
      </c>
      <c r="O29" s="40"/>
      <c r="P29" s="40"/>
      <c r="Q29" s="40"/>
      <c r="R29" s="40" t="s">
        <v>408</v>
      </c>
      <c r="S29" s="40"/>
      <c r="T29" s="40"/>
      <c r="U29" s="40"/>
    </row>
    <row r="30" spans="3:26" x14ac:dyDescent="0.2">
      <c r="C30" s="140"/>
      <c r="D30" s="140"/>
      <c r="E30" s="140" t="s">
        <v>104</v>
      </c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</row>
    <row r="31" spans="3:26" x14ac:dyDescent="0.2">
      <c r="C31" s="40"/>
      <c r="D31" s="40"/>
      <c r="E31" s="40" t="s">
        <v>148</v>
      </c>
      <c r="F31" s="40"/>
      <c r="G31" s="40" t="s">
        <v>235</v>
      </c>
      <c r="H31" s="40"/>
      <c r="I31" s="40">
        <v>0.1</v>
      </c>
      <c r="J31" s="40">
        <v>0.15</v>
      </c>
      <c r="K31" s="40">
        <v>0.15</v>
      </c>
      <c r="L31" s="40">
        <v>0.15</v>
      </c>
      <c r="M31" s="40"/>
      <c r="N31" s="40"/>
      <c r="O31" s="40"/>
      <c r="P31" s="40"/>
      <c r="Q31" s="40"/>
      <c r="R31" s="40" t="s">
        <v>420</v>
      </c>
      <c r="S31" s="40"/>
      <c r="T31" s="40"/>
      <c r="U31" s="40"/>
    </row>
    <row r="32" spans="3:26" x14ac:dyDescent="0.2">
      <c r="C32" s="40"/>
      <c r="D32" s="40"/>
      <c r="E32" s="40" t="s">
        <v>148</v>
      </c>
      <c r="F32" s="40"/>
      <c r="G32" s="40" t="s">
        <v>17</v>
      </c>
      <c r="H32" s="40"/>
      <c r="I32" s="40">
        <v>0.05</v>
      </c>
      <c r="J32" s="40">
        <v>0.05</v>
      </c>
      <c r="K32" s="40">
        <v>0.05</v>
      </c>
      <c r="L32" s="40">
        <v>0.05</v>
      </c>
      <c r="M32" s="40"/>
      <c r="N32" s="40"/>
      <c r="O32" s="40"/>
      <c r="P32" s="40"/>
      <c r="Q32" s="40"/>
      <c r="R32" s="40" t="s">
        <v>420</v>
      </c>
      <c r="S32" s="40"/>
      <c r="T32" s="40"/>
      <c r="U32" s="40"/>
    </row>
    <row r="33" spans="3:21" x14ac:dyDescent="0.2">
      <c r="C33" s="40" t="s">
        <v>35</v>
      </c>
      <c r="D33" s="40" t="s">
        <v>49</v>
      </c>
      <c r="E33" s="40" t="s">
        <v>50</v>
      </c>
      <c r="F33" s="40"/>
      <c r="G33" s="40" t="s">
        <v>235</v>
      </c>
      <c r="H33" s="40"/>
      <c r="I33" s="40">
        <v>2.4590000000000001</v>
      </c>
      <c r="J33" s="40">
        <v>4.7859999999999996</v>
      </c>
      <c r="K33" s="40"/>
      <c r="L33" s="40"/>
      <c r="M33" s="40"/>
      <c r="N33" s="98">
        <v>5</v>
      </c>
      <c r="O33" s="40"/>
      <c r="P33" s="40"/>
      <c r="Q33" s="40"/>
      <c r="R33" s="40" t="s">
        <v>420</v>
      </c>
      <c r="S33" s="40"/>
      <c r="T33" s="40"/>
      <c r="U33" s="40"/>
    </row>
    <row r="34" spans="3:21" x14ac:dyDescent="0.2">
      <c r="C34" s="40" t="s">
        <v>35</v>
      </c>
      <c r="D34" s="40" t="s">
        <v>49</v>
      </c>
      <c r="E34" s="40" t="s">
        <v>50</v>
      </c>
      <c r="F34" s="40"/>
      <c r="G34" s="40" t="s">
        <v>17</v>
      </c>
      <c r="H34" s="40"/>
      <c r="I34" s="40">
        <v>1.024</v>
      </c>
      <c r="J34" s="40">
        <v>3.871</v>
      </c>
      <c r="K34" s="40"/>
      <c r="L34" s="40"/>
      <c r="M34" s="40"/>
      <c r="N34" s="98">
        <v>5</v>
      </c>
      <c r="O34" s="40"/>
      <c r="P34" s="40"/>
      <c r="Q34" s="40"/>
      <c r="R34" s="40" t="s">
        <v>420</v>
      </c>
      <c r="S34" s="40"/>
      <c r="T34" s="40"/>
      <c r="U34" s="40"/>
    </row>
    <row r="35" spans="3:21" x14ac:dyDescent="0.2">
      <c r="C35" s="40"/>
      <c r="D35" s="40" t="s">
        <v>28</v>
      </c>
      <c r="E35" s="40" t="s">
        <v>208</v>
      </c>
      <c r="F35" s="40"/>
      <c r="G35" s="40" t="s">
        <v>17</v>
      </c>
      <c r="H35" s="30">
        <v>0.92</v>
      </c>
      <c r="I35" s="30">
        <v>0.90472727272727282</v>
      </c>
      <c r="J35" s="30">
        <v>0.92</v>
      </c>
      <c r="K35" s="30">
        <v>0.87461682772291249</v>
      </c>
      <c r="L35" s="30">
        <v>0.91324200913242015</v>
      </c>
      <c r="M35" s="40"/>
      <c r="N35" s="98"/>
      <c r="O35" s="40"/>
      <c r="P35" s="40"/>
      <c r="Q35" s="40"/>
      <c r="R35" s="40" t="s">
        <v>363</v>
      </c>
      <c r="S35" s="40"/>
      <c r="T35" s="40"/>
      <c r="U35" s="40"/>
    </row>
    <row r="36" spans="3:21" x14ac:dyDescent="0.2">
      <c r="C36" s="40"/>
      <c r="D36" s="40" t="s">
        <v>28</v>
      </c>
      <c r="E36" s="40" t="s">
        <v>208</v>
      </c>
      <c r="F36" s="40"/>
      <c r="G36" s="40" t="s">
        <v>17</v>
      </c>
      <c r="H36" s="30">
        <v>0.92</v>
      </c>
      <c r="I36" s="30">
        <v>0.90472727272727282</v>
      </c>
      <c r="J36" s="30">
        <v>0.92</v>
      </c>
      <c r="K36" s="30">
        <v>0.87461682772291249</v>
      </c>
      <c r="L36" s="30">
        <v>0.91324200913242015</v>
      </c>
      <c r="M36" s="40"/>
      <c r="N36" s="98"/>
      <c r="O36" s="40"/>
      <c r="P36" s="40"/>
      <c r="Q36" s="40"/>
      <c r="R36" s="40" t="s">
        <v>364</v>
      </c>
      <c r="S36" s="40"/>
      <c r="T36" s="40"/>
      <c r="U36" s="40"/>
    </row>
    <row r="37" spans="3:21" x14ac:dyDescent="0.2">
      <c r="C37" s="40"/>
      <c r="D37" s="40" t="s">
        <v>28</v>
      </c>
      <c r="E37" s="40" t="s">
        <v>208</v>
      </c>
      <c r="F37" s="40"/>
      <c r="G37" s="40" t="s">
        <v>17</v>
      </c>
      <c r="H37" s="100">
        <v>0.91324200913242004</v>
      </c>
      <c r="I37" s="40"/>
      <c r="J37" s="40"/>
      <c r="K37" s="40"/>
      <c r="L37" s="40"/>
      <c r="M37" s="40"/>
      <c r="N37" s="98"/>
      <c r="O37" s="40"/>
      <c r="P37" s="40"/>
      <c r="Q37" s="40"/>
      <c r="R37" s="40" t="s">
        <v>70</v>
      </c>
      <c r="S37" s="40"/>
      <c r="T37" s="40"/>
      <c r="U37" s="40"/>
    </row>
    <row r="38" spans="3:21" x14ac:dyDescent="0.2">
      <c r="C38" s="40" t="s">
        <v>35</v>
      </c>
      <c r="D38" s="40" t="s">
        <v>28</v>
      </c>
      <c r="E38" s="40" t="s">
        <v>220</v>
      </c>
      <c r="F38" s="40"/>
      <c r="G38" s="40" t="s">
        <v>17</v>
      </c>
      <c r="H38" s="40">
        <v>0.96</v>
      </c>
      <c r="I38" s="40"/>
      <c r="J38" s="40"/>
      <c r="K38" s="40"/>
      <c r="L38" s="40"/>
      <c r="M38" s="40"/>
      <c r="N38" s="40"/>
      <c r="O38" s="40"/>
      <c r="P38" s="40"/>
      <c r="Q38" s="40"/>
      <c r="R38" s="40" t="s">
        <v>70</v>
      </c>
      <c r="S38" s="40"/>
      <c r="T38" s="40"/>
      <c r="U38" s="40"/>
    </row>
    <row r="39" spans="3:21" x14ac:dyDescent="0.2">
      <c r="C39" s="40" t="s">
        <v>35</v>
      </c>
      <c r="D39" s="40" t="s">
        <v>49</v>
      </c>
      <c r="E39" s="40" t="s">
        <v>46</v>
      </c>
      <c r="F39" s="40" t="str">
        <f>R39&amp;"_NRGI"</f>
        <v>DHP1BIOBFB-0_NRGI</v>
      </c>
      <c r="G39" s="40" t="s">
        <v>235</v>
      </c>
      <c r="H39" s="40"/>
      <c r="I39" s="40">
        <v>0.7</v>
      </c>
      <c r="J39" s="40">
        <v>0.7</v>
      </c>
      <c r="K39" s="40"/>
      <c r="L39" s="40">
        <v>0.7</v>
      </c>
      <c r="M39" s="40"/>
      <c r="N39" s="98">
        <v>5</v>
      </c>
      <c r="O39" s="40"/>
      <c r="P39" s="40"/>
      <c r="Q39" s="40"/>
      <c r="R39" s="40" t="s">
        <v>464</v>
      </c>
      <c r="S39" s="40"/>
      <c r="T39" s="40"/>
      <c r="U39" s="40" t="s">
        <v>465</v>
      </c>
    </row>
    <row r="40" spans="3:21" x14ac:dyDescent="0.2">
      <c r="C40" s="40" t="s">
        <v>35</v>
      </c>
      <c r="D40" s="40" t="s">
        <v>28</v>
      </c>
      <c r="E40" s="40" t="s">
        <v>46</v>
      </c>
      <c r="F40" s="40" t="str">
        <f>R40&amp;"_NRGI"</f>
        <v>DHP1BIOBFB-0_NRGI</v>
      </c>
      <c r="G40" s="40" t="s">
        <v>235</v>
      </c>
      <c r="H40" s="40"/>
      <c r="I40" s="40">
        <v>0.8</v>
      </c>
      <c r="J40" s="40">
        <v>0.8</v>
      </c>
      <c r="K40" s="40"/>
      <c r="L40" s="40">
        <v>0.85</v>
      </c>
      <c r="M40" s="40"/>
      <c r="N40" s="98">
        <v>5</v>
      </c>
      <c r="O40" s="40"/>
      <c r="P40" s="40"/>
      <c r="Q40" s="40"/>
      <c r="R40" s="40" t="s">
        <v>464</v>
      </c>
      <c r="S40" s="40"/>
      <c r="T40" s="40"/>
      <c r="U40" s="40" t="s">
        <v>465</v>
      </c>
    </row>
    <row r="41" spans="3:21" x14ac:dyDescent="0.2">
      <c r="C41" s="40" t="s">
        <v>35</v>
      </c>
      <c r="D41" s="40" t="s">
        <v>28</v>
      </c>
      <c r="E41" s="40" t="s">
        <v>46</v>
      </c>
      <c r="F41" s="40" t="s">
        <v>466</v>
      </c>
      <c r="G41" s="40" t="s">
        <v>235</v>
      </c>
      <c r="H41" s="40"/>
      <c r="I41" s="40"/>
      <c r="J41" s="40">
        <v>0.4</v>
      </c>
      <c r="K41" s="40"/>
      <c r="L41" s="40"/>
      <c r="M41" s="40"/>
      <c r="N41" s="40"/>
      <c r="O41" s="40"/>
      <c r="P41" s="40"/>
      <c r="Q41" s="40"/>
      <c r="R41" s="40" t="s">
        <v>397</v>
      </c>
      <c r="S41" s="40"/>
      <c r="T41" s="40"/>
      <c r="U41" s="40" t="s">
        <v>467</v>
      </c>
    </row>
    <row r="45" spans="3:21" x14ac:dyDescent="0.2">
      <c r="C45" s="14" t="s">
        <v>298</v>
      </c>
      <c r="D45" s="2"/>
      <c r="E45" s="2"/>
      <c r="F45" s="2"/>
      <c r="H45" s="18"/>
      <c r="K45" s="15" t="s">
        <v>18</v>
      </c>
      <c r="M45" s="2"/>
      <c r="N45" s="2"/>
      <c r="O45" s="2"/>
      <c r="P45" s="2"/>
      <c r="Q45" s="2"/>
      <c r="R45" s="2"/>
      <c r="S45" s="2"/>
    </row>
    <row r="46" spans="3:21" ht="23.25" thickBot="1" x14ac:dyDescent="0.25">
      <c r="C46" s="16" t="s">
        <v>19</v>
      </c>
      <c r="D46" s="16" t="s">
        <v>287</v>
      </c>
      <c r="E46" s="16" t="s">
        <v>285</v>
      </c>
      <c r="F46" s="16" t="s">
        <v>284</v>
      </c>
      <c r="G46" s="9" t="s">
        <v>20</v>
      </c>
      <c r="H46" s="78" t="s">
        <v>7</v>
      </c>
      <c r="I46" s="19" t="s">
        <v>5</v>
      </c>
      <c r="J46" s="9" t="s">
        <v>3</v>
      </c>
      <c r="K46" s="16" t="s">
        <v>6</v>
      </c>
      <c r="L46" s="78" t="s">
        <v>0</v>
      </c>
      <c r="M46" s="78" t="s">
        <v>17</v>
      </c>
      <c r="N46" s="78" t="s">
        <v>235</v>
      </c>
      <c r="O46" s="19" t="s">
        <v>299</v>
      </c>
      <c r="P46" s="16" t="s">
        <v>300</v>
      </c>
      <c r="Q46" s="16" t="s">
        <v>281</v>
      </c>
      <c r="R46" s="16"/>
    </row>
    <row r="47" spans="3:21" x14ac:dyDescent="0.2">
      <c r="C47" s="108" t="s">
        <v>301</v>
      </c>
      <c r="D47" s="108" t="s">
        <v>302</v>
      </c>
      <c r="E47" s="108" t="s">
        <v>303</v>
      </c>
      <c r="F47" s="108"/>
      <c r="G47" s="108" t="s">
        <v>302</v>
      </c>
      <c r="H47" s="109">
        <v>2010</v>
      </c>
      <c r="I47" s="109" t="s">
        <v>49</v>
      </c>
      <c r="J47" s="108"/>
      <c r="K47" s="108" t="s">
        <v>260</v>
      </c>
      <c r="L47" s="108"/>
      <c r="M47" s="110">
        <v>1</v>
      </c>
      <c r="N47" s="110">
        <v>1</v>
      </c>
      <c r="O47" s="111">
        <v>29.1</v>
      </c>
      <c r="P47" s="112">
        <v>5</v>
      </c>
      <c r="Q47" s="108" t="s">
        <v>371</v>
      </c>
      <c r="R47" s="108"/>
    </row>
    <row r="48" spans="3:21" x14ac:dyDescent="0.2">
      <c r="C48" s="113"/>
      <c r="D48" s="108"/>
      <c r="E48" s="113"/>
      <c r="F48" s="108"/>
      <c r="G48" s="108"/>
      <c r="H48" s="109">
        <v>2020</v>
      </c>
      <c r="I48" s="109" t="s">
        <v>49</v>
      </c>
      <c r="J48" s="108"/>
      <c r="K48" s="108"/>
      <c r="L48" s="108"/>
      <c r="M48" s="111"/>
      <c r="N48" s="108"/>
      <c r="O48" s="111">
        <v>48.433</v>
      </c>
      <c r="P48" s="108"/>
      <c r="Q48" s="108"/>
      <c r="R48" s="108"/>
    </row>
    <row r="49" spans="3:18" x14ac:dyDescent="0.2">
      <c r="C49" s="108"/>
      <c r="D49" s="108"/>
      <c r="E49" s="113"/>
      <c r="F49" s="108"/>
      <c r="G49" s="108"/>
      <c r="H49" s="109">
        <v>2030</v>
      </c>
      <c r="I49" s="109" t="s">
        <v>49</v>
      </c>
      <c r="J49" s="108"/>
      <c r="K49" s="108"/>
      <c r="L49" s="108"/>
      <c r="M49" s="111"/>
      <c r="N49" s="108"/>
      <c r="O49" s="111">
        <v>61.58</v>
      </c>
      <c r="P49" s="108"/>
      <c r="Q49" s="108"/>
      <c r="R49" s="108"/>
    </row>
    <row r="50" spans="3:18" x14ac:dyDescent="0.2">
      <c r="C50" s="108"/>
      <c r="D50" s="108"/>
      <c r="E50" s="113"/>
      <c r="F50" s="108"/>
      <c r="G50" s="108"/>
      <c r="H50" s="109">
        <v>2035</v>
      </c>
      <c r="I50" s="109" t="s">
        <v>49</v>
      </c>
      <c r="J50" s="108"/>
      <c r="K50" s="108"/>
      <c r="L50" s="108"/>
      <c r="M50" s="111"/>
      <c r="N50" s="108"/>
      <c r="O50" s="111">
        <v>70.459000000000003</v>
      </c>
      <c r="P50" s="108"/>
      <c r="Q50" s="108"/>
      <c r="R50" s="108"/>
    </row>
    <row r="51" spans="3:18" x14ac:dyDescent="0.2">
      <c r="C51" s="108" t="s">
        <v>336</v>
      </c>
      <c r="D51" s="108"/>
      <c r="E51" s="108" t="s">
        <v>304</v>
      </c>
      <c r="F51" s="108" t="s">
        <v>305</v>
      </c>
      <c r="G51" s="108" t="s">
        <v>337</v>
      </c>
      <c r="H51" s="109">
        <v>2030</v>
      </c>
      <c r="I51" s="109" t="s">
        <v>49</v>
      </c>
      <c r="J51" s="108"/>
      <c r="K51" s="108" t="s">
        <v>260</v>
      </c>
      <c r="L51" s="108"/>
      <c r="M51" s="110">
        <v>-1</v>
      </c>
      <c r="N51" s="110">
        <v>-1</v>
      </c>
      <c r="O51" s="108"/>
      <c r="P51" s="112">
        <v>5</v>
      </c>
      <c r="Q51" s="108" t="s">
        <v>372</v>
      </c>
      <c r="R51" s="108"/>
    </row>
    <row r="52" spans="3:18" x14ac:dyDescent="0.2">
      <c r="C52" s="108"/>
      <c r="D52" s="108" t="s">
        <v>306</v>
      </c>
      <c r="E52" s="108" t="s">
        <v>304</v>
      </c>
      <c r="F52" s="108" t="s">
        <v>305</v>
      </c>
      <c r="G52" s="108" t="s">
        <v>307</v>
      </c>
      <c r="H52" s="109">
        <v>2030</v>
      </c>
      <c r="I52" s="109"/>
      <c r="J52" s="108"/>
      <c r="K52" s="108" t="s">
        <v>260</v>
      </c>
      <c r="L52" s="108"/>
      <c r="M52" s="110">
        <v>1</v>
      </c>
      <c r="N52" s="110">
        <v>1</v>
      </c>
      <c r="O52" s="108"/>
      <c r="P52" s="108"/>
      <c r="Q52" s="108"/>
      <c r="R52" s="108"/>
    </row>
    <row r="53" spans="3:18" x14ac:dyDescent="0.2">
      <c r="C53" s="108"/>
      <c r="D53" s="108"/>
      <c r="E53" s="108"/>
      <c r="F53" s="108"/>
      <c r="G53" s="108"/>
      <c r="H53" s="109">
        <v>2030</v>
      </c>
      <c r="I53" s="109" t="s">
        <v>49</v>
      </c>
      <c r="J53" s="108"/>
      <c r="K53" s="108" t="s">
        <v>299</v>
      </c>
      <c r="L53" s="108"/>
      <c r="M53" s="115">
        <f>6*3.6</f>
        <v>21.6</v>
      </c>
      <c r="N53" s="115">
        <f>6*3.6</f>
        <v>21.6</v>
      </c>
      <c r="O53" s="108"/>
      <c r="P53" s="108"/>
      <c r="Q53" s="108"/>
      <c r="R53" s="108"/>
    </row>
    <row r="54" spans="3:18" x14ac:dyDescent="0.2">
      <c r="C54" s="108" t="s">
        <v>308</v>
      </c>
      <c r="D54" s="108"/>
      <c r="E54" s="108" t="s">
        <v>309</v>
      </c>
      <c r="F54" s="108"/>
      <c r="G54" s="108" t="s">
        <v>310</v>
      </c>
      <c r="H54" s="112">
        <v>2020</v>
      </c>
      <c r="I54" s="108"/>
      <c r="J54" s="108" t="s">
        <v>311</v>
      </c>
      <c r="K54" s="108" t="s">
        <v>312</v>
      </c>
      <c r="L54" s="108"/>
      <c r="M54" s="108"/>
      <c r="N54" s="112">
        <v>1</v>
      </c>
      <c r="O54" s="108"/>
      <c r="P54" s="108"/>
      <c r="Q54" s="108" t="s">
        <v>370</v>
      </c>
      <c r="R54" s="108"/>
    </row>
    <row r="55" spans="3:18" x14ac:dyDescent="0.2">
      <c r="C55" s="108"/>
      <c r="D55" s="108"/>
      <c r="E55" s="108" t="s">
        <v>348</v>
      </c>
      <c r="F55" s="108"/>
      <c r="G55" s="108" t="s">
        <v>319</v>
      </c>
      <c r="H55" s="112">
        <v>2020</v>
      </c>
      <c r="I55" s="108"/>
      <c r="J55" s="108" t="s">
        <v>320</v>
      </c>
      <c r="K55" s="108" t="s">
        <v>321</v>
      </c>
      <c r="L55" s="108"/>
      <c r="M55" s="108"/>
      <c r="N55" s="112">
        <v>-1</v>
      </c>
      <c r="O55" s="108"/>
      <c r="P55" s="108"/>
      <c r="Q55" s="108"/>
      <c r="R55" s="108"/>
    </row>
    <row r="56" spans="3:18" x14ac:dyDescent="0.2">
      <c r="C56" s="108"/>
      <c r="D56" s="108"/>
      <c r="E56" s="108"/>
      <c r="F56" s="108"/>
      <c r="G56" s="108"/>
      <c r="H56" s="112">
        <v>2010</v>
      </c>
      <c r="I56" s="112" t="s">
        <v>49</v>
      </c>
      <c r="J56" s="108"/>
      <c r="K56" s="108" t="s">
        <v>21</v>
      </c>
      <c r="L56" s="108"/>
      <c r="M56" s="108"/>
      <c r="N56" s="112">
        <f>0.876*3.6</f>
        <v>3.1536</v>
      </c>
      <c r="O56" s="108"/>
      <c r="P56" s="108"/>
      <c r="Q56" s="108"/>
      <c r="R56" s="108"/>
    </row>
    <row r="57" spans="3:18" x14ac:dyDescent="0.2">
      <c r="C57" s="108" t="s">
        <v>313</v>
      </c>
      <c r="D57" s="108"/>
      <c r="E57" s="108" t="s">
        <v>314</v>
      </c>
      <c r="F57" s="108"/>
      <c r="G57" s="108" t="s">
        <v>315</v>
      </c>
      <c r="H57" s="112">
        <v>2020</v>
      </c>
      <c r="I57" s="112" t="s">
        <v>28</v>
      </c>
      <c r="J57" s="108"/>
      <c r="K57" s="108" t="s">
        <v>260</v>
      </c>
      <c r="L57" s="108"/>
      <c r="M57" s="112">
        <v>1</v>
      </c>
      <c r="N57" s="112">
        <v>1</v>
      </c>
      <c r="O57" s="114">
        <f>12.17*3.6*1.2</f>
        <v>52.574399999999997</v>
      </c>
      <c r="P57" s="112"/>
      <c r="Q57" s="108" t="s">
        <v>369</v>
      </c>
      <c r="R57" s="108"/>
    </row>
    <row r="58" spans="3:18" x14ac:dyDescent="0.2">
      <c r="C58" s="108" t="s">
        <v>316</v>
      </c>
      <c r="D58" s="108"/>
      <c r="E58" s="108" t="s">
        <v>317</v>
      </c>
      <c r="F58" s="112"/>
      <c r="G58" s="108" t="s">
        <v>310</v>
      </c>
      <c r="H58" s="112">
        <v>2020</v>
      </c>
      <c r="I58" s="108"/>
      <c r="J58" s="108" t="s">
        <v>311</v>
      </c>
      <c r="K58" s="108" t="s">
        <v>312</v>
      </c>
      <c r="L58" s="108"/>
      <c r="M58" s="112">
        <v>0.98</v>
      </c>
      <c r="N58" s="108"/>
      <c r="O58" s="108"/>
      <c r="P58" s="112"/>
      <c r="Q58" s="108" t="s">
        <v>318</v>
      </c>
      <c r="R58" s="108"/>
    </row>
    <row r="59" spans="3:18" x14ac:dyDescent="0.2">
      <c r="C59" s="108"/>
      <c r="D59" s="108"/>
      <c r="E59" s="108" t="s">
        <v>317</v>
      </c>
      <c r="F59" s="112"/>
      <c r="G59" s="108" t="s">
        <v>319</v>
      </c>
      <c r="H59" s="112">
        <v>2020</v>
      </c>
      <c r="I59" s="108"/>
      <c r="J59" s="108" t="s">
        <v>320</v>
      </c>
      <c r="K59" s="108" t="s">
        <v>321</v>
      </c>
      <c r="L59" s="108"/>
      <c r="M59" s="112">
        <v>-1</v>
      </c>
      <c r="N59" s="108"/>
      <c r="O59" s="108"/>
      <c r="P59" s="112"/>
      <c r="Q59" s="112"/>
      <c r="R59" s="112"/>
    </row>
    <row r="60" spans="3:18" x14ac:dyDescent="0.2">
      <c r="C60" s="108"/>
      <c r="D60" s="108"/>
      <c r="E60" s="108"/>
      <c r="F60" s="112"/>
      <c r="G60" s="108"/>
      <c r="H60" s="112">
        <v>2010</v>
      </c>
      <c r="I60" s="112" t="s">
        <v>49</v>
      </c>
      <c r="J60" s="108"/>
      <c r="K60" s="108" t="s">
        <v>21</v>
      </c>
      <c r="L60" s="108"/>
      <c r="M60" s="110">
        <f>10.37*3.6</f>
        <v>37.332000000000001</v>
      </c>
      <c r="N60" s="108"/>
      <c r="O60" s="108"/>
      <c r="P60" s="108"/>
      <c r="Q60" s="112"/>
      <c r="R60" s="112"/>
    </row>
    <row r="61" spans="3:18" x14ac:dyDescent="0.2">
      <c r="C61" s="108"/>
      <c r="D61" s="108"/>
      <c r="E61" s="108"/>
      <c r="F61" s="112"/>
      <c r="G61" s="108"/>
      <c r="H61" s="112">
        <v>2015</v>
      </c>
      <c r="I61" s="112" t="s">
        <v>49</v>
      </c>
      <c r="J61" s="108"/>
      <c r="K61" s="108" t="s">
        <v>21</v>
      </c>
      <c r="L61" s="108"/>
      <c r="M61" s="110">
        <f>16.33*3.6</f>
        <v>58.787999999999997</v>
      </c>
      <c r="N61" s="108"/>
      <c r="O61" s="108"/>
      <c r="P61" s="108"/>
      <c r="Q61" s="112"/>
      <c r="R61" s="112"/>
    </row>
    <row r="62" spans="3:18" x14ac:dyDescent="0.2">
      <c r="C62" s="108"/>
      <c r="D62" s="108"/>
      <c r="E62" s="108"/>
      <c r="F62" s="112"/>
      <c r="G62" s="108"/>
      <c r="H62" s="112">
        <v>2017</v>
      </c>
      <c r="I62" s="112" t="s">
        <v>49</v>
      </c>
      <c r="J62" s="108"/>
      <c r="K62" s="108" t="s">
        <v>21</v>
      </c>
      <c r="L62" s="108"/>
      <c r="M62" s="110">
        <f>20.4*3.6</f>
        <v>73.44</v>
      </c>
      <c r="N62" s="108"/>
      <c r="O62" s="108"/>
      <c r="P62" s="108"/>
      <c r="Q62" s="112"/>
      <c r="R62" s="112"/>
    </row>
    <row r="63" spans="3:18" x14ac:dyDescent="0.2">
      <c r="C63" s="108"/>
      <c r="D63" s="108"/>
      <c r="E63" s="108"/>
      <c r="F63" s="112"/>
      <c r="G63" s="108"/>
      <c r="H63" s="112">
        <v>2020</v>
      </c>
      <c r="I63" s="112" t="s">
        <v>49</v>
      </c>
      <c r="J63" s="108"/>
      <c r="K63" s="108" t="s">
        <v>21</v>
      </c>
      <c r="L63" s="108"/>
      <c r="M63" s="110">
        <f>3.3*3.6</f>
        <v>11.879999999999999</v>
      </c>
      <c r="N63" s="108"/>
      <c r="O63" s="108"/>
      <c r="P63" s="108"/>
      <c r="Q63" s="112"/>
      <c r="R63" s="112"/>
    </row>
    <row r="64" spans="3:18" x14ac:dyDescent="0.2">
      <c r="C64" s="108"/>
      <c r="D64" s="108"/>
      <c r="E64" s="108"/>
      <c r="F64" s="112"/>
      <c r="G64" s="108"/>
      <c r="H64" s="112">
        <v>2020</v>
      </c>
      <c r="I64" s="112" t="s">
        <v>28</v>
      </c>
      <c r="J64" s="108"/>
      <c r="K64" s="108" t="s">
        <v>21</v>
      </c>
      <c r="L64" s="108"/>
      <c r="M64" s="110">
        <f>18.49*3.6</f>
        <v>66.563999999999993</v>
      </c>
      <c r="N64" s="108"/>
      <c r="O64" s="108"/>
      <c r="P64" s="108"/>
      <c r="Q64" s="112"/>
      <c r="R64" s="112"/>
    </row>
    <row r="65" spans="3:18" x14ac:dyDescent="0.2">
      <c r="C65" s="108" t="s">
        <v>322</v>
      </c>
      <c r="D65" s="108"/>
      <c r="E65" s="108" t="s">
        <v>323</v>
      </c>
      <c r="F65" s="112"/>
      <c r="G65" s="109"/>
      <c r="H65" s="109">
        <v>2040</v>
      </c>
      <c r="I65" s="108"/>
      <c r="J65" s="108"/>
      <c r="K65" s="108" t="s">
        <v>182</v>
      </c>
      <c r="L65" s="108"/>
      <c r="M65" s="115">
        <v>0.96</v>
      </c>
      <c r="N65" s="108"/>
      <c r="O65" s="108"/>
      <c r="P65" s="108"/>
      <c r="Q65" s="112"/>
      <c r="R65" s="112"/>
    </row>
    <row r="66" spans="3:18" x14ac:dyDescent="0.2">
      <c r="E66" s="17"/>
      <c r="G66" s="79"/>
      <c r="H66" s="79"/>
      <c r="I66" s="2"/>
      <c r="K66" s="2"/>
      <c r="L66" s="20"/>
    </row>
    <row r="67" spans="3:18" x14ac:dyDescent="0.2">
      <c r="E67" s="17"/>
      <c r="G67" s="79"/>
      <c r="H67" s="79"/>
      <c r="I67" s="2"/>
      <c r="K67" s="2"/>
      <c r="L67" s="20"/>
    </row>
    <row r="68" spans="3:18" x14ac:dyDescent="0.2">
      <c r="E68" s="17"/>
      <c r="G68" s="79"/>
      <c r="H68" s="79"/>
      <c r="I68" s="2"/>
      <c r="K68" s="2"/>
      <c r="L68" s="20"/>
    </row>
    <row r="69" spans="3:18" x14ac:dyDescent="0.2">
      <c r="C69" s="14" t="s">
        <v>493</v>
      </c>
      <c r="D69" s="2"/>
      <c r="E69" s="2"/>
      <c r="F69" s="2"/>
      <c r="G69" s="18"/>
      <c r="H69" s="18"/>
      <c r="I69" s="15" t="s">
        <v>18</v>
      </c>
      <c r="J69" s="2"/>
      <c r="K69" s="2"/>
    </row>
    <row r="70" spans="3:18" ht="13.5" thickBot="1" x14ac:dyDescent="0.25">
      <c r="C70" s="16" t="s">
        <v>19</v>
      </c>
      <c r="D70" s="16" t="s">
        <v>485</v>
      </c>
      <c r="E70" s="16" t="s">
        <v>20</v>
      </c>
      <c r="F70" s="16" t="s">
        <v>486</v>
      </c>
      <c r="G70" s="16" t="s">
        <v>7</v>
      </c>
      <c r="H70" s="19" t="s">
        <v>5</v>
      </c>
      <c r="I70" s="19" t="s">
        <v>6</v>
      </c>
      <c r="J70" s="78" t="s">
        <v>17</v>
      </c>
      <c r="K70" s="78" t="s">
        <v>235</v>
      </c>
    </row>
    <row r="71" spans="3:18" x14ac:dyDescent="0.2">
      <c r="C71" s="34" t="s">
        <v>487</v>
      </c>
      <c r="D71" s="34" t="s">
        <v>488</v>
      </c>
      <c r="E71" s="106"/>
      <c r="F71" s="106" t="s">
        <v>489</v>
      </c>
      <c r="G71" s="157">
        <v>2030</v>
      </c>
      <c r="H71" s="80"/>
      <c r="I71" s="80" t="s">
        <v>490</v>
      </c>
      <c r="J71" s="81">
        <v>1.1599999999999999</v>
      </c>
      <c r="K71" s="81">
        <v>1.1599999999999999</v>
      </c>
    </row>
    <row r="72" spans="3:18" x14ac:dyDescent="0.2">
      <c r="C72" s="34"/>
      <c r="D72" s="34" t="s">
        <v>488</v>
      </c>
      <c r="E72" s="106"/>
      <c r="F72" s="106" t="s">
        <v>489</v>
      </c>
      <c r="G72" s="157">
        <v>2040</v>
      </c>
      <c r="H72" s="80"/>
      <c r="I72" s="80" t="s">
        <v>490</v>
      </c>
      <c r="J72" s="81">
        <v>1.1000000000000001</v>
      </c>
      <c r="K72" s="81">
        <v>1.1000000000000001</v>
      </c>
    </row>
    <row r="73" spans="3:18" x14ac:dyDescent="0.2">
      <c r="C73" s="34"/>
      <c r="D73" s="34" t="s">
        <v>488</v>
      </c>
      <c r="E73" s="106"/>
      <c r="F73" s="106" t="s">
        <v>489</v>
      </c>
      <c r="G73" s="157">
        <v>2050</v>
      </c>
      <c r="H73" s="80"/>
      <c r="I73" s="80" t="s">
        <v>490</v>
      </c>
      <c r="J73" s="81">
        <v>1.07</v>
      </c>
      <c r="K73" s="81">
        <v>1.07</v>
      </c>
    </row>
    <row r="74" spans="3:18" x14ac:dyDescent="0.2">
      <c r="C74" s="34"/>
      <c r="D74" s="34" t="s">
        <v>488</v>
      </c>
      <c r="E74" s="106"/>
      <c r="F74" s="106" t="s">
        <v>491</v>
      </c>
      <c r="G74" s="157">
        <v>2015</v>
      </c>
      <c r="H74" s="80"/>
      <c r="I74" s="80" t="s">
        <v>490</v>
      </c>
      <c r="J74" s="81">
        <v>0.05</v>
      </c>
      <c r="K74" s="81">
        <v>0.02</v>
      </c>
    </row>
    <row r="75" spans="3:18" x14ac:dyDescent="0.2">
      <c r="C75" s="34"/>
      <c r="D75" s="34" t="s">
        <v>492</v>
      </c>
      <c r="E75" s="106"/>
      <c r="F75" s="106" t="s">
        <v>489</v>
      </c>
      <c r="G75" s="157">
        <v>2030</v>
      </c>
      <c r="H75" s="80"/>
      <c r="I75" s="80" t="s">
        <v>490</v>
      </c>
      <c r="J75" s="81">
        <v>1.1599999999999999</v>
      </c>
      <c r="K75" s="81">
        <v>1.1599999999999999</v>
      </c>
    </row>
    <row r="76" spans="3:18" x14ac:dyDescent="0.2">
      <c r="C76" s="34"/>
      <c r="D76" s="34" t="s">
        <v>492</v>
      </c>
      <c r="E76" s="34"/>
      <c r="F76" s="106" t="s">
        <v>489</v>
      </c>
      <c r="G76" s="157">
        <v>2040</v>
      </c>
      <c r="H76" s="80"/>
      <c r="I76" s="80" t="s">
        <v>490</v>
      </c>
      <c r="J76" s="81">
        <v>1.1000000000000001</v>
      </c>
      <c r="K76" s="81">
        <v>1.1000000000000001</v>
      </c>
    </row>
    <row r="77" spans="3:18" x14ac:dyDescent="0.2">
      <c r="C77" s="34"/>
      <c r="D77" s="34" t="s">
        <v>492</v>
      </c>
      <c r="E77" s="34"/>
      <c r="F77" s="106" t="s">
        <v>489</v>
      </c>
      <c r="G77" s="157">
        <v>2050</v>
      </c>
      <c r="H77" s="80"/>
      <c r="I77" s="80" t="s">
        <v>490</v>
      </c>
      <c r="J77" s="81">
        <v>1.07</v>
      </c>
      <c r="K77" s="81">
        <v>1.07</v>
      </c>
    </row>
    <row r="78" spans="3:18" x14ac:dyDescent="0.2">
      <c r="C78" s="34"/>
      <c r="D78" s="34" t="s">
        <v>492</v>
      </c>
      <c r="E78" s="34"/>
      <c r="F78" s="106" t="s">
        <v>491</v>
      </c>
      <c r="G78" s="157">
        <v>2015</v>
      </c>
      <c r="H78" s="80"/>
      <c r="I78" s="80" t="s">
        <v>490</v>
      </c>
      <c r="J78" s="81">
        <v>0.05</v>
      </c>
      <c r="K78" s="81">
        <v>0.02</v>
      </c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W51"/>
  <sheetViews>
    <sheetView zoomScale="85" workbookViewId="0">
      <selection activeCell="Q21" sqref="Q21"/>
    </sheetView>
  </sheetViews>
  <sheetFormatPr defaultRowHeight="15" x14ac:dyDescent="0.25"/>
  <cols>
    <col min="1" max="1" width="10.42578125" style="53" customWidth="1"/>
    <col min="2" max="2" width="3.5703125" style="53" customWidth="1"/>
    <col min="3" max="4" width="9.140625" style="53"/>
    <col min="5" max="5" width="12.5703125" style="53" customWidth="1"/>
    <col min="6" max="6" width="10.28515625" style="53" customWidth="1"/>
    <col min="7" max="14" width="9.140625" style="53"/>
    <col min="15" max="15" width="10.7109375" style="53" customWidth="1"/>
    <col min="16" max="22" width="9.140625" style="53"/>
    <col min="23" max="23" width="11.85546875" style="53" bestFit="1" customWidth="1"/>
    <col min="24" max="16384" width="9.140625" style="53"/>
  </cols>
  <sheetData>
    <row r="2" spans="1:23" x14ac:dyDescent="0.25">
      <c r="C2" s="54" t="s">
        <v>9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57"/>
      <c r="P2" s="57"/>
      <c r="Q2" s="57"/>
      <c r="R2" s="57"/>
      <c r="S2" s="56"/>
      <c r="T2" s="57"/>
      <c r="U2" s="57"/>
    </row>
    <row r="3" spans="1:23" ht="15.75" thickBot="1" x14ac:dyDescent="0.3">
      <c r="C3" s="58" t="s">
        <v>4</v>
      </c>
      <c r="D3" s="58" t="s">
        <v>5</v>
      </c>
      <c r="E3" s="58" t="s">
        <v>6</v>
      </c>
      <c r="F3" s="58" t="s">
        <v>3</v>
      </c>
      <c r="G3" s="58" t="s">
        <v>7</v>
      </c>
      <c r="H3" s="119" t="s">
        <v>17</v>
      </c>
      <c r="I3" s="119" t="s">
        <v>235</v>
      </c>
      <c r="J3" s="59" t="s">
        <v>11</v>
      </c>
      <c r="K3" s="59" t="s">
        <v>12</v>
      </c>
      <c r="L3" s="58" t="s">
        <v>13</v>
      </c>
      <c r="M3" s="59" t="s">
        <v>14</v>
      </c>
      <c r="N3" s="58" t="s">
        <v>15</v>
      </c>
      <c r="O3" s="59" t="s">
        <v>8</v>
      </c>
      <c r="P3" s="59" t="s">
        <v>502</v>
      </c>
    </row>
    <row r="4" spans="1:23" x14ac:dyDescent="0.25">
      <c r="C4" s="40"/>
      <c r="D4" s="40"/>
      <c r="E4" s="40" t="s">
        <v>145</v>
      </c>
      <c r="F4" s="40" t="s">
        <v>146</v>
      </c>
      <c r="G4" s="98">
        <v>2010</v>
      </c>
      <c r="H4" s="40">
        <v>17.5</v>
      </c>
      <c r="I4" s="40">
        <v>17.5</v>
      </c>
      <c r="J4" s="40"/>
      <c r="K4" s="40"/>
      <c r="L4" s="40"/>
      <c r="M4" s="40"/>
      <c r="N4" s="40"/>
      <c r="O4" s="40" t="s">
        <v>290</v>
      </c>
      <c r="P4" s="117"/>
    </row>
    <row r="5" spans="1:23" x14ac:dyDescent="0.25">
      <c r="C5" s="117"/>
      <c r="D5" s="117"/>
      <c r="E5" s="117" t="s">
        <v>145</v>
      </c>
      <c r="F5" s="117" t="s">
        <v>294</v>
      </c>
      <c r="G5" s="118">
        <v>2020</v>
      </c>
      <c r="H5" s="118">
        <v>1</v>
      </c>
      <c r="I5" s="117"/>
      <c r="J5" s="117"/>
      <c r="K5" s="117"/>
      <c r="L5" s="117"/>
      <c r="M5" s="117"/>
      <c r="N5" s="117"/>
      <c r="O5" s="117" t="s">
        <v>291</v>
      </c>
      <c r="P5" s="117"/>
    </row>
    <row r="6" spans="1:23" x14ac:dyDescent="0.25">
      <c r="C6" s="117" t="s">
        <v>35</v>
      </c>
      <c r="D6" s="117"/>
      <c r="E6" s="117" t="s">
        <v>295</v>
      </c>
      <c r="F6" s="117"/>
      <c r="G6" s="118">
        <v>2020</v>
      </c>
      <c r="H6" s="117">
        <v>5.0000000000000001E-3</v>
      </c>
      <c r="I6" s="117"/>
      <c r="J6" s="117"/>
      <c r="K6" s="117"/>
      <c r="L6" s="117"/>
      <c r="M6" s="117"/>
      <c r="N6" s="117"/>
      <c r="O6" s="117" t="s">
        <v>291</v>
      </c>
      <c r="P6" s="117" t="s">
        <v>503</v>
      </c>
    </row>
    <row r="7" spans="1:23" x14ac:dyDescent="0.25">
      <c r="C7" s="40"/>
      <c r="D7" s="40"/>
      <c r="E7" s="40" t="s">
        <v>115</v>
      </c>
      <c r="F7" s="40" t="s">
        <v>207</v>
      </c>
      <c r="G7" s="40"/>
      <c r="H7" s="98">
        <v>1</v>
      </c>
      <c r="I7" s="199"/>
      <c r="J7" s="40"/>
      <c r="K7" s="40"/>
      <c r="L7" s="40" t="s">
        <v>221</v>
      </c>
      <c r="M7" s="40"/>
      <c r="N7" s="40"/>
      <c r="O7" s="40" t="s">
        <v>147</v>
      </c>
      <c r="P7" s="40"/>
    </row>
    <row r="8" spans="1:23" x14ac:dyDescent="0.25">
      <c r="C8" s="40"/>
      <c r="D8" s="40"/>
      <c r="E8" s="40" t="s">
        <v>115</v>
      </c>
      <c r="F8" s="40" t="s">
        <v>207</v>
      </c>
      <c r="G8" s="40"/>
      <c r="H8" s="98">
        <v>1</v>
      </c>
      <c r="I8" s="199"/>
      <c r="J8" s="40"/>
      <c r="K8" s="40"/>
      <c r="L8" s="40" t="s">
        <v>255</v>
      </c>
      <c r="M8" s="40"/>
      <c r="N8" s="40"/>
      <c r="O8" s="40" t="s">
        <v>147</v>
      </c>
      <c r="P8" s="40"/>
      <c r="R8"/>
      <c r="S8"/>
      <c r="T8"/>
    </row>
    <row r="9" spans="1:23" x14ac:dyDescent="0.25">
      <c r="C9" s="40"/>
      <c r="D9" s="40"/>
      <c r="E9" s="40" t="s">
        <v>115</v>
      </c>
      <c r="F9" s="40" t="s">
        <v>165</v>
      </c>
      <c r="G9" s="40"/>
      <c r="H9" s="98">
        <v>1</v>
      </c>
      <c r="I9" s="98">
        <v>1</v>
      </c>
      <c r="J9" s="40"/>
      <c r="K9" s="40"/>
      <c r="L9" s="40" t="s">
        <v>222</v>
      </c>
      <c r="M9" s="40"/>
      <c r="N9" s="40"/>
      <c r="O9" s="40" t="s">
        <v>147</v>
      </c>
      <c r="P9" s="40"/>
      <c r="Q9"/>
      <c r="R9"/>
      <c r="S9"/>
      <c r="T9"/>
      <c r="U9"/>
      <c r="V9"/>
      <c r="W9"/>
    </row>
    <row r="10" spans="1:23" x14ac:dyDescent="0.25">
      <c r="C10"/>
      <c r="D10"/>
      <c r="P10"/>
      <c r="Q10"/>
    </row>
    <row r="11" spans="1:23" x14ac:dyDescent="0.25">
      <c r="C11"/>
      <c r="D11"/>
      <c r="P11"/>
      <c r="Q11"/>
    </row>
    <row r="12" spans="1:23" x14ac:dyDescent="0.25">
      <c r="C12"/>
      <c r="D12"/>
      <c r="P12"/>
      <c r="Q12"/>
    </row>
    <row r="14" spans="1:23" x14ac:dyDescent="0.25">
      <c r="A14"/>
      <c r="B14"/>
      <c r="C14" s="8" t="s">
        <v>36</v>
      </c>
      <c r="D14"/>
      <c r="E14"/>
      <c r="F14"/>
      <c r="G14"/>
      <c r="H14"/>
      <c r="I14"/>
      <c r="J14"/>
      <c r="K14"/>
      <c r="L14"/>
      <c r="M14"/>
      <c r="N14" s="5"/>
      <c r="O14" s="6"/>
      <c r="P14" s="6"/>
      <c r="Q14" s="6"/>
      <c r="R14" s="6"/>
      <c r="S14" s="5"/>
    </row>
    <row r="15" spans="1:23" ht="15.75" thickBot="1" x14ac:dyDescent="0.3">
      <c r="A15"/>
      <c r="B15"/>
      <c r="C15" s="9" t="s">
        <v>4</v>
      </c>
      <c r="D15" s="9" t="s">
        <v>5</v>
      </c>
      <c r="E15" s="9" t="s">
        <v>6</v>
      </c>
      <c r="F15" s="9" t="s">
        <v>3</v>
      </c>
      <c r="G15" s="87" t="s">
        <v>37</v>
      </c>
      <c r="H15" s="9">
        <v>2010</v>
      </c>
      <c r="I15" s="9">
        <v>2015</v>
      </c>
      <c r="J15" s="9">
        <v>2020</v>
      </c>
      <c r="K15" s="9">
        <v>2030</v>
      </c>
      <c r="L15" s="9">
        <v>2040</v>
      </c>
      <c r="M15" s="9">
        <v>2050</v>
      </c>
      <c r="N15" s="9">
        <v>2070</v>
      </c>
      <c r="O15" s="84">
        <v>0</v>
      </c>
      <c r="P15" s="10" t="s">
        <v>12</v>
      </c>
      <c r="Q15" s="9" t="s">
        <v>13</v>
      </c>
      <c r="R15" s="10" t="s">
        <v>14</v>
      </c>
      <c r="S15" s="38" t="s">
        <v>8</v>
      </c>
    </row>
    <row r="16" spans="1:23" x14ac:dyDescent="0.25">
      <c r="A16"/>
      <c r="B16"/>
      <c r="C16" s="13" t="s">
        <v>35</v>
      </c>
      <c r="D16" s="13"/>
      <c r="E16" s="13" t="s">
        <v>115</v>
      </c>
      <c r="F16" s="13" t="s">
        <v>254</v>
      </c>
      <c r="G16" s="88" t="s">
        <v>17</v>
      </c>
      <c r="H16" s="26">
        <v>2.4127329181938646</v>
      </c>
      <c r="I16" s="26">
        <f>H16+$H16*0.02292</f>
        <v>2.468032756678868</v>
      </c>
      <c r="J16" s="26">
        <f>I16+$H16*0.02292</f>
        <v>2.5233325951638714</v>
      </c>
      <c r="K16" s="26">
        <f>J16*1.05</f>
        <v>2.649499224922065</v>
      </c>
      <c r="L16" s="26">
        <f>K16</f>
        <v>2.649499224922065</v>
      </c>
      <c r="M16" s="26"/>
      <c r="N16" s="26"/>
      <c r="O16" s="85"/>
      <c r="P16" s="13"/>
      <c r="Q16" s="13" t="s">
        <v>155</v>
      </c>
      <c r="R16" s="13"/>
      <c r="S16" s="72" t="s">
        <v>146</v>
      </c>
    </row>
    <row r="17" spans="1:23" x14ac:dyDescent="0.25">
      <c r="A17"/>
      <c r="B17"/>
      <c r="C17" s="13" t="s">
        <v>35</v>
      </c>
      <c r="D17" s="13"/>
      <c r="E17" s="13" t="s">
        <v>115</v>
      </c>
      <c r="F17" s="13" t="s">
        <v>254</v>
      </c>
      <c r="G17" s="88" t="s">
        <v>17</v>
      </c>
      <c r="H17" s="26">
        <f>246/FIN_DEM!H80</f>
        <v>0.12638717632552404</v>
      </c>
      <c r="I17" s="26">
        <f>222/FIN_DEM!I$80</f>
        <v>0.11454028832097585</v>
      </c>
      <c r="J17" s="26">
        <f>222/FIN_DEM!J80</f>
        <v>0.11502590673575129</v>
      </c>
      <c r="K17" s="26">
        <f>222/FIN_DEM!K80</f>
        <v>0.1168421052631579</v>
      </c>
      <c r="L17" s="26">
        <f>222/FIN_DEM!L80</f>
        <v>0.1168421052631579</v>
      </c>
      <c r="M17" s="13"/>
      <c r="N17" s="13"/>
      <c r="O17" s="85"/>
      <c r="P17" s="13"/>
      <c r="Q17" s="13" t="s">
        <v>155</v>
      </c>
      <c r="R17" s="13"/>
      <c r="S17" s="72" t="s">
        <v>144</v>
      </c>
      <c r="V17" s="82"/>
      <c r="W17" s="82"/>
    </row>
    <row r="18" spans="1:23" x14ac:dyDescent="0.25">
      <c r="A18"/>
      <c r="B18"/>
      <c r="C18" s="13"/>
      <c r="D18" s="13"/>
      <c r="E18" s="13" t="s">
        <v>104</v>
      </c>
      <c r="F18" s="13"/>
      <c r="G18" s="88"/>
      <c r="H18" s="13"/>
      <c r="I18" s="13"/>
      <c r="J18" s="13"/>
      <c r="K18" s="13"/>
      <c r="L18" s="13"/>
      <c r="M18" s="13"/>
      <c r="N18" s="13"/>
      <c r="O18" s="85"/>
      <c r="P18" s="13"/>
      <c r="Q18" s="13"/>
      <c r="R18" s="13"/>
      <c r="S18" s="13"/>
    </row>
    <row r="19" spans="1:23" x14ac:dyDescent="0.25">
      <c r="A19" t="s">
        <v>331</v>
      </c>
      <c r="B19"/>
      <c r="C19" s="13" t="s">
        <v>35</v>
      </c>
      <c r="D19" s="13"/>
      <c r="E19" s="13" t="s">
        <v>115</v>
      </c>
      <c r="F19" s="13" t="s">
        <v>118</v>
      </c>
      <c r="G19" s="88" t="s">
        <v>17</v>
      </c>
      <c r="H19" s="64">
        <f>120.3/0.89</f>
        <v>135.16853932584269</v>
      </c>
      <c r="I19" s="64">
        <f>H19*1.02</f>
        <v>137.87191011235953</v>
      </c>
      <c r="J19" s="31"/>
      <c r="K19" s="64">
        <f>I19*1.05</f>
        <v>144.76550561797751</v>
      </c>
      <c r="L19" s="13"/>
      <c r="M19" s="64">
        <f>K19*1</f>
        <v>144.76550561797751</v>
      </c>
      <c r="N19" s="64"/>
      <c r="O19" s="85"/>
      <c r="P19" s="13"/>
      <c r="Q19" s="13" t="s">
        <v>255</v>
      </c>
      <c r="R19" s="13"/>
      <c r="S19" s="13" t="s">
        <v>207</v>
      </c>
    </row>
    <row r="20" spans="1:23" x14ac:dyDescent="0.25">
      <c r="A20" t="s">
        <v>327</v>
      </c>
      <c r="C20" s="13" t="s">
        <v>35</v>
      </c>
      <c r="D20" s="13" t="s">
        <v>28</v>
      </c>
      <c r="E20" s="13" t="s">
        <v>329</v>
      </c>
      <c r="F20" s="13" t="s">
        <v>330</v>
      </c>
      <c r="G20" s="88" t="s">
        <v>17</v>
      </c>
      <c r="H20" s="25">
        <v>100</v>
      </c>
      <c r="I20" s="25"/>
      <c r="J20" s="13"/>
      <c r="K20" s="25"/>
      <c r="L20" s="25"/>
      <c r="M20" s="25"/>
      <c r="N20" s="31"/>
      <c r="O20" s="90">
        <v>5</v>
      </c>
      <c r="P20" s="13"/>
      <c r="Q20" s="13" t="s">
        <v>156</v>
      </c>
      <c r="R20" s="13"/>
      <c r="S20" s="13" t="s">
        <v>330</v>
      </c>
    </row>
    <row r="21" spans="1:23" x14ac:dyDescent="0.25">
      <c r="B21"/>
      <c r="C21" s="13" t="s">
        <v>35</v>
      </c>
      <c r="D21" s="13" t="s">
        <v>49</v>
      </c>
      <c r="E21" s="13" t="s">
        <v>329</v>
      </c>
      <c r="F21" s="13" t="s">
        <v>330</v>
      </c>
      <c r="G21" s="88" t="s">
        <v>17</v>
      </c>
      <c r="H21" s="25">
        <f>96</f>
        <v>96</v>
      </c>
      <c r="I21" s="25">
        <v>95</v>
      </c>
      <c r="J21" s="13">
        <v>90</v>
      </c>
      <c r="K21" s="25">
        <v>84</v>
      </c>
      <c r="L21" s="25">
        <f>AVERAGE(K21,M21)</f>
        <v>60.480000000000004</v>
      </c>
      <c r="M21" s="25">
        <f>K21*0.44</f>
        <v>36.96</v>
      </c>
      <c r="N21" s="31"/>
      <c r="O21" s="90">
        <v>5</v>
      </c>
      <c r="P21" s="13"/>
      <c r="Q21" s="13" t="s">
        <v>156</v>
      </c>
      <c r="R21" s="13"/>
      <c r="S21" s="13" t="s">
        <v>330</v>
      </c>
    </row>
    <row r="22" spans="1:23" x14ac:dyDescent="0.25">
      <c r="A22" t="s">
        <v>256</v>
      </c>
      <c r="B22"/>
      <c r="C22" s="13" t="s">
        <v>35</v>
      </c>
      <c r="D22" s="13"/>
      <c r="E22" s="13" t="s">
        <v>115</v>
      </c>
      <c r="F22" s="13" t="s">
        <v>118</v>
      </c>
      <c r="G22" s="88" t="s">
        <v>17</v>
      </c>
      <c r="H22" s="25">
        <v>40</v>
      </c>
      <c r="I22" s="25">
        <v>40</v>
      </c>
      <c r="J22" s="25">
        <v>40</v>
      </c>
      <c r="K22" s="25">
        <v>40</v>
      </c>
      <c r="L22" s="13"/>
      <c r="M22" s="31"/>
      <c r="N22" s="31"/>
      <c r="O22" s="85"/>
      <c r="P22" s="13"/>
      <c r="Q22" s="13" t="s">
        <v>355</v>
      </c>
      <c r="R22" s="13"/>
      <c r="S22" s="13" t="s">
        <v>147</v>
      </c>
    </row>
    <row r="23" spans="1:23" x14ac:dyDescent="0.25">
      <c r="A23" t="s">
        <v>256</v>
      </c>
      <c r="B23"/>
      <c r="C23" s="13" t="s">
        <v>35</v>
      </c>
      <c r="D23" s="13"/>
      <c r="E23" s="13" t="s">
        <v>115</v>
      </c>
      <c r="F23" s="13" t="s">
        <v>118</v>
      </c>
      <c r="G23" s="88" t="s">
        <v>235</v>
      </c>
      <c r="H23" s="25">
        <v>40</v>
      </c>
      <c r="I23" s="25">
        <v>40</v>
      </c>
      <c r="J23" s="25">
        <v>40</v>
      </c>
      <c r="K23" s="25">
        <v>40</v>
      </c>
      <c r="L23" s="13"/>
      <c r="M23" s="31"/>
      <c r="N23" s="31"/>
      <c r="O23" s="85"/>
      <c r="P23" s="13"/>
      <c r="Q23" s="13" t="s">
        <v>355</v>
      </c>
      <c r="R23" s="13"/>
      <c r="S23" s="13" t="s">
        <v>147</v>
      </c>
    </row>
    <row r="24" spans="1:23" x14ac:dyDescent="0.25">
      <c r="A24" t="s">
        <v>332</v>
      </c>
      <c r="B24"/>
      <c r="C24" s="13" t="s">
        <v>35</v>
      </c>
      <c r="D24" s="13"/>
      <c r="E24" s="13" t="s">
        <v>115</v>
      </c>
      <c r="F24" s="13" t="s">
        <v>118</v>
      </c>
      <c r="G24" s="88" t="s">
        <v>17</v>
      </c>
      <c r="H24" s="31">
        <v>0</v>
      </c>
      <c r="I24" s="31">
        <v>-129.76070109761889</v>
      </c>
      <c r="J24" s="31">
        <v>-123.23593277945619</v>
      </c>
      <c r="K24" s="31">
        <v>-113.81703172205432</v>
      </c>
      <c r="L24" s="13"/>
      <c r="M24" s="31"/>
      <c r="N24" s="31"/>
      <c r="O24" s="85"/>
      <c r="P24" s="13"/>
      <c r="Q24" s="13" t="s">
        <v>257</v>
      </c>
      <c r="R24" s="13"/>
      <c r="S24" s="13" t="s">
        <v>207</v>
      </c>
    </row>
    <row r="25" spans="1:23" x14ac:dyDescent="0.25">
      <c r="A25"/>
      <c r="B25"/>
      <c r="C25" s="13" t="s">
        <v>35</v>
      </c>
      <c r="D25" s="13"/>
      <c r="E25" s="13" t="s">
        <v>115</v>
      </c>
      <c r="F25" s="13" t="s">
        <v>118</v>
      </c>
      <c r="G25" s="88" t="s">
        <v>17</v>
      </c>
      <c r="H25" s="31">
        <v>0</v>
      </c>
      <c r="I25" s="31">
        <f>I24</f>
        <v>-129.76070109761889</v>
      </c>
      <c r="J25" s="31">
        <f>J24</f>
        <v>-123.23593277945619</v>
      </c>
      <c r="K25" s="31">
        <f>K24</f>
        <v>-113.81703172205432</v>
      </c>
      <c r="L25" s="13"/>
      <c r="M25" s="31"/>
      <c r="N25" s="31"/>
      <c r="O25" s="85"/>
      <c r="P25" s="13"/>
      <c r="Q25" s="13" t="s">
        <v>257</v>
      </c>
      <c r="R25" s="13"/>
      <c r="S25" s="13" t="s">
        <v>147</v>
      </c>
    </row>
    <row r="26" spans="1:23" x14ac:dyDescent="0.25">
      <c r="A26" t="s">
        <v>258</v>
      </c>
      <c r="B26"/>
      <c r="C26" s="13" t="s">
        <v>35</v>
      </c>
      <c r="D26" s="13"/>
      <c r="E26" s="13" t="s">
        <v>115</v>
      </c>
      <c r="F26" s="13" t="s">
        <v>118</v>
      </c>
      <c r="G26" s="88" t="s">
        <v>235</v>
      </c>
      <c r="H26" s="64">
        <v>96</v>
      </c>
      <c r="I26" s="64">
        <v>80</v>
      </c>
      <c r="J26" s="64">
        <v>80</v>
      </c>
      <c r="K26" s="64">
        <v>80</v>
      </c>
      <c r="L26" s="13"/>
      <c r="M26" s="31"/>
      <c r="N26" s="31"/>
      <c r="O26" s="85"/>
      <c r="P26" s="13"/>
      <c r="Q26" s="13" t="s">
        <v>257</v>
      </c>
      <c r="R26" s="13"/>
      <c r="S26" s="13" t="s">
        <v>207</v>
      </c>
    </row>
    <row r="27" spans="1:23" x14ac:dyDescent="0.25">
      <c r="A27" t="s">
        <v>328</v>
      </c>
      <c r="B27"/>
      <c r="C27" s="13" t="s">
        <v>35</v>
      </c>
      <c r="D27" s="13"/>
      <c r="E27" s="13" t="s">
        <v>115</v>
      </c>
      <c r="F27" s="13" t="s">
        <v>118</v>
      </c>
      <c r="G27" s="88" t="s">
        <v>17</v>
      </c>
      <c r="H27" s="64">
        <f>222/1.1</f>
        <v>201.81818181818181</v>
      </c>
      <c r="I27" s="64"/>
      <c r="J27" s="64"/>
      <c r="K27" s="64"/>
      <c r="L27" s="13"/>
      <c r="M27" s="31"/>
      <c r="N27" s="31"/>
      <c r="O27" s="85"/>
      <c r="P27" s="13"/>
      <c r="Q27" s="13" t="s">
        <v>221</v>
      </c>
      <c r="R27" s="13"/>
      <c r="S27" s="13" t="s">
        <v>207</v>
      </c>
    </row>
    <row r="28" spans="1:23" x14ac:dyDescent="0.25">
      <c r="A28"/>
      <c r="B28"/>
      <c r="C28" s="13"/>
      <c r="D28" s="13"/>
      <c r="E28" s="13" t="s">
        <v>58</v>
      </c>
      <c r="F28" s="13" t="s">
        <v>147</v>
      </c>
      <c r="G28" s="88" t="s">
        <v>17</v>
      </c>
      <c r="H28" s="31">
        <v>0.21</v>
      </c>
      <c r="I28" s="64"/>
      <c r="J28" s="64"/>
      <c r="K28" s="64"/>
      <c r="L28" s="13"/>
      <c r="M28" s="31"/>
      <c r="N28" s="25"/>
      <c r="O28" s="85"/>
      <c r="P28" s="13"/>
      <c r="Q28" s="13" t="s">
        <v>259</v>
      </c>
      <c r="R28" s="13"/>
      <c r="S28" s="13"/>
      <c r="U28"/>
    </row>
    <row r="29" spans="1:23" x14ac:dyDescent="0.25">
      <c r="A29" s="53" t="s">
        <v>293</v>
      </c>
      <c r="C29" s="76" t="s">
        <v>35</v>
      </c>
      <c r="D29" s="76" t="s">
        <v>28</v>
      </c>
      <c r="E29" s="76" t="s">
        <v>50</v>
      </c>
      <c r="F29" s="76"/>
      <c r="G29" s="89" t="s">
        <v>17</v>
      </c>
      <c r="H29" s="76"/>
      <c r="I29" s="76"/>
      <c r="J29" s="76"/>
      <c r="K29" s="77">
        <v>5000</v>
      </c>
      <c r="L29" s="77">
        <v>8000</v>
      </c>
      <c r="M29" s="77">
        <v>11000</v>
      </c>
      <c r="N29" s="77">
        <v>13000</v>
      </c>
      <c r="O29" s="86"/>
      <c r="P29" s="76"/>
      <c r="Q29" s="76" t="s">
        <v>292</v>
      </c>
      <c r="R29" s="76"/>
      <c r="S29" s="76"/>
      <c r="U29"/>
    </row>
    <row r="30" spans="1:23" x14ac:dyDescent="0.25">
      <c r="U30"/>
    </row>
    <row r="31" spans="1:23" x14ac:dyDescent="0.25">
      <c r="U31"/>
    </row>
    <row r="32" spans="1:23" x14ac:dyDescent="0.25">
      <c r="U32"/>
    </row>
    <row r="34" spans="3:21" x14ac:dyDescent="0.25">
      <c r="C34" s="14" t="s">
        <v>288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1" x14ac:dyDescent="0.25">
      <c r="C35"/>
      <c r="D35" s="2"/>
      <c r="E35"/>
      <c r="F35" s="2"/>
      <c r="G35" s="2"/>
      <c r="H35"/>
      <c r="I35"/>
      <c r="J35"/>
      <c r="K35"/>
      <c r="L35" s="15" t="s">
        <v>18</v>
      </c>
      <c r="M35"/>
      <c r="N35" s="2"/>
      <c r="O35" s="2"/>
      <c r="P35" s="2"/>
      <c r="Q35" s="2"/>
      <c r="R35"/>
      <c r="S35"/>
      <c r="T35"/>
    </row>
    <row r="36" spans="3:21" ht="15.75" thickBot="1" x14ac:dyDescent="0.3">
      <c r="C36" s="16" t="s">
        <v>19</v>
      </c>
      <c r="D36" s="16" t="s">
        <v>287</v>
      </c>
      <c r="E36" s="16" t="s">
        <v>286</v>
      </c>
      <c r="F36" s="16" t="s">
        <v>285</v>
      </c>
      <c r="G36" s="16" t="s">
        <v>284</v>
      </c>
      <c r="H36" s="9" t="s">
        <v>20</v>
      </c>
      <c r="I36" s="19" t="s">
        <v>5</v>
      </c>
      <c r="J36" s="9" t="s">
        <v>3</v>
      </c>
      <c r="K36" s="12" t="s">
        <v>7</v>
      </c>
      <c r="L36" s="16" t="s">
        <v>6</v>
      </c>
      <c r="M36" s="73" t="s">
        <v>98</v>
      </c>
      <c r="N36" s="74" t="s">
        <v>193</v>
      </c>
      <c r="O36" s="73" t="s">
        <v>283</v>
      </c>
      <c r="P36" s="73" t="s">
        <v>282</v>
      </c>
      <c r="Q36" s="75" t="s">
        <v>167</v>
      </c>
      <c r="R36" s="16" t="s">
        <v>281</v>
      </c>
      <c r="S36" s="16"/>
      <c r="T36"/>
      <c r="U36" s="75" t="s">
        <v>167</v>
      </c>
    </row>
    <row r="37" spans="3:21" x14ac:dyDescent="0.25">
      <c r="C37" s="13" t="s">
        <v>280</v>
      </c>
      <c r="D37" s="13" t="s">
        <v>279</v>
      </c>
      <c r="E37" s="13" t="s">
        <v>265</v>
      </c>
      <c r="F37" s="13" t="s">
        <v>264</v>
      </c>
      <c r="G37" s="13"/>
      <c r="H37" s="13" t="s">
        <v>279</v>
      </c>
      <c r="I37" s="13" t="s">
        <v>52</v>
      </c>
      <c r="J37" s="13"/>
      <c r="K37" s="83">
        <v>0</v>
      </c>
      <c r="L37" s="13" t="s">
        <v>260</v>
      </c>
      <c r="M37" s="83">
        <v>76</v>
      </c>
      <c r="N37" s="13"/>
      <c r="O37" s="13"/>
      <c r="P37" s="13"/>
      <c r="Q37" s="83">
        <v>5</v>
      </c>
      <c r="R37" s="13" t="s">
        <v>278</v>
      </c>
      <c r="S37" s="13"/>
      <c r="T37"/>
      <c r="U37" s="7">
        <v>5</v>
      </c>
    </row>
    <row r="38" spans="3:21" x14ac:dyDescent="0.25">
      <c r="C38" s="13"/>
      <c r="D38" s="13" t="s">
        <v>277</v>
      </c>
      <c r="E38" s="13" t="s">
        <v>265</v>
      </c>
      <c r="F38" s="13" t="s">
        <v>264</v>
      </c>
      <c r="G38" s="13"/>
      <c r="H38" s="13" t="s">
        <v>277</v>
      </c>
      <c r="I38" s="13" t="s">
        <v>52</v>
      </c>
      <c r="J38" s="13"/>
      <c r="K38" s="83">
        <v>2010</v>
      </c>
      <c r="L38" s="13" t="s">
        <v>260</v>
      </c>
      <c r="M38" s="83">
        <v>92.7</v>
      </c>
      <c r="N38" s="13"/>
      <c r="O38" s="13"/>
      <c r="P38" s="13"/>
      <c r="Q38" s="83">
        <v>0</v>
      </c>
      <c r="R38" s="13"/>
      <c r="S38" s="13"/>
      <c r="T38"/>
      <c r="U38" s="7">
        <v>0</v>
      </c>
    </row>
    <row r="39" spans="3:21" x14ac:dyDescent="0.25">
      <c r="C39" s="13"/>
      <c r="D39" s="13" t="s">
        <v>276</v>
      </c>
      <c r="E39" s="13" t="s">
        <v>265</v>
      </c>
      <c r="F39" s="13" t="s">
        <v>264</v>
      </c>
      <c r="G39" s="13"/>
      <c r="H39" s="13" t="s">
        <v>276</v>
      </c>
      <c r="I39" s="13"/>
      <c r="J39" s="13"/>
      <c r="K39" s="13"/>
      <c r="L39" s="13" t="s">
        <v>260</v>
      </c>
      <c r="M39" s="83">
        <v>102</v>
      </c>
      <c r="N39" s="13"/>
      <c r="O39" s="13"/>
      <c r="P39" s="13"/>
      <c r="Q39" s="13"/>
      <c r="R39" s="13"/>
      <c r="S39" s="13"/>
      <c r="T39"/>
      <c r="U39"/>
    </row>
    <row r="40" spans="3:21" x14ac:dyDescent="0.25">
      <c r="C40" s="13"/>
      <c r="D40" s="13"/>
      <c r="E40" s="13"/>
      <c r="F40" s="13" t="s">
        <v>259</v>
      </c>
      <c r="G40" s="13"/>
      <c r="H40" s="13" t="s">
        <v>199</v>
      </c>
      <c r="I40" s="13"/>
      <c r="J40" s="13"/>
      <c r="K40" s="13"/>
      <c r="L40" s="13" t="s">
        <v>260</v>
      </c>
      <c r="M40" s="83">
        <v>-1</v>
      </c>
      <c r="N40" s="13"/>
      <c r="O40" s="13"/>
      <c r="P40" s="13"/>
      <c r="Q40" s="13"/>
      <c r="R40" s="13"/>
      <c r="S40" s="13"/>
      <c r="T40"/>
      <c r="U40"/>
    </row>
    <row r="41" spans="3:21" x14ac:dyDescent="0.25">
      <c r="C41" s="13" t="s">
        <v>275</v>
      </c>
      <c r="D41" s="13" t="s">
        <v>272</v>
      </c>
      <c r="E41" s="13" t="s">
        <v>265</v>
      </c>
      <c r="F41" s="13" t="s">
        <v>264</v>
      </c>
      <c r="G41" s="13"/>
      <c r="H41" s="13" t="s">
        <v>272</v>
      </c>
      <c r="I41" s="13" t="s">
        <v>49</v>
      </c>
      <c r="J41" s="13"/>
      <c r="K41" s="83">
        <v>0</v>
      </c>
      <c r="L41" s="13" t="s">
        <v>260</v>
      </c>
      <c r="M41" s="83">
        <v>77.099999999999994</v>
      </c>
      <c r="N41" s="13"/>
      <c r="O41" s="13"/>
      <c r="P41" s="13"/>
      <c r="Q41" s="83">
        <v>5</v>
      </c>
      <c r="R41" s="13" t="s">
        <v>274</v>
      </c>
      <c r="S41" s="13"/>
      <c r="T41"/>
      <c r="U41" s="7">
        <v>5</v>
      </c>
    </row>
    <row r="42" spans="3:21" x14ac:dyDescent="0.25">
      <c r="C42" s="13"/>
      <c r="D42" s="13"/>
      <c r="E42" s="13"/>
      <c r="F42" s="13" t="s">
        <v>259</v>
      </c>
      <c r="G42" s="13"/>
      <c r="H42" s="13" t="s">
        <v>269</v>
      </c>
      <c r="I42" s="13" t="s">
        <v>49</v>
      </c>
      <c r="J42" s="13"/>
      <c r="K42" s="83">
        <v>2010</v>
      </c>
      <c r="L42" s="13" t="s">
        <v>260</v>
      </c>
      <c r="M42" s="83">
        <v>-1</v>
      </c>
      <c r="N42" s="13"/>
      <c r="O42" s="13"/>
      <c r="P42" s="13"/>
      <c r="Q42" s="83">
        <v>0</v>
      </c>
      <c r="R42" s="13"/>
      <c r="S42" s="13"/>
      <c r="T42"/>
      <c r="U42" s="7">
        <v>0</v>
      </c>
    </row>
    <row r="43" spans="3:21" x14ac:dyDescent="0.25">
      <c r="C43" s="13" t="s">
        <v>273</v>
      </c>
      <c r="D43" s="13" t="s">
        <v>272</v>
      </c>
      <c r="E43" s="13" t="s">
        <v>265</v>
      </c>
      <c r="F43" s="13" t="s">
        <v>264</v>
      </c>
      <c r="G43" s="13"/>
      <c r="H43" s="13" t="s">
        <v>272</v>
      </c>
      <c r="I43" s="13" t="s">
        <v>28</v>
      </c>
      <c r="J43" s="13"/>
      <c r="K43" s="83">
        <v>0</v>
      </c>
      <c r="L43" s="13" t="s">
        <v>260</v>
      </c>
      <c r="M43" s="83">
        <v>77.099999999999994</v>
      </c>
      <c r="N43" s="13"/>
      <c r="O43" s="13"/>
      <c r="P43" s="13"/>
      <c r="Q43" s="83">
        <v>5</v>
      </c>
      <c r="R43" s="13" t="s">
        <v>271</v>
      </c>
      <c r="S43" s="13"/>
      <c r="T43"/>
      <c r="U43" s="7">
        <v>5</v>
      </c>
    </row>
    <row r="44" spans="3:21" x14ac:dyDescent="0.25">
      <c r="C44" s="13"/>
      <c r="D44" s="13"/>
      <c r="E44" s="13"/>
      <c r="F44" s="13" t="s">
        <v>356</v>
      </c>
      <c r="G44" s="13"/>
      <c r="H44" s="13" t="s">
        <v>143</v>
      </c>
      <c r="I44" s="13" t="s">
        <v>28</v>
      </c>
      <c r="J44" s="13"/>
      <c r="K44" s="83">
        <v>2010</v>
      </c>
      <c r="L44" s="13" t="s">
        <v>260</v>
      </c>
      <c r="M44" s="83">
        <f>-M41*0.4</f>
        <v>-30.84</v>
      </c>
      <c r="N44" s="13"/>
      <c r="O44" s="13"/>
      <c r="P44" s="13"/>
      <c r="Q44" s="83">
        <v>0</v>
      </c>
      <c r="R44" s="13"/>
      <c r="S44" s="13"/>
      <c r="T44"/>
      <c r="U44" s="7">
        <v>0</v>
      </c>
    </row>
    <row r="45" spans="3:21" x14ac:dyDescent="0.25">
      <c r="C45" s="13"/>
      <c r="D45" s="13"/>
      <c r="E45" s="13"/>
      <c r="F45" s="13" t="s">
        <v>356</v>
      </c>
      <c r="G45" s="13"/>
      <c r="H45" s="13" t="s">
        <v>270</v>
      </c>
      <c r="I45" s="13"/>
      <c r="J45" s="13"/>
      <c r="K45" s="13"/>
      <c r="L45" s="13" t="s">
        <v>260</v>
      </c>
      <c r="M45" s="83">
        <f>-(M41-74.1)*0.5</f>
        <v>-1.5</v>
      </c>
      <c r="N45" s="13"/>
      <c r="O45" s="13"/>
      <c r="P45" s="13"/>
      <c r="Q45" s="13"/>
      <c r="R45" s="13"/>
      <c r="S45" s="13"/>
      <c r="T45"/>
      <c r="U45"/>
    </row>
    <row r="46" spans="3:21" x14ac:dyDescent="0.25">
      <c r="C46" s="13"/>
      <c r="D46" s="13"/>
      <c r="E46" s="13"/>
      <c r="F46" s="13" t="s">
        <v>259</v>
      </c>
      <c r="G46" s="13"/>
      <c r="H46" s="13" t="s">
        <v>269</v>
      </c>
      <c r="I46" s="13"/>
      <c r="J46" s="13"/>
      <c r="K46" s="13"/>
      <c r="L46" s="13" t="s">
        <v>260</v>
      </c>
      <c r="M46" s="83">
        <v>-1</v>
      </c>
      <c r="N46" s="13"/>
      <c r="O46" s="13"/>
      <c r="P46" s="13"/>
      <c r="Q46" s="13"/>
      <c r="R46" s="13"/>
      <c r="S46" s="13"/>
      <c r="T46"/>
      <c r="U46"/>
    </row>
    <row r="47" spans="3:21" x14ac:dyDescent="0.25">
      <c r="C47" s="13" t="s">
        <v>268</v>
      </c>
      <c r="D47" s="13" t="s">
        <v>263</v>
      </c>
      <c r="E47" s="13" t="s">
        <v>265</v>
      </c>
      <c r="F47" s="13" t="s">
        <v>264</v>
      </c>
      <c r="G47" s="13"/>
      <c r="H47" s="13" t="s">
        <v>263</v>
      </c>
      <c r="I47" s="13" t="s">
        <v>49</v>
      </c>
      <c r="J47" s="13"/>
      <c r="K47" s="83">
        <v>0</v>
      </c>
      <c r="L47" s="13" t="s">
        <v>260</v>
      </c>
      <c r="M47" s="83">
        <v>56.1</v>
      </c>
      <c r="N47" s="13"/>
      <c r="O47" s="13"/>
      <c r="P47" s="13"/>
      <c r="Q47" s="83">
        <v>5</v>
      </c>
      <c r="R47" s="13" t="s">
        <v>267</v>
      </c>
      <c r="S47" s="13"/>
      <c r="T47"/>
      <c r="U47" s="7">
        <v>5</v>
      </c>
    </row>
    <row r="48" spans="3:21" x14ac:dyDescent="0.25">
      <c r="C48" s="13"/>
      <c r="D48" s="13"/>
      <c r="E48" s="13"/>
      <c r="F48" s="13" t="s">
        <v>259</v>
      </c>
      <c r="G48" s="13"/>
      <c r="H48" s="13" t="s">
        <v>261</v>
      </c>
      <c r="I48" s="13" t="s">
        <v>49</v>
      </c>
      <c r="J48" s="13"/>
      <c r="K48" s="83">
        <v>2010</v>
      </c>
      <c r="L48" s="13" t="s">
        <v>260</v>
      </c>
      <c r="M48" s="83">
        <v>-1</v>
      </c>
      <c r="N48" s="13"/>
      <c r="O48" s="13"/>
      <c r="P48" s="13"/>
      <c r="Q48" s="83">
        <v>0</v>
      </c>
      <c r="R48" s="13"/>
      <c r="S48" s="13"/>
      <c r="T48"/>
      <c r="U48" s="7">
        <v>0</v>
      </c>
    </row>
    <row r="49" spans="3:21" x14ac:dyDescent="0.25">
      <c r="C49" s="13" t="s">
        <v>266</v>
      </c>
      <c r="D49" s="13" t="s">
        <v>263</v>
      </c>
      <c r="E49" s="13" t="s">
        <v>265</v>
      </c>
      <c r="F49" s="13" t="s">
        <v>264</v>
      </c>
      <c r="G49" s="13"/>
      <c r="H49" s="13" t="s">
        <v>263</v>
      </c>
      <c r="I49" s="13" t="s">
        <v>28</v>
      </c>
      <c r="J49" s="13"/>
      <c r="K49" s="83">
        <v>0</v>
      </c>
      <c r="L49" s="13" t="s">
        <v>260</v>
      </c>
      <c r="M49" s="83">
        <v>56.1</v>
      </c>
      <c r="N49" s="13"/>
      <c r="O49" s="13"/>
      <c r="P49" s="13"/>
      <c r="Q49" s="83">
        <v>5</v>
      </c>
      <c r="R49" s="13" t="s">
        <v>262</v>
      </c>
      <c r="S49" s="13"/>
      <c r="T49"/>
      <c r="U49" s="7">
        <v>5</v>
      </c>
    </row>
    <row r="50" spans="3:21" x14ac:dyDescent="0.25">
      <c r="C50" s="13"/>
      <c r="D50" s="13"/>
      <c r="E50" s="13"/>
      <c r="F50" s="13" t="s">
        <v>357</v>
      </c>
      <c r="G50" s="13"/>
      <c r="H50" s="13" t="s">
        <v>519</v>
      </c>
      <c r="I50" s="13" t="s">
        <v>28</v>
      </c>
      <c r="J50" s="13"/>
      <c r="K50" s="83">
        <v>2010</v>
      </c>
      <c r="L50" s="13" t="s">
        <v>260</v>
      </c>
      <c r="M50" s="83">
        <f>-M49*0.4</f>
        <v>-22.44</v>
      </c>
      <c r="N50" s="13"/>
      <c r="O50" s="13"/>
      <c r="P50" s="13"/>
      <c r="Q50" s="83">
        <v>0</v>
      </c>
      <c r="R50" s="13"/>
      <c r="S50" s="13"/>
      <c r="T50"/>
      <c r="U50" s="7">
        <v>0</v>
      </c>
    </row>
    <row r="51" spans="3:21" x14ac:dyDescent="0.25">
      <c r="C51" s="13"/>
      <c r="D51" s="13"/>
      <c r="E51" s="13"/>
      <c r="F51" s="13" t="s">
        <v>259</v>
      </c>
      <c r="G51" s="13"/>
      <c r="H51" s="13" t="s">
        <v>261</v>
      </c>
      <c r="I51" s="13"/>
      <c r="J51" s="13"/>
      <c r="K51" s="13"/>
      <c r="L51" s="13" t="s">
        <v>260</v>
      </c>
      <c r="M51" s="83">
        <v>-1</v>
      </c>
      <c r="N51" s="13"/>
      <c r="O51" s="13"/>
      <c r="P51" s="13"/>
      <c r="Q51" s="13"/>
      <c r="R51" s="13"/>
      <c r="S51" s="13"/>
      <c r="T51"/>
      <c r="U51"/>
    </row>
  </sheetData>
  <phoneticPr fontId="3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4"/>
  <sheetViews>
    <sheetView tabSelected="1" workbookViewId="0">
      <selection activeCell="C4" sqref="C4:I7"/>
    </sheetView>
  </sheetViews>
  <sheetFormatPr defaultRowHeight="12.75" x14ac:dyDescent="0.2"/>
  <cols>
    <col min="2" max="2" width="14.5703125" customWidth="1"/>
    <col min="7" max="7" width="12.140625" customWidth="1"/>
    <col min="15" max="15" width="9.7109375" customWidth="1"/>
  </cols>
  <sheetData>
    <row r="3" spans="2:15" ht="15" x14ac:dyDescent="0.25">
      <c r="B3" s="203"/>
      <c r="C3" s="206">
        <v>2020</v>
      </c>
      <c r="D3" s="206">
        <v>2025</v>
      </c>
      <c r="E3" s="206">
        <v>2030</v>
      </c>
      <c r="F3" s="206">
        <v>2035</v>
      </c>
      <c r="G3" s="206">
        <v>2040</v>
      </c>
      <c r="H3" s="206">
        <v>2045</v>
      </c>
      <c r="I3" s="206">
        <v>2050</v>
      </c>
    </row>
    <row r="4" spans="2:15" ht="15" x14ac:dyDescent="0.25">
      <c r="B4" s="204" t="s">
        <v>522</v>
      </c>
      <c r="C4" s="207">
        <v>34.86990540206267</v>
      </c>
      <c r="D4" s="207">
        <v>23.246603601375114</v>
      </c>
      <c r="E4" s="207">
        <v>11.623301800687555</v>
      </c>
      <c r="F4" s="207">
        <v>0</v>
      </c>
      <c r="G4" s="207">
        <v>-2.99957322180639</v>
      </c>
      <c r="H4" s="207">
        <v>-5.3869662589824205</v>
      </c>
      <c r="I4" s="207">
        <v>-7.7743592961584556</v>
      </c>
    </row>
    <row r="5" spans="2:15" ht="15" x14ac:dyDescent="0.25">
      <c r="B5" s="204" t="s">
        <v>523</v>
      </c>
      <c r="C5" s="207">
        <v>50.996334025251144</v>
      </c>
      <c r="D5" s="207">
        <v>41.692762483211027</v>
      </c>
      <c r="E5" s="207">
        <v>32.389190941170909</v>
      </c>
      <c r="F5" s="207">
        <v>20.765889140483353</v>
      </c>
      <c r="G5" s="207">
        <v>17.766315918676963</v>
      </c>
      <c r="H5" s="207">
        <v>15.989684326809265</v>
      </c>
      <c r="I5" s="207">
        <v>14.213052734941567</v>
      </c>
    </row>
    <row r="6" spans="2:15" ht="15" x14ac:dyDescent="0.25">
      <c r="B6" s="204" t="s">
        <v>524</v>
      </c>
      <c r="C6" s="207">
        <v>-16.126428623188474</v>
      </c>
      <c r="D6" s="207">
        <v>-18.446158881835913</v>
      </c>
      <c r="E6" s="207">
        <v>-20.765889140483353</v>
      </c>
      <c r="F6" s="207">
        <v>-20.765889140483353</v>
      </c>
      <c r="G6" s="207">
        <v>-20.765889140483353</v>
      </c>
      <c r="H6" s="207">
        <v>-21.376650585791687</v>
      </c>
      <c r="I6" s="207">
        <v>-21.987412031100021</v>
      </c>
    </row>
    <row r="7" spans="2:15" ht="15" x14ac:dyDescent="0.25">
      <c r="B7" s="205" t="s">
        <v>525</v>
      </c>
      <c r="C7" s="208">
        <v>40.796429166932796</v>
      </c>
      <c r="D7" s="208">
        <v>32.262722007166062</v>
      </c>
      <c r="E7" s="208">
        <v>23.729014847399327</v>
      </c>
      <c r="F7" s="208">
        <v>12.651211655522474</v>
      </c>
      <c r="G7" s="208">
        <v>10.197137042526784</v>
      </c>
      <c r="H7" s="208">
        <v>8.9660040594697872</v>
      </c>
      <c r="I7" s="208">
        <v>7.7348710764127899</v>
      </c>
    </row>
    <row r="8" spans="2:15" x14ac:dyDescent="0.2">
      <c r="C8" s="227">
        <f t="shared" ref="C8:H8" si="0">C4-C6-C7</f>
        <v>10.199904858318348</v>
      </c>
      <c r="D8" s="227">
        <f t="shared" si="0"/>
        <v>9.4300404760449652</v>
      </c>
      <c r="E8" s="227">
        <f t="shared" si="0"/>
        <v>8.6601760937715824</v>
      </c>
      <c r="F8" s="227">
        <f t="shared" si="0"/>
        <v>8.1146774849608789</v>
      </c>
      <c r="G8" s="227">
        <f t="shared" si="0"/>
        <v>7.569178876150179</v>
      </c>
      <c r="H8" s="227">
        <f t="shared" si="0"/>
        <v>7.0236802673394791</v>
      </c>
      <c r="I8" s="227">
        <f>I4-I6-I7</f>
        <v>6.4781816585287766</v>
      </c>
    </row>
    <row r="10" spans="2:15" x14ac:dyDescent="0.2">
      <c r="B10" s="226" t="s">
        <v>532</v>
      </c>
      <c r="C10" s="224"/>
      <c r="D10" s="225">
        <v>20</v>
      </c>
      <c r="E10" s="225">
        <v>25</v>
      </c>
      <c r="F10" s="225">
        <v>30</v>
      </c>
      <c r="G10" s="225">
        <v>40</v>
      </c>
      <c r="H10" s="225">
        <v>50</v>
      </c>
      <c r="I10" s="225">
        <v>60</v>
      </c>
    </row>
    <row r="13" spans="2:15" ht="15" x14ac:dyDescent="0.25">
      <c r="B13" s="14" t="s">
        <v>298</v>
      </c>
      <c r="C13" s="209"/>
      <c r="D13" s="2"/>
      <c r="E13" s="2"/>
      <c r="F13" s="53"/>
      <c r="G13" s="15" t="s">
        <v>18</v>
      </c>
      <c r="H13" s="2"/>
      <c r="I13" s="2"/>
      <c r="J13" s="2"/>
      <c r="K13" s="2"/>
      <c r="L13" s="2"/>
      <c r="M13" s="2"/>
      <c r="N13" s="53"/>
    </row>
    <row r="14" spans="2:15" ht="13.5" thickBot="1" x14ac:dyDescent="0.25">
      <c r="B14" s="16" t="s">
        <v>19</v>
      </c>
      <c r="C14" s="16" t="s">
        <v>485</v>
      </c>
      <c r="D14" s="16" t="s">
        <v>287</v>
      </c>
      <c r="E14" s="16" t="s">
        <v>20</v>
      </c>
      <c r="F14" s="19" t="s">
        <v>5</v>
      </c>
      <c r="G14" s="16" t="s">
        <v>6</v>
      </c>
      <c r="H14" s="16">
        <v>2025</v>
      </c>
      <c r="I14" s="16">
        <v>2030</v>
      </c>
      <c r="J14" s="16">
        <v>2035</v>
      </c>
      <c r="K14" s="16">
        <v>2040</v>
      </c>
      <c r="L14" s="16">
        <v>2045</v>
      </c>
      <c r="M14" s="16">
        <v>2050</v>
      </c>
      <c r="N14" s="219">
        <v>0</v>
      </c>
      <c r="O14" s="16" t="s">
        <v>281</v>
      </c>
    </row>
    <row r="15" spans="2:15" x14ac:dyDescent="0.2">
      <c r="B15" s="211" t="s">
        <v>527</v>
      </c>
      <c r="C15" s="211"/>
      <c r="D15" s="211"/>
      <c r="E15" s="211" t="s">
        <v>528</v>
      </c>
      <c r="F15" s="212"/>
      <c r="G15" s="211" t="s">
        <v>526</v>
      </c>
      <c r="H15" s="213">
        <v>1</v>
      </c>
      <c r="I15" s="214"/>
      <c r="J15" s="215"/>
      <c r="K15" s="215"/>
      <c r="L15" s="215"/>
      <c r="M15" s="215"/>
      <c r="N15" s="220"/>
      <c r="O15" s="216"/>
    </row>
    <row r="16" spans="2:15" x14ac:dyDescent="0.2">
      <c r="B16" s="214"/>
      <c r="C16" s="214"/>
      <c r="D16" s="214"/>
      <c r="E16" s="214"/>
      <c r="F16" s="217" t="s">
        <v>28</v>
      </c>
      <c r="G16" s="217" t="s">
        <v>529</v>
      </c>
      <c r="H16" s="218">
        <f t="shared" ref="H16:M16" si="1">D7*1000</f>
        <v>32262.722007166063</v>
      </c>
      <c r="I16" s="218">
        <f t="shared" si="1"/>
        <v>23729.014847399329</v>
      </c>
      <c r="J16" s="218">
        <f t="shared" si="1"/>
        <v>12651.211655522473</v>
      </c>
      <c r="K16" s="218">
        <f t="shared" si="1"/>
        <v>10197.137042526783</v>
      </c>
      <c r="L16" s="218">
        <f t="shared" si="1"/>
        <v>8966.0040594697875</v>
      </c>
      <c r="M16" s="218">
        <f t="shared" si="1"/>
        <v>7734.87107641279</v>
      </c>
      <c r="N16" s="220">
        <v>5</v>
      </c>
      <c r="O16" s="214"/>
    </row>
    <row r="17" spans="2:16" x14ac:dyDescent="0.2">
      <c r="B17" s="229" t="s">
        <v>542</v>
      </c>
      <c r="C17" s="13"/>
      <c r="D17" s="13"/>
      <c r="E17" s="229" t="s">
        <v>147</v>
      </c>
      <c r="F17" s="13"/>
      <c r="G17" s="211" t="s">
        <v>526</v>
      </c>
      <c r="H17" s="213">
        <v>1</v>
      </c>
      <c r="I17" s="214"/>
      <c r="J17" s="215"/>
      <c r="K17" s="215"/>
      <c r="L17" s="215"/>
      <c r="M17" s="215"/>
      <c r="N17" s="220"/>
      <c r="O17" s="216"/>
    </row>
    <row r="18" spans="2:16" ht="15" x14ac:dyDescent="0.25">
      <c r="B18" s="229"/>
      <c r="C18" s="230"/>
      <c r="D18" s="230"/>
      <c r="E18" s="229"/>
      <c r="F18" s="217" t="s">
        <v>28</v>
      </c>
      <c r="G18" s="230" t="s">
        <v>529</v>
      </c>
      <c r="H18" s="230"/>
      <c r="I18" s="231">
        <f>33720*0.61</f>
        <v>20569.2</v>
      </c>
      <c r="J18" s="232"/>
      <c r="K18" s="231">
        <f>33720*0.5</f>
        <v>16860</v>
      </c>
      <c r="L18" s="13"/>
      <c r="M18" s="231">
        <f>33720*0.4</f>
        <v>13488</v>
      </c>
      <c r="N18" s="220">
        <v>5</v>
      </c>
      <c r="O18" s="233"/>
    </row>
    <row r="19" spans="2:16" ht="15" x14ac:dyDescent="0.25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</row>
    <row r="20" spans="2:16" x14ac:dyDescent="0.2">
      <c r="P20" s="5"/>
    </row>
    <row r="21" spans="2:16" x14ac:dyDescent="0.2">
      <c r="B21" s="8" t="s">
        <v>36</v>
      </c>
      <c r="K21" s="5"/>
      <c r="L21" s="6"/>
      <c r="M21" s="6"/>
      <c r="N21" s="6"/>
      <c r="O21" s="6"/>
    </row>
    <row r="22" spans="2:16" ht="13.5" thickBot="1" x14ac:dyDescent="0.25">
      <c r="B22" s="9" t="s">
        <v>4</v>
      </c>
      <c r="C22" s="9" t="s">
        <v>5</v>
      </c>
      <c r="D22" s="9" t="s">
        <v>6</v>
      </c>
      <c r="E22" s="9" t="s">
        <v>502</v>
      </c>
      <c r="F22" s="223" t="s">
        <v>37</v>
      </c>
      <c r="G22" s="12">
        <v>2025</v>
      </c>
      <c r="H22" s="12">
        <v>2030</v>
      </c>
      <c r="I22" s="12">
        <v>2035</v>
      </c>
      <c r="J22" s="12">
        <v>2040</v>
      </c>
      <c r="K22" s="12">
        <v>2045</v>
      </c>
      <c r="L22" s="12">
        <v>2050</v>
      </c>
      <c r="M22" s="84">
        <v>0</v>
      </c>
      <c r="N22" s="9" t="s">
        <v>13</v>
      </c>
      <c r="O22" s="38" t="s">
        <v>8</v>
      </c>
    </row>
    <row r="23" spans="2:16" x14ac:dyDescent="0.2">
      <c r="B23" s="40" t="s">
        <v>35</v>
      </c>
      <c r="C23" s="40"/>
      <c r="D23" s="40" t="s">
        <v>530</v>
      </c>
      <c r="E23" s="40" t="s">
        <v>531</v>
      </c>
      <c r="F23" s="147" t="s">
        <v>17</v>
      </c>
      <c r="G23" s="98">
        <f t="shared" ref="G23:L24" si="2">D$10/1000</f>
        <v>0.02</v>
      </c>
      <c r="H23" s="98">
        <f t="shared" si="2"/>
        <v>2.5000000000000001E-2</v>
      </c>
      <c r="I23" s="98">
        <f t="shared" si="2"/>
        <v>0.03</v>
      </c>
      <c r="J23" s="98">
        <f t="shared" si="2"/>
        <v>0.04</v>
      </c>
      <c r="K23" s="98">
        <f t="shared" si="2"/>
        <v>0.05</v>
      </c>
      <c r="L23" s="98">
        <f t="shared" si="2"/>
        <v>0.06</v>
      </c>
      <c r="M23" s="222">
        <v>5</v>
      </c>
      <c r="N23" s="40"/>
      <c r="O23" s="40" t="s">
        <v>367</v>
      </c>
    </row>
    <row r="24" spans="2:16" x14ac:dyDescent="0.2">
      <c r="B24" s="40" t="s">
        <v>35</v>
      </c>
      <c r="C24" s="40"/>
      <c r="D24" s="40" t="s">
        <v>530</v>
      </c>
      <c r="E24" s="40" t="s">
        <v>531</v>
      </c>
      <c r="F24" s="147" t="s">
        <v>235</v>
      </c>
      <c r="G24" s="98">
        <f t="shared" si="2"/>
        <v>0.02</v>
      </c>
      <c r="H24" s="98">
        <f t="shared" si="2"/>
        <v>2.5000000000000001E-2</v>
      </c>
      <c r="I24" s="98">
        <f t="shared" si="2"/>
        <v>0.03</v>
      </c>
      <c r="J24" s="98">
        <f t="shared" si="2"/>
        <v>0.04</v>
      </c>
      <c r="K24" s="98">
        <f t="shared" si="2"/>
        <v>0.05</v>
      </c>
      <c r="L24" s="98">
        <f t="shared" si="2"/>
        <v>0.06</v>
      </c>
      <c r="M24" s="147">
        <v>5</v>
      </c>
      <c r="N24" s="40"/>
      <c r="O24" s="40" t="s">
        <v>367</v>
      </c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zoomScale="90" workbookViewId="0"/>
  </sheetViews>
  <sheetFormatPr defaultRowHeight="12.75" x14ac:dyDescent="0.2"/>
  <cols>
    <col min="2" max="2" width="5.140625" customWidth="1"/>
    <col min="3" max="3" width="8.140625" customWidth="1"/>
    <col min="4" max="4" width="10" customWidth="1"/>
    <col min="12" max="12" width="7.140625" customWidth="1"/>
  </cols>
  <sheetData>
    <row r="1" spans="1:18" ht="15.75" x14ac:dyDescent="0.25">
      <c r="B1" s="228" t="s">
        <v>543</v>
      </c>
      <c r="C1" s="34"/>
      <c r="D1" s="34"/>
      <c r="E1" s="34"/>
      <c r="F1" s="34"/>
      <c r="G1" s="34"/>
    </row>
    <row r="3" spans="1:18" x14ac:dyDescent="0.2">
      <c r="C3" s="54" t="s">
        <v>36</v>
      </c>
    </row>
    <row r="4" spans="1:18" ht="13.5" thickBot="1" x14ac:dyDescent="0.25">
      <c r="C4" s="9" t="s">
        <v>5</v>
      </c>
      <c r="D4" s="9" t="s">
        <v>6</v>
      </c>
      <c r="E4" s="9" t="s">
        <v>546</v>
      </c>
      <c r="F4" s="9" t="s">
        <v>37</v>
      </c>
      <c r="G4" s="12">
        <v>2030</v>
      </c>
      <c r="H4" s="12">
        <v>2040</v>
      </c>
      <c r="I4" s="12">
        <v>2050</v>
      </c>
      <c r="J4" s="12">
        <v>2070</v>
      </c>
      <c r="K4" s="12">
        <v>2100</v>
      </c>
      <c r="L4" s="84">
        <v>0</v>
      </c>
      <c r="M4" s="9" t="s">
        <v>10</v>
      </c>
      <c r="N4" s="10" t="s">
        <v>13</v>
      </c>
      <c r="O4" s="9" t="s">
        <v>15</v>
      </c>
      <c r="P4" s="10" t="s">
        <v>8</v>
      </c>
      <c r="R4" s="37" t="s">
        <v>548</v>
      </c>
    </row>
    <row r="5" spans="1:18" x14ac:dyDescent="0.2">
      <c r="A5" t="s">
        <v>540</v>
      </c>
      <c r="C5" s="27"/>
      <c r="D5" s="28" t="s">
        <v>447</v>
      </c>
      <c r="E5" s="27"/>
      <c r="F5" s="241" t="s">
        <v>17</v>
      </c>
      <c r="G5" s="33">
        <v>40</v>
      </c>
      <c r="H5" s="239"/>
      <c r="I5" s="239"/>
      <c r="J5" s="239"/>
      <c r="K5" s="239"/>
      <c r="L5" s="240"/>
      <c r="M5" s="27"/>
      <c r="N5" s="28" t="s">
        <v>536</v>
      </c>
      <c r="O5" s="27"/>
      <c r="P5" s="28"/>
      <c r="R5" s="33"/>
    </row>
    <row r="6" spans="1:18" x14ac:dyDescent="0.2">
      <c r="A6" t="s">
        <v>540</v>
      </c>
      <c r="C6" s="27"/>
      <c r="D6" s="28" t="s">
        <v>447</v>
      </c>
      <c r="E6" s="27"/>
      <c r="F6" s="241" t="s">
        <v>539</v>
      </c>
      <c r="G6" s="33">
        <v>40</v>
      </c>
      <c r="H6" s="239"/>
      <c r="I6" s="239"/>
      <c r="J6" s="239"/>
      <c r="K6" s="239"/>
      <c r="L6" s="240"/>
      <c r="M6" s="27"/>
      <c r="N6" s="28" t="s">
        <v>536</v>
      </c>
      <c r="O6" s="27"/>
      <c r="P6" s="28"/>
      <c r="R6" s="33"/>
    </row>
    <row r="7" spans="1:18" x14ac:dyDescent="0.2">
      <c r="A7" t="s">
        <v>540</v>
      </c>
      <c r="C7" s="63"/>
      <c r="D7" s="63" t="s">
        <v>538</v>
      </c>
      <c r="E7" s="63"/>
      <c r="F7" s="63" t="s">
        <v>17</v>
      </c>
      <c r="G7" s="71">
        <v>0</v>
      </c>
      <c r="H7" s="71">
        <v>0</v>
      </c>
      <c r="I7" s="71">
        <v>0</v>
      </c>
      <c r="J7" s="63"/>
      <c r="K7" s="63"/>
      <c r="L7" s="234"/>
      <c r="M7" s="63"/>
      <c r="N7" s="235" t="s">
        <v>536</v>
      </c>
      <c r="O7" s="63"/>
      <c r="P7" s="63"/>
      <c r="R7" s="71">
        <f>SUM(G7:I7)</f>
        <v>0</v>
      </c>
    </row>
    <row r="8" spans="1:18" x14ac:dyDescent="0.2">
      <c r="A8" t="s">
        <v>540</v>
      </c>
      <c r="C8" s="63"/>
      <c r="D8" s="63" t="s">
        <v>538</v>
      </c>
      <c r="E8" s="63"/>
      <c r="F8" s="63" t="s">
        <v>539</v>
      </c>
      <c r="G8" s="71">
        <v>0</v>
      </c>
      <c r="H8" s="71">
        <v>0</v>
      </c>
      <c r="I8" s="71">
        <v>0</v>
      </c>
      <c r="J8" s="63"/>
      <c r="K8" s="63"/>
      <c r="L8" s="234"/>
      <c r="M8" s="63"/>
      <c r="N8" s="235" t="s">
        <v>536</v>
      </c>
      <c r="O8" s="63"/>
      <c r="P8" s="63"/>
      <c r="R8" s="71">
        <f>SUM(G8:I8)</f>
        <v>0</v>
      </c>
    </row>
    <row r="9" spans="1:18" x14ac:dyDescent="0.2">
      <c r="A9" t="s">
        <v>541</v>
      </c>
      <c r="C9" s="63"/>
      <c r="D9" s="63" t="s">
        <v>538</v>
      </c>
      <c r="E9" s="63"/>
      <c r="F9" s="63" t="s">
        <v>17</v>
      </c>
      <c r="G9" s="71">
        <v>0</v>
      </c>
      <c r="H9" s="71">
        <v>0</v>
      </c>
      <c r="I9" s="71">
        <v>0</v>
      </c>
      <c r="J9" s="63"/>
      <c r="K9" s="63"/>
      <c r="L9" s="234"/>
      <c r="M9" s="63"/>
      <c r="N9" s="235" t="s">
        <v>537</v>
      </c>
      <c r="O9" s="63"/>
      <c r="P9" s="63"/>
      <c r="R9" s="71">
        <f>SUM(G9:I9)</f>
        <v>0</v>
      </c>
    </row>
    <row r="10" spans="1:18" x14ac:dyDescent="0.2">
      <c r="C10" s="63" t="s">
        <v>28</v>
      </c>
      <c r="D10" s="63" t="s">
        <v>195</v>
      </c>
      <c r="E10" s="63"/>
      <c r="F10" s="63" t="s">
        <v>17</v>
      </c>
      <c r="G10" s="71">
        <v>1000</v>
      </c>
      <c r="H10" s="71">
        <v>2000</v>
      </c>
      <c r="I10" s="71">
        <v>3000</v>
      </c>
      <c r="J10" s="63"/>
      <c r="K10" s="63"/>
      <c r="L10" s="236">
        <v>5</v>
      </c>
      <c r="M10" s="63"/>
      <c r="N10" s="235" t="s">
        <v>537</v>
      </c>
      <c r="O10" s="63"/>
      <c r="P10" s="63"/>
      <c r="R10" s="71"/>
    </row>
    <row r="11" spans="1:18" x14ac:dyDescent="0.2">
      <c r="C11" s="237"/>
      <c r="D11" s="237" t="s">
        <v>104</v>
      </c>
      <c r="E11" s="237"/>
      <c r="F11" s="237"/>
      <c r="G11" s="237"/>
      <c r="H11" s="237"/>
      <c r="I11" s="237"/>
      <c r="J11" s="237"/>
      <c r="K11" s="237"/>
      <c r="L11" s="238"/>
      <c r="M11" s="237"/>
      <c r="N11" s="237"/>
      <c r="O11" s="237"/>
      <c r="P11" s="237"/>
    </row>
    <row r="12" spans="1:18" x14ac:dyDescent="0.2">
      <c r="A12" t="s">
        <v>544</v>
      </c>
      <c r="C12" s="63"/>
      <c r="D12" s="63" t="s">
        <v>384</v>
      </c>
      <c r="E12" s="63"/>
      <c r="F12" s="63" t="s">
        <v>17</v>
      </c>
      <c r="G12" s="63"/>
      <c r="H12" s="63"/>
      <c r="I12" s="63"/>
      <c r="J12" s="63"/>
      <c r="K12" s="63"/>
      <c r="L12" s="236">
        <v>2150</v>
      </c>
      <c r="M12" s="63"/>
      <c r="N12" s="63" t="s">
        <v>545</v>
      </c>
      <c r="O12" s="63"/>
      <c r="P12" s="63"/>
    </row>
    <row r="13" spans="1:18" x14ac:dyDescent="0.2">
      <c r="C13" s="63" t="s">
        <v>49</v>
      </c>
      <c r="D13" s="63" t="s">
        <v>50</v>
      </c>
      <c r="E13" s="63" t="s">
        <v>35</v>
      </c>
      <c r="F13" s="63" t="s">
        <v>17</v>
      </c>
      <c r="G13" s="71">
        <v>0</v>
      </c>
      <c r="H13" s="71">
        <v>0</v>
      </c>
      <c r="I13" s="71">
        <v>0</v>
      </c>
      <c r="J13" s="63"/>
      <c r="K13" s="63"/>
      <c r="L13" s="236">
        <v>5</v>
      </c>
      <c r="M13" s="63"/>
      <c r="N13" s="63" t="s">
        <v>545</v>
      </c>
      <c r="O13" s="63"/>
      <c r="P13" s="63"/>
    </row>
  </sheetData>
  <phoneticPr fontId="6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D1:V70"/>
  <sheetViews>
    <sheetView topLeftCell="A15" zoomScale="80" workbookViewId="0">
      <selection activeCell="D70" sqref="D70"/>
    </sheetView>
  </sheetViews>
  <sheetFormatPr defaultRowHeight="12.75" x14ac:dyDescent="0.2"/>
  <cols>
    <col min="1" max="1" width="6.7109375" customWidth="1"/>
    <col min="3" max="3" width="7.42578125" customWidth="1"/>
    <col min="4" max="4" width="7.5703125" customWidth="1"/>
    <col min="5" max="5" width="10.42578125" customWidth="1"/>
    <col min="6" max="6" width="8.42578125" customWidth="1"/>
    <col min="8" max="9" width="7.28515625" customWidth="1"/>
    <col min="10" max="14" width="8.42578125" customWidth="1"/>
  </cols>
  <sheetData>
    <row r="1" spans="4:14" ht="18" x14ac:dyDescent="0.25">
      <c r="D1" s="188" t="s">
        <v>514</v>
      </c>
      <c r="E1" s="188"/>
      <c r="F1" s="188"/>
      <c r="G1" s="188"/>
      <c r="J1" s="47">
        <v>0</v>
      </c>
      <c r="K1" s="48">
        <v>1</v>
      </c>
      <c r="L1" s="48">
        <v>2</v>
      </c>
      <c r="M1" s="48">
        <v>3</v>
      </c>
      <c r="N1" s="49">
        <v>4</v>
      </c>
    </row>
    <row r="5" spans="4:14" x14ac:dyDescent="0.2">
      <c r="D5" s="24" t="s">
        <v>510</v>
      </c>
      <c r="E5" s="24"/>
    </row>
    <row r="6" spans="4:14" x14ac:dyDescent="0.2">
      <c r="D6" s="174"/>
      <c r="E6" s="174"/>
      <c r="F6" s="178">
        <v>2017</v>
      </c>
      <c r="G6" s="178">
        <v>2020</v>
      </c>
      <c r="H6" s="178">
        <v>2025</v>
      </c>
      <c r="I6" s="178">
        <v>2030</v>
      </c>
      <c r="J6" s="178">
        <v>2040</v>
      </c>
      <c r="K6" s="178">
        <v>2050</v>
      </c>
      <c r="L6" s="178">
        <v>2070</v>
      </c>
    </row>
    <row r="7" spans="4:14" x14ac:dyDescent="0.2">
      <c r="D7" s="175" t="s">
        <v>17</v>
      </c>
      <c r="E7" s="176" t="s">
        <v>240</v>
      </c>
      <c r="F7" s="177">
        <v>1</v>
      </c>
      <c r="G7" s="67">
        <v>1.0323829121194987</v>
      </c>
      <c r="H7" s="67">
        <v>1.0862645343705124</v>
      </c>
      <c r="I7" s="67">
        <v>1.1441117064019013</v>
      </c>
      <c r="J7" s="67">
        <v>1.2310267469109761</v>
      </c>
      <c r="K7" s="67">
        <v>1.308858277819599</v>
      </c>
      <c r="L7" s="67">
        <v>1.3662501368904865</v>
      </c>
    </row>
    <row r="8" spans="4:14" x14ac:dyDescent="0.2">
      <c r="D8" s="175"/>
      <c r="E8" s="176" t="s">
        <v>241</v>
      </c>
      <c r="F8" s="177">
        <v>1</v>
      </c>
      <c r="G8" s="67">
        <v>1.015134350114375</v>
      </c>
      <c r="H8" s="67">
        <v>1.044204871018956</v>
      </c>
      <c r="I8" s="67">
        <v>1.0722892996228317</v>
      </c>
      <c r="J8" s="67">
        <v>1.1663766902703312</v>
      </c>
      <c r="K8" s="67">
        <v>1.287594658513562</v>
      </c>
      <c r="L8" s="67">
        <v>1.3798675468696333</v>
      </c>
    </row>
    <row r="9" spans="4:14" x14ac:dyDescent="0.2">
      <c r="D9" s="175"/>
      <c r="E9" s="176" t="s">
        <v>242</v>
      </c>
      <c r="F9" s="177">
        <v>1</v>
      </c>
      <c r="G9" s="67">
        <v>1.0251321661606476</v>
      </c>
      <c r="H9" s="67">
        <v>1.0660364004512082</v>
      </c>
      <c r="I9" s="67">
        <v>1.1109656786297952</v>
      </c>
      <c r="J9" s="67">
        <v>1.2029548246275665</v>
      </c>
      <c r="K9" s="67">
        <v>1.2973109416704114</v>
      </c>
      <c r="L9" s="67">
        <v>1.3677301321931161</v>
      </c>
    </row>
    <row r="10" spans="4:14" x14ac:dyDescent="0.2">
      <c r="D10" s="175" t="s">
        <v>235</v>
      </c>
      <c r="E10" s="176" t="s">
        <v>240</v>
      </c>
      <c r="F10" s="177">
        <v>1</v>
      </c>
      <c r="G10" s="67">
        <v>1.04497991127553</v>
      </c>
      <c r="H10" s="67">
        <v>1.125740142797641</v>
      </c>
      <c r="I10" s="67">
        <v>1.1656965352876492</v>
      </c>
      <c r="J10" s="67">
        <v>1.2437204119154244</v>
      </c>
      <c r="K10" s="67">
        <v>1.3203910418710392</v>
      </c>
      <c r="L10" s="67">
        <v>1.3768557235225378</v>
      </c>
    </row>
    <row r="11" spans="4:14" x14ac:dyDescent="0.2">
      <c r="D11" s="175"/>
      <c r="E11" s="176" t="s">
        <v>241</v>
      </c>
      <c r="F11" s="177">
        <v>1</v>
      </c>
      <c r="G11" s="67">
        <v>1.0569698455197483</v>
      </c>
      <c r="H11" s="67">
        <v>1.1460146019233157</v>
      </c>
      <c r="I11" s="67">
        <v>1.2397093681063434</v>
      </c>
      <c r="J11" s="67">
        <v>1.3517707019116676</v>
      </c>
      <c r="K11" s="67">
        <v>1.414561902014799</v>
      </c>
      <c r="L11" s="67">
        <v>1.4602432475035858</v>
      </c>
    </row>
    <row r="12" spans="4:14" x14ac:dyDescent="0.2">
      <c r="D12" s="179"/>
      <c r="E12" s="180" t="s">
        <v>242</v>
      </c>
      <c r="F12" s="181">
        <v>1</v>
      </c>
      <c r="G12" s="182">
        <v>1.0449799112755298</v>
      </c>
      <c r="H12" s="182">
        <v>1.1257401427976412</v>
      </c>
      <c r="I12" s="182">
        <v>1.1949251869576538</v>
      </c>
      <c r="J12" s="182">
        <v>1.3330613804151912</v>
      </c>
      <c r="K12" s="182">
        <v>1.4725290953378227</v>
      </c>
      <c r="L12" s="182">
        <v>1.5787505001178337</v>
      </c>
    </row>
    <row r="13" spans="4:14" x14ac:dyDescent="0.2">
      <c r="D13" s="186" t="s">
        <v>17</v>
      </c>
      <c r="E13" s="187" t="s">
        <v>205</v>
      </c>
      <c r="F13" s="185">
        <v>1</v>
      </c>
      <c r="G13" s="184">
        <v>1.0142208135018445</v>
      </c>
      <c r="H13" s="184">
        <v>1.0377538320078694</v>
      </c>
      <c r="I13" s="184">
        <v>1.0590105605320388</v>
      </c>
      <c r="J13" s="184">
        <v>1.0804621888301109</v>
      </c>
      <c r="K13" s="184">
        <v>1.099337107705211</v>
      </c>
      <c r="L13" s="184">
        <v>1.11467417453076</v>
      </c>
    </row>
    <row r="14" spans="4:14" x14ac:dyDescent="0.2">
      <c r="D14" s="186" t="s">
        <v>235</v>
      </c>
      <c r="E14" s="187" t="s">
        <v>205</v>
      </c>
      <c r="F14" s="185">
        <v>1</v>
      </c>
      <c r="G14" s="184">
        <v>1.034720485152161</v>
      </c>
      <c r="H14" s="184">
        <v>1.0873572817044528</v>
      </c>
      <c r="I14" s="184">
        <v>1.1344395591400946</v>
      </c>
      <c r="J14" s="184">
        <v>1.2001180229712765</v>
      </c>
      <c r="K14" s="184">
        <v>1.2536113881004207</v>
      </c>
      <c r="L14" s="184">
        <v>1.2924692172391652</v>
      </c>
    </row>
    <row r="15" spans="4:14" x14ac:dyDescent="0.2">
      <c r="D15" s="186" t="s">
        <v>17</v>
      </c>
      <c r="E15" s="187" t="s">
        <v>204</v>
      </c>
      <c r="F15" s="185">
        <v>1</v>
      </c>
      <c r="G15" s="184">
        <v>1.054565046634302</v>
      </c>
      <c r="H15" s="184">
        <v>1.147602101583568</v>
      </c>
      <c r="I15" s="184">
        <v>1.2332928194417758</v>
      </c>
      <c r="J15" s="184">
        <v>1.3829841650741816</v>
      </c>
      <c r="K15" s="184">
        <v>1.5162535393910275</v>
      </c>
      <c r="L15" s="184">
        <v>1.6171118579726824</v>
      </c>
    </row>
    <row r="16" spans="4:14" x14ac:dyDescent="0.2">
      <c r="D16" s="186" t="s">
        <v>235</v>
      </c>
      <c r="E16" s="187" t="s">
        <v>204</v>
      </c>
      <c r="F16" s="185">
        <v>1</v>
      </c>
      <c r="G16" s="184">
        <v>1.0642558504462116</v>
      </c>
      <c r="H16" s="184">
        <v>1.1690118722651068</v>
      </c>
      <c r="I16" s="184">
        <v>1.2651342449426115</v>
      </c>
      <c r="J16" s="184">
        <v>1.4351056225747238</v>
      </c>
      <c r="K16" s="184">
        <v>1.5832563612711359</v>
      </c>
      <c r="L16" s="184">
        <v>1.7736938314450417</v>
      </c>
    </row>
    <row r="19" spans="4:20" x14ac:dyDescent="0.2">
      <c r="D19" s="24" t="s">
        <v>511</v>
      </c>
    </row>
    <row r="21" spans="4:20" x14ac:dyDescent="0.2">
      <c r="D21" s="172" t="s">
        <v>513</v>
      </c>
      <c r="E21" s="173">
        <v>2017</v>
      </c>
      <c r="F21" s="174">
        <v>2020</v>
      </c>
      <c r="G21" s="174">
        <v>2030</v>
      </c>
      <c r="H21" s="174">
        <v>2040</v>
      </c>
      <c r="I21" s="174">
        <v>2050</v>
      </c>
      <c r="J21" s="174">
        <v>2070</v>
      </c>
      <c r="N21" s="172" t="s">
        <v>243</v>
      </c>
      <c r="O21" s="173">
        <v>2017</v>
      </c>
      <c r="P21" s="174">
        <v>2020</v>
      </c>
      <c r="Q21" s="174">
        <v>2030</v>
      </c>
      <c r="R21" s="174">
        <v>2040</v>
      </c>
      <c r="S21" s="174">
        <v>2050</v>
      </c>
      <c r="T21" s="174">
        <v>2070</v>
      </c>
    </row>
    <row r="22" spans="4:20" x14ac:dyDescent="0.2">
      <c r="D22" s="175" t="s">
        <v>128</v>
      </c>
      <c r="E22" s="35">
        <v>1</v>
      </c>
      <c r="F22" s="13">
        <v>1.2042384842121647</v>
      </c>
      <c r="G22" s="13">
        <v>2.1511145076486953</v>
      </c>
      <c r="H22" s="13">
        <v>2.9478683357777022</v>
      </c>
      <c r="I22" s="13">
        <v>3.8190400037450183</v>
      </c>
      <c r="J22" s="13">
        <v>4.9731114035082671</v>
      </c>
      <c r="N22" s="175" t="s">
        <v>128</v>
      </c>
      <c r="O22" s="35">
        <v>1</v>
      </c>
      <c r="P22" s="13">
        <v>1.222462693274265</v>
      </c>
      <c r="Q22" s="13">
        <v>2.2819288521472041</v>
      </c>
      <c r="R22" s="13">
        <v>3.2279745589858808</v>
      </c>
      <c r="S22" s="13">
        <v>4.2678472336084505</v>
      </c>
      <c r="T22" s="13">
        <v>4.6407961727038538</v>
      </c>
    </row>
    <row r="23" spans="4:20" x14ac:dyDescent="0.2">
      <c r="D23" s="175" t="s">
        <v>131</v>
      </c>
      <c r="E23" s="35">
        <v>1</v>
      </c>
      <c r="F23" s="13">
        <v>1.0191586637630026</v>
      </c>
      <c r="G23" s="13">
        <v>1.1066666816187221</v>
      </c>
      <c r="H23" s="13">
        <v>1.1774708124050526</v>
      </c>
      <c r="I23" s="13">
        <v>1.2375491812077213</v>
      </c>
      <c r="J23" s="13">
        <v>1.3016768503011749</v>
      </c>
      <c r="N23" s="175" t="s">
        <v>131</v>
      </c>
      <c r="O23" s="35">
        <v>1</v>
      </c>
      <c r="P23" s="13">
        <v>1.0346101357188666</v>
      </c>
      <c r="Q23" s="13">
        <v>1.1675561841496789</v>
      </c>
      <c r="R23" s="13">
        <v>1.27723738971867</v>
      </c>
      <c r="S23" s="13">
        <v>1.3660128097948145</v>
      </c>
      <c r="T23" s="13">
        <v>1.3938297069772754</v>
      </c>
    </row>
    <row r="24" spans="4:20" x14ac:dyDescent="0.2">
      <c r="D24" s="175" t="s">
        <v>135</v>
      </c>
      <c r="E24" s="35">
        <v>1</v>
      </c>
      <c r="F24" s="13">
        <v>1.03170685373813</v>
      </c>
      <c r="G24" s="13">
        <v>1.1680591825682547</v>
      </c>
      <c r="H24" s="13">
        <v>1.2563889026667827</v>
      </c>
      <c r="I24" s="13">
        <v>1.3324744449569861</v>
      </c>
      <c r="J24" s="13">
        <v>1.4141354871357465</v>
      </c>
      <c r="N24" s="175" t="s">
        <v>135</v>
      </c>
      <c r="O24" s="35">
        <v>1</v>
      </c>
      <c r="P24" s="13">
        <v>1.0472140336511067</v>
      </c>
      <c r="Q24" s="13">
        <v>1.2321682431794063</v>
      </c>
      <c r="R24" s="13">
        <v>1.362667113209981</v>
      </c>
      <c r="S24" s="13">
        <v>1.4706028500901345</v>
      </c>
      <c r="T24" s="13">
        <v>1.5046209061825839</v>
      </c>
    </row>
    <row r="25" spans="4:20" x14ac:dyDescent="0.2">
      <c r="D25" s="175" t="s">
        <v>129</v>
      </c>
      <c r="E25" s="35">
        <v>1</v>
      </c>
      <c r="F25" s="13">
        <v>1.0205268932251015</v>
      </c>
      <c r="G25" s="13">
        <v>1.1123289372727767</v>
      </c>
      <c r="H25" s="13">
        <v>1.1862375469223319</v>
      </c>
      <c r="I25" s="13">
        <v>1.2467632228717893</v>
      </c>
      <c r="J25" s="13">
        <v>1.3113683477494811</v>
      </c>
      <c r="N25" s="175" t="s">
        <v>129</v>
      </c>
      <c r="O25" s="35">
        <v>1</v>
      </c>
      <c r="P25" s="13">
        <v>1.0359845967676511</v>
      </c>
      <c r="Q25" s="13">
        <v>1.1735135420340947</v>
      </c>
      <c r="R25" s="13">
        <v>1.2867289011503009</v>
      </c>
      <c r="S25" s="13">
        <v>1.3761640364221355</v>
      </c>
      <c r="T25" s="13">
        <v>1.4041876488164473</v>
      </c>
    </row>
    <row r="26" spans="4:20" x14ac:dyDescent="0.2">
      <c r="D26" s="175" t="s">
        <v>130</v>
      </c>
      <c r="E26" s="35">
        <v>1</v>
      </c>
      <c r="F26" s="13">
        <v>1.0453013263717892</v>
      </c>
      <c r="G26" s="13">
        <v>1.195768086511015</v>
      </c>
      <c r="H26" s="13">
        <v>1.2900527777158306</v>
      </c>
      <c r="I26" s="13">
        <v>1.3658605029471775</v>
      </c>
      <c r="J26" s="13">
        <v>1.4476216053458044</v>
      </c>
      <c r="N26" s="175" t="s">
        <v>130</v>
      </c>
      <c r="O26" s="35">
        <v>1</v>
      </c>
      <c r="P26" s="13">
        <v>1.0630936456147926</v>
      </c>
      <c r="Q26" s="13">
        <v>1.2708445685901943</v>
      </c>
      <c r="R26" s="13">
        <v>1.4152605716803848</v>
      </c>
      <c r="S26" s="13">
        <v>1.5292127594595055</v>
      </c>
      <c r="T26" s="13">
        <v>1.5651550421750597</v>
      </c>
    </row>
    <row r="27" spans="4:20" x14ac:dyDescent="0.2">
      <c r="D27" s="175" t="s">
        <v>132</v>
      </c>
      <c r="E27" s="35">
        <v>1</v>
      </c>
      <c r="F27" s="13">
        <v>1.0370503969146003</v>
      </c>
      <c r="G27" s="13">
        <v>1.1579018417288758</v>
      </c>
      <c r="H27" s="13">
        <v>1.2291353596265535</v>
      </c>
      <c r="I27" s="13">
        <v>1.2942223231949015</v>
      </c>
      <c r="J27" s="13">
        <v>1.3638817478251442</v>
      </c>
      <c r="N27" s="175" t="s">
        <v>132</v>
      </c>
      <c r="O27" s="35">
        <v>1</v>
      </c>
      <c r="P27" s="13">
        <v>1.054804109127589</v>
      </c>
      <c r="Q27" s="13">
        <v>1.2307197032419663</v>
      </c>
      <c r="R27" s="13">
        <v>1.3485609264300167</v>
      </c>
      <c r="S27" s="13">
        <v>1.4491468028155443</v>
      </c>
      <c r="T27" s="13">
        <v>1.4807608592733708</v>
      </c>
    </row>
    <row r="28" spans="4:20" x14ac:dyDescent="0.2">
      <c r="D28" s="175" t="s">
        <v>133</v>
      </c>
      <c r="E28" s="35">
        <v>1</v>
      </c>
      <c r="F28" s="13">
        <v>1.0273672097633273</v>
      </c>
      <c r="G28" s="13">
        <v>1.14102177545647</v>
      </c>
      <c r="H28" s="13">
        <v>1.230989794314358</v>
      </c>
      <c r="I28" s="13">
        <v>1.3033267852514303</v>
      </c>
      <c r="J28" s="13">
        <v>1.3813445875949955</v>
      </c>
      <c r="N28" s="175" t="s">
        <v>133</v>
      </c>
      <c r="O28" s="35">
        <v>1</v>
      </c>
      <c r="P28" s="13">
        <v>1.0450735713491335</v>
      </c>
      <c r="Q28" s="13">
        <v>1.212915525924507</v>
      </c>
      <c r="R28" s="13">
        <v>1.3507485990393182</v>
      </c>
      <c r="S28" s="13">
        <v>1.4595064921652161</v>
      </c>
      <c r="T28" s="13">
        <v>1.493810413998258</v>
      </c>
    </row>
    <row r="29" spans="4:20" x14ac:dyDescent="0.2">
      <c r="D29" s="175" t="s">
        <v>134</v>
      </c>
      <c r="E29" s="35">
        <v>1</v>
      </c>
      <c r="F29" s="13">
        <v>1.0422685274080117</v>
      </c>
      <c r="G29" s="13">
        <v>1.2175659205612843</v>
      </c>
      <c r="H29" s="13">
        <v>1.3286410002227047</v>
      </c>
      <c r="I29" s="13">
        <v>1.4228749532033873</v>
      </c>
      <c r="J29" s="13">
        <v>1.5251978552563272</v>
      </c>
      <c r="N29" s="175" t="s">
        <v>134</v>
      </c>
      <c r="O29" s="35">
        <v>1</v>
      </c>
      <c r="P29" s="13">
        <v>1.0555945800519946</v>
      </c>
      <c r="Q29" s="13">
        <v>1.2745198534324909</v>
      </c>
      <c r="R29" s="13">
        <v>1.4242930639359785</v>
      </c>
      <c r="S29" s="13">
        <v>1.5521342257899469</v>
      </c>
      <c r="T29" s="13">
        <v>1.5926789876571892</v>
      </c>
    </row>
    <row r="30" spans="4:20" x14ac:dyDescent="0.2">
      <c r="D30" s="175" t="s">
        <v>136</v>
      </c>
      <c r="E30" s="35">
        <v>1</v>
      </c>
      <c r="F30" s="13">
        <v>1.2007331735694069</v>
      </c>
      <c r="G30" s="13">
        <v>2.0367639750598454</v>
      </c>
      <c r="H30" s="13">
        <v>2.9574284063051755</v>
      </c>
      <c r="I30" s="13">
        <v>3.7489858943847714</v>
      </c>
      <c r="J30" s="13">
        <v>5.0493404213376341</v>
      </c>
      <c r="N30" s="175" t="s">
        <v>136</v>
      </c>
      <c r="O30" s="35">
        <v>1</v>
      </c>
      <c r="P30" s="13">
        <v>1.2235118713384547</v>
      </c>
      <c r="Q30" s="13">
        <v>2.1927883002821211</v>
      </c>
      <c r="R30" s="13">
        <v>3.312833078549791</v>
      </c>
      <c r="S30" s="13">
        <v>4.3233179218182487</v>
      </c>
      <c r="T30" s="13">
        <v>4.9388516677167686</v>
      </c>
    </row>
    <row r="31" spans="4:20" x14ac:dyDescent="0.2">
      <c r="D31" s="175" t="s">
        <v>138</v>
      </c>
      <c r="E31" s="35">
        <v>1</v>
      </c>
      <c r="F31" s="13">
        <v>1.0584559792320778</v>
      </c>
      <c r="G31" s="13">
        <v>1.2441835837436983</v>
      </c>
      <c r="H31" s="13">
        <v>1.4018114139984978</v>
      </c>
      <c r="I31" s="13">
        <v>1.5180808887191082</v>
      </c>
      <c r="J31" s="13">
        <v>1.6773208597574392</v>
      </c>
      <c r="N31" s="175" t="s">
        <v>138</v>
      </c>
      <c r="O31" s="35">
        <v>1</v>
      </c>
      <c r="P31" s="13">
        <v>1.0704968054099468</v>
      </c>
      <c r="Q31" s="13">
        <v>1.2962834486550614</v>
      </c>
      <c r="R31" s="13">
        <v>1.4921377923583161</v>
      </c>
      <c r="S31" s="13">
        <v>1.644315243859038</v>
      </c>
      <c r="T31" s="13">
        <v>1.6929258203014097</v>
      </c>
    </row>
    <row r="32" spans="4:20" x14ac:dyDescent="0.2">
      <c r="D32" s="175" t="s">
        <v>137</v>
      </c>
      <c r="E32" s="35">
        <v>1</v>
      </c>
      <c r="F32" s="13">
        <v>1.0898407252411118</v>
      </c>
      <c r="G32" s="13">
        <v>1.3841426649918076</v>
      </c>
      <c r="H32" s="13">
        <v>1.6382885079302951</v>
      </c>
      <c r="I32" s="13">
        <v>1.8168696082480733</v>
      </c>
      <c r="J32" s="13">
        <v>2.0682324356602271</v>
      </c>
      <c r="N32" s="175" t="s">
        <v>137</v>
      </c>
      <c r="O32" s="35">
        <v>1</v>
      </c>
      <c r="P32" s="13">
        <v>1.1033146587233382</v>
      </c>
      <c r="Q32" s="13">
        <v>1.4482842396363795</v>
      </c>
      <c r="R32" s="13">
        <v>1.7555003564436835</v>
      </c>
      <c r="S32" s="13">
        <v>1.9810942122262885</v>
      </c>
      <c r="T32" s="13">
        <v>2.0542646429892302</v>
      </c>
    </row>
    <row r="33" spans="4:20" x14ac:dyDescent="0.2">
      <c r="D33" s="175" t="s">
        <v>139</v>
      </c>
      <c r="E33" s="35">
        <v>1</v>
      </c>
      <c r="F33" s="13">
        <v>1.0584559792320778</v>
      </c>
      <c r="G33" s="13">
        <v>1.2441835837436983</v>
      </c>
      <c r="H33" s="13">
        <v>1.4018114139984978</v>
      </c>
      <c r="I33" s="13">
        <v>1.5180808887191082</v>
      </c>
      <c r="J33" s="13">
        <v>1.6773208597574392</v>
      </c>
      <c r="N33" s="175" t="s">
        <v>139</v>
      </c>
      <c r="O33" s="35">
        <v>1</v>
      </c>
      <c r="P33" s="13">
        <v>1.071836820654682</v>
      </c>
      <c r="Q33" s="13">
        <v>1.3021977236089735</v>
      </c>
      <c r="R33" s="13">
        <v>1.502517866556099</v>
      </c>
      <c r="S33" s="13">
        <v>1.6557539422977567</v>
      </c>
      <c r="T33" s="13">
        <v>1.7047026787899928</v>
      </c>
    </row>
    <row r="34" spans="4:20" x14ac:dyDescent="0.2">
      <c r="D34" s="175" t="s">
        <v>140</v>
      </c>
      <c r="E34" s="35">
        <v>1</v>
      </c>
      <c r="F34" s="13">
        <v>1.0943157945155639</v>
      </c>
      <c r="G34" s="13">
        <v>1.4075632145133057</v>
      </c>
      <c r="H34" s="13">
        <v>1.6824636439068104</v>
      </c>
      <c r="I34" s="13">
        <v>1.8956179542004965</v>
      </c>
      <c r="J34" s="13">
        <v>2.2011615082828406</v>
      </c>
      <c r="N34" s="175" t="s">
        <v>140</v>
      </c>
      <c r="O34" s="35">
        <v>1</v>
      </c>
      <c r="P34" s="13">
        <v>1.1060014742323272</v>
      </c>
      <c r="Q34" s="13">
        <v>1.4638817425349591</v>
      </c>
      <c r="R34" s="13">
        <v>1.7862531897581566</v>
      </c>
      <c r="S34" s="13">
        <v>2.0479482308020605</v>
      </c>
      <c r="T34" s="13">
        <v>2.1336921584158892</v>
      </c>
    </row>
    <row r="35" spans="4:20" x14ac:dyDescent="0.2">
      <c r="D35" s="175" t="s">
        <v>141</v>
      </c>
      <c r="E35" s="35">
        <v>1</v>
      </c>
      <c r="F35" s="13">
        <v>1.0831237640909199</v>
      </c>
      <c r="G35" s="13">
        <v>1.3338260235689088</v>
      </c>
      <c r="H35" s="13">
        <v>1.525234838972864</v>
      </c>
      <c r="I35" s="13">
        <v>1.6517413374804724</v>
      </c>
      <c r="J35" s="13">
        <v>1.8250016984386637</v>
      </c>
      <c r="N35" s="175" t="s">
        <v>141</v>
      </c>
      <c r="O35" s="35">
        <v>1</v>
      </c>
      <c r="P35" s="13">
        <v>1.0947830102986076</v>
      </c>
      <c r="Q35" s="13">
        <v>1.3873121781573379</v>
      </c>
      <c r="R35" s="13">
        <v>1.6194627830836021</v>
      </c>
      <c r="S35" s="13">
        <v>1.7846256255449695</v>
      </c>
      <c r="T35" s="13">
        <v>1.837384170912445</v>
      </c>
    </row>
    <row r="39" spans="4:20" x14ac:dyDescent="0.2">
      <c r="D39" s="24" t="s">
        <v>512</v>
      </c>
    </row>
    <row r="41" spans="4:20" x14ac:dyDescent="0.2">
      <c r="D41" s="173" t="s">
        <v>17</v>
      </c>
      <c r="E41" s="173">
        <v>2017</v>
      </c>
      <c r="F41" s="174">
        <v>2020</v>
      </c>
      <c r="G41" s="174">
        <v>2030</v>
      </c>
      <c r="H41" s="174">
        <v>2040</v>
      </c>
      <c r="I41" s="174">
        <v>2050</v>
      </c>
      <c r="J41" s="174">
        <v>2070</v>
      </c>
      <c r="K41" s="174">
        <v>2025</v>
      </c>
      <c r="L41" s="174">
        <v>2035</v>
      </c>
    </row>
    <row r="42" spans="4:20" x14ac:dyDescent="0.2">
      <c r="D42" s="175" t="s">
        <v>40</v>
      </c>
      <c r="E42" s="35">
        <v>1</v>
      </c>
      <c r="F42" s="26">
        <v>0.94092867490111443</v>
      </c>
      <c r="G42" s="26">
        <v>0.86901365879273462</v>
      </c>
      <c r="H42" s="26">
        <v>0.78510229969327616</v>
      </c>
      <c r="I42" s="26">
        <v>0.7088197890609973</v>
      </c>
      <c r="J42" s="26">
        <v>0.7088197890609973</v>
      </c>
      <c r="K42" s="26">
        <v>0.90425652911041632</v>
      </c>
      <c r="L42" s="26">
        <v>0.8259931125518204</v>
      </c>
    </row>
    <row r="43" spans="4:20" x14ac:dyDescent="0.2">
      <c r="D43" s="175" t="s">
        <v>41</v>
      </c>
      <c r="E43" s="35">
        <v>1</v>
      </c>
      <c r="F43" s="26">
        <v>1.0479841219120323</v>
      </c>
      <c r="G43" s="26">
        <v>1.0989800245555117</v>
      </c>
      <c r="H43" s="26">
        <v>1.1524574362524667</v>
      </c>
      <c r="I43" s="26">
        <v>1.1524574362524667</v>
      </c>
      <c r="J43" s="26">
        <v>1.1524574362524667</v>
      </c>
      <c r="K43" s="26">
        <v>1.0772457436252401</v>
      </c>
      <c r="L43" s="26">
        <v>1.1524574362524667</v>
      </c>
    </row>
    <row r="44" spans="4:20" x14ac:dyDescent="0.2">
      <c r="D44" s="175" t="s">
        <v>42</v>
      </c>
      <c r="E44" s="35">
        <v>1</v>
      </c>
      <c r="F44" s="26">
        <v>1.0394243718343128</v>
      </c>
      <c r="G44" s="26">
        <v>1.1325080949618316</v>
      </c>
      <c r="H44" s="26">
        <v>1.1554128438610747</v>
      </c>
      <c r="I44" s="26">
        <v>1.1808651554232772</v>
      </c>
      <c r="J44" s="26">
        <v>1.2281005278892942</v>
      </c>
      <c r="K44" s="26">
        <v>1.0849684397266937</v>
      </c>
      <c r="L44" s="26">
        <v>1.1439031421827366</v>
      </c>
    </row>
    <row r="45" spans="4:20" x14ac:dyDescent="0.2">
      <c r="D45" s="175" t="s">
        <v>86</v>
      </c>
      <c r="E45" s="35">
        <v>1</v>
      </c>
      <c r="F45" s="26">
        <v>1.0189646223761117</v>
      </c>
      <c r="G45" s="26">
        <v>1.0541959520216426</v>
      </c>
      <c r="H45" s="26">
        <v>1.2031466436468798</v>
      </c>
      <c r="I45" s="26">
        <v>1.355114715876913</v>
      </c>
      <c r="J45" s="26">
        <v>1.6607734085736054</v>
      </c>
      <c r="K45" s="26">
        <v>1.0235977323007526</v>
      </c>
      <c r="L45" s="26">
        <v>1.1205612498117254</v>
      </c>
    </row>
    <row r="46" spans="4:20" x14ac:dyDescent="0.2">
      <c r="D46" s="175" t="s">
        <v>102</v>
      </c>
      <c r="E46" s="35">
        <v>1</v>
      </c>
      <c r="F46" s="26">
        <v>1.0543367680027234</v>
      </c>
      <c r="G46" s="26">
        <v>1.1612854936803894</v>
      </c>
      <c r="H46" s="26">
        <v>1.2526460557126471</v>
      </c>
      <c r="I46" s="26">
        <v>1.3410001055782204</v>
      </c>
      <c r="J46" s="26">
        <v>1.5067651226515808</v>
      </c>
      <c r="K46" s="26">
        <v>1.1523036321255611</v>
      </c>
      <c r="L46" s="26">
        <v>1.2085391782874604</v>
      </c>
    </row>
    <row r="47" spans="4:20" x14ac:dyDescent="0.2">
      <c r="D47" s="175" t="s">
        <v>87</v>
      </c>
      <c r="E47" s="35">
        <v>1</v>
      </c>
      <c r="F47" s="26">
        <v>1.2609773689622583</v>
      </c>
      <c r="G47" s="26">
        <v>1.8173481236589095</v>
      </c>
      <c r="H47" s="26">
        <v>2.2879622032528339</v>
      </c>
      <c r="I47" s="26">
        <v>2.688167640499219</v>
      </c>
      <c r="J47" s="26">
        <v>3.2566064418001464</v>
      </c>
      <c r="K47" s="26">
        <v>1.5414451548117916</v>
      </c>
      <c r="L47" s="26">
        <v>2.0758286948810243</v>
      </c>
    </row>
    <row r="48" spans="4:20" x14ac:dyDescent="0.2">
      <c r="D48" s="175" t="s">
        <v>88</v>
      </c>
      <c r="E48" s="35">
        <v>1</v>
      </c>
      <c r="F48" s="26">
        <v>1.0730561266114809</v>
      </c>
      <c r="G48" s="26">
        <v>1.4998532355258221</v>
      </c>
      <c r="H48" s="26">
        <v>1.8458818778733392</v>
      </c>
      <c r="I48" s="26">
        <v>2.0907253793250278</v>
      </c>
      <c r="J48" s="26">
        <v>2.3562770477088906</v>
      </c>
      <c r="K48" s="26">
        <v>1.2917871758393051</v>
      </c>
      <c r="L48" s="26">
        <v>1.6938477046354525</v>
      </c>
    </row>
    <row r="49" spans="4:21" x14ac:dyDescent="0.2">
      <c r="D49" s="175" t="s">
        <v>89</v>
      </c>
      <c r="E49" s="35">
        <v>1</v>
      </c>
      <c r="F49" s="26">
        <v>1.0555047826782802</v>
      </c>
      <c r="G49" s="26">
        <v>1.5978976806228098</v>
      </c>
      <c r="H49" s="26">
        <v>2.0132473641930049</v>
      </c>
      <c r="I49" s="26">
        <v>2.3126294022132821</v>
      </c>
      <c r="J49" s="26">
        <v>2.6418404797434536</v>
      </c>
      <c r="K49" s="26">
        <v>1.3223912085622567</v>
      </c>
      <c r="L49" s="26">
        <v>1.8258751481351896</v>
      </c>
    </row>
    <row r="50" spans="4:21" x14ac:dyDescent="0.2">
      <c r="D50" s="175" t="s">
        <v>90</v>
      </c>
      <c r="E50" s="35">
        <v>1</v>
      </c>
      <c r="F50" s="26">
        <v>1.0670803512315767</v>
      </c>
      <c r="G50" s="26">
        <v>1.4905521565296853</v>
      </c>
      <c r="H50" s="26">
        <v>1.8379046012520279</v>
      </c>
      <c r="I50" s="26">
        <v>2.0840514563644952</v>
      </c>
      <c r="J50" s="26">
        <v>2.3513132518141262</v>
      </c>
      <c r="K50" s="26">
        <v>1.2841847773885879</v>
      </c>
      <c r="L50" s="26">
        <v>1.6849347834294148</v>
      </c>
    </row>
    <row r="51" spans="4:21" x14ac:dyDescent="0.2">
      <c r="D51" s="175" t="s">
        <v>91</v>
      </c>
      <c r="E51" s="35">
        <v>1</v>
      </c>
      <c r="F51" s="26">
        <v>1.0938502844885714</v>
      </c>
      <c r="G51" s="26">
        <v>1.5617192384247951</v>
      </c>
      <c r="H51" s="26">
        <v>1.9384078185382094</v>
      </c>
      <c r="I51" s="26">
        <v>2.254938427237982</v>
      </c>
      <c r="J51" s="26">
        <v>2.6996361439831702</v>
      </c>
      <c r="K51" s="26">
        <v>1.3308704722858877</v>
      </c>
      <c r="L51" s="26">
        <v>1.7712182619934189</v>
      </c>
    </row>
    <row r="52" spans="4:21" x14ac:dyDescent="0.2">
      <c r="D52" s="175" t="s">
        <v>92</v>
      </c>
      <c r="E52" s="35">
        <v>1</v>
      </c>
      <c r="F52" s="26">
        <v>1.0179569278762093</v>
      </c>
      <c r="G52" s="26">
        <v>1.1340939397941407</v>
      </c>
      <c r="H52" s="26">
        <v>1.2528381124831169</v>
      </c>
      <c r="I52" s="26">
        <v>1.3715822851720931</v>
      </c>
      <c r="J52" s="26">
        <v>1.5015810472665936</v>
      </c>
      <c r="K52" s="26">
        <v>1.0449920927560175</v>
      </c>
      <c r="L52" s="26">
        <v>1.3511686121408917</v>
      </c>
    </row>
    <row r="53" spans="4:21" x14ac:dyDescent="0.2">
      <c r="D53" s="175" t="s">
        <v>93</v>
      </c>
      <c r="E53" s="35">
        <v>1</v>
      </c>
      <c r="F53" s="26">
        <v>1.0610147362981242</v>
      </c>
      <c r="G53" s="26">
        <v>1.4958916777107185</v>
      </c>
      <c r="H53" s="26">
        <v>1.8737951872154439</v>
      </c>
      <c r="I53" s="26">
        <v>2.1938023649935108</v>
      </c>
      <c r="J53" s="26">
        <v>2.6465688949723645</v>
      </c>
      <c r="K53" s="26">
        <v>1.2828212584753105</v>
      </c>
      <c r="L53" s="26">
        <v>1.7043514613359794</v>
      </c>
    </row>
    <row r="57" spans="4:21" x14ac:dyDescent="0.2">
      <c r="D57" s="24" t="s">
        <v>509</v>
      </c>
    </row>
    <row r="59" spans="4:21" x14ac:dyDescent="0.2">
      <c r="D59" s="172" t="s">
        <v>513</v>
      </c>
      <c r="E59" s="183">
        <v>2017</v>
      </c>
      <c r="F59" s="174">
        <v>2020</v>
      </c>
      <c r="G59" s="174">
        <v>2030</v>
      </c>
      <c r="H59" s="174">
        <v>2040</v>
      </c>
      <c r="I59" s="174">
        <v>2050</v>
      </c>
      <c r="J59" s="174">
        <v>2070</v>
      </c>
      <c r="K59" s="174">
        <v>2025</v>
      </c>
      <c r="N59" s="172" t="s">
        <v>243</v>
      </c>
      <c r="O59" s="173">
        <v>2017</v>
      </c>
      <c r="P59" s="174">
        <v>2020</v>
      </c>
      <c r="Q59" s="174">
        <v>2030</v>
      </c>
      <c r="R59" s="174">
        <v>2040</v>
      </c>
      <c r="S59" s="174">
        <v>2050</v>
      </c>
      <c r="T59" s="174">
        <v>2070</v>
      </c>
      <c r="U59" s="174">
        <v>2025</v>
      </c>
    </row>
    <row r="60" spans="4:21" x14ac:dyDescent="0.2">
      <c r="D60" s="175" t="s">
        <v>75</v>
      </c>
      <c r="E60" s="35">
        <v>1</v>
      </c>
      <c r="F60" s="13">
        <v>1.0348010376165906</v>
      </c>
      <c r="G60" s="13">
        <v>1.062424832377185</v>
      </c>
      <c r="H60" s="13">
        <v>1.0833089236911668</v>
      </c>
      <c r="I60" s="13">
        <v>1.1033383868660978</v>
      </c>
      <c r="J60" s="13">
        <v>1.1089627365503281</v>
      </c>
      <c r="K60" s="13">
        <v>1.0472446682283443</v>
      </c>
      <c r="N60" s="175" t="s">
        <v>75</v>
      </c>
      <c r="O60" s="35">
        <v>1</v>
      </c>
      <c r="P60" s="13">
        <v>1.0463747539056161</v>
      </c>
      <c r="Q60" s="13">
        <v>1.051924496152381</v>
      </c>
      <c r="R60" s="13">
        <v>1.0499202486907162</v>
      </c>
      <c r="S60" s="13">
        <v>1.034715791363906</v>
      </c>
      <c r="T60" s="13">
        <v>0.99498947981061747</v>
      </c>
      <c r="U60" s="13">
        <v>1.051382343828573</v>
      </c>
    </row>
    <row r="61" spans="4:21" x14ac:dyDescent="0.2">
      <c r="D61" s="175" t="s">
        <v>120</v>
      </c>
      <c r="E61" s="35">
        <v>1</v>
      </c>
      <c r="F61" s="13">
        <v>1.0187905726688982</v>
      </c>
      <c r="G61" s="13">
        <v>1.0150992875400242</v>
      </c>
      <c r="H61" s="13">
        <v>1.0495610771492352</v>
      </c>
      <c r="I61" s="13">
        <v>1.071102812432855</v>
      </c>
      <c r="J61" s="13">
        <v>1.071102812432855</v>
      </c>
      <c r="K61" s="13">
        <v>1.0146548976196272</v>
      </c>
      <c r="N61" s="175" t="s">
        <v>120</v>
      </c>
      <c r="O61" s="35">
        <v>1</v>
      </c>
      <c r="P61" s="13">
        <v>1.0187905726688982</v>
      </c>
      <c r="Q61" s="13">
        <v>1.0150992875400242</v>
      </c>
      <c r="R61" s="13">
        <v>1.0495610771492352</v>
      </c>
      <c r="S61" s="13">
        <v>1.071102812432855</v>
      </c>
      <c r="T61" s="13">
        <v>1.071102812432855</v>
      </c>
      <c r="U61" s="13">
        <v>1.0146548976196272</v>
      </c>
    </row>
    <row r="62" spans="4:21" x14ac:dyDescent="0.2">
      <c r="D62" s="175" t="s">
        <v>81</v>
      </c>
      <c r="E62" s="35">
        <v>1</v>
      </c>
      <c r="F62" s="13">
        <v>1.0420277996246523</v>
      </c>
      <c r="G62" s="13">
        <v>1.1482891702663238</v>
      </c>
      <c r="H62" s="13">
        <v>1.1922073787904381</v>
      </c>
      <c r="I62" s="13">
        <v>1.1710503092218856</v>
      </c>
      <c r="J62" s="13">
        <v>1.1710503092218858</v>
      </c>
      <c r="K62" s="13">
        <v>1.0985161422849872</v>
      </c>
      <c r="N62" s="175" t="s">
        <v>81</v>
      </c>
      <c r="O62" s="35">
        <v>1</v>
      </c>
      <c r="P62" s="13">
        <v>1.0420277996246523</v>
      </c>
      <c r="Q62" s="13">
        <v>1.1482891702663238</v>
      </c>
      <c r="R62" s="13">
        <v>1.1922073787904381</v>
      </c>
      <c r="S62" s="13">
        <v>1.1710503092218856</v>
      </c>
      <c r="T62" s="13">
        <v>1.1710503092218858</v>
      </c>
      <c r="U62" s="13">
        <v>1.0985161422849872</v>
      </c>
    </row>
    <row r="63" spans="4:21" x14ac:dyDescent="0.2">
      <c r="D63" s="175" t="s">
        <v>80</v>
      </c>
      <c r="E63" s="35">
        <v>1</v>
      </c>
      <c r="F63" s="13">
        <v>1.0420277996246525</v>
      </c>
      <c r="G63" s="13">
        <v>1.2188056118621087</v>
      </c>
      <c r="H63" s="13">
        <v>1.2667141202753545</v>
      </c>
      <c r="I63" s="13">
        <v>1.2577400660452216</v>
      </c>
      <c r="J63" s="13">
        <v>1.2577400660452216</v>
      </c>
      <c r="K63" s="13">
        <v>1.1349633205434642</v>
      </c>
      <c r="N63" s="175" t="s">
        <v>80</v>
      </c>
      <c r="O63" s="35">
        <v>1</v>
      </c>
      <c r="P63" s="13">
        <v>1.0420277996246525</v>
      </c>
      <c r="Q63" s="13">
        <v>1.2188056118621087</v>
      </c>
      <c r="R63" s="13">
        <v>1.2667141202753545</v>
      </c>
      <c r="S63" s="13">
        <v>1.2577400660452216</v>
      </c>
      <c r="T63" s="13">
        <v>1.2577400660452216</v>
      </c>
      <c r="U63" s="13">
        <v>1.1349633205434642</v>
      </c>
    </row>
    <row r="64" spans="4:21" x14ac:dyDescent="0.2">
      <c r="D64" s="175" t="s">
        <v>121</v>
      </c>
      <c r="E64" s="35">
        <v>1</v>
      </c>
      <c r="F64" s="13">
        <v>0.99837144468547212</v>
      </c>
      <c r="G64" s="13">
        <v>1.040874588943127</v>
      </c>
      <c r="H64" s="13">
        <v>1.0493768775980552</v>
      </c>
      <c r="I64" s="13">
        <v>1.0501305199698803</v>
      </c>
      <c r="J64" s="13">
        <v>1.0122496325006349</v>
      </c>
      <c r="K64" s="13">
        <v>1.0225507401000038</v>
      </c>
      <c r="N64" s="175" t="s">
        <v>121</v>
      </c>
      <c r="O64" s="35">
        <v>1</v>
      </c>
      <c r="P64" s="13">
        <v>1.0180319903343111</v>
      </c>
      <c r="Q64" s="13">
        <v>1.1426947236835214</v>
      </c>
      <c r="R64" s="13">
        <v>1.1799834540478205</v>
      </c>
      <c r="S64" s="13">
        <v>1.3267888943690953</v>
      </c>
      <c r="T64" s="13">
        <v>1.5161635606963706</v>
      </c>
      <c r="U64" s="13">
        <v>1.0825626398646908</v>
      </c>
    </row>
    <row r="65" spans="4:22" x14ac:dyDescent="0.2">
      <c r="D65" s="175" t="s">
        <v>122</v>
      </c>
      <c r="E65" s="35">
        <v>1</v>
      </c>
      <c r="F65" s="13">
        <v>1.0196082956262369</v>
      </c>
      <c r="G65" s="13">
        <v>1.0479271978028621</v>
      </c>
      <c r="H65" s="13">
        <v>1.0894038768561838</v>
      </c>
      <c r="I65" s="13">
        <v>1.1383202027429797</v>
      </c>
      <c r="J65" s="13">
        <v>1.139879370763222</v>
      </c>
      <c r="K65" s="13">
        <v>1.0314318647761631</v>
      </c>
      <c r="N65" s="175" t="s">
        <v>122</v>
      </c>
      <c r="O65" s="35">
        <v>1</v>
      </c>
      <c r="P65" s="13">
        <v>1.0277754754257722</v>
      </c>
      <c r="Q65" s="13">
        <v>1.0982743068788929</v>
      </c>
      <c r="R65" s="13">
        <v>1.1534064373151094</v>
      </c>
      <c r="S65" s="13">
        <v>1.1999860613609621</v>
      </c>
      <c r="T65" s="13">
        <v>1.1943722919466462</v>
      </c>
      <c r="U65" s="13">
        <v>1.0651949799865856</v>
      </c>
    </row>
    <row r="66" spans="4:22" x14ac:dyDescent="0.2">
      <c r="D66" s="175" t="s">
        <v>123</v>
      </c>
      <c r="E66" s="35">
        <v>1</v>
      </c>
      <c r="F66" s="13">
        <v>1.0119047619047619</v>
      </c>
      <c r="G66" s="13">
        <v>1.1408730158730158</v>
      </c>
      <c r="H66" s="13">
        <v>1.1408730158730158</v>
      </c>
      <c r="I66" s="13">
        <v>1.1408730158730158</v>
      </c>
      <c r="J66" s="13">
        <v>1.1408730158730158</v>
      </c>
      <c r="K66" s="13">
        <v>1.0744556005208179</v>
      </c>
      <c r="N66" s="175" t="s">
        <v>123</v>
      </c>
      <c r="O66" s="35">
        <v>1</v>
      </c>
      <c r="P66" s="13">
        <v>1.0119047619047619</v>
      </c>
      <c r="Q66" s="13">
        <v>1.1408730158730158</v>
      </c>
      <c r="R66" s="13">
        <v>1.1408730158730158</v>
      </c>
      <c r="S66" s="13">
        <v>1.1408730158730158</v>
      </c>
      <c r="T66" s="13">
        <v>1.1408730158730158</v>
      </c>
      <c r="U66" s="13">
        <v>1.0744556005208179</v>
      </c>
    </row>
    <row r="67" spans="4:22" x14ac:dyDescent="0.2">
      <c r="D67" s="175" t="s">
        <v>124</v>
      </c>
      <c r="E67" s="35">
        <v>1</v>
      </c>
      <c r="F67" s="13">
        <v>1.0030403037943643</v>
      </c>
      <c r="G67" s="13">
        <v>0.99819870850016945</v>
      </c>
      <c r="H67" s="13">
        <v>0.98994895889707779</v>
      </c>
      <c r="I67" s="13">
        <v>0.98243548918766754</v>
      </c>
      <c r="J67" s="13">
        <v>0.95862155266523363</v>
      </c>
      <c r="K67" s="13">
        <v>0.99669889033101855</v>
      </c>
      <c r="N67" s="175" t="s">
        <v>124</v>
      </c>
      <c r="O67" s="35">
        <v>1</v>
      </c>
      <c r="P67" s="13">
        <v>1.080066828043214</v>
      </c>
      <c r="Q67" s="13">
        <v>1.2918793634862598</v>
      </c>
      <c r="R67" s="13">
        <v>1.4886615909548762</v>
      </c>
      <c r="S67" s="13">
        <v>1.7088061771459784</v>
      </c>
      <c r="T67" s="13">
        <v>2.0727568358846651</v>
      </c>
      <c r="U67" s="13">
        <v>1.1970758665432744</v>
      </c>
    </row>
    <row r="68" spans="4:22" x14ac:dyDescent="0.2">
      <c r="D68" s="175" t="s">
        <v>125</v>
      </c>
      <c r="E68" s="35">
        <v>1</v>
      </c>
      <c r="F68" s="13">
        <v>0.93804612672308796</v>
      </c>
      <c r="G68" s="13">
        <v>1.2653910032503979</v>
      </c>
      <c r="H68" s="13">
        <v>1.2962217418426061</v>
      </c>
      <c r="I68" s="13">
        <v>1.3278309952191329</v>
      </c>
      <c r="J68" s="13">
        <v>1.373383111415992</v>
      </c>
      <c r="K68" s="13">
        <v>1.1124210858159518</v>
      </c>
      <c r="N68" s="175" t="s">
        <v>125</v>
      </c>
      <c r="O68" s="35">
        <v>1</v>
      </c>
      <c r="P68" s="13">
        <v>0.93804612672308796</v>
      </c>
      <c r="Q68" s="13">
        <v>1.2653910032503979</v>
      </c>
      <c r="R68" s="13">
        <v>1.2962217418426061</v>
      </c>
      <c r="S68" s="13">
        <v>1.3278309952191329</v>
      </c>
      <c r="T68" s="13">
        <v>1.373383111415992</v>
      </c>
      <c r="U68" s="13">
        <v>1.1124210858159518</v>
      </c>
    </row>
    <row r="69" spans="4:22" x14ac:dyDescent="0.2">
      <c r="D69" s="175" t="s">
        <v>126</v>
      </c>
      <c r="E69" s="35">
        <v>1</v>
      </c>
      <c r="F69" s="26">
        <v>0.6</v>
      </c>
      <c r="G69" s="13">
        <v>1.2478959449120122</v>
      </c>
      <c r="H69" s="13">
        <v>1.2478959449120122</v>
      </c>
      <c r="I69" s="13">
        <v>1.2478959449120122</v>
      </c>
      <c r="J69" s="13">
        <v>1.2478959449120122</v>
      </c>
      <c r="K69" s="13">
        <v>1.1170926304080662</v>
      </c>
      <c r="N69" s="175" t="s">
        <v>126</v>
      </c>
      <c r="O69" s="35">
        <v>1</v>
      </c>
      <c r="P69" s="26">
        <v>0.6</v>
      </c>
      <c r="Q69" s="13">
        <v>1.2478959449120122</v>
      </c>
      <c r="R69" s="13">
        <v>1.2478959449120122</v>
      </c>
      <c r="S69" s="13">
        <v>1.2478959449120122</v>
      </c>
      <c r="T69" s="13">
        <v>1.2478959449120122</v>
      </c>
      <c r="U69" s="13">
        <v>1.1170926304080662</v>
      </c>
    </row>
    <row r="70" spans="4:22" x14ac:dyDescent="0.2">
      <c r="D70" s="175" t="s">
        <v>554</v>
      </c>
      <c r="E70" s="35">
        <v>1</v>
      </c>
      <c r="F70" s="13">
        <v>0.58357212978672357</v>
      </c>
      <c r="G70" s="13">
        <v>1.2735225851077225</v>
      </c>
      <c r="H70" s="13">
        <v>1.3969889545817922</v>
      </c>
      <c r="I70" s="13">
        <v>1.6274117845738689</v>
      </c>
      <c r="J70" s="13">
        <v>1.6274117845738689</v>
      </c>
      <c r="K70" s="13">
        <v>1.1778815441902746</v>
      </c>
      <c r="L70" s="13">
        <v>1.3720996961144001</v>
      </c>
      <c r="N70" s="175" t="s">
        <v>554</v>
      </c>
      <c r="O70" s="35">
        <v>1</v>
      </c>
      <c r="P70" s="13">
        <v>0.58357212978672357</v>
      </c>
      <c r="Q70" s="13">
        <v>1.2735225851077225</v>
      </c>
      <c r="R70" s="13">
        <v>1.3969889545817922</v>
      </c>
      <c r="S70" s="13">
        <v>1.6274117845738689</v>
      </c>
      <c r="T70" s="13">
        <v>1.6274117845738689</v>
      </c>
      <c r="U70" s="13">
        <v>1.1778815441902746</v>
      </c>
      <c r="V70" s="13">
        <v>1.3720996961144001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4"/>
  <sheetViews>
    <sheetView zoomScale="90" workbookViewId="0">
      <selection activeCell="A5" sqref="A5"/>
    </sheetView>
  </sheetViews>
  <sheetFormatPr defaultRowHeight="12.75" x14ac:dyDescent="0.2"/>
  <cols>
    <col min="2" max="2" width="11.140625" customWidth="1"/>
    <col min="3" max="3" width="10.28515625" bestFit="1" customWidth="1"/>
    <col min="4" max="4" width="11.28515625" bestFit="1" customWidth="1"/>
    <col min="5" max="5" width="5.7109375" customWidth="1"/>
    <col min="6" max="10" width="12" customWidth="1"/>
    <col min="11" max="11" width="12" bestFit="1" customWidth="1"/>
  </cols>
  <sheetData>
    <row r="2" spans="2:11" ht="15" x14ac:dyDescent="0.25">
      <c r="B2" s="41" t="s">
        <v>22</v>
      </c>
      <c r="C2" s="42"/>
      <c r="D2" s="42"/>
      <c r="E2" s="42"/>
      <c r="F2" s="42"/>
      <c r="G2" s="42"/>
      <c r="H2" s="42"/>
      <c r="I2" s="42"/>
      <c r="J2" s="42"/>
      <c r="K2" s="42"/>
    </row>
    <row r="3" spans="2:11" ht="15" x14ac:dyDescent="0.25">
      <c r="B3" s="43" t="s">
        <v>23</v>
      </c>
      <c r="C3" s="43" t="s">
        <v>24</v>
      </c>
      <c r="D3" s="44" t="s">
        <v>6</v>
      </c>
      <c r="E3" s="44" t="s">
        <v>7</v>
      </c>
      <c r="F3" s="45" t="s">
        <v>8</v>
      </c>
      <c r="G3" s="45" t="s">
        <v>17</v>
      </c>
      <c r="H3" s="42"/>
      <c r="I3" s="42"/>
      <c r="J3" s="42"/>
    </row>
    <row r="4" spans="2:11" ht="15" x14ac:dyDescent="0.25">
      <c r="B4" s="42" t="s">
        <v>203</v>
      </c>
      <c r="C4" s="24" t="s">
        <v>234</v>
      </c>
      <c r="D4" t="s">
        <v>39</v>
      </c>
      <c r="E4" s="42">
        <v>2010</v>
      </c>
      <c r="F4" s="46" t="s">
        <v>245</v>
      </c>
      <c r="G4" s="39">
        <v>16.721895376092199</v>
      </c>
      <c r="H4" s="42"/>
      <c r="I4" s="42"/>
      <c r="J4" s="42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OFFS</vt:lpstr>
      <vt:lpstr>RENEWS</vt:lpstr>
      <vt:lpstr>INDUP</vt:lpstr>
      <vt:lpstr>UPS_TFM</vt:lpstr>
      <vt:lpstr>FIN_DEM</vt:lpstr>
      <vt:lpstr>FIM_DEM</vt:lpstr>
      <vt:lpstr>TERT_MISC</vt:lpstr>
      <vt:lpstr>ELC_MISC</vt:lpstr>
      <vt:lpstr>Emis</vt:lpstr>
      <vt:lpstr>CLIPOL</vt:lpstr>
      <vt:lpstr>ELConn</vt:lpstr>
      <vt:lpstr>DEMPROJ</vt:lpstr>
      <vt:lpstr>GetData</vt:lpstr>
      <vt:lpstr>Inflate</vt:lpstr>
      <vt:lpstr>VEDA2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Kapilow-Cohen</dc:creator>
  <cp:lastModifiedBy>Lindroos Tomi J</cp:lastModifiedBy>
  <cp:lastPrinted>2001-09-28T20:39:50Z</cp:lastPrinted>
  <dcterms:created xsi:type="dcterms:W3CDTF">2001-09-28T18:48:17Z</dcterms:created>
  <dcterms:modified xsi:type="dcterms:W3CDTF">2021-03-03T12:36:13Z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96643209457397</vt:r8>
  </property>
</Properties>
</file>