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3D77315D-3B6A-4C9B-BE55-989AF4280621}" xr6:coauthVersionLast="46" xr6:coauthVersionMax="46" xr10:uidLastSave="{00000000-0000-0000-0000-000000000000}"/>
  <bookViews>
    <workbookView xWindow="15180" yWindow="300" windowWidth="22560" windowHeight="15504" tabRatio="760" activeTab="2" xr2:uid="{00000000-000D-0000-FFFF-FFFF00000000}"/>
  </bookViews>
  <sheets>
    <sheet name="Log" sheetId="8" r:id="rId1"/>
    <sheet name="Description" sheetId="9" r:id="rId2"/>
    <sheet name="EV" sheetId="12" r:id="rId3"/>
    <sheet name="Sheet1" sheetId="13" r:id="rId4"/>
    <sheet name="Iceland" sheetId="14" r:id="rId5"/>
    <sheet name="MaxShare-DK" sheetId="6" r:id="rId6"/>
    <sheet name="MaxShare-NO" sheetId="10" r:id="rId7"/>
    <sheet name="MaxShare-SE" sheetId="11" r:id="rId8"/>
  </sheets>
  <externalReferences>
    <externalReference r:id="rId9"/>
  </externalReferences>
  <definedNames>
    <definedName name="GWh_í_ktoí">[1]Eiginleikar!$C$45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0" i="12" l="1"/>
  <c r="V80" i="12" s="1"/>
  <c r="M99" i="12"/>
  <c r="M98" i="12"/>
  <c r="M101" i="12"/>
  <c r="V81" i="12" s="1"/>
  <c r="M96" i="12"/>
  <c r="M94" i="12"/>
  <c r="M95" i="12"/>
  <c r="V78" i="12"/>
  <c r="V79" i="12"/>
  <c r="U79" i="12"/>
  <c r="M80" i="12"/>
  <c r="M79" i="12"/>
  <c r="M13" i="12"/>
  <c r="M9" i="12"/>
  <c r="M10" i="12" l="1"/>
  <c r="H79" i="12"/>
  <c r="E8" i="12"/>
  <c r="L26" i="14"/>
  <c r="M26" i="14"/>
  <c r="M298" i="14"/>
  <c r="M57" i="12"/>
  <c r="V8" i="12"/>
  <c r="Y10" i="12"/>
  <c r="Y8" i="12"/>
  <c r="Y9" i="12"/>
  <c r="Y7" i="12"/>
  <c r="W10" i="12"/>
  <c r="W9" i="12"/>
  <c r="W8" i="12"/>
  <c r="W7" i="12"/>
  <c r="U7" i="12"/>
  <c r="N78" i="12"/>
  <c r="N79" i="12"/>
  <c r="N80" i="12"/>
  <c r="N81" i="12"/>
  <c r="M29" i="12"/>
  <c r="L28" i="12"/>
  <c r="L27" i="12" s="1"/>
  <c r="L13" i="12"/>
  <c r="L12" i="12" s="1"/>
  <c r="L9" i="12"/>
  <c r="L8" i="12"/>
  <c r="L7" i="12" s="1"/>
  <c r="K98" i="12"/>
  <c r="K94" i="12"/>
  <c r="K84" i="12"/>
  <c r="K80" i="12"/>
  <c r="K79" i="12"/>
  <c r="M12" i="12"/>
  <c r="F8" i="12"/>
  <c r="M56" i="12" l="1"/>
  <c r="M55" i="12"/>
  <c r="M53" i="12"/>
  <c r="M52" i="12"/>
  <c r="M51" i="12"/>
  <c r="M48" i="12"/>
  <c r="M47" i="12"/>
  <c r="M46" i="12"/>
  <c r="M43" i="12"/>
  <c r="M42" i="12"/>
  <c r="M41" i="12"/>
  <c r="M31" i="12"/>
  <c r="M30" i="12"/>
  <c r="M28" i="12"/>
  <c r="M27" i="12" s="1"/>
  <c r="M25" i="12"/>
  <c r="M24" i="12"/>
  <c r="M23" i="12"/>
  <c r="M22" i="12" s="1"/>
  <c r="M20" i="12"/>
  <c r="M19" i="12"/>
  <c r="M18" i="12"/>
  <c r="M17" i="12" s="1"/>
  <c r="M15" i="12"/>
  <c r="M14" i="12"/>
  <c r="M8" i="12"/>
  <c r="H84" i="12"/>
  <c r="I84" i="12" s="1"/>
  <c r="J84" i="12" s="1"/>
  <c r="H80" i="12"/>
  <c r="I80" i="12" s="1"/>
  <c r="R79" i="12"/>
  <c r="L30" i="12"/>
  <c r="K30" i="12"/>
  <c r="J30" i="12"/>
  <c r="I30" i="12"/>
  <c r="L29" i="12"/>
  <c r="K29" i="12"/>
  <c r="J29" i="12"/>
  <c r="I29" i="12"/>
  <c r="L25" i="12"/>
  <c r="K25" i="12"/>
  <c r="J25" i="12"/>
  <c r="I25" i="12"/>
  <c r="L24" i="12"/>
  <c r="K24" i="12"/>
  <c r="J24" i="12"/>
  <c r="I24" i="12"/>
  <c r="I8" i="12"/>
  <c r="H23" i="12"/>
  <c r="AD128" i="12"/>
  <c r="AE131" i="12"/>
  <c r="AD131" i="12"/>
  <c r="AC131" i="12"/>
  <c r="AD130" i="12"/>
  <c r="AE129" i="12"/>
  <c r="AE127" i="12"/>
  <c r="AE128" i="12"/>
  <c r="AE130" i="12"/>
  <c r="AE124" i="12"/>
  <c r="AE123" i="12"/>
  <c r="AD129" i="12"/>
  <c r="AD127" i="12"/>
  <c r="AD124" i="12"/>
  <c r="AD123" i="12"/>
  <c r="AC130" i="12"/>
  <c r="AC129" i="12"/>
  <c r="AC128" i="12"/>
  <c r="AC127" i="12"/>
  <c r="AC124" i="12"/>
  <c r="AC123" i="12"/>
  <c r="AK120" i="12"/>
  <c r="AJ120" i="12"/>
  <c r="AI120" i="12"/>
  <c r="AH120" i="12"/>
  <c r="AG120" i="12"/>
  <c r="AF120" i="12"/>
  <c r="AE120" i="12"/>
  <c r="AD120" i="12"/>
  <c r="AC120" i="12"/>
  <c r="AB120" i="12"/>
  <c r="AK119" i="12"/>
  <c r="AJ119" i="12"/>
  <c r="AI119" i="12"/>
  <c r="AH119" i="12"/>
  <c r="AG119" i="12"/>
  <c r="AF119" i="12"/>
  <c r="AE119" i="12"/>
  <c r="AD119" i="12"/>
  <c r="AC119" i="12"/>
  <c r="AB119" i="12"/>
  <c r="AK118" i="12"/>
  <c r="AJ118" i="12"/>
  <c r="AI118" i="12"/>
  <c r="AH118" i="12"/>
  <c r="AG118" i="12"/>
  <c r="AF118" i="12"/>
  <c r="AE118" i="12"/>
  <c r="AD118" i="12"/>
  <c r="AC118" i="12"/>
  <c r="AB118" i="12"/>
  <c r="AK116" i="12"/>
  <c r="AJ116" i="12"/>
  <c r="AI116" i="12"/>
  <c r="AH116" i="12"/>
  <c r="AG116" i="12"/>
  <c r="AF116" i="12"/>
  <c r="AE116" i="12"/>
  <c r="AD116" i="12"/>
  <c r="AC116" i="12"/>
  <c r="AK115" i="12"/>
  <c r="AJ115" i="12"/>
  <c r="AI115" i="12"/>
  <c r="AH115" i="12"/>
  <c r="AG115" i="12"/>
  <c r="AF115" i="12"/>
  <c r="AE115" i="12"/>
  <c r="AD115" i="12"/>
  <c r="AC115" i="12"/>
  <c r="AK114" i="12"/>
  <c r="AJ114" i="12"/>
  <c r="AI114" i="12"/>
  <c r="AH114" i="12"/>
  <c r="AG114" i="12"/>
  <c r="AF114" i="12"/>
  <c r="AE114" i="12"/>
  <c r="AD114" i="12"/>
  <c r="AC114" i="12"/>
  <c r="AA120" i="12"/>
  <c r="AA129" i="12" s="1"/>
  <c r="AA119" i="12"/>
  <c r="AA128" i="12" s="1"/>
  <c r="AA118" i="12"/>
  <c r="AA127" i="12" s="1"/>
  <c r="AA116" i="12"/>
  <c r="AA125" i="12" s="1"/>
  <c r="AA115" i="12"/>
  <c r="AA124" i="12" s="1"/>
  <c r="AA114" i="12"/>
  <c r="AA123" i="12" s="1"/>
  <c r="AB116" i="12"/>
  <c r="AB115" i="12"/>
  <c r="AB114" i="12"/>
  <c r="U81" i="12"/>
  <c r="T81" i="12"/>
  <c r="S81" i="12"/>
  <c r="R81" i="12"/>
  <c r="P78" i="12"/>
  <c r="X10" i="12" l="1"/>
  <c r="M7" i="12"/>
  <c r="X7" i="12" s="1"/>
  <c r="X8" i="12"/>
  <c r="AC134" i="12"/>
  <c r="M38" i="12"/>
  <c r="M37" i="12" s="1"/>
  <c r="I79" i="12"/>
  <c r="S79" i="12" s="1"/>
  <c r="AC137" i="12"/>
  <c r="AE137" i="12"/>
  <c r="J80" i="12"/>
  <c r="U80" i="12" s="1"/>
  <c r="S80" i="12"/>
  <c r="AD137" i="12"/>
  <c r="AD139" i="12"/>
  <c r="AE133" i="12"/>
  <c r="J79" i="12"/>
  <c r="AD133" i="12"/>
  <c r="AD134" i="12"/>
  <c r="AE139" i="12"/>
  <c r="R80" i="12"/>
  <c r="AC133" i="12"/>
  <c r="AE138" i="12"/>
  <c r="AC138" i="12"/>
  <c r="AE134" i="12"/>
  <c r="AC139" i="12"/>
  <c r="AD138" i="12"/>
  <c r="E31" i="12"/>
  <c r="F31" i="12"/>
  <c r="G31" i="12"/>
  <c r="H31" i="12"/>
  <c r="I31" i="12"/>
  <c r="J31" i="12"/>
  <c r="K31" i="12"/>
  <c r="L31" i="12"/>
  <c r="K18" i="12"/>
  <c r="L53" i="12"/>
  <c r="K53" i="12"/>
  <c r="J53" i="12"/>
  <c r="I53" i="12"/>
  <c r="H53" i="12"/>
  <c r="G53" i="12"/>
  <c r="F53" i="12"/>
  <c r="E53" i="12"/>
  <c r="L52" i="12"/>
  <c r="K52" i="12"/>
  <c r="J52" i="12"/>
  <c r="I52" i="12"/>
  <c r="H52" i="12"/>
  <c r="G52" i="12"/>
  <c r="F52" i="12"/>
  <c r="E52" i="12"/>
  <c r="L51" i="12"/>
  <c r="K51" i="12"/>
  <c r="J51" i="12"/>
  <c r="I51" i="12"/>
  <c r="H51" i="12"/>
  <c r="G51" i="12"/>
  <c r="F51" i="12"/>
  <c r="E51" i="12"/>
  <c r="L48" i="12"/>
  <c r="K48" i="12"/>
  <c r="J48" i="12"/>
  <c r="I48" i="12"/>
  <c r="H48" i="12"/>
  <c r="G48" i="12"/>
  <c r="F48" i="12"/>
  <c r="E48" i="12"/>
  <c r="L47" i="12"/>
  <c r="K47" i="12"/>
  <c r="J47" i="12"/>
  <c r="I47" i="12"/>
  <c r="H47" i="12"/>
  <c r="G47" i="12"/>
  <c r="F47" i="12"/>
  <c r="E47" i="12"/>
  <c r="L46" i="12"/>
  <c r="K46" i="12"/>
  <c r="J46" i="12"/>
  <c r="I46" i="12"/>
  <c r="H46" i="12"/>
  <c r="G46" i="12"/>
  <c r="F46" i="12"/>
  <c r="E46" i="12"/>
  <c r="L43" i="12"/>
  <c r="K43" i="12"/>
  <c r="J43" i="12"/>
  <c r="I43" i="12"/>
  <c r="H43" i="12"/>
  <c r="G43" i="12"/>
  <c r="F43" i="12"/>
  <c r="E43" i="12"/>
  <c r="L42" i="12"/>
  <c r="K42" i="12"/>
  <c r="J42" i="12"/>
  <c r="I42" i="12"/>
  <c r="H42" i="12"/>
  <c r="G42" i="12"/>
  <c r="F42" i="12"/>
  <c r="E42" i="12"/>
  <c r="L41" i="12"/>
  <c r="K41" i="12"/>
  <c r="J41" i="12"/>
  <c r="I41" i="12"/>
  <c r="H41" i="12"/>
  <c r="G41" i="12"/>
  <c r="F41" i="12"/>
  <c r="E41" i="12"/>
  <c r="E56" i="12"/>
  <c r="L55" i="12"/>
  <c r="K55" i="12"/>
  <c r="J55" i="12"/>
  <c r="I55" i="12"/>
  <c r="H55" i="12"/>
  <c r="G55" i="12"/>
  <c r="F55" i="12"/>
  <c r="E55" i="12"/>
  <c r="E57" i="12"/>
  <c r="L57" i="12"/>
  <c r="K57" i="12"/>
  <c r="J57" i="12"/>
  <c r="I57" i="12"/>
  <c r="H57" i="12"/>
  <c r="G57" i="12"/>
  <c r="F57" i="12"/>
  <c r="L56" i="12"/>
  <c r="K56" i="12"/>
  <c r="J56" i="12"/>
  <c r="I56" i="12"/>
  <c r="H56" i="12"/>
  <c r="G56" i="12"/>
  <c r="F56" i="12"/>
  <c r="AF137" i="12" l="1"/>
  <c r="AF133" i="12"/>
  <c r="AF139" i="12"/>
  <c r="AF138" i="12"/>
  <c r="T80" i="12"/>
  <c r="AF134" i="12"/>
  <c r="H94" i="12" s="1"/>
  <c r="I23" i="12" s="1"/>
  <c r="I22" i="12" s="1"/>
  <c r="M58" i="12"/>
  <c r="T79" i="12"/>
  <c r="O78" i="12"/>
  <c r="H98" i="12" l="1"/>
  <c r="I28" i="12" s="1"/>
  <c r="I27" i="12" s="1"/>
  <c r="H58" i="12"/>
  <c r="F58" i="12"/>
  <c r="L58" i="12"/>
  <c r="K58" i="12"/>
  <c r="J58" i="12"/>
  <c r="I58" i="12"/>
  <c r="E58" i="12"/>
  <c r="G58" i="12"/>
  <c r="J94" i="12"/>
  <c r="K23" i="12" s="1"/>
  <c r="K22" i="12" s="1"/>
  <c r="I94" i="12"/>
  <c r="J23" i="12" s="1"/>
  <c r="J22" i="12" s="1"/>
  <c r="R78" i="12"/>
  <c r="I98" i="12"/>
  <c r="J28" i="12" s="1"/>
  <c r="S9" i="12"/>
  <c r="E100" i="12"/>
  <c r="D100" i="12"/>
  <c r="E96" i="12"/>
  <c r="D96" i="12"/>
  <c r="E24" i="12"/>
  <c r="E29" i="12"/>
  <c r="I38" i="12" l="1"/>
  <c r="I37" i="12" s="1"/>
  <c r="J38" i="12"/>
  <c r="J37" i="12" s="1"/>
  <c r="J27" i="12"/>
  <c r="J98" i="12"/>
  <c r="K28" i="12" s="1"/>
  <c r="L23" i="12"/>
  <c r="L22" i="12" s="1"/>
  <c r="S78" i="12"/>
  <c r="T78" i="12"/>
  <c r="E28" i="12"/>
  <c r="N27" i="12"/>
  <c r="U8" i="12"/>
  <c r="G14" i="12"/>
  <c r="G24" i="12"/>
  <c r="G23" i="12"/>
  <c r="G22" i="12" s="1"/>
  <c r="G18" i="12"/>
  <c r="G17" i="12" s="1"/>
  <c r="X9" i="12"/>
  <c r="O81" i="12"/>
  <c r="O80" i="12"/>
  <c r="O79" i="12"/>
  <c r="Q81" i="12"/>
  <c r="Q80" i="12"/>
  <c r="Q79" i="12"/>
  <c r="Q78" i="12"/>
  <c r="P79" i="12"/>
  <c r="P80" i="12"/>
  <c r="P81" i="12"/>
  <c r="H30" i="12"/>
  <c r="G30" i="12"/>
  <c r="F30" i="12"/>
  <c r="E30" i="12"/>
  <c r="H29" i="12"/>
  <c r="G29" i="12"/>
  <c r="F29" i="12"/>
  <c r="H28" i="12"/>
  <c r="G28" i="12"/>
  <c r="F28" i="12"/>
  <c r="H25" i="12"/>
  <c r="G25" i="12"/>
  <c r="F25" i="12"/>
  <c r="E25" i="12"/>
  <c r="H24" i="12"/>
  <c r="F24" i="12"/>
  <c r="H22" i="12"/>
  <c r="F23" i="12"/>
  <c r="F22" i="12" s="1"/>
  <c r="E23" i="12"/>
  <c r="E22" i="12" s="1"/>
  <c r="L20" i="12"/>
  <c r="K20" i="12"/>
  <c r="J20" i="12"/>
  <c r="I20" i="12"/>
  <c r="H20" i="12"/>
  <c r="G20" i="12"/>
  <c r="F20" i="12"/>
  <c r="E20" i="12"/>
  <c r="L19" i="12"/>
  <c r="K19" i="12"/>
  <c r="J19" i="12"/>
  <c r="I19" i="12"/>
  <c r="H19" i="12"/>
  <c r="G19" i="12"/>
  <c r="F19" i="12"/>
  <c r="E19" i="12"/>
  <c r="L18" i="12"/>
  <c r="J18" i="12"/>
  <c r="I18" i="12"/>
  <c r="H18" i="12"/>
  <c r="F18" i="12"/>
  <c r="E18" i="12"/>
  <c r="G13" i="12"/>
  <c r="U10" i="12"/>
  <c r="U9" i="12"/>
  <c r="G8" i="12"/>
  <c r="G7" i="12" s="1"/>
  <c r="S10" i="12"/>
  <c r="S8" i="12"/>
  <c r="S7" i="12"/>
  <c r="E27" i="12" l="1"/>
  <c r="E38" i="12"/>
  <c r="E37" i="12" s="1"/>
  <c r="F27" i="12"/>
  <c r="F38" i="12"/>
  <c r="F37" i="12" s="1"/>
  <c r="G27" i="12"/>
  <c r="G38" i="12"/>
  <c r="G37" i="12" s="1"/>
  <c r="H27" i="12"/>
  <c r="H38" i="12"/>
  <c r="H37" i="12" s="1"/>
  <c r="K38" i="12"/>
  <c r="K37" i="12" s="1"/>
  <c r="K27" i="12"/>
  <c r="N17" i="12"/>
  <c r="N12" i="12"/>
  <c r="N7" i="12"/>
  <c r="L38" i="12" l="1"/>
  <c r="L37" i="12" s="1"/>
  <c r="U78" i="12"/>
  <c r="F7" i="12"/>
  <c r="H8" i="12"/>
  <c r="H7" i="12" s="1"/>
  <c r="I7" i="12"/>
  <c r="J8" i="12"/>
  <c r="K8" i="12"/>
  <c r="K7" i="12" s="1"/>
  <c r="F9" i="12"/>
  <c r="G9" i="12"/>
  <c r="H9" i="12"/>
  <c r="I9" i="12"/>
  <c r="J9" i="12"/>
  <c r="K9" i="12"/>
  <c r="F10" i="12"/>
  <c r="G10" i="12"/>
  <c r="H10" i="12"/>
  <c r="I10" i="12"/>
  <c r="J10" i="12"/>
  <c r="K10" i="12"/>
  <c r="L10" i="12"/>
  <c r="F13" i="12"/>
  <c r="F12" i="12" s="1"/>
  <c r="G12" i="12"/>
  <c r="H13" i="12"/>
  <c r="H12" i="12" s="1"/>
  <c r="I13" i="12"/>
  <c r="J13" i="12"/>
  <c r="J12" i="12" s="1"/>
  <c r="K13" i="12"/>
  <c r="K12" i="12" s="1"/>
  <c r="F14" i="12"/>
  <c r="H14" i="12"/>
  <c r="I14" i="12"/>
  <c r="J14" i="12"/>
  <c r="K14" i="12"/>
  <c r="L14" i="12"/>
  <c r="F15" i="12"/>
  <c r="G15" i="12"/>
  <c r="H15" i="12"/>
  <c r="I15" i="12"/>
  <c r="J15" i="12"/>
  <c r="K15" i="12"/>
  <c r="L15" i="12"/>
  <c r="F17" i="12"/>
  <c r="H17" i="12"/>
  <c r="I17" i="12"/>
  <c r="J17" i="12"/>
  <c r="K17" i="12"/>
  <c r="L17" i="12"/>
  <c r="E9" i="12"/>
  <c r="E10" i="12"/>
  <c r="E13" i="12"/>
  <c r="E12" i="12" s="1"/>
  <c r="E14" i="12"/>
  <c r="E15" i="12"/>
  <c r="E17" i="12"/>
  <c r="V9" i="12" l="1"/>
  <c r="V10" i="12"/>
  <c r="J7" i="12"/>
  <c r="V7" i="12" s="1"/>
  <c r="I12" i="12"/>
  <c r="E7" i="12"/>
  <c r="R7" i="12" s="1"/>
  <c r="R8" i="12"/>
  <c r="R9" i="12"/>
  <c r="T7" i="12"/>
  <c r="R10" i="12"/>
  <c r="T10" i="12"/>
  <c r="T9" i="12"/>
  <c r="T8" i="12"/>
  <c r="H15" i="6" a="1"/>
  <c r="H15" i="6" s="1"/>
  <c r="K113" i="11"/>
  <c r="L113" i="11" s="1"/>
  <c r="J113" i="11"/>
  <c r="H113" i="11"/>
  <c r="F113" i="11"/>
  <c r="J112" i="11"/>
  <c r="K112" i="11" s="1"/>
  <c r="L112" i="11" s="1"/>
  <c r="H112" i="11"/>
  <c r="F112" i="11"/>
  <c r="I111" i="11"/>
  <c r="J111" i="11" s="1"/>
  <c r="K111" i="11" s="1"/>
  <c r="L111" i="11" s="1"/>
  <c r="G111" i="11"/>
  <c r="H111" i="11" s="1"/>
  <c r="E111" i="11"/>
  <c r="F111" i="11" s="1"/>
  <c r="K110" i="11"/>
  <c r="L110" i="11" s="1"/>
  <c r="J110" i="11"/>
  <c r="H110" i="11"/>
  <c r="F110" i="11"/>
  <c r="F66" i="11"/>
  <c r="H65" i="11" a="1"/>
  <c r="H65" i="11" s="1"/>
  <c r="F64" i="11"/>
  <c r="H63" i="11" a="1"/>
  <c r="H63" i="11" s="1"/>
  <c r="F62" i="11"/>
  <c r="H61" i="11" a="1"/>
  <c r="H61" i="11" s="1"/>
  <c r="C61" i="11"/>
  <c r="C69" i="6"/>
  <c r="J113" i="10"/>
  <c r="K113" i="10" s="1"/>
  <c r="L113" i="10" s="1"/>
  <c r="H113" i="10"/>
  <c r="F113" i="10"/>
  <c r="J112" i="10"/>
  <c r="K112" i="10" s="1"/>
  <c r="L112" i="10" s="1"/>
  <c r="H112" i="10"/>
  <c r="F112" i="10"/>
  <c r="I111" i="10"/>
  <c r="J111" i="10" s="1"/>
  <c r="K111" i="10" s="1"/>
  <c r="L111" i="10" s="1"/>
  <c r="G111" i="10"/>
  <c r="H111" i="10" s="1"/>
  <c r="E111" i="10"/>
  <c r="F111" i="10" s="1"/>
  <c r="J110" i="10"/>
  <c r="K110" i="10" s="1"/>
  <c r="L110" i="10" s="1"/>
  <c r="H110" i="10"/>
  <c r="F110" i="10"/>
  <c r="C61" i="10"/>
  <c r="F66" i="10"/>
  <c r="H65" i="10" a="1"/>
  <c r="H65" i="10" s="1"/>
  <c r="F64" i="10"/>
  <c r="H63" i="10" a="1"/>
  <c r="H63" i="10" s="1"/>
  <c r="F62" i="10"/>
  <c r="H61" i="10" a="1"/>
  <c r="H61" i="10" s="1"/>
  <c r="H73" i="6" a="1"/>
  <c r="H73" i="6" s="1"/>
  <c r="J115" i="6"/>
  <c r="K115" i="6" s="1"/>
  <c r="L115" i="6" s="1"/>
  <c r="H115" i="6"/>
  <c r="F115" i="6"/>
  <c r="J114" i="6"/>
  <c r="K114" i="6" s="1"/>
  <c r="L114" i="6" s="1"/>
  <c r="H114" i="6"/>
  <c r="F114" i="6"/>
  <c r="I113" i="6"/>
  <c r="J113" i="6" s="1"/>
  <c r="K113" i="6" s="1"/>
  <c r="L113" i="6" s="1"/>
  <c r="G113" i="6"/>
  <c r="H113" i="6" s="1"/>
  <c r="E113" i="6"/>
  <c r="F113" i="6" s="1"/>
  <c r="J112" i="6"/>
  <c r="K112" i="6" s="1"/>
  <c r="L112" i="6" s="1"/>
  <c r="H112" i="6"/>
  <c r="F112" i="6"/>
  <c r="F74" i="6"/>
  <c r="F72" i="6"/>
  <c r="H71" i="6" a="1"/>
  <c r="H71" i="6" s="1"/>
  <c r="F70" i="6"/>
  <c r="H69" i="6" a="1"/>
  <c r="H69" i="6" s="1"/>
  <c r="C67" i="10" l="1"/>
  <c r="C55" i="10"/>
  <c r="C47" i="10"/>
  <c r="C39" i="10"/>
  <c r="C31" i="10"/>
  <c r="C23" i="10"/>
  <c r="C15" i="10"/>
  <c r="C9" i="10"/>
  <c r="C61" i="6"/>
  <c r="C55" i="6"/>
  <c r="C47" i="6"/>
  <c r="C39" i="6"/>
  <c r="C31" i="6"/>
  <c r="C23" i="6"/>
  <c r="C15" i="6"/>
  <c r="C9" i="6"/>
  <c r="C67" i="11"/>
  <c r="C55" i="11"/>
  <c r="C47" i="11"/>
  <c r="C39" i="11"/>
  <c r="C31" i="11"/>
  <c r="C23" i="11"/>
  <c r="C15" i="11"/>
  <c r="C9" i="11"/>
  <c r="J118" i="11"/>
  <c r="K118" i="11" s="1"/>
  <c r="L118" i="11" s="1"/>
  <c r="H118" i="11"/>
  <c r="F118" i="11"/>
  <c r="J117" i="11"/>
  <c r="K117" i="11" s="1"/>
  <c r="L117" i="11" s="1"/>
  <c r="H117" i="11"/>
  <c r="F117" i="11"/>
  <c r="I116" i="11"/>
  <c r="J116" i="11" s="1"/>
  <c r="K116" i="11" s="1"/>
  <c r="L116" i="11" s="1"/>
  <c r="G116" i="11"/>
  <c r="H116" i="11" s="1"/>
  <c r="E116" i="11"/>
  <c r="F116" i="11" s="1"/>
  <c r="J115" i="11"/>
  <c r="K115" i="11" s="1"/>
  <c r="L115" i="11" s="1"/>
  <c r="H115" i="11"/>
  <c r="F115" i="11"/>
  <c r="J114" i="11"/>
  <c r="K114" i="11" s="1"/>
  <c r="L114" i="11" s="1"/>
  <c r="H114" i="11"/>
  <c r="J109" i="11"/>
  <c r="K109" i="11" s="1"/>
  <c r="L109" i="11" s="1"/>
  <c r="H109" i="11"/>
  <c r="F109" i="11"/>
  <c r="J108" i="11"/>
  <c r="K108" i="11" s="1"/>
  <c r="L108" i="11" s="1"/>
  <c r="H108" i="11"/>
  <c r="F108" i="11"/>
  <c r="I107" i="11"/>
  <c r="J107" i="11" s="1"/>
  <c r="K107" i="11" s="1"/>
  <c r="L107" i="11" s="1"/>
  <c r="G107" i="11"/>
  <c r="H107" i="11" s="1"/>
  <c r="E107" i="11"/>
  <c r="F107" i="11" s="1"/>
  <c r="J106" i="11"/>
  <c r="K106" i="11" s="1"/>
  <c r="L106" i="11" s="1"/>
  <c r="H106" i="11"/>
  <c r="F106" i="11"/>
  <c r="J105" i="11"/>
  <c r="K105" i="11" s="1"/>
  <c r="L105" i="11" s="1"/>
  <c r="H105" i="11"/>
  <c r="F105" i="11"/>
  <c r="G104" i="11"/>
  <c r="H104" i="11" s="1"/>
  <c r="G103" i="11"/>
  <c r="H103" i="11" s="1"/>
  <c r="C103" i="11"/>
  <c r="C104" i="11" s="1"/>
  <c r="C105" i="11" s="1"/>
  <c r="I102" i="11"/>
  <c r="I103" i="11" s="1"/>
  <c r="G102" i="11"/>
  <c r="H102" i="11" s="1"/>
  <c r="E102" i="11"/>
  <c r="E103" i="11" s="1"/>
  <c r="J101" i="11"/>
  <c r="K101" i="11" s="1"/>
  <c r="L101" i="11" s="1"/>
  <c r="H101" i="11"/>
  <c r="F101" i="11"/>
  <c r="G100" i="11"/>
  <c r="H100" i="11" s="1"/>
  <c r="G99" i="11"/>
  <c r="H99" i="11" s="1"/>
  <c r="C99" i="11"/>
  <c r="C100" i="11" s="1"/>
  <c r="C101" i="11" s="1"/>
  <c r="I98" i="11"/>
  <c r="I99" i="11" s="1"/>
  <c r="G98" i="11"/>
  <c r="H98" i="11" s="1"/>
  <c r="E98" i="11"/>
  <c r="F98" i="11" s="1"/>
  <c r="J97" i="11"/>
  <c r="K97" i="11" s="1"/>
  <c r="L97" i="11" s="1"/>
  <c r="H97" i="11"/>
  <c r="F97" i="11"/>
  <c r="J96" i="11"/>
  <c r="K96" i="11" s="1"/>
  <c r="L96" i="11" s="1"/>
  <c r="F96" i="11"/>
  <c r="J95" i="11"/>
  <c r="K95" i="11" s="1"/>
  <c r="L95" i="11" s="1"/>
  <c r="F95" i="11"/>
  <c r="C95" i="11"/>
  <c r="C96" i="11" s="1"/>
  <c r="C97" i="11" s="1"/>
  <c r="J94" i="11"/>
  <c r="K94" i="11" s="1"/>
  <c r="L94" i="11" s="1"/>
  <c r="H94" i="11"/>
  <c r="F94" i="11"/>
  <c r="J93" i="11"/>
  <c r="K93" i="11" s="1"/>
  <c r="L93" i="11" s="1"/>
  <c r="H93" i="11"/>
  <c r="F93" i="11"/>
  <c r="J92" i="11"/>
  <c r="K92" i="11" s="1"/>
  <c r="L92" i="11" s="1"/>
  <c r="G92" i="11"/>
  <c r="H92" i="11" s="1"/>
  <c r="F92" i="11"/>
  <c r="J91" i="11"/>
  <c r="K91" i="11" s="1"/>
  <c r="L91" i="11" s="1"/>
  <c r="G91" i="11"/>
  <c r="H91" i="11" s="1"/>
  <c r="F91" i="11"/>
  <c r="C91" i="11"/>
  <c r="C92" i="11" s="1"/>
  <c r="C93" i="11" s="1"/>
  <c r="J90" i="11"/>
  <c r="K90" i="11" s="1"/>
  <c r="L90" i="11" s="1"/>
  <c r="G90" i="11"/>
  <c r="H90" i="11" s="1"/>
  <c r="F90" i="11"/>
  <c r="J89" i="11"/>
  <c r="K89" i="11" s="1"/>
  <c r="L89" i="11" s="1"/>
  <c r="H89" i="11"/>
  <c r="F89" i="11"/>
  <c r="J88" i="11"/>
  <c r="K88" i="11" s="1"/>
  <c r="L88" i="11" s="1"/>
  <c r="G88" i="11"/>
  <c r="H88" i="11" s="1"/>
  <c r="F88" i="11"/>
  <c r="I87" i="11"/>
  <c r="J87" i="11" s="1"/>
  <c r="K87" i="11" s="1"/>
  <c r="L87" i="11" s="1"/>
  <c r="G87" i="11"/>
  <c r="H87" i="11" s="1"/>
  <c r="E87" i="11"/>
  <c r="F87" i="11" s="1"/>
  <c r="C87" i="11"/>
  <c r="C88" i="11" s="1"/>
  <c r="J86" i="11"/>
  <c r="K86" i="11" s="1"/>
  <c r="G86" i="11"/>
  <c r="H86" i="11" s="1"/>
  <c r="F86" i="11"/>
  <c r="J85" i="11"/>
  <c r="K85" i="11" s="1"/>
  <c r="L85" i="11" s="1"/>
  <c r="H85" i="11"/>
  <c r="F85" i="11"/>
  <c r="G84" i="11"/>
  <c r="I84" i="11" s="1"/>
  <c r="F84" i="11"/>
  <c r="G83" i="11"/>
  <c r="H83" i="11" s="1"/>
  <c r="E83" i="11"/>
  <c r="F83" i="11" s="1"/>
  <c r="J82" i="11"/>
  <c r="K82" i="11" s="1"/>
  <c r="L82" i="11" s="1"/>
  <c r="H47" i="11" s="1" a="1"/>
  <c r="H47" i="11" s="1"/>
  <c r="G82" i="11"/>
  <c r="H82" i="11" s="1"/>
  <c r="F82" i="11"/>
  <c r="F74" i="11"/>
  <c r="F72" i="11"/>
  <c r="F70" i="11"/>
  <c r="F68" i="11"/>
  <c r="F60" i="11"/>
  <c r="F58" i="11"/>
  <c r="F56" i="11"/>
  <c r="F54" i="11"/>
  <c r="F52" i="11"/>
  <c r="F50" i="11"/>
  <c r="F48" i="11"/>
  <c r="A48" i="11"/>
  <c r="A49" i="11" s="1"/>
  <c r="F46" i="11"/>
  <c r="F44" i="11"/>
  <c r="F42" i="11"/>
  <c r="F40" i="11"/>
  <c r="A40" i="11"/>
  <c r="A43" i="11" s="1"/>
  <c r="F38" i="11"/>
  <c r="F36" i="11"/>
  <c r="F34" i="11"/>
  <c r="F32" i="11"/>
  <c r="A32" i="11"/>
  <c r="A35" i="11" s="1"/>
  <c r="F30" i="11"/>
  <c r="F28" i="11"/>
  <c r="A27" i="11"/>
  <c r="F24" i="11"/>
  <c r="A24" i="11"/>
  <c r="A25" i="11" s="1"/>
  <c r="A26" i="11" s="1"/>
  <c r="F22" i="11"/>
  <c r="F20" i="11"/>
  <c r="F16" i="11"/>
  <c r="A16" i="11"/>
  <c r="A19" i="11" s="1"/>
  <c r="J118" i="10"/>
  <c r="K118" i="10" s="1"/>
  <c r="L118" i="10" s="1"/>
  <c r="H118" i="10"/>
  <c r="F118" i="10"/>
  <c r="J117" i="10"/>
  <c r="K117" i="10" s="1"/>
  <c r="L117" i="10" s="1"/>
  <c r="H117" i="10"/>
  <c r="F117" i="10"/>
  <c r="I116" i="10"/>
  <c r="J116" i="10" s="1"/>
  <c r="K116" i="10" s="1"/>
  <c r="L116" i="10" s="1"/>
  <c r="G116" i="10"/>
  <c r="H116" i="10" s="1"/>
  <c r="E116" i="10"/>
  <c r="F116" i="10" s="1"/>
  <c r="J115" i="10"/>
  <c r="K115" i="10" s="1"/>
  <c r="L115" i="10" s="1"/>
  <c r="H115" i="10"/>
  <c r="F115" i="10"/>
  <c r="J114" i="10"/>
  <c r="K114" i="10" s="1"/>
  <c r="L114" i="10" s="1"/>
  <c r="H114" i="10"/>
  <c r="J109" i="10"/>
  <c r="K109" i="10" s="1"/>
  <c r="L109" i="10" s="1"/>
  <c r="H109" i="10"/>
  <c r="F109" i="10"/>
  <c r="J108" i="10"/>
  <c r="K108" i="10" s="1"/>
  <c r="L108" i="10" s="1"/>
  <c r="H108" i="10"/>
  <c r="F108" i="10"/>
  <c r="I107" i="10"/>
  <c r="J107" i="10" s="1"/>
  <c r="K107" i="10" s="1"/>
  <c r="L107" i="10" s="1"/>
  <c r="G107" i="10"/>
  <c r="H107" i="10" s="1"/>
  <c r="E107" i="10"/>
  <c r="F107" i="10" s="1"/>
  <c r="J106" i="10"/>
  <c r="K106" i="10" s="1"/>
  <c r="L106" i="10" s="1"/>
  <c r="H106" i="10"/>
  <c r="F106" i="10"/>
  <c r="J105" i="10"/>
  <c r="K105" i="10" s="1"/>
  <c r="L105" i="10" s="1"/>
  <c r="H105" i="10"/>
  <c r="F105" i="10"/>
  <c r="G104" i="10"/>
  <c r="H104" i="10" s="1"/>
  <c r="G103" i="10"/>
  <c r="H103" i="10" s="1"/>
  <c r="C103" i="10"/>
  <c r="C104" i="10" s="1"/>
  <c r="C105" i="10" s="1"/>
  <c r="I102" i="10"/>
  <c r="I103" i="10" s="1"/>
  <c r="G102" i="10"/>
  <c r="H102" i="10" s="1"/>
  <c r="E102" i="10"/>
  <c r="E103" i="10" s="1"/>
  <c r="J101" i="10"/>
  <c r="K101" i="10" s="1"/>
  <c r="L101" i="10" s="1"/>
  <c r="H101" i="10"/>
  <c r="F101" i="10"/>
  <c r="G100" i="10"/>
  <c r="H100" i="10" s="1"/>
  <c r="G99" i="10"/>
  <c r="H99" i="10" s="1"/>
  <c r="C99" i="10"/>
  <c r="C100" i="10" s="1"/>
  <c r="C101" i="10" s="1"/>
  <c r="I98" i="10"/>
  <c r="I99" i="10" s="1"/>
  <c r="G98" i="10"/>
  <c r="H98" i="10" s="1"/>
  <c r="E98" i="10"/>
  <c r="E99" i="10" s="1"/>
  <c r="E100" i="10" s="1"/>
  <c r="F100" i="10" s="1"/>
  <c r="J97" i="10"/>
  <c r="K97" i="10" s="1"/>
  <c r="L97" i="10" s="1"/>
  <c r="H97" i="10"/>
  <c r="F97" i="10"/>
  <c r="J96" i="10"/>
  <c r="K96" i="10" s="1"/>
  <c r="L96" i="10" s="1"/>
  <c r="F96" i="10"/>
  <c r="J95" i="10"/>
  <c r="K95" i="10" s="1"/>
  <c r="L95" i="10" s="1"/>
  <c r="G95" i="10"/>
  <c r="H95" i="10" s="1"/>
  <c r="F95" i="10"/>
  <c r="C95" i="10"/>
  <c r="C96" i="10" s="1"/>
  <c r="C97" i="10" s="1"/>
  <c r="J94" i="10"/>
  <c r="K94" i="10" s="1"/>
  <c r="L94" i="10" s="1"/>
  <c r="H94" i="10"/>
  <c r="F94" i="10"/>
  <c r="J93" i="10"/>
  <c r="K93" i="10" s="1"/>
  <c r="L93" i="10" s="1"/>
  <c r="H93" i="10"/>
  <c r="F93" i="10"/>
  <c r="J92" i="10"/>
  <c r="K92" i="10" s="1"/>
  <c r="L92" i="10" s="1"/>
  <c r="H92" i="10"/>
  <c r="G92" i="10"/>
  <c r="G96" i="10" s="1"/>
  <c r="H96" i="10" s="1"/>
  <c r="F92" i="10"/>
  <c r="J91" i="10"/>
  <c r="K91" i="10" s="1"/>
  <c r="L91" i="10" s="1"/>
  <c r="G91" i="10"/>
  <c r="H91" i="10" s="1"/>
  <c r="F91" i="10"/>
  <c r="C91" i="10"/>
  <c r="C92" i="10" s="1"/>
  <c r="C93" i="10" s="1"/>
  <c r="J90" i="10"/>
  <c r="K90" i="10" s="1"/>
  <c r="L90" i="10" s="1"/>
  <c r="G90" i="10"/>
  <c r="H90" i="10" s="1"/>
  <c r="F90" i="10"/>
  <c r="J89" i="10"/>
  <c r="K89" i="10" s="1"/>
  <c r="L89" i="10" s="1"/>
  <c r="H89" i="10"/>
  <c r="F89" i="10"/>
  <c r="J88" i="10"/>
  <c r="K88" i="10" s="1"/>
  <c r="L88" i="10" s="1"/>
  <c r="G88" i="10"/>
  <c r="H88" i="10" s="1"/>
  <c r="F88" i="10"/>
  <c r="I87" i="10"/>
  <c r="J87" i="10" s="1"/>
  <c r="K87" i="10" s="1"/>
  <c r="L87" i="10" s="1"/>
  <c r="G87" i="10"/>
  <c r="H87" i="10" s="1"/>
  <c r="E87" i="10"/>
  <c r="F87" i="10" s="1"/>
  <c r="C87" i="10"/>
  <c r="J86" i="10"/>
  <c r="K86" i="10" s="1"/>
  <c r="G86" i="10"/>
  <c r="H86" i="10" s="1"/>
  <c r="F86" i="10"/>
  <c r="J85" i="10"/>
  <c r="K85" i="10" s="1"/>
  <c r="L85" i="10" s="1"/>
  <c r="H85" i="10"/>
  <c r="F85" i="10"/>
  <c r="G84" i="10"/>
  <c r="I84" i="10" s="1"/>
  <c r="F84" i="10"/>
  <c r="G83" i="10"/>
  <c r="H83" i="10" s="1"/>
  <c r="E83" i="10"/>
  <c r="F83" i="10" s="1"/>
  <c r="J82" i="10"/>
  <c r="K82" i="10" s="1"/>
  <c r="L82" i="10" s="1"/>
  <c r="G82" i="10"/>
  <c r="H82" i="10" s="1"/>
  <c r="F82" i="10"/>
  <c r="F74" i="10"/>
  <c r="F72" i="10"/>
  <c r="F70" i="10"/>
  <c r="F68" i="10"/>
  <c r="F60" i="10"/>
  <c r="F58" i="10"/>
  <c r="F56" i="10"/>
  <c r="F54" i="10"/>
  <c r="F52" i="10"/>
  <c r="F50" i="10"/>
  <c r="F48" i="10"/>
  <c r="A48" i="10"/>
  <c r="A49" i="10" s="1"/>
  <c r="H47" i="10" a="1"/>
  <c r="H47" i="10" s="1"/>
  <c r="F46" i="10"/>
  <c r="F44" i="10"/>
  <c r="F42" i="10"/>
  <c r="F40" i="10"/>
  <c r="A40" i="10"/>
  <c r="A43" i="10" s="1"/>
  <c r="H39" i="10" a="1"/>
  <c r="H39" i="10" s="1"/>
  <c r="F38" i="10"/>
  <c r="F36" i="10"/>
  <c r="F34" i="10"/>
  <c r="F32" i="10"/>
  <c r="A32" i="10"/>
  <c r="A35" i="10" s="1"/>
  <c r="F30" i="10"/>
  <c r="F28" i="10"/>
  <c r="F24" i="10"/>
  <c r="A24" i="10"/>
  <c r="A25" i="10" s="1"/>
  <c r="F22" i="10"/>
  <c r="F20" i="10"/>
  <c r="A19" i="10"/>
  <c r="A20" i="10" s="1"/>
  <c r="A21" i="10" s="1"/>
  <c r="F16" i="10"/>
  <c r="A16" i="10"/>
  <c r="A17" i="10" s="1"/>
  <c r="E99" i="11" l="1"/>
  <c r="A33" i="11"/>
  <c r="A34" i="11" s="1"/>
  <c r="A51" i="11"/>
  <c r="A33" i="10"/>
  <c r="A34" i="10" s="1"/>
  <c r="F98" i="10"/>
  <c r="A41" i="10"/>
  <c r="H41" i="10" s="1" a="1"/>
  <c r="H41" i="10" s="1"/>
  <c r="I100" i="11"/>
  <c r="J100" i="11" s="1"/>
  <c r="K100" i="11" s="1"/>
  <c r="L100" i="11" s="1"/>
  <c r="J99" i="11"/>
  <c r="K99" i="11" s="1"/>
  <c r="L99" i="11" s="1"/>
  <c r="J84" i="11"/>
  <c r="I83" i="11"/>
  <c r="J83" i="11" s="1"/>
  <c r="K83" i="11" s="1"/>
  <c r="L83" i="11" s="1"/>
  <c r="L86" i="11"/>
  <c r="H39" i="11" s="1" a="1"/>
  <c r="H39" i="11" s="1"/>
  <c r="E104" i="11"/>
  <c r="F104" i="11" s="1"/>
  <c r="F103" i="11"/>
  <c r="I104" i="11"/>
  <c r="J104" i="11" s="1"/>
  <c r="K104" i="11" s="1"/>
  <c r="L104" i="11" s="1"/>
  <c r="J103" i="11"/>
  <c r="K103" i="11" s="1"/>
  <c r="L103" i="11" s="1"/>
  <c r="A36" i="11"/>
  <c r="A37" i="11" s="1"/>
  <c r="A20" i="11"/>
  <c r="A21" i="11" s="1"/>
  <c r="A50" i="11"/>
  <c r="H49" i="11" a="1"/>
  <c r="H49" i="11" s="1"/>
  <c r="A44" i="11"/>
  <c r="A45" i="11" s="1"/>
  <c r="H43" i="11" a="1"/>
  <c r="H43" i="11" s="1"/>
  <c r="J98" i="11"/>
  <c r="K98" i="11" s="1"/>
  <c r="L98" i="11" s="1"/>
  <c r="F102" i="11"/>
  <c r="A28" i="11"/>
  <c r="A29" i="11" s="1"/>
  <c r="A41" i="11"/>
  <c r="A17" i="11"/>
  <c r="J102" i="11"/>
  <c r="K102" i="11" s="1"/>
  <c r="L102" i="11" s="1"/>
  <c r="G95" i="11"/>
  <c r="H95" i="11" s="1"/>
  <c r="G96" i="11"/>
  <c r="H96" i="11" s="1"/>
  <c r="H84" i="11"/>
  <c r="C89" i="11"/>
  <c r="I100" i="10"/>
  <c r="J100" i="10" s="1"/>
  <c r="K100" i="10" s="1"/>
  <c r="L100" i="10" s="1"/>
  <c r="J99" i="10"/>
  <c r="K99" i="10" s="1"/>
  <c r="L99" i="10" s="1"/>
  <c r="A26" i="10"/>
  <c r="E104" i="10"/>
  <c r="F104" i="10" s="1"/>
  <c r="F103" i="10"/>
  <c r="J84" i="10"/>
  <c r="K84" i="10" s="1"/>
  <c r="L84" i="10" s="1"/>
  <c r="I83" i="10"/>
  <c r="J83" i="10" s="1"/>
  <c r="K83" i="10" s="1"/>
  <c r="L83" i="10" s="1"/>
  <c r="L86" i="10"/>
  <c r="H49" i="10" a="1"/>
  <c r="H49" i="10" s="1"/>
  <c r="A50" i="10"/>
  <c r="I104" i="10"/>
  <c r="J104" i="10" s="1"/>
  <c r="K104" i="10" s="1"/>
  <c r="L104" i="10" s="1"/>
  <c r="J103" i="10"/>
  <c r="K103" i="10" s="1"/>
  <c r="L103" i="10" s="1"/>
  <c r="A22" i="10"/>
  <c r="A36" i="10"/>
  <c r="A37" i="10" s="1"/>
  <c r="A42" i="10"/>
  <c r="J98" i="10"/>
  <c r="K98" i="10" s="1"/>
  <c r="L98" i="10" s="1"/>
  <c r="F102" i="10"/>
  <c r="A18" i="10"/>
  <c r="J102" i="10"/>
  <c r="K102" i="10" s="1"/>
  <c r="L102" i="10" s="1"/>
  <c r="F99" i="10"/>
  <c r="A44" i="10"/>
  <c r="A45" i="10" s="1"/>
  <c r="A51" i="10"/>
  <c r="A27" i="10"/>
  <c r="C88" i="10"/>
  <c r="H84" i="10"/>
  <c r="H33" i="11" l="1" a="1"/>
  <c r="H33" i="11" s="1"/>
  <c r="H19" i="11" a="1"/>
  <c r="H19" i="11" s="1"/>
  <c r="A52" i="11"/>
  <c r="A53" i="11" s="1"/>
  <c r="E100" i="11"/>
  <c r="F100" i="11" s="1"/>
  <c r="F99" i="11"/>
  <c r="H69" i="11" a="1"/>
  <c r="H69" i="11" s="1"/>
  <c r="H23" i="11" a="1"/>
  <c r="H23" i="11" s="1"/>
  <c r="H59" i="11" a="1"/>
  <c r="H59" i="11" s="1"/>
  <c r="H13" i="11" a="1"/>
  <c r="H13" i="11" s="1"/>
  <c r="H9" i="11" a="1"/>
  <c r="H9" i="11" s="1"/>
  <c r="H71" i="11" a="1"/>
  <c r="H71" i="11" s="1"/>
  <c r="H25" i="11" a="1"/>
  <c r="H25" i="11" s="1"/>
  <c r="H31" i="11" a="1"/>
  <c r="H31" i="11" s="1"/>
  <c r="H11" i="11" a="1"/>
  <c r="H11" i="11" s="1"/>
  <c r="H57" i="11" a="1"/>
  <c r="H57" i="11" s="1"/>
  <c r="A22" i="11"/>
  <c r="H21" i="11" a="1"/>
  <c r="H21" i="11" s="1"/>
  <c r="H67" i="11" a="1"/>
  <c r="H67" i="11" s="1"/>
  <c r="A46" i="11"/>
  <c r="H45" i="11" a="1"/>
  <c r="H45" i="11" s="1"/>
  <c r="A42" i="11"/>
  <c r="H41" i="11" a="1"/>
  <c r="H41" i="11" s="1"/>
  <c r="A30" i="11"/>
  <c r="H29" i="11" a="1"/>
  <c r="H29" i="11" s="1"/>
  <c r="H35" i="11" a="1"/>
  <c r="H35" i="11" s="1"/>
  <c r="A38" i="11"/>
  <c r="H37" i="11" a="1"/>
  <c r="H37" i="11" s="1"/>
  <c r="H17" i="11" a="1"/>
  <c r="H17" i="11" s="1"/>
  <c r="A18" i="11"/>
  <c r="H15" i="11" a="1"/>
  <c r="H15" i="11" s="1"/>
  <c r="H73" i="11" a="1"/>
  <c r="H73" i="11" s="1"/>
  <c r="H27" i="11" a="1"/>
  <c r="H27" i="11" s="1"/>
  <c r="K84" i="11"/>
  <c r="H55" i="11" a="1"/>
  <c r="H55" i="11" s="1"/>
  <c r="A38" i="10"/>
  <c r="A46" i="10"/>
  <c r="H55" i="10" a="1"/>
  <c r="H55" i="10" s="1"/>
  <c r="C89" i="10"/>
  <c r="H13" i="10" s="1" a="1"/>
  <c r="H13" i="10" s="1"/>
  <c r="H31" i="10" a="1"/>
  <c r="H31" i="10" s="1"/>
  <c r="H23" i="10" a="1"/>
  <c r="H23" i="10" s="1"/>
  <c r="H15" i="10" a="1"/>
  <c r="H15" i="10" s="1"/>
  <c r="H11" i="10" a="1"/>
  <c r="H11" i="10" s="1"/>
  <c r="A28" i="10"/>
  <c r="A29" i="10" s="1"/>
  <c r="H51" i="10" a="1"/>
  <c r="H51" i="10" s="1"/>
  <c r="A52" i="10"/>
  <c r="A53" i="10" s="1"/>
  <c r="H43" i="10" a="1"/>
  <c r="H43" i="10" s="1"/>
  <c r="H53" i="11" l="1" a="1"/>
  <c r="H53" i="11" s="1"/>
  <c r="A54" i="11"/>
  <c r="H71" i="10" a="1"/>
  <c r="H71" i="10" s="1"/>
  <c r="H33" i="10" a="1"/>
  <c r="H33" i="10" s="1"/>
  <c r="H73" i="10" a="1"/>
  <c r="H73" i="10" s="1"/>
  <c r="H27" i="10" a="1"/>
  <c r="H27" i="10" s="1"/>
  <c r="H9" i="10" a="1"/>
  <c r="H9" i="10" s="1"/>
  <c r="H19" i="10" a="1"/>
  <c r="H19" i="10" s="1"/>
  <c r="L84" i="11"/>
  <c r="H51" i="11" s="1" a="1"/>
  <c r="H51" i="11" s="1"/>
  <c r="H25" i="10" a="1"/>
  <c r="H25" i="10" s="1"/>
  <c r="H35" i="10" a="1"/>
  <c r="H35" i="10" s="1"/>
  <c r="H69" i="10" a="1"/>
  <c r="H69" i="10" s="1"/>
  <c r="H17" i="10" a="1"/>
  <c r="H17" i="10" s="1"/>
  <c r="H37" i="10" a="1"/>
  <c r="H37" i="10" s="1"/>
  <c r="H21" i="10" a="1"/>
  <c r="H21" i="10" s="1"/>
  <c r="A30" i="10"/>
  <c r="H29" i="10" a="1"/>
  <c r="H29" i="10" s="1"/>
  <c r="H45" i="10" a="1"/>
  <c r="H45" i="10" s="1"/>
  <c r="H53" i="10" a="1"/>
  <c r="H53" i="10" s="1"/>
  <c r="A54" i="10"/>
  <c r="H59" i="10" a="1"/>
  <c r="H59" i="10" s="1"/>
  <c r="H67" i="10" a="1"/>
  <c r="H67" i="10" s="1"/>
  <c r="H57" i="10" a="1"/>
  <c r="H57" i="10" s="1"/>
  <c r="G105" i="6" l="1"/>
  <c r="E100" i="6" l="1"/>
  <c r="E101" i="6" s="1"/>
  <c r="E102" i="6" s="1"/>
  <c r="G106" i="6"/>
  <c r="H105" i="6"/>
  <c r="G102" i="6"/>
  <c r="G101" i="6"/>
  <c r="G94" i="6"/>
  <c r="G93" i="6"/>
  <c r="G90" i="6"/>
  <c r="G89" i="6"/>
  <c r="G86" i="6"/>
  <c r="I86" i="6" s="1"/>
  <c r="G85" i="6"/>
  <c r="I100" i="6"/>
  <c r="I101" i="6" s="1"/>
  <c r="I104" i="6"/>
  <c r="I105" i="6" s="1"/>
  <c r="E104" i="6"/>
  <c r="E105" i="6" s="1"/>
  <c r="F50" i="6"/>
  <c r="F42" i="6"/>
  <c r="F34" i="6"/>
  <c r="E89" i="6"/>
  <c r="I85" i="6" l="1"/>
  <c r="G98" i="6" l="1"/>
  <c r="H98" i="6" s="1"/>
  <c r="G100" i="6"/>
  <c r="G97" i="6"/>
  <c r="H97" i="6" s="1"/>
  <c r="G104" i="6"/>
  <c r="G92" i="6"/>
  <c r="G88" i="6"/>
  <c r="H88" i="6" s="1"/>
  <c r="G84" i="6"/>
  <c r="H84" i="6" s="1"/>
  <c r="I109" i="6"/>
  <c r="J109" i="6" s="1"/>
  <c r="K109" i="6" s="1"/>
  <c r="L109" i="6" s="1"/>
  <c r="G109" i="6"/>
  <c r="H109" i="6" s="1"/>
  <c r="E109" i="6"/>
  <c r="F109" i="6" s="1"/>
  <c r="J116" i="6"/>
  <c r="K116" i="6" s="1"/>
  <c r="L116" i="6" s="1"/>
  <c r="H116" i="6"/>
  <c r="H120" i="6"/>
  <c r="F120" i="6"/>
  <c r="J117" i="6"/>
  <c r="K117" i="6" s="1"/>
  <c r="L117" i="6" s="1"/>
  <c r="H117" i="6"/>
  <c r="F117" i="6"/>
  <c r="H111" i="6"/>
  <c r="F111" i="6"/>
  <c r="J110" i="6"/>
  <c r="K110" i="6" s="1"/>
  <c r="L110" i="6" s="1"/>
  <c r="H110" i="6"/>
  <c r="F110" i="6"/>
  <c r="J108" i="6"/>
  <c r="K108" i="6" s="1"/>
  <c r="L108" i="6" s="1"/>
  <c r="H108" i="6"/>
  <c r="F108" i="6"/>
  <c r="J120" i="6"/>
  <c r="K120" i="6" s="1"/>
  <c r="L120" i="6" s="1"/>
  <c r="J111" i="6"/>
  <c r="K111" i="6" s="1"/>
  <c r="L111" i="6" s="1"/>
  <c r="A48" i="6"/>
  <c r="A49" i="6" s="1"/>
  <c r="A40" i="6"/>
  <c r="A41" i="6" s="1"/>
  <c r="A42" i="6" s="1"/>
  <c r="A32" i="6"/>
  <c r="A33" i="6" s="1"/>
  <c r="A34" i="6" s="1"/>
  <c r="A24" i="6"/>
  <c r="A25" i="6" s="1"/>
  <c r="A26" i="6" s="1"/>
  <c r="A16" i="6"/>
  <c r="A17" i="6" s="1"/>
  <c r="H87" i="6"/>
  <c r="F87" i="6"/>
  <c r="H86" i="6"/>
  <c r="H47" i="6" a="1"/>
  <c r="H47" i="6" s="1"/>
  <c r="H91" i="6"/>
  <c r="F91" i="6"/>
  <c r="H90" i="6"/>
  <c r="F90" i="6"/>
  <c r="H39" i="6" a="1"/>
  <c r="H39" i="6" s="1"/>
  <c r="F88" i="6"/>
  <c r="H99" i="6"/>
  <c r="F99" i="6"/>
  <c r="F98" i="6"/>
  <c r="H96" i="6"/>
  <c r="F96" i="6"/>
  <c r="H103" i="6"/>
  <c r="F103" i="6"/>
  <c r="H102" i="6"/>
  <c r="H100" i="6"/>
  <c r="F100" i="6"/>
  <c r="H107" i="6"/>
  <c r="F107" i="6"/>
  <c r="H106" i="6"/>
  <c r="H104" i="6"/>
  <c r="F104" i="6"/>
  <c r="H95" i="6"/>
  <c r="F95" i="6"/>
  <c r="H94" i="6"/>
  <c r="F94" i="6"/>
  <c r="F93" i="6"/>
  <c r="H93" i="6"/>
  <c r="E106" i="6"/>
  <c r="F106" i="6" s="1"/>
  <c r="I106" i="6"/>
  <c r="J106" i="6" s="1"/>
  <c r="K106" i="6" s="1"/>
  <c r="L106" i="6" s="1"/>
  <c r="I102" i="6"/>
  <c r="J102" i="6" s="1"/>
  <c r="K102" i="6" s="1"/>
  <c r="L102" i="6" s="1"/>
  <c r="F102" i="6"/>
  <c r="J107" i="6"/>
  <c r="K107" i="6"/>
  <c r="L107" i="6" s="1"/>
  <c r="F89" i="6"/>
  <c r="I89" i="6"/>
  <c r="J89" i="6" s="1"/>
  <c r="K89" i="6" s="1"/>
  <c r="L89" i="6" s="1"/>
  <c r="J85" i="6"/>
  <c r="K85" i="6" s="1"/>
  <c r="L85" i="6" s="1"/>
  <c r="J86" i="6"/>
  <c r="K86" i="6" s="1"/>
  <c r="L86" i="6" s="1"/>
  <c r="J87" i="6"/>
  <c r="K87" i="6" s="1"/>
  <c r="L87" i="6" s="1"/>
  <c r="J88" i="6"/>
  <c r="K88" i="6" s="1"/>
  <c r="L88" i="6" s="1"/>
  <c r="J90" i="6"/>
  <c r="K90" i="6" s="1"/>
  <c r="L90" i="6" s="1"/>
  <c r="J91" i="6"/>
  <c r="K91" i="6" s="1"/>
  <c r="L91" i="6" s="1"/>
  <c r="J92" i="6"/>
  <c r="K92" i="6"/>
  <c r="L92" i="6" s="1"/>
  <c r="J93" i="6"/>
  <c r="K93" i="6" s="1"/>
  <c r="L93" i="6" s="1"/>
  <c r="J94" i="6"/>
  <c r="K94" i="6" s="1"/>
  <c r="L94" i="6" s="1"/>
  <c r="J95" i="6"/>
  <c r="K95" i="6" s="1"/>
  <c r="L95" i="6" s="1"/>
  <c r="J96" i="6"/>
  <c r="K96" i="6"/>
  <c r="L96" i="6" s="1"/>
  <c r="J97" i="6"/>
  <c r="K97" i="6"/>
  <c r="L97" i="6" s="1"/>
  <c r="J98" i="6"/>
  <c r="K98" i="6" s="1"/>
  <c r="L98" i="6" s="1"/>
  <c r="J99" i="6"/>
  <c r="K99" i="6"/>
  <c r="L99" i="6" s="1"/>
  <c r="J100" i="6"/>
  <c r="K100" i="6" s="1"/>
  <c r="L100" i="6" s="1"/>
  <c r="J101" i="6"/>
  <c r="K101" i="6" s="1"/>
  <c r="L101" i="6" s="1"/>
  <c r="J103" i="6"/>
  <c r="K103" i="6" s="1"/>
  <c r="L103" i="6" s="1"/>
  <c r="J104" i="6"/>
  <c r="K104" i="6" s="1"/>
  <c r="L104" i="6" s="1"/>
  <c r="J105" i="6"/>
  <c r="K105" i="6" s="1"/>
  <c r="L105" i="6" s="1"/>
  <c r="H85" i="6"/>
  <c r="H89" i="6"/>
  <c r="H92" i="6"/>
  <c r="H101" i="6"/>
  <c r="F92" i="6"/>
  <c r="F97" i="6"/>
  <c r="F101" i="6"/>
  <c r="F105" i="6"/>
  <c r="F84" i="6"/>
  <c r="J84" i="6"/>
  <c r="C105" i="6"/>
  <c r="C106" i="6" s="1"/>
  <c r="C107" i="6" s="1"/>
  <c r="C101" i="6"/>
  <c r="C102" i="6" s="1"/>
  <c r="C103" i="6" s="1"/>
  <c r="C97" i="6"/>
  <c r="C98" i="6" s="1"/>
  <c r="C99" i="6" s="1"/>
  <c r="C93" i="6"/>
  <c r="C94" i="6" s="1"/>
  <c r="C95" i="6" s="1"/>
  <c r="C89" i="6"/>
  <c r="F68" i="6"/>
  <c r="F66" i="6"/>
  <c r="F64" i="6"/>
  <c r="F62" i="6"/>
  <c r="F60" i="6"/>
  <c r="F58" i="6"/>
  <c r="F56" i="6"/>
  <c r="F54" i="6"/>
  <c r="F52" i="6"/>
  <c r="F48" i="6"/>
  <c r="F46" i="6"/>
  <c r="F44" i="6"/>
  <c r="F40" i="6"/>
  <c r="F38" i="6"/>
  <c r="F36" i="6"/>
  <c r="F32" i="6"/>
  <c r="F30" i="6"/>
  <c r="F28" i="6"/>
  <c r="F24" i="6"/>
  <c r="F22" i="6"/>
  <c r="F20" i="6"/>
  <c r="F16" i="6"/>
  <c r="E118" i="6"/>
  <c r="F118" i="6" s="1"/>
  <c r="F119" i="6"/>
  <c r="G118" i="6"/>
  <c r="H118" i="6" s="1"/>
  <c r="H119" i="6"/>
  <c r="I118" i="6"/>
  <c r="J118" i="6" s="1"/>
  <c r="K118" i="6" s="1"/>
  <c r="L118" i="6" s="1"/>
  <c r="J119" i="6"/>
  <c r="K119" i="6"/>
  <c r="L119" i="6" s="1"/>
  <c r="A43" i="6" l="1"/>
  <c r="A51" i="6"/>
  <c r="A18" i="6"/>
  <c r="A19" i="6"/>
  <c r="A20" i="6" s="1"/>
  <c r="A21" i="6" s="1"/>
  <c r="A22" i="6" s="1"/>
  <c r="A27" i="6"/>
  <c r="A28" i="6" s="1"/>
  <c r="A29" i="6" s="1"/>
  <c r="A30" i="6" s="1"/>
  <c r="A35" i="6"/>
  <c r="A36" i="6" s="1"/>
  <c r="A37" i="6" s="1"/>
  <c r="A50" i="6"/>
  <c r="A52" i="6"/>
  <c r="A53" i="6" s="1"/>
  <c r="H53" i="6" s="1" a="1"/>
  <c r="H53" i="6" s="1"/>
  <c r="A44" i="6"/>
  <c r="A45" i="6" s="1"/>
  <c r="K84" i="6"/>
  <c r="C90" i="6"/>
  <c r="A54" i="6" l="1"/>
  <c r="H51" i="6" a="1"/>
  <c r="H51" i="6" s="1"/>
  <c r="A38" i="6"/>
  <c r="A46" i="6"/>
  <c r="L84" i="6"/>
  <c r="C91" i="6"/>
  <c r="H13" i="6" a="1"/>
  <c r="H13" i="6" s="1"/>
  <c r="H43" i="6" a="1"/>
  <c r="H43" i="6" s="1"/>
  <c r="H67" i="6" a="1"/>
  <c r="H67" i="6" s="1"/>
  <c r="H27" i="6" a="1"/>
  <c r="H27" i="6" s="1"/>
  <c r="H19" i="6" a="1"/>
  <c r="H19" i="6" s="1"/>
  <c r="H25" i="6" l="1" a="1"/>
  <c r="H25" i="6" s="1"/>
  <c r="H33" i="6" a="1"/>
  <c r="H33" i="6" s="1"/>
  <c r="H29" i="6" a="1"/>
  <c r="H29" i="6" s="1"/>
  <c r="H17" i="6" a="1"/>
  <c r="H17" i="6" s="1"/>
  <c r="H49" i="6" a="1"/>
  <c r="H49" i="6" s="1"/>
  <c r="H41" i="6" a="1"/>
  <c r="H41" i="6" s="1"/>
  <c r="H21" i="6" a="1"/>
  <c r="H21" i="6" s="1"/>
  <c r="H9" i="6" a="1"/>
  <c r="H9" i="6" s="1"/>
  <c r="H65" i="6" a="1"/>
  <c r="H65" i="6" s="1"/>
  <c r="H31" i="6" a="1"/>
  <c r="H31" i="6" s="1"/>
  <c r="H59" i="6" a="1"/>
  <c r="H59" i="6" s="1"/>
  <c r="H37" i="6" a="1"/>
  <c r="H37" i="6" s="1"/>
  <c r="H55" i="6" a="1"/>
  <c r="H55" i="6" s="1"/>
  <c r="H11" i="6" a="1"/>
  <c r="H11" i="6" s="1"/>
  <c r="H63" i="6" a="1"/>
  <c r="H63" i="6" s="1"/>
  <c r="H45" i="6" a="1"/>
  <c r="H45" i="6" s="1"/>
  <c r="H35" i="6" a="1"/>
  <c r="H35" i="6" s="1"/>
  <c r="H23" i="6" a="1"/>
  <c r="H23" i="6" s="1"/>
  <c r="H57" i="6" a="1"/>
  <c r="H57" i="6" s="1"/>
  <c r="H61" i="6" a="1"/>
  <c r="H61" i="6" s="1"/>
  <c r="F86" i="6"/>
  <c r="E85" i="6"/>
  <c r="F8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<sst xmlns="http://schemas.openxmlformats.org/spreadsheetml/2006/main" count="1663" uniqueCount="199">
  <si>
    <t>UC_N</t>
  </si>
  <si>
    <t>Pset_PN</t>
  </si>
  <si>
    <t>Pset_CI</t>
  </si>
  <si>
    <t>Year</t>
  </si>
  <si>
    <t>LimType</t>
  </si>
  <si>
    <t>TPCA*</t>
  </si>
  <si>
    <t>DKE</t>
  </si>
  <si>
    <t>DKW</t>
  </si>
  <si>
    <t>NO1</t>
  </si>
  <si>
    <t>NO2</t>
  </si>
  <si>
    <t>SE1</t>
  </si>
  <si>
    <t>SE2</t>
  </si>
  <si>
    <t>SE3</t>
  </si>
  <si>
    <t>SE4</t>
  </si>
  <si>
    <t>UP</t>
  </si>
  <si>
    <t>TFTR*</t>
  </si>
  <si>
    <t>Date</t>
  </si>
  <si>
    <t>Name</t>
  </si>
  <si>
    <t>Sheet Name</t>
  </si>
  <si>
    <t>Cells</t>
  </si>
  <si>
    <t>Explanation</t>
  </si>
  <si>
    <t>Martin Hagberg</t>
  </si>
  <si>
    <t>Description</t>
  </si>
  <si>
    <t>TRAH2G</t>
  </si>
  <si>
    <t>TRANGBL*</t>
  </si>
  <si>
    <t>Maximum H2 FCEV Car penetration</t>
  </si>
  <si>
    <t>UC_FCEVCAR_MaxProdShare</t>
  </si>
  <si>
    <t>Maximum FCEV Truck penetration</t>
  </si>
  <si>
    <t>UC_FCEVTRUCK_MaxProdShare</t>
  </si>
  <si>
    <t>Maximum GAS Truck penetration</t>
  </si>
  <si>
    <t>UC_GASTRUCK_MaxProdShare</t>
  </si>
  <si>
    <t>constraints on market penetration for certani vehicle technologies</t>
  </si>
  <si>
    <t>UC_NGACAR_MaxProdShare</t>
  </si>
  <si>
    <t>TPCAELCH*</t>
  </si>
  <si>
    <t>UC_HEVCAR_MaxProdShare</t>
  </si>
  <si>
    <t>TPCAELCX*</t>
  </si>
  <si>
    <t>UC_BEVCAR_MaxProdShare</t>
  </si>
  <si>
    <t>TRAGSBL*</t>
  </si>
  <si>
    <t>UC_DSLCAR_MaxProdShare</t>
  </si>
  <si>
    <t>UC_GSLCAR_MaxProdShare</t>
  </si>
  <si>
    <t>TRADSBL*</t>
  </si>
  <si>
    <t>Maximum GSL Car penetration</t>
  </si>
  <si>
    <t>Maximum DSL Car penetration</t>
  </si>
  <si>
    <t>Maximum NGA Car penetration</t>
  </si>
  <si>
    <t>Maximum PHEV Car penetration</t>
  </si>
  <si>
    <t>Maximum BEV Car penetration</t>
  </si>
  <si>
    <t>BEV</t>
  </si>
  <si>
    <t>PHEV</t>
  </si>
  <si>
    <t>FC EV</t>
  </si>
  <si>
    <t>Gasoline</t>
  </si>
  <si>
    <t>Diesel</t>
  </si>
  <si>
    <t>New car sales per country</t>
  </si>
  <si>
    <t>Gas</t>
  </si>
  <si>
    <t>FC EV Truck</t>
  </si>
  <si>
    <t>Gas Truck</t>
  </si>
  <si>
    <t>MNL Results</t>
  </si>
  <si>
    <t>Small Petrol</t>
  </si>
  <si>
    <t>Medium Petrol</t>
  </si>
  <si>
    <t>Large Petrol</t>
  </si>
  <si>
    <t>Small Diesel</t>
  </si>
  <si>
    <t>Medium Diesel</t>
  </si>
  <si>
    <t>Large Diesel</t>
  </si>
  <si>
    <t>BEV 100</t>
  </si>
  <si>
    <t>BEV 150</t>
  </si>
  <si>
    <t>BEV 200</t>
  </si>
  <si>
    <t>Small PHEV</t>
  </si>
  <si>
    <t>Medium PHEV</t>
  </si>
  <si>
    <t>Large PHEV</t>
  </si>
  <si>
    <t>From Bilvalgsmodellen (input car stock model for TIMES-DK)</t>
  </si>
  <si>
    <t>Small H2</t>
  </si>
  <si>
    <t>Medium H2</t>
  </si>
  <si>
    <t>Large H2</t>
  </si>
  <si>
    <t>https://www.danskelbilalliance.dk/statistik</t>
  </si>
  <si>
    <t>Statistics for denmark</t>
  </si>
  <si>
    <t>TPCAH2G*</t>
  </si>
  <si>
    <t>UC_NCAP</t>
  </si>
  <si>
    <t>*UC_Desc</t>
  </si>
  <si>
    <t>UC_RHSTS</t>
  </si>
  <si>
    <t>UC_RHSTS~0</t>
  </si>
  <si>
    <t>~TFM_INS</t>
  </si>
  <si>
    <t>Attribute</t>
  </si>
  <si>
    <t>*Unit</t>
  </si>
  <si>
    <t>NCAP_BND</t>
  </si>
  <si>
    <t xml:space="preserve">Page Fields: </t>
  </si>
  <si>
    <t>Table Name: T_110121_165644</t>
  </si>
  <si>
    <t xml:space="preserve">Active Unit:  </t>
  </si>
  <si>
    <t>Scenario</t>
  </si>
  <si>
    <t>Region\Period</t>
  </si>
  <si>
    <t>FIM</t>
  </si>
  <si>
    <t>FIN</t>
  </si>
  <si>
    <t>CNS_2312</t>
  </si>
  <si>
    <t>from TIMES model run</t>
  </si>
  <si>
    <t>1000 vehicles</t>
  </si>
  <si>
    <t>EV Truck</t>
  </si>
  <si>
    <t>UC_EVTRUCK_MaxProdShare</t>
  </si>
  <si>
    <t>Maximum EV Truck penetration</t>
  </si>
  <si>
    <t>TPCAELCX*N</t>
  </si>
  <si>
    <t>TPCAELCH*N</t>
  </si>
  <si>
    <t>TPCANGBL*N</t>
  </si>
  <si>
    <t>TPCADSBL*N</t>
  </si>
  <si>
    <t>TPCAGSBL*N</t>
  </si>
  <si>
    <t>Multiplication factor for Traditional cars</t>
  </si>
  <si>
    <t>NO</t>
  </si>
  <si>
    <t>DK</t>
  </si>
  <si>
    <t>*~UC_Sets: R_S: DKE,DKW</t>
  </si>
  <si>
    <t>*~UC_Sets: T_E:</t>
  </si>
  <si>
    <t>*~UC_T</t>
  </si>
  <si>
    <t>*~UC_Sets: R_S: NO1,NO2</t>
  </si>
  <si>
    <t>*~UC_Sets: R_S: SE1,SE2,SE3,SE4</t>
  </si>
  <si>
    <t>15% of new capacities</t>
  </si>
  <si>
    <t>50% of new capacities</t>
  </si>
  <si>
    <t>TFTREVX1N</t>
  </si>
  <si>
    <t>TFTRH2GX1N</t>
  </si>
  <si>
    <t>TFTRNGBL*N</t>
  </si>
  <si>
    <t>5% of new capacities</t>
  </si>
  <si>
    <t>TFVAELCX1N</t>
  </si>
  <si>
    <t>2020 stock</t>
  </si>
  <si>
    <t>UserConstraint</t>
  </si>
  <si>
    <t>Commodity</t>
  </si>
  <si>
    <t>Period\Region</t>
  </si>
  <si>
    <t>Base_2101</t>
  </si>
  <si>
    <t>-</t>
  </si>
  <si>
    <t>VAR_Cap</t>
  </si>
  <si>
    <t>2015</t>
  </si>
  <si>
    <t>following average EV´s of all nordics with 5 year delay</t>
  </si>
  <si>
    <t>TPCAH2GX1N</t>
  </si>
  <si>
    <t>11823: Registrerte kjøretøy, etter region, drivstofftype, statistikkvariabel og år</t>
  </si>
  <si>
    <t>Personbiler</t>
  </si>
  <si>
    <t>2016</t>
  </si>
  <si>
    <t>2017</t>
  </si>
  <si>
    <t>2018</t>
  </si>
  <si>
    <t>2019</t>
  </si>
  <si>
    <t>0</t>
  </si>
  <si>
    <t>Hele landet</t>
  </si>
  <si>
    <t>1</t>
  </si>
  <si>
    <t>Bensin</t>
  </si>
  <si>
    <t>2</t>
  </si>
  <si>
    <t>3</t>
  </si>
  <si>
    <t>Parafin</t>
  </si>
  <si>
    <t>4</t>
  </si>
  <si>
    <t>Gass</t>
  </si>
  <si>
    <t>5</t>
  </si>
  <si>
    <t>El.</t>
  </si>
  <si>
    <t>13</t>
  </si>
  <si>
    <t>Hydrogen</t>
  </si>
  <si>
    <t>14</t>
  </si>
  <si>
    <t>Bensin hybrid, ladbar</t>
  </si>
  <si>
    <t>15</t>
  </si>
  <si>
    <t>Bensin hybrid, ikke ladbar</t>
  </si>
  <si>
    <t>Nowegian Car stock</t>
  </si>
  <si>
    <t>Tabell PB5</t>
  </si>
  <si>
    <t>Personbilar i trafik efter drivmedel, årsvis 2010–2019</t>
  </si>
  <si>
    <t>Passenger cars in use by fuel, by year 2010–2019</t>
  </si>
  <si>
    <t>Vid slutet</t>
  </si>
  <si>
    <t>El</t>
  </si>
  <si>
    <r>
      <t>Elhybrid</t>
    </r>
    <r>
      <rPr>
        <vertAlign val="superscript"/>
        <sz val="8"/>
        <rFont val="Arial"/>
        <family val="2"/>
      </rPr>
      <t>1)</t>
    </r>
  </si>
  <si>
    <t>Laddhybrid</t>
  </si>
  <si>
    <t>Etanol</t>
  </si>
  <si>
    <t>Övriga</t>
  </si>
  <si>
    <t>Totalt</t>
  </si>
  <si>
    <t>av år</t>
  </si>
  <si>
    <t>Swedish car stocks</t>
  </si>
  <si>
    <t>SE</t>
  </si>
  <si>
    <t>Summary of Input Data for Cars</t>
  </si>
  <si>
    <t>Region</t>
  </si>
  <si>
    <t>Fuel</t>
  </si>
  <si>
    <t>Car stock by region, fuel type and year (thousand vehicles)</t>
  </si>
  <si>
    <t>Petrol</t>
  </si>
  <si>
    <t>LPG</t>
  </si>
  <si>
    <t>NG</t>
  </si>
  <si>
    <t>Electricity</t>
  </si>
  <si>
    <t>Ethanol</t>
  </si>
  <si>
    <t>Hybrid</t>
  </si>
  <si>
    <t>Multiplication factor for Traditional cars sweden</t>
  </si>
  <si>
    <t>TPCAGSBL5N</t>
  </si>
  <si>
    <t>Ethanoel cars can cover 10% of gasoline cars</t>
  </si>
  <si>
    <t>ISL</t>
  </si>
  <si>
    <t>IS</t>
  </si>
  <si>
    <t>*</t>
  </si>
  <si>
    <t/>
  </si>
  <si>
    <t>ktoe</t>
  </si>
  <si>
    <t>Energy consumption</t>
  </si>
  <si>
    <t>Count</t>
  </si>
  <si>
    <t>Total</t>
  </si>
  <si>
    <t>Buses</t>
  </si>
  <si>
    <t>Trucks</t>
  </si>
  <si>
    <t>Light/medium duty vehicles</t>
  </si>
  <si>
    <t>Passanger vehicles</t>
  </si>
  <si>
    <t>Other renewable fuels, e-fuels</t>
  </si>
  <si>
    <t>PHEVs</t>
  </si>
  <si>
    <t>BEVs</t>
  </si>
  <si>
    <t>LMDV</t>
  </si>
  <si>
    <t>Passanger</t>
  </si>
  <si>
    <t>2020 real numbers</t>
  </si>
  <si>
    <t>Electric vehicles, BEVs + PHEVs/2</t>
  </si>
  <si>
    <t>Biofuel vehicles* share of gasoline and diesel vehicles to consider biofuel blending in fuel consumption</t>
  </si>
  <si>
    <t>Diesel (excl. share of biodiesel blending)</t>
  </si>
  <si>
    <t>Gasoline (excl. share of bioethanol blending)</t>
  </si>
  <si>
    <t>Biomethane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</si>
</sst>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k_r_-;\-* #,##0.00\ _k_r_-;_-* &quot;-&quot;??\ _k_r_-;_-@_-"/>
    <numFmt numFmtId="165" formatCode="0.0"/>
    <numFmt numFmtId="166" formatCode="\Te\x\t"/>
    <numFmt numFmtId="167" formatCode="#,###,##0"/>
    <numFmt numFmtId="168" formatCode="0.000"/>
    <numFmt numFmtId="169" formatCode="#,##0.0"/>
    <numFmt numFmtId="170" formatCode="_-* #,##0_-;\-* #,##0_-;_-* &quot;-&quot;??_-;_-@_-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36"/>
      <name val="Arial"/>
      <family val="2"/>
    </font>
    <font>
      <b/>
      <sz val="10"/>
      <color indexed="8"/>
      <name val="Arial"/>
      <family val="2"/>
    </font>
    <font>
      <b/>
      <i/>
      <u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57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22"/>
      <color theme="0"/>
      <name val="Arial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gray0625">
        <f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ADDDF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4">
    <xf numFmtId="0" fontId="0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 applyNumberFormat="0"/>
    <xf numFmtId="9" fontId="1" fillId="0" borderId="0" applyFont="0" applyFill="0" applyBorder="0" applyAlignment="0" applyProtection="0"/>
    <xf numFmtId="167" fontId="9" fillId="6" borderId="0" applyNumberFormat="0" applyBorder="0">
      <protection locked="0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7" fillId="0" borderId="0"/>
    <xf numFmtId="9" fontId="1" fillId="0" borderId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167" fontId="13" fillId="7" borderId="0" applyNumberFormat="0" applyBorder="0">
      <alignment horizontal="left"/>
      <protection locked="0"/>
    </xf>
    <xf numFmtId="167" fontId="13" fillId="7" borderId="0" applyNumberFormat="0" applyBorder="0">
      <alignment horizontal="left"/>
      <protection locked="0"/>
    </xf>
    <xf numFmtId="167" fontId="13" fillId="7" borderId="0" applyNumberFormat="0" applyBorder="0">
      <alignment horizontal="right"/>
      <protection locked="0"/>
    </xf>
    <xf numFmtId="0" fontId="7" fillId="0" borderId="0"/>
    <xf numFmtId="0" fontId="7" fillId="0" borderId="0"/>
    <xf numFmtId="0" fontId="21" fillId="0" borderId="0"/>
    <xf numFmtId="0" fontId="21" fillId="0" borderId="0"/>
    <xf numFmtId="0" fontId="29" fillId="0" borderId="0" applyNumberFormat="0" applyBorder="0" applyAlignment="0"/>
    <xf numFmtId="43" fontId="1" fillId="0" borderId="0" applyFont="0" applyFill="0" applyBorder="0" applyAlignment="0" applyProtection="0"/>
  </cellStyleXfs>
  <cellXfs count="182">
    <xf numFmtId="0" fontId="0" fillId="0" borderId="0" xfId="0"/>
    <xf numFmtId="0" fontId="3" fillId="0" borderId="0" xfId="0" applyFont="1"/>
    <xf numFmtId="165" fontId="0" fillId="0" borderId="0" xfId="0" applyNumberFormat="1"/>
    <xf numFmtId="0" fontId="6" fillId="0" borderId="0" xfId="1" applyFont="1"/>
    <xf numFmtId="0" fontId="2" fillId="4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  <xf numFmtId="0" fontId="1" fillId="5" borderId="0" xfId="0" applyFont="1" applyFill="1" applyBorder="1"/>
    <xf numFmtId="0" fontId="4" fillId="0" borderId="0" xfId="0" applyFont="1"/>
    <xf numFmtId="0" fontId="2" fillId="0" borderId="0" xfId="0" applyFont="1"/>
    <xf numFmtId="166" fontId="2" fillId="0" borderId="0" xfId="0" applyNumberFormat="1" applyFont="1" applyFill="1" applyBorder="1"/>
    <xf numFmtId="14" fontId="0" fillId="0" borderId="0" xfId="0" applyNumberFormat="1"/>
    <xf numFmtId="0" fontId="0" fillId="0" borderId="0" xfId="0" applyFont="1"/>
    <xf numFmtId="14" fontId="1" fillId="0" borderId="0" xfId="0" applyNumberFormat="1" applyFont="1"/>
    <xf numFmtId="166" fontId="1" fillId="0" borderId="0" xfId="0" applyNumberFormat="1" applyFont="1" applyFill="1" applyBorder="1"/>
    <xf numFmtId="9" fontId="0" fillId="0" borderId="0" xfId="0" applyNumberFormat="1"/>
    <xf numFmtId="10" fontId="0" fillId="0" borderId="0" xfId="0" applyNumberFormat="1"/>
    <xf numFmtId="0" fontId="0" fillId="0" borderId="0" xfId="0" applyNumberFormat="1" applyFill="1"/>
    <xf numFmtId="0" fontId="6" fillId="0" borderId="0" xfId="0" applyFont="1"/>
    <xf numFmtId="0" fontId="1" fillId="8" borderId="0" xfId="0" applyFont="1" applyFill="1"/>
    <xf numFmtId="0" fontId="14" fillId="0" borderId="0" xfId="0" applyFont="1"/>
    <xf numFmtId="0" fontId="2" fillId="0" borderId="0" xfId="0" applyFont="1" applyAlignment="1">
      <alignment horizontal="center"/>
    </xf>
    <xf numFmtId="0" fontId="2" fillId="9" borderId="1" xfId="0" applyFont="1" applyFill="1" applyBorder="1"/>
    <xf numFmtId="0" fontId="2" fillId="10" borderId="1" xfId="0" applyFont="1" applyFill="1" applyBorder="1"/>
    <xf numFmtId="0" fontId="0" fillId="11" borderId="0" xfId="0" applyFill="1"/>
    <xf numFmtId="0" fontId="2" fillId="11" borderId="0" xfId="0" applyFont="1" applyFill="1"/>
    <xf numFmtId="1" fontId="0" fillId="0" borderId="0" xfId="0" applyNumberFormat="1"/>
    <xf numFmtId="0" fontId="15" fillId="0" borderId="0" xfId="0" applyFont="1"/>
    <xf numFmtId="166" fontId="17" fillId="0" borderId="2" xfId="0" applyNumberFormat="1" applyFont="1" applyBorder="1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0" borderId="3" xfId="0" applyFont="1" applyBorder="1"/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right" wrapText="1"/>
    </xf>
    <xf numFmtId="0" fontId="21" fillId="0" borderId="0" xfId="0" applyFont="1" applyAlignment="1">
      <alignment horizontal="right"/>
    </xf>
    <xf numFmtId="0" fontId="21" fillId="0" borderId="2" xfId="0" applyFont="1" applyBorder="1" applyAlignment="1">
      <alignment horizontal="right" wrapText="1"/>
    </xf>
    <xf numFmtId="0" fontId="21" fillId="0" borderId="3" xfId="0" applyFont="1" applyBorder="1" applyAlignment="1">
      <alignment horizontal="left"/>
    </xf>
    <xf numFmtId="0" fontId="25" fillId="0" borderId="3" xfId="0" applyFont="1" applyBorder="1"/>
    <xf numFmtId="0" fontId="21" fillId="0" borderId="3" xfId="0" applyFont="1" applyBorder="1" applyAlignment="1">
      <alignment horizontal="right"/>
    </xf>
    <xf numFmtId="1" fontId="21" fillId="0" borderId="4" xfId="20" applyNumberFormat="1" applyBorder="1" applyAlignment="1">
      <alignment horizontal="left"/>
    </xf>
    <xf numFmtId="3" fontId="21" fillId="0" borderId="4" xfId="21" applyNumberFormat="1" applyBorder="1"/>
    <xf numFmtId="3" fontId="21" fillId="0" borderId="5" xfId="4" applyNumberFormat="1" applyFont="1" applyBorder="1" applyAlignment="1">
      <alignment horizontal="right"/>
    </xf>
    <xf numFmtId="3" fontId="21" fillId="0" borderId="4" xfId="21" applyNumberFormat="1" applyBorder="1" applyAlignment="1">
      <alignment horizontal="right"/>
    </xf>
    <xf numFmtId="1" fontId="21" fillId="0" borderId="6" xfId="20" applyNumberFormat="1" applyBorder="1" applyAlignment="1">
      <alignment horizontal="left"/>
    </xf>
    <xf numFmtId="3" fontId="21" fillId="0" borderId="6" xfId="21" applyNumberFormat="1" applyBorder="1"/>
    <xf numFmtId="0" fontId="0" fillId="13" borderId="0" xfId="0" applyFill="1"/>
    <xf numFmtId="0" fontId="1" fillId="13" borderId="7" xfId="0" applyFont="1" applyFill="1" applyBorder="1"/>
    <xf numFmtId="0" fontId="1" fillId="13" borderId="8" xfId="0" applyFont="1" applyFill="1" applyBorder="1"/>
    <xf numFmtId="0" fontId="1" fillId="13" borderId="9" xfId="0" applyFont="1" applyFill="1" applyBorder="1"/>
    <xf numFmtId="0" fontId="27" fillId="14" borderId="10" xfId="0" applyFont="1" applyFill="1" applyBorder="1"/>
    <xf numFmtId="0" fontId="27" fillId="14" borderId="0" xfId="0" applyFont="1" applyFill="1"/>
    <xf numFmtId="0" fontId="1" fillId="14" borderId="0" xfId="0" applyFont="1" applyFill="1"/>
    <xf numFmtId="0" fontId="1" fillId="14" borderId="11" xfId="0" applyFont="1" applyFill="1" applyBorder="1"/>
    <xf numFmtId="0" fontId="1" fillId="13" borderId="12" xfId="0" applyFont="1" applyFill="1" applyBorder="1"/>
    <xf numFmtId="168" fontId="1" fillId="3" borderId="2" xfId="0" applyNumberFormat="1" applyFont="1" applyFill="1" applyBorder="1"/>
    <xf numFmtId="168" fontId="1" fillId="3" borderId="12" xfId="0" applyNumberFormat="1" applyFont="1" applyFill="1" applyBorder="1"/>
    <xf numFmtId="0" fontId="1" fillId="13" borderId="11" xfId="0" applyFont="1" applyFill="1" applyBorder="1"/>
    <xf numFmtId="168" fontId="1" fillId="3" borderId="0" xfId="0" applyNumberFormat="1" applyFont="1" applyFill="1"/>
    <xf numFmtId="168" fontId="1" fillId="3" borderId="11" xfId="0" applyNumberFormat="1" applyFont="1" applyFill="1" applyBorder="1"/>
    <xf numFmtId="0" fontId="1" fillId="13" borderId="0" xfId="0" applyFont="1" applyFill="1"/>
    <xf numFmtId="168" fontId="1" fillId="3" borderId="10" xfId="0" applyNumberFormat="1" applyFont="1" applyFill="1" applyBorder="1"/>
    <xf numFmtId="0" fontId="0" fillId="0" borderId="13" xfId="0" applyBorder="1"/>
    <xf numFmtId="0" fontId="1" fillId="13" borderId="14" xfId="0" applyFont="1" applyFill="1" applyBorder="1"/>
    <xf numFmtId="168" fontId="1" fillId="3" borderId="3" xfId="0" applyNumberFormat="1" applyFont="1" applyFill="1" applyBorder="1"/>
    <xf numFmtId="168" fontId="1" fillId="3" borderId="14" xfId="0" applyNumberFormat="1" applyFont="1" applyFill="1" applyBorder="1"/>
    <xf numFmtId="0" fontId="0" fillId="0" borderId="10" xfId="0" applyBorder="1"/>
    <xf numFmtId="168" fontId="1" fillId="3" borderId="13" xfId="0" applyNumberFormat="1" applyFont="1" applyFill="1" applyBorder="1"/>
    <xf numFmtId="168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26" fillId="12" borderId="0" xfId="0" applyFont="1" applyFill="1" applyAlignment="1">
      <alignment horizontal="center"/>
    </xf>
    <xf numFmtId="0" fontId="1" fillId="13" borderId="10" xfId="0" applyFont="1" applyFill="1" applyBorder="1" applyAlignment="1">
      <alignment horizontal="center" vertical="center" textRotation="180"/>
    </xf>
    <xf numFmtId="0" fontId="1" fillId="13" borderId="15" xfId="0" applyFont="1" applyFill="1" applyBorder="1" applyAlignment="1">
      <alignment horizontal="center" vertical="center" textRotation="180"/>
    </xf>
    <xf numFmtId="0" fontId="28" fillId="0" borderId="0" xfId="4" applyFont="1"/>
    <xf numFmtId="0" fontId="1" fillId="0" borderId="0" xfId="4"/>
    <xf numFmtId="169" fontId="28" fillId="0" borderId="16" xfId="22" applyNumberFormat="1" applyFont="1" applyBorder="1" applyAlignment="1">
      <alignment horizontal="right"/>
    </xf>
    <xf numFmtId="169" fontId="28" fillId="13" borderId="17" xfId="22" applyNumberFormat="1" applyFont="1" applyFill="1" applyBorder="1"/>
    <xf numFmtId="3" fontId="28" fillId="13" borderId="18" xfId="22" applyNumberFormat="1" applyFont="1" applyFill="1" applyBorder="1"/>
    <xf numFmtId="169" fontId="28" fillId="13" borderId="19" xfId="22" applyNumberFormat="1" applyFont="1" applyFill="1" applyBorder="1"/>
    <xf numFmtId="0" fontId="28" fillId="0" borderId="20" xfId="22" applyFont="1" applyBorder="1" applyAlignment="1">
      <alignment horizontal="left"/>
    </xf>
    <xf numFmtId="169" fontId="28" fillId="0" borderId="21" xfId="22" applyNumberFormat="1" applyFont="1" applyBorder="1" applyAlignment="1">
      <alignment horizontal="right"/>
    </xf>
    <xf numFmtId="169" fontId="28" fillId="13" borderId="22" xfId="22" applyNumberFormat="1" applyFont="1" applyFill="1" applyBorder="1"/>
    <xf numFmtId="3" fontId="28" fillId="13" borderId="23" xfId="22" applyNumberFormat="1" applyFont="1" applyFill="1" applyBorder="1"/>
    <xf numFmtId="169" fontId="28" fillId="13" borderId="24" xfId="22" applyNumberFormat="1" applyFont="1" applyFill="1" applyBorder="1"/>
    <xf numFmtId="0" fontId="28" fillId="0" borderId="21" xfId="22" applyFont="1" applyBorder="1" applyAlignment="1">
      <alignment horizontal="left"/>
    </xf>
    <xf numFmtId="169" fontId="28" fillId="0" borderId="22" xfId="22" applyNumberFormat="1" applyFont="1" applyBorder="1"/>
    <xf numFmtId="3" fontId="28" fillId="0" borderId="23" xfId="22" applyNumberFormat="1" applyFont="1" applyBorder="1"/>
    <xf numFmtId="169" fontId="28" fillId="0" borderId="24" xfId="22" applyNumberFormat="1" applyFont="1" applyBorder="1"/>
    <xf numFmtId="169" fontId="28" fillId="0" borderId="25" xfId="22" applyNumberFormat="1" applyFont="1" applyBorder="1" applyAlignment="1">
      <alignment horizontal="right"/>
    </xf>
    <xf numFmtId="169" fontId="28" fillId="13" borderId="26" xfId="22" applyNumberFormat="1" applyFont="1" applyFill="1" applyBorder="1"/>
    <xf numFmtId="3" fontId="28" fillId="13" borderId="27" xfId="22" applyNumberFormat="1" applyFont="1" applyFill="1" applyBorder="1"/>
    <xf numFmtId="169" fontId="28" fillId="13" borderId="28" xfId="22" applyNumberFormat="1" applyFont="1" applyFill="1" applyBorder="1"/>
    <xf numFmtId="169" fontId="28" fillId="0" borderId="21" xfId="22" applyNumberFormat="1" applyFont="1" applyBorder="1"/>
    <xf numFmtId="3" fontId="28" fillId="0" borderId="21" xfId="22" applyNumberFormat="1" applyFont="1" applyBorder="1"/>
    <xf numFmtId="169" fontId="28" fillId="0" borderId="24" xfId="22" applyNumberFormat="1" applyFont="1" applyBorder="1" applyAlignment="1">
      <alignment horizontal="right"/>
    </xf>
    <xf numFmtId="165" fontId="28" fillId="0" borderId="24" xfId="22" applyNumberFormat="1" applyFont="1" applyBorder="1" applyAlignment="1">
      <alignment horizontal="right"/>
    </xf>
    <xf numFmtId="3" fontId="28" fillId="0" borderId="29" xfId="22" applyNumberFormat="1" applyFont="1" applyBorder="1" applyAlignment="1">
      <alignment horizontal="right"/>
    </xf>
    <xf numFmtId="3" fontId="28" fillId="0" borderId="24" xfId="22" applyNumberFormat="1" applyFont="1" applyBorder="1"/>
    <xf numFmtId="3" fontId="28" fillId="0" borderId="29" xfId="22" applyNumberFormat="1" applyFont="1" applyBorder="1"/>
    <xf numFmtId="0" fontId="28" fillId="0" borderId="21" xfId="22" applyFont="1" applyBorder="1" applyAlignment="1">
      <alignment horizontal="right"/>
    </xf>
    <xf numFmtId="0" fontId="28" fillId="0" borderId="24" xfId="22" applyFont="1" applyBorder="1" applyAlignment="1">
      <alignment horizontal="left"/>
    </xf>
    <xf numFmtId="0" fontId="28" fillId="0" borderId="29" xfId="22" applyFont="1" applyBorder="1" applyAlignment="1">
      <alignment horizontal="left"/>
    </xf>
    <xf numFmtId="3" fontId="28" fillId="0" borderId="21" xfId="22" applyNumberFormat="1" applyFont="1" applyBorder="1" applyAlignment="1">
      <alignment horizontal="right"/>
    </xf>
    <xf numFmtId="0" fontId="28" fillId="0" borderId="30" xfId="22" applyFont="1" applyBorder="1" applyAlignment="1">
      <alignment horizontal="left"/>
    </xf>
    <xf numFmtId="0" fontId="28" fillId="15" borderId="31" xfId="4" applyFont="1" applyFill="1" applyBorder="1" applyAlignment="1">
      <alignment horizontal="center"/>
    </xf>
    <xf numFmtId="0" fontId="28" fillId="15" borderId="32" xfId="4" applyFont="1" applyFill="1" applyBorder="1" applyAlignment="1">
      <alignment horizontal="center"/>
    </xf>
    <xf numFmtId="0" fontId="28" fillId="15" borderId="20" xfId="4" applyFont="1" applyFill="1" applyBorder="1"/>
    <xf numFmtId="0" fontId="28" fillId="15" borderId="33" xfId="4" applyFont="1" applyFill="1" applyBorder="1" applyAlignment="1">
      <alignment horizontal="center" vertical="top" wrapText="1"/>
    </xf>
    <xf numFmtId="0" fontId="28" fillId="15" borderId="34" xfId="4" applyFont="1" applyFill="1" applyBorder="1" applyAlignment="1">
      <alignment horizontal="center" vertical="top" wrapText="1"/>
    </xf>
    <xf numFmtId="0" fontId="28" fillId="15" borderId="35" xfId="4" applyFont="1" applyFill="1" applyBorder="1" applyAlignment="1">
      <alignment horizontal="center" vertical="top" wrapText="1"/>
    </xf>
    <xf numFmtId="0" fontId="28" fillId="15" borderId="36" xfId="4" applyFont="1" applyFill="1" applyBorder="1"/>
    <xf numFmtId="0" fontId="28" fillId="15" borderId="37" xfId="4" applyFont="1" applyFill="1" applyBorder="1" applyAlignment="1">
      <alignment horizontal="center"/>
    </xf>
    <xf numFmtId="0" fontId="28" fillId="15" borderId="37" xfId="4" applyFont="1" applyFill="1" applyBorder="1" applyAlignment="1">
      <alignment horizontal="left"/>
    </xf>
    <xf numFmtId="0" fontId="28" fillId="15" borderId="38" xfId="4" applyFont="1" applyFill="1" applyBorder="1" applyAlignment="1">
      <alignment horizontal="left"/>
    </xf>
    <xf numFmtId="0" fontId="28" fillId="15" borderId="39" xfId="4" applyFont="1" applyFill="1" applyBorder="1"/>
    <xf numFmtId="0" fontId="30" fillId="0" borderId="0" xfId="4" applyFont="1"/>
    <xf numFmtId="169" fontId="28" fillId="0" borderId="0" xfId="4" applyNumberFormat="1" applyFont="1"/>
    <xf numFmtId="3" fontId="28" fillId="0" borderId="20" xfId="22" applyNumberFormat="1" applyFont="1" applyBorder="1"/>
    <xf numFmtId="169" fontId="28" fillId="0" borderId="40" xfId="22" applyNumberFormat="1" applyFont="1" applyBorder="1"/>
    <xf numFmtId="3" fontId="28" fillId="0" borderId="32" xfId="22" applyNumberFormat="1" applyFont="1" applyBorder="1"/>
    <xf numFmtId="3" fontId="28" fillId="0" borderId="18" xfId="22" applyNumberFormat="1" applyFont="1" applyBorder="1"/>
    <xf numFmtId="169" fontId="28" fillId="0" borderId="41" xfId="22" applyNumberFormat="1" applyFont="1" applyBorder="1"/>
    <xf numFmtId="3" fontId="28" fillId="0" borderId="27" xfId="22" applyNumberFormat="1" applyFont="1" applyBorder="1"/>
    <xf numFmtId="170" fontId="28" fillId="0" borderId="0" xfId="4" applyNumberFormat="1" applyFont="1"/>
    <xf numFmtId="170" fontId="28" fillId="0" borderId="37" xfId="23" applyNumberFormat="1" applyFont="1" applyBorder="1"/>
    <xf numFmtId="170" fontId="28" fillId="0" borderId="38" xfId="23" applyNumberFormat="1" applyFont="1" applyBorder="1"/>
    <xf numFmtId="3" fontId="28" fillId="0" borderId="42" xfId="22" applyNumberFormat="1" applyFont="1" applyBorder="1"/>
    <xf numFmtId="0" fontId="28" fillId="0" borderId="40" xfId="4" applyFont="1" applyBorder="1"/>
    <xf numFmtId="169" fontId="28" fillId="0" borderId="43" xfId="4" applyNumberFormat="1" applyFont="1" applyBorder="1"/>
    <xf numFmtId="169" fontId="28" fillId="0" borderId="41" xfId="4" applyNumberFormat="1" applyFont="1" applyBorder="1"/>
    <xf numFmtId="165" fontId="28" fillId="0" borderId="44" xfId="22" applyNumberFormat="1" applyFont="1" applyBorder="1" applyAlignment="1">
      <alignment horizontal="right"/>
    </xf>
    <xf numFmtId="0" fontId="28" fillId="0" borderId="45" xfId="4" applyFont="1" applyBorder="1" applyAlignment="1">
      <alignment horizontal="center"/>
    </xf>
    <xf numFmtId="0" fontId="28" fillId="0" borderId="46" xfId="4" applyFont="1" applyBorder="1" applyAlignment="1">
      <alignment horizontal="center"/>
    </xf>
    <xf numFmtId="0" fontId="28" fillId="0" borderId="47" xfId="4" applyFont="1" applyBorder="1" applyAlignment="1">
      <alignment horizontal="center"/>
    </xf>
    <xf numFmtId="3" fontId="28" fillId="0" borderId="44" xfId="22" applyNumberFormat="1" applyFont="1" applyBorder="1"/>
    <xf numFmtId="0" fontId="28" fillId="0" borderId="44" xfId="22" applyFont="1" applyBorder="1" applyAlignment="1">
      <alignment horizontal="left"/>
    </xf>
    <xf numFmtId="3" fontId="28" fillId="0" borderId="30" xfId="22" applyNumberFormat="1" applyFont="1" applyBorder="1" applyAlignment="1">
      <alignment horizontal="right"/>
    </xf>
    <xf numFmtId="0" fontId="28" fillId="0" borderId="48" xfId="22" applyFont="1" applyBorder="1" applyAlignment="1">
      <alignment horizontal="left"/>
    </xf>
    <xf numFmtId="3" fontId="28" fillId="0" borderId="49" xfId="22" applyNumberFormat="1" applyFont="1" applyBorder="1"/>
    <xf numFmtId="0" fontId="28" fillId="0" borderId="50" xfId="22" applyFont="1" applyBorder="1" applyAlignment="1">
      <alignment horizontal="left"/>
    </xf>
    <xf numFmtId="0" fontId="28" fillId="0" borderId="51" xfId="22" applyFont="1" applyBorder="1" applyAlignment="1">
      <alignment horizontal="left"/>
    </xf>
    <xf numFmtId="3" fontId="28" fillId="0" borderId="48" xfId="22" applyNumberFormat="1" applyFont="1" applyBorder="1"/>
    <xf numFmtId="169" fontId="28" fillId="0" borderId="19" xfId="22" applyNumberFormat="1" applyFont="1" applyBorder="1" applyAlignment="1">
      <alignment horizontal="right"/>
    </xf>
    <xf numFmtId="165" fontId="28" fillId="0" borderId="52" xfId="22" applyNumberFormat="1" applyFont="1" applyBorder="1" applyAlignment="1">
      <alignment horizontal="right"/>
    </xf>
    <xf numFmtId="169" fontId="28" fillId="0" borderId="53" xfId="22" applyNumberFormat="1" applyFont="1" applyBorder="1" applyAlignment="1">
      <alignment horizontal="right"/>
    </xf>
    <xf numFmtId="169" fontId="28" fillId="0" borderId="29" xfId="22" applyNumberFormat="1" applyFont="1" applyBorder="1" applyAlignment="1">
      <alignment horizontal="right"/>
    </xf>
    <xf numFmtId="169" fontId="28" fillId="0" borderId="28" xfId="22" applyNumberFormat="1" applyFont="1" applyBorder="1" applyAlignment="1">
      <alignment horizontal="right"/>
    </xf>
    <xf numFmtId="169" fontId="28" fillId="0" borderId="54" xfId="22" applyNumberFormat="1" applyFont="1" applyBorder="1" applyAlignment="1">
      <alignment horizontal="right"/>
    </xf>
    <xf numFmtId="4" fontId="28" fillId="0" borderId="19" xfId="22" applyNumberFormat="1" applyFont="1" applyBorder="1" applyAlignment="1">
      <alignment horizontal="right"/>
    </xf>
    <xf numFmtId="4" fontId="28" fillId="0" borderId="24" xfId="22" applyNumberFormat="1" applyFont="1" applyBorder="1" applyAlignment="1">
      <alignment horizontal="right"/>
    </xf>
    <xf numFmtId="4" fontId="28" fillId="0" borderId="28" xfId="22" applyNumberFormat="1" applyFont="1" applyBorder="1" applyAlignment="1">
      <alignment horizontal="right"/>
    </xf>
    <xf numFmtId="170" fontId="28" fillId="0" borderId="0" xfId="23" applyNumberFormat="1" applyFont="1"/>
    <xf numFmtId="3" fontId="28" fillId="0" borderId="0" xfId="4" applyNumberFormat="1" applyFont="1"/>
    <xf numFmtId="169" fontId="28" fillId="0" borderId="20" xfId="22" applyNumberFormat="1" applyFont="1" applyBorder="1"/>
    <xf numFmtId="169" fontId="28" fillId="13" borderId="18" xfId="22" applyNumberFormat="1" applyFont="1" applyFill="1" applyBorder="1"/>
    <xf numFmtId="169" fontId="28" fillId="0" borderId="52" xfId="22" applyNumberFormat="1" applyFont="1" applyBorder="1" applyAlignment="1">
      <alignment horizontal="right"/>
    </xf>
    <xf numFmtId="169" fontId="28" fillId="0" borderId="40" xfId="22" applyNumberFormat="1" applyFont="1" applyBorder="1" applyAlignment="1">
      <alignment horizontal="right"/>
    </xf>
    <xf numFmtId="0" fontId="28" fillId="0" borderId="55" xfId="4" applyFont="1" applyBorder="1"/>
    <xf numFmtId="169" fontId="28" fillId="13" borderId="23" xfId="22" applyNumberFormat="1" applyFont="1" applyFill="1" applyBorder="1"/>
    <xf numFmtId="169" fontId="28" fillId="0" borderId="44" xfId="22" applyNumberFormat="1" applyFont="1" applyBorder="1" applyAlignment="1">
      <alignment horizontal="right"/>
    </xf>
    <xf numFmtId="169" fontId="28" fillId="0" borderId="22" xfId="22" applyNumberFormat="1" applyFont="1" applyBorder="1" applyAlignment="1">
      <alignment horizontal="right"/>
    </xf>
    <xf numFmtId="169" fontId="28" fillId="0" borderId="23" xfId="22" applyNumberFormat="1" applyFont="1" applyBorder="1"/>
    <xf numFmtId="169" fontId="28" fillId="13" borderId="27" xfId="22" applyNumberFormat="1" applyFont="1" applyFill="1" applyBorder="1"/>
    <xf numFmtId="0" fontId="28" fillId="0" borderId="41" xfId="4" applyFont="1" applyBorder="1"/>
    <xf numFmtId="1" fontId="28" fillId="0" borderId="41" xfId="4" applyNumberFormat="1" applyFont="1" applyBorder="1"/>
    <xf numFmtId="0" fontId="28" fillId="0" borderId="43" xfId="4" applyFont="1" applyBorder="1"/>
    <xf numFmtId="0" fontId="28" fillId="0" borderId="45" xfId="4" applyFont="1" applyBorder="1"/>
    <xf numFmtId="0" fontId="28" fillId="0" borderId="47" xfId="4" applyFont="1" applyBorder="1"/>
    <xf numFmtId="0" fontId="28" fillId="0" borderId="46" xfId="4" applyFont="1" applyBorder="1"/>
    <xf numFmtId="169" fontId="28" fillId="0" borderId="44" xfId="22" applyNumberFormat="1" applyFont="1" applyBorder="1"/>
    <xf numFmtId="169" fontId="28" fillId="0" borderId="24" xfId="22" applyNumberFormat="1" applyFont="1" applyBorder="1" applyAlignment="1">
      <alignment horizontal="left"/>
    </xf>
    <xf numFmtId="169" fontId="28" fillId="0" borderId="44" xfId="22" applyNumberFormat="1" applyFont="1" applyBorder="1" applyAlignment="1">
      <alignment horizontal="left"/>
    </xf>
    <xf numFmtId="169" fontId="28" fillId="0" borderId="22" xfId="22" applyNumberFormat="1" applyFont="1" applyBorder="1" applyAlignment="1">
      <alignment horizontal="left"/>
    </xf>
    <xf numFmtId="169" fontId="28" fillId="0" borderId="30" xfId="22" applyNumberFormat="1" applyFont="1" applyBorder="1" applyAlignment="1">
      <alignment horizontal="right"/>
    </xf>
    <xf numFmtId="169" fontId="28" fillId="0" borderId="50" xfId="22" applyNumberFormat="1" applyFont="1" applyBorder="1" applyAlignment="1">
      <alignment horizontal="left"/>
    </xf>
    <xf numFmtId="169" fontId="28" fillId="0" borderId="56" xfId="22" applyNumberFormat="1" applyFont="1" applyBorder="1" applyAlignment="1">
      <alignment horizontal="left"/>
    </xf>
  </cellXfs>
  <cellStyles count="24">
    <cellStyle name="Comma 2" xfId="8" xr:uid="{FE1916E3-2DE9-47B5-9ECF-163E8A0EFE83}"/>
    <cellStyle name="Comma 3" xfId="23" xr:uid="{EA9B4483-036C-4931-936B-E14FF737AD89}"/>
    <cellStyle name="Följde hyperlänken" xfId="3" xr:uid="{DAD4D6CC-FDCC-403D-BEDF-28DCDDD1E501}"/>
    <cellStyle name="Hyperlänk 2" xfId="10" xr:uid="{A8AE1562-0950-49F3-8568-1A4BDFE8729E}"/>
    <cellStyle name="Ligne détail" xfId="17" xr:uid="{4D516143-5FC3-492F-91C8-B0D7A644B441}"/>
    <cellStyle name="Normal" xfId="0" builtinId="0"/>
    <cellStyle name="Normal 2" xfId="4" xr:uid="{D3FA4AD2-6742-44FC-9AFA-457662616FC2}"/>
    <cellStyle name="Normal 2 2" xfId="22" xr:uid="{51EB3149-DBDB-42FD-BBCC-32B82F070C2B}"/>
    <cellStyle name="Normal 3" xfId="5" xr:uid="{88D470C6-DC96-451A-A7CB-07B8D6E1B37A}"/>
    <cellStyle name="Normal 3 2" xfId="11" xr:uid="{3B26E6C3-9D6F-4D89-B57F-B805C68B9FF0}"/>
    <cellStyle name="Normal 3 2 2" xfId="19" xr:uid="{626B87C0-9463-4BBE-A5AB-80BCE550825A}"/>
    <cellStyle name="Normal 3 3" xfId="18" xr:uid="{E0EBD280-0ED1-4EFC-939B-0D7681DADD2C}"/>
    <cellStyle name="Normal 4" xfId="14" xr:uid="{B801A34E-67F9-4D26-91DB-DFA8F127EF6D}"/>
    <cellStyle name="Normal 5" xfId="2" xr:uid="{6CC8D005-765A-4C6A-BDC6-0180F91D93B1}"/>
    <cellStyle name="Normal_Blad1" xfId="20" xr:uid="{BDBC6BB9-D725-47D6-9F20-D1561BBBCB30}"/>
    <cellStyle name="Normal_Tabell 3" xfId="21" xr:uid="{FF155311-2931-48FD-8F01-8B236E798F54}"/>
    <cellStyle name="Normale_Scen_UC_IND-StrucConst" xfId="1" xr:uid="{1369851F-7FC9-487E-838D-5CBC6561E22B}"/>
    <cellStyle name="Percent 2" xfId="6" xr:uid="{303DF655-FB6C-474C-A67B-482742823D24}"/>
    <cellStyle name="Procent 2" xfId="12" xr:uid="{AC47A3D5-5430-4BFC-9840-555766F50848}"/>
    <cellStyle name="Resultat" xfId="13" xr:uid="{D58C3441-1DE1-4D7D-8D82-86632B312554}"/>
    <cellStyle name="Titre colonnes" xfId="15" xr:uid="{070536F5-1D0E-4DC9-85C7-DFB6B3D2D62F}"/>
    <cellStyle name="Titre lignes" xfId="16" xr:uid="{1274208D-90A3-4CCE-82B0-5774ADE05BDC}"/>
    <cellStyle name="Total intermediaire" xfId="7" xr:uid="{C9F01C03-C7EE-4810-9B81-FD2CAAF1CD2D}"/>
    <cellStyle name="Tusental 2" xfId="9" xr:uid="{E287C74B-801B-4E7C-9302-BF6C8E2E1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78</xdr:row>
      <xdr:rowOff>0</xdr:rowOff>
    </xdr:from>
    <xdr:to>
      <xdr:col>40</xdr:col>
      <xdr:colOff>464247</xdr:colOff>
      <xdr:row>105</xdr:row>
      <xdr:rowOff>32657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4BF789-1681-4F55-801E-81F7CA02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4318" y="952500"/>
          <a:ext cx="9556296" cy="5176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76</xdr:row>
      <xdr:rowOff>0</xdr:rowOff>
    </xdr:from>
    <xdr:to>
      <xdr:col>40</xdr:col>
      <xdr:colOff>464247</xdr:colOff>
      <xdr:row>103</xdr:row>
      <xdr:rowOff>32657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E63D9F-02F3-4A3E-AB94-56537EAA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3460" y="12801600"/>
          <a:ext cx="9608247" cy="4970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76</xdr:row>
      <xdr:rowOff>0</xdr:rowOff>
    </xdr:from>
    <xdr:to>
      <xdr:col>40</xdr:col>
      <xdr:colOff>464247</xdr:colOff>
      <xdr:row>103</xdr:row>
      <xdr:rowOff>32657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337A6-07F8-41D4-8C60-C0DAC4A6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73460" y="12801600"/>
          <a:ext cx="9608247" cy="4970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rkustofnunis.sharepoint.com/O/OS_2013/003_Elds/SPA/2021/ELDSPA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endur"/>
      <sheetName val="Notkun heimila"/>
      <sheetName val="Fiskafli"/>
      <sheetName val="Notkun fiskiskipa"/>
      <sheetName val="Notkun iðnaðar"/>
      <sheetName val="Notkun bifreiða"/>
      <sheetName val="Notkun skipa"/>
      <sheetName val="Eiginleikar"/>
      <sheetName val="Notkun veitingastaða"/>
      <sheetName val="Notkun í flugi"/>
      <sheetName val="Eldsneytisnotkun"/>
      <sheetName val="Kafli 2 töflur"/>
      <sheetName val="Kafli 4 töflur"/>
      <sheetName val="Bifreiðar"/>
      <sheetName val="Akstur"/>
      <sheetName val="Akstur covid leiðrétting"/>
      <sheetName val="Nýorkubílar"/>
      <sheetName val="Eldsneytisverð"/>
      <sheetName val="Notkun landbúnaðar"/>
      <sheetName val="Notkun tækja"/>
      <sheetName val="Notkun stóriðju"/>
      <sheetName val="Líkan"/>
      <sheetName val="Mynd1"/>
      <sheetName val="Mynd2"/>
      <sheetName val="Mynd3"/>
      <sheetName val="Mynd4"/>
      <sheetName val="Mynd5"/>
      <sheetName val="Skýringar mynda"/>
      <sheetName val="Mynd1_old"/>
    </sheetNames>
    <sheetDataSet>
      <sheetData sheetId="0">
        <row r="26">
          <cell r="E26">
            <v>5</v>
          </cell>
        </row>
      </sheetData>
      <sheetData sheetId="1">
        <row r="4">
          <cell r="C4" t="str">
            <v>Olíunotkun</v>
          </cell>
        </row>
      </sheetData>
      <sheetData sheetId="2">
        <row r="3">
          <cell r="D3" t="str">
            <v>Þorskur</v>
          </cell>
        </row>
      </sheetData>
      <sheetData sheetId="3">
        <row r="12">
          <cell r="B12" t="str">
            <v>Orkuþörf fiskiskipa eftir tegund skips</v>
          </cell>
        </row>
      </sheetData>
      <sheetData sheetId="4">
        <row r="4">
          <cell r="E4" t="str">
            <v>Fiskimjöls-</v>
          </cell>
        </row>
      </sheetData>
      <sheetData sheetId="5">
        <row r="126">
          <cell r="C126">
            <v>142708.61239744301</v>
          </cell>
        </row>
      </sheetData>
      <sheetData sheetId="6">
        <row r="5">
          <cell r="I5" t="str">
            <v>Gasolía</v>
          </cell>
        </row>
      </sheetData>
      <sheetData sheetId="7">
        <row r="17">
          <cell r="E17">
            <v>32</v>
          </cell>
        </row>
        <row r="45">
          <cell r="C45">
            <v>8.5984522800000004E-2</v>
          </cell>
        </row>
      </sheetData>
      <sheetData sheetId="8"/>
      <sheetData sheetId="9">
        <row r="11">
          <cell r="B11" t="str">
            <v>Innanlandsnotkun í flugi</v>
          </cell>
        </row>
      </sheetData>
      <sheetData sheetId="10">
        <row r="1">
          <cell r="C1" t="str">
            <v>NOTKUN BENSÍNS</v>
          </cell>
        </row>
      </sheetData>
      <sheetData sheetId="11"/>
      <sheetData sheetId="12"/>
      <sheetData sheetId="13">
        <row r="517">
          <cell r="C517">
            <v>5.373257160114763</v>
          </cell>
        </row>
      </sheetData>
      <sheetData sheetId="14">
        <row r="13">
          <cell r="N13" t="str">
            <v/>
          </cell>
        </row>
      </sheetData>
      <sheetData sheetId="15" refreshError="1"/>
      <sheetData sheetId="16"/>
      <sheetData sheetId="17"/>
      <sheetData sheetId="18">
        <row r="7">
          <cell r="B7">
            <v>1993</v>
          </cell>
        </row>
      </sheetData>
      <sheetData sheetId="19">
        <row r="2">
          <cell r="B2" t="str">
            <v>Eldsneytisnotkun tækja</v>
          </cell>
        </row>
      </sheetData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IVL PPXL">
  <a:themeElements>
    <a:clrScheme name="IV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487"/>
      </a:accent1>
      <a:accent2>
        <a:srgbClr val="4F4F4C"/>
      </a:accent2>
      <a:accent3>
        <a:srgbClr val="E3EFF0"/>
      </a:accent3>
      <a:accent4>
        <a:srgbClr val="F28969"/>
      </a:accent4>
      <a:accent5>
        <a:srgbClr val="FEEFE5"/>
      </a:accent5>
      <a:accent6>
        <a:srgbClr val="00A6BD"/>
      </a:accent6>
      <a:hlink>
        <a:srgbClr val="0563C1"/>
      </a:hlink>
      <a:folHlink>
        <a:srgbClr val="954F72"/>
      </a:folHlink>
    </a:clrScheme>
    <a:fontScheme name="IVL PP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Korall">
      <a:srgbClr val="EA5550"/>
    </a:custClr>
    <a:custClr name="Mellan ocean">
      <a:srgbClr val="58BAC1"/>
    </a:custClr>
    <a:custClr name="Glaciär">
      <a:srgbClr val="E2E1E5"/>
    </a:custClr>
  </a:custClrLst>
  <a:extLst>
    <a:ext uri="{05A4C25C-085E-4340-85A3-A5531E510DB2}">
      <thm15:themeFamily xmlns:thm15="http://schemas.microsoft.com/office/thememl/2012/main" name="IVL PPXL" id="{30D11C11-7159-4883-9B7F-33BABE6F926C}" vid="{4E861F84-659A-4505-AE39-73F1BFA305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A80C-A4F4-42D0-B754-18A20D897C51}">
  <dimension ref="A2:E6"/>
  <sheetViews>
    <sheetView workbookViewId="0">
      <selection activeCell="D17" sqref="D17"/>
    </sheetView>
  </sheetViews>
  <sheetFormatPr defaultRowHeight="14.4" x14ac:dyDescent="0.3"/>
  <cols>
    <col min="1" max="4" width="19.44140625" customWidth="1"/>
    <col min="5" max="5" width="31" bestFit="1" customWidth="1"/>
  </cols>
  <sheetData>
    <row r="2" spans="1:5" x14ac:dyDescent="0.3">
      <c r="A2" s="10" t="s">
        <v>16</v>
      </c>
      <c r="B2" s="11" t="s">
        <v>17</v>
      </c>
      <c r="C2" s="11" t="s">
        <v>18</v>
      </c>
      <c r="D2" s="11" t="s">
        <v>19</v>
      </c>
      <c r="E2" s="11" t="s">
        <v>20</v>
      </c>
    </row>
    <row r="3" spans="1:5" x14ac:dyDescent="0.3">
      <c r="A3" s="14">
        <v>43754</v>
      </c>
      <c r="B3" t="s">
        <v>21</v>
      </c>
      <c r="C3" s="15"/>
      <c r="D3" s="11"/>
      <c r="E3" s="15" t="s">
        <v>31</v>
      </c>
    </row>
    <row r="4" spans="1:5" x14ac:dyDescent="0.3">
      <c r="A4" s="14"/>
      <c r="C4" s="15"/>
      <c r="D4" s="11"/>
      <c r="E4" s="15"/>
    </row>
    <row r="5" spans="1:5" x14ac:dyDescent="0.3">
      <c r="A5" s="14"/>
    </row>
    <row r="6" spans="1:5" x14ac:dyDescent="0.3">
      <c r="A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2B3-7C2B-4E4E-8327-0DB7E9551D41}">
  <dimension ref="B2:B4"/>
  <sheetViews>
    <sheetView workbookViewId="0">
      <selection activeCell="C10" sqref="C10"/>
    </sheetView>
  </sheetViews>
  <sheetFormatPr defaultRowHeight="14.4" x14ac:dyDescent="0.3"/>
  <sheetData>
    <row r="2" spans="2:2" x14ac:dyDescent="0.3">
      <c r="B2" s="1" t="s">
        <v>22</v>
      </c>
    </row>
    <row r="4" spans="2:2" x14ac:dyDescent="0.3">
      <c r="B4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219D-A4D7-45BE-BAED-73E6F2DF601C}">
  <dimension ref="B1:AM139"/>
  <sheetViews>
    <sheetView tabSelected="1" topLeftCell="A61" workbookViewId="0">
      <selection activeCell="G71" sqref="G71"/>
    </sheetView>
  </sheetViews>
  <sheetFormatPr defaultRowHeight="14.4" x14ac:dyDescent="0.3"/>
  <cols>
    <col min="2" max="2" width="10.33203125" bestFit="1" customWidth="1"/>
    <col min="24" max="24" width="14.109375" customWidth="1"/>
    <col min="31" max="31" width="12.33203125" bestFit="1" customWidth="1"/>
  </cols>
  <sheetData>
    <row r="1" spans="2:36" x14ac:dyDescent="0.3">
      <c r="D1">
        <v>0.8</v>
      </c>
      <c r="E1" t="s">
        <v>173</v>
      </c>
    </row>
    <row r="2" spans="2:36" x14ac:dyDescent="0.3">
      <c r="D2">
        <v>1.1000000000000001</v>
      </c>
      <c r="E2" t="s">
        <v>101</v>
      </c>
    </row>
    <row r="3" spans="2:36" x14ac:dyDescent="0.3">
      <c r="Z3" t="s">
        <v>91</v>
      </c>
    </row>
    <row r="4" spans="2:36" x14ac:dyDescent="0.3">
      <c r="B4" s="21" t="s">
        <v>79</v>
      </c>
      <c r="F4" s="22"/>
      <c r="Z4" t="s">
        <v>83</v>
      </c>
    </row>
    <row r="5" spans="2:36" ht="15" thickBot="1" x14ac:dyDescent="0.35">
      <c r="B5" s="23" t="s">
        <v>80</v>
      </c>
      <c r="C5" s="23" t="s">
        <v>4</v>
      </c>
      <c r="D5" s="23" t="s">
        <v>3</v>
      </c>
      <c r="E5" s="8" t="s">
        <v>8</v>
      </c>
      <c r="F5" s="8" t="s">
        <v>9</v>
      </c>
      <c r="G5" s="8" t="s">
        <v>6</v>
      </c>
      <c r="H5" s="8" t="s">
        <v>7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176</v>
      </c>
      <c r="N5" s="24" t="s">
        <v>1</v>
      </c>
      <c r="Z5" t="s">
        <v>84</v>
      </c>
    </row>
    <row r="6" spans="2:36" x14ac:dyDescent="0.3">
      <c r="B6" s="25" t="s">
        <v>81</v>
      </c>
      <c r="C6" s="26"/>
      <c r="D6" s="26"/>
      <c r="E6" s="26" t="s">
        <v>92</v>
      </c>
      <c r="F6" s="26" t="s">
        <v>92</v>
      </c>
      <c r="G6" s="26" t="s">
        <v>92</v>
      </c>
      <c r="H6" s="26" t="s">
        <v>92</v>
      </c>
      <c r="I6" s="26" t="s">
        <v>92</v>
      </c>
      <c r="J6" s="26" t="s">
        <v>92</v>
      </c>
      <c r="K6" s="26" t="s">
        <v>92</v>
      </c>
      <c r="L6" s="26" t="s">
        <v>92</v>
      </c>
      <c r="M6" s="26" t="s">
        <v>92</v>
      </c>
      <c r="N6" s="26"/>
      <c r="R6" t="s">
        <v>102</v>
      </c>
      <c r="T6" t="s">
        <v>103</v>
      </c>
      <c r="V6" t="s">
        <v>162</v>
      </c>
      <c r="X6" t="s">
        <v>177</v>
      </c>
      <c r="Z6" t="s">
        <v>85</v>
      </c>
    </row>
    <row r="7" spans="2:36" x14ac:dyDescent="0.3">
      <c r="B7" t="s">
        <v>82</v>
      </c>
      <c r="C7" t="s">
        <v>14</v>
      </c>
      <c r="D7">
        <v>2015</v>
      </c>
      <c r="E7" s="27">
        <f t="shared" ref="E7:J7" si="0">E8/3</f>
        <v>84.953298833267255</v>
      </c>
      <c r="F7" s="27">
        <f t="shared" si="0"/>
        <v>27.399987982557004</v>
      </c>
      <c r="G7" s="27">
        <f t="shared" si="0"/>
        <v>3.2364054524030803</v>
      </c>
      <c r="H7" s="27">
        <f t="shared" si="0"/>
        <v>4.9298563213120987</v>
      </c>
      <c r="I7" s="27">
        <f t="shared" si="0"/>
        <v>0.51225696401124832</v>
      </c>
      <c r="J7" s="27">
        <f t="shared" si="0"/>
        <v>1.197045056570285</v>
      </c>
      <c r="K7" s="27">
        <f>K8/3</f>
        <v>9.3368970877325683</v>
      </c>
      <c r="L7" s="27">
        <f>L8/3</f>
        <v>0</v>
      </c>
      <c r="M7" s="27">
        <f>M8/3</f>
        <v>0.7599999999999999</v>
      </c>
      <c r="N7" s="28" t="str">
        <f>N8</f>
        <v>TPCAELCX*N</v>
      </c>
      <c r="Q7" s="27"/>
      <c r="R7" s="27">
        <f>SUM(E7:F7)+SUM(E12:F12)+SUM(E17:F17)+SUM(E22:F22)+SUM(E27:F27)</f>
        <v>783.47692006234774</v>
      </c>
      <c r="S7">
        <f>SUM(AC12:AC13)</f>
        <v>0</v>
      </c>
      <c r="T7" s="27">
        <f>SUM(G7:H7)+SUM(G12:H12)+SUM(G17:H17)+SUM(G22:H22)+SUM(G27:H27)</f>
        <v>1062.9452944564323</v>
      </c>
      <c r="U7">
        <f>SUM(AC8:AC9)</f>
        <v>156.51771995428521</v>
      </c>
      <c r="V7" s="27">
        <f>SUM(I7:L7)+SUM(I12:L12)+SUM(I17:L17)+SUM(I22:L22)+SUM(I27:L27)</f>
        <v>392.82450803007674</v>
      </c>
      <c r="W7">
        <f>SUM(AC14:AC17)</f>
        <v>145.70965704720351</v>
      </c>
      <c r="X7" s="27">
        <f>SUM(M7)+SUM(M12)+SUM(M17)+SUM(M22)+SUM(M27)</f>
        <v>158.24334251739685</v>
      </c>
      <c r="Y7">
        <f>AC18</f>
        <v>0</v>
      </c>
      <c r="Z7" t="s">
        <v>86</v>
      </c>
      <c r="AA7" t="s">
        <v>87</v>
      </c>
      <c r="AB7">
        <v>2012</v>
      </c>
      <c r="AC7">
        <v>2015</v>
      </c>
      <c r="AD7">
        <v>2020</v>
      </c>
      <c r="AE7">
        <v>2025</v>
      </c>
      <c r="AF7">
        <v>2030</v>
      </c>
      <c r="AG7">
        <v>2035</v>
      </c>
      <c r="AH7">
        <v>2040</v>
      </c>
      <c r="AI7">
        <v>2045</v>
      </c>
      <c r="AJ7">
        <v>2050</v>
      </c>
    </row>
    <row r="8" spans="2:36" x14ac:dyDescent="0.3">
      <c r="B8" t="s">
        <v>82</v>
      </c>
      <c r="C8" t="s">
        <v>14</v>
      </c>
      <c r="D8">
        <v>2020</v>
      </c>
      <c r="E8" s="27">
        <f>IF($D8=0,"1",INDEX($AB$8:$AJ$18,MATCH(E$5,$AA$8:$AA$18,0),MATCH($D8,$AB$7:$AJ$7,0)))*D78</f>
        <v>254.85989649980175</v>
      </c>
      <c r="F8" s="27">
        <f t="shared" ref="E8:K10" si="1">IF($D8=0,"1",INDEX($AB$8:$AJ$18,MATCH(F$5,$AA$8:$AA$18,0),MATCH($D8,$AB$7:$AJ$7,0)))*E78</f>
        <v>82.199963947671009</v>
      </c>
      <c r="G8" s="27">
        <f t="shared" si="1"/>
        <v>9.7092163572092414</v>
      </c>
      <c r="H8" s="27">
        <f t="shared" si="1"/>
        <v>14.789568963936297</v>
      </c>
      <c r="I8" s="27">
        <f t="shared" si="1"/>
        <v>1.5367708920337451</v>
      </c>
      <c r="J8" s="27">
        <f t="shared" si="1"/>
        <v>3.5911351697108551</v>
      </c>
      <c r="K8" s="27">
        <f t="shared" si="1"/>
        <v>28.010691263197703</v>
      </c>
      <c r="L8" s="27">
        <f t="shared" ref="L8:M10" si="2">IF($D8=0,"1",INDEX($AB$8:$AJ$18,MATCH(L$5,$AA$8:$AA$18,0),MATCH($D8,$AB$7:$AJ$7,0)))*L78</f>
        <v>0</v>
      </c>
      <c r="M8" s="27">
        <f t="shared" si="2"/>
        <v>2.2799999999999998</v>
      </c>
      <c r="N8" s="28" t="s">
        <v>96</v>
      </c>
      <c r="Q8" s="27"/>
      <c r="R8" s="27">
        <f>SUM(E8:F8)+SUM(E13:F13)+SUM(E18:F18)+SUM(E23:F23)+SUM(E28:F28)</f>
        <v>786.47300771076971</v>
      </c>
      <c r="S8">
        <f>SUM(AD12:AD13)</f>
        <v>749.02191210549495</v>
      </c>
      <c r="T8" s="27">
        <f>SUM(G8:H8)+SUM(G13:H13)+SUM(G18:H18)+SUM(G23:H23)+SUM(G28:H28)</f>
        <v>933.42427239369886</v>
      </c>
      <c r="U8">
        <f>SUM(AD8:AD9)</f>
        <v>816.626177371518</v>
      </c>
      <c r="V8" s="27">
        <f>SUM(I8:L8)+SUM(I13:L13)+SUM(I18:L18)+SUM(I23:L23)+SUM(I28:L28)</f>
        <v>1079.2333723078743</v>
      </c>
      <c r="W8">
        <f>SUM(AD14:AD17)</f>
        <v>1681.7983444241463</v>
      </c>
      <c r="X8" s="27">
        <f t="shared" ref="X8:X10" si="3">SUM(M8)+SUM(M13)+SUM(M18)+SUM(M23)+SUM(M28)</f>
        <v>90.407671258698429</v>
      </c>
      <c r="Y8">
        <f>AD18</f>
        <v>76</v>
      </c>
      <c r="Z8" t="s">
        <v>90</v>
      </c>
      <c r="AA8" t="s">
        <v>6</v>
      </c>
      <c r="AC8">
        <v>69.139631951835199</v>
      </c>
      <c r="AD8">
        <v>323.64054524030803</v>
      </c>
      <c r="AE8">
        <v>295.04988320446</v>
      </c>
      <c r="AF8">
        <v>284.92134507925999</v>
      </c>
      <c r="AG8">
        <v>432.25926489726999</v>
      </c>
      <c r="AH8">
        <v>374.26926168543201</v>
      </c>
      <c r="AI8">
        <v>332.11456258680101</v>
      </c>
      <c r="AJ8">
        <v>438.04000581774801</v>
      </c>
    </row>
    <row r="9" spans="2:36" x14ac:dyDescent="0.3">
      <c r="B9" t="s">
        <v>82</v>
      </c>
      <c r="C9" t="s">
        <v>14</v>
      </c>
      <c r="D9">
        <v>2025</v>
      </c>
      <c r="E9" s="27">
        <f t="shared" si="1"/>
        <v>404.32604121374214</v>
      </c>
      <c r="F9" s="27">
        <f t="shared" si="1"/>
        <v>119.457295595856</v>
      </c>
      <c r="G9" s="27">
        <f t="shared" si="1"/>
        <v>56.887093976316208</v>
      </c>
      <c r="H9" s="27">
        <f t="shared" si="1"/>
        <v>86.737047236170881</v>
      </c>
      <c r="I9" s="27">
        <f t="shared" si="1"/>
        <v>11.904129622920308</v>
      </c>
      <c r="J9" s="27">
        <f t="shared" si="1"/>
        <v>28.232349392456594</v>
      </c>
      <c r="K9" s="27">
        <f t="shared" si="1"/>
        <v>219.85448878571907</v>
      </c>
      <c r="L9" s="27">
        <f t="shared" si="2"/>
        <v>0</v>
      </c>
      <c r="M9" s="27">
        <f t="shared" si="2"/>
        <v>26.162565139256618</v>
      </c>
      <c r="N9" s="28" t="s">
        <v>96</v>
      </c>
      <c r="R9" s="27">
        <f>SUM(E9:F9)+SUM(E14:F14)+SUM(E19:F19)+SUM(E24:F24)+SUM(E29:F29)</f>
        <v>1113.0395907203963</v>
      </c>
      <c r="S9">
        <f>SUM(AE12:AE13)</f>
        <v>872.97222801599696</v>
      </c>
      <c r="T9" s="27">
        <f>SUM(G9:H9)+SUM(G14:H14)+SUM(G19:H19)+SUM(G24:H24)+SUM(G29:H29)</f>
        <v>960.35945104460063</v>
      </c>
      <c r="U9">
        <f>SUM(AE8:AE9)</f>
        <v>744.91915701877292</v>
      </c>
      <c r="V9" s="27">
        <f>SUM(I9:L9)+SUM(I14:L14)+SUM(I19:L19)+SUM(I24:L24)+SUM(I29:L29)</f>
        <v>1542.9213967429164</v>
      </c>
      <c r="W9">
        <f>SUM(AE14:AE17)</f>
        <v>1711.3121718568418</v>
      </c>
      <c r="X9" s="27">
        <f t="shared" si="3"/>
        <v>103.3076638386415</v>
      </c>
      <c r="Y9">
        <f>AE18</f>
        <v>66</v>
      </c>
      <c r="Z9" t="s">
        <v>90</v>
      </c>
      <c r="AA9" t="s">
        <v>7</v>
      </c>
      <c r="AC9">
        <v>87.378088002449999</v>
      </c>
      <c r="AD9">
        <v>492.98563213120991</v>
      </c>
      <c r="AE9">
        <v>449.86927381431298</v>
      </c>
      <c r="AF9">
        <v>423.90615786545101</v>
      </c>
      <c r="AG9">
        <v>650.83764736355897</v>
      </c>
      <c r="AH9">
        <v>570.14439223805095</v>
      </c>
      <c r="AI9">
        <v>497.54488789890598</v>
      </c>
      <c r="AJ9">
        <v>658.55198837110595</v>
      </c>
    </row>
    <row r="10" spans="2:36" x14ac:dyDescent="0.3">
      <c r="B10" t="s">
        <v>82</v>
      </c>
      <c r="C10" t="s">
        <v>14</v>
      </c>
      <c r="D10">
        <v>2030</v>
      </c>
      <c r="E10" s="27">
        <f t="shared" si="1"/>
        <v>443.4890032661736</v>
      </c>
      <c r="F10" s="27">
        <f t="shared" si="1"/>
        <v>131.4357475320264</v>
      </c>
      <c r="G10" s="27">
        <f t="shared" si="1"/>
        <v>132.45610535559973</v>
      </c>
      <c r="H10" s="27">
        <f t="shared" si="1"/>
        <v>197.06827753285401</v>
      </c>
      <c r="I10" s="27">
        <f t="shared" si="1"/>
        <v>23.329878730891895</v>
      </c>
      <c r="J10" s="27">
        <f t="shared" si="1"/>
        <v>56.567968853263849</v>
      </c>
      <c r="K10" s="27">
        <f t="shared" si="1"/>
        <v>422.22148276404334</v>
      </c>
      <c r="L10" s="27">
        <f t="shared" si="2"/>
        <v>0</v>
      </c>
      <c r="M10" s="27">
        <f>IF($D10=0,"1",INDEX($AB$8:$AJ$18,MATCH(M$5,$AA$8:$AA$18,0),MATCH($D10,$AB$7:$AJ$7,0)))*M80</f>
        <v>41.741256638806206</v>
      </c>
      <c r="N10" s="28" t="s">
        <v>96</v>
      </c>
      <c r="R10" s="27">
        <f>SUM(E10:F10)+SUM(E15:F15)+SUM(E20:F20)+SUM(E25:F25)+SUM(E30:F30)</f>
        <v>1203.7486969837312</v>
      </c>
      <c r="S10">
        <f>SUM(AF12:AF13)</f>
        <v>718.65593849774996</v>
      </c>
      <c r="T10" s="27">
        <f>SUM(G10:H10)+SUM(G15:H15)+SUM(G20:H20)+SUM(G25:H25)+SUM(G30:H30)</f>
        <v>1148.299846734227</v>
      </c>
      <c r="U10">
        <f>SUM(AF8:AF9)</f>
        <v>708.827502944711</v>
      </c>
      <c r="V10" s="27">
        <f>SUM(I10:L10)+SUM(I15:L15)+SUM(I20:L20)+SUM(I25:L25)+SUM(I30:L30)</f>
        <v>2487.6622118905348</v>
      </c>
      <c r="W10">
        <f>SUM(AF14:AF17)</f>
        <v>1374.9195246377546</v>
      </c>
      <c r="X10" s="27">
        <f t="shared" si="3"/>
        <v>185.42407743487277</v>
      </c>
      <c r="Y10">
        <f>AF18</f>
        <v>66</v>
      </c>
      <c r="Z10" t="s">
        <v>90</v>
      </c>
      <c r="AA10" t="s">
        <v>88</v>
      </c>
      <c r="AD10">
        <v>5.7852525030878843E-2</v>
      </c>
      <c r="AE10">
        <v>9.3767711295253187E-2</v>
      </c>
      <c r="AF10">
        <v>9.0895140556358597E-2</v>
      </c>
      <c r="AG10">
        <v>5.9735604904747414E-2</v>
      </c>
      <c r="AH10">
        <v>6.3070887663568581E-2</v>
      </c>
      <c r="AI10">
        <v>9.7032395614413527E-2</v>
      </c>
      <c r="AJ10">
        <v>9.0317558587158481E-2</v>
      </c>
    </row>
    <row r="11" spans="2:36" x14ac:dyDescent="0.3">
      <c r="B11" t="s">
        <v>82</v>
      </c>
      <c r="C11" t="s">
        <v>14</v>
      </c>
      <c r="D11">
        <v>0</v>
      </c>
      <c r="E11" s="27">
        <v>4</v>
      </c>
      <c r="F11" s="27">
        <v>4</v>
      </c>
      <c r="G11" s="27">
        <v>4</v>
      </c>
      <c r="H11" s="27">
        <v>4</v>
      </c>
      <c r="I11" s="27">
        <v>4</v>
      </c>
      <c r="J11" s="27">
        <v>4</v>
      </c>
      <c r="K11" s="27">
        <v>4</v>
      </c>
      <c r="L11" s="27">
        <v>4</v>
      </c>
      <c r="M11" s="27">
        <v>4</v>
      </c>
      <c r="N11" s="28" t="s">
        <v>96</v>
      </c>
      <c r="Z11" t="s">
        <v>90</v>
      </c>
      <c r="AA11" t="s">
        <v>89</v>
      </c>
      <c r="AD11">
        <v>0.38335256497985831</v>
      </c>
      <c r="AE11">
        <v>0.68346258080878697</v>
      </c>
      <c r="AF11">
        <v>0.6754659685345753</v>
      </c>
      <c r="AG11">
        <v>0.44791245682125896</v>
      </c>
      <c r="AH11">
        <v>0.45054202217335398</v>
      </c>
      <c r="AI11">
        <v>0.74047761734182571</v>
      </c>
      <c r="AJ11">
        <v>0.71189248192577292</v>
      </c>
    </row>
    <row r="12" spans="2:36" x14ac:dyDescent="0.3">
      <c r="B12" t="s">
        <v>82</v>
      </c>
      <c r="C12" t="s">
        <v>14</v>
      </c>
      <c r="D12">
        <v>2015</v>
      </c>
      <c r="E12" s="27">
        <f>E13/10</f>
        <v>8.4953298833267237</v>
      </c>
      <c r="F12" s="27">
        <f t="shared" ref="F12" si="4">F13/10</f>
        <v>2.7399987982557001</v>
      </c>
      <c r="G12" s="27">
        <f t="shared" ref="G12" si="5">G13/10</f>
        <v>1.2945621809612322</v>
      </c>
      <c r="H12" s="27">
        <f t="shared" ref="H12" si="6">H13/10</f>
        <v>1.9719425285248398</v>
      </c>
      <c r="I12" s="27">
        <f t="shared" ref="I12" si="7">I13/10</f>
        <v>0.21760675831197829</v>
      </c>
      <c r="J12" s="27">
        <f t="shared" ref="J12" si="8">J13/10</f>
        <v>0.50850474003105706</v>
      </c>
      <c r="K12" s="27">
        <f t="shared" ref="K12" si="9">K13/10</f>
        <v>3.9663138828687949</v>
      </c>
      <c r="L12" s="27">
        <f>L13/10</f>
        <v>0</v>
      </c>
      <c r="M12" s="27">
        <f>M13/10</f>
        <v>0.9880000000000001</v>
      </c>
      <c r="N12" s="28" t="str">
        <f>N13</f>
        <v>TPCAELCH*N</v>
      </c>
      <c r="Z12" t="s">
        <v>90</v>
      </c>
      <c r="AA12" t="s">
        <v>8</v>
      </c>
      <c r="AD12">
        <v>566.35532555511497</v>
      </c>
      <c r="AE12">
        <v>673.87673535623696</v>
      </c>
      <c r="AF12">
        <v>554.36125408271698</v>
      </c>
      <c r="AG12">
        <v>779.12421658035896</v>
      </c>
      <c r="AH12">
        <v>807.32747988239896</v>
      </c>
      <c r="AI12">
        <v>677.59168661407398</v>
      </c>
      <c r="AJ12">
        <v>821.921873503504</v>
      </c>
    </row>
    <row r="13" spans="2:36" x14ac:dyDescent="0.3">
      <c r="B13" t="s">
        <v>82</v>
      </c>
      <c r="C13" t="s">
        <v>14</v>
      </c>
      <c r="D13">
        <v>2020</v>
      </c>
      <c r="E13" s="27">
        <f t="shared" ref="E13:K15" si="10">IF($D13=0,"1",INDEX($AB$8:$AJ$18,MATCH(E$5,$AA$8:$AA$18,0),MATCH($D13,$AB$7:$AJ$7,0)))*D82</f>
        <v>84.95329883326724</v>
      </c>
      <c r="F13" s="27">
        <f t="shared" si="10"/>
        <v>27.399987982557001</v>
      </c>
      <c r="G13" s="27">
        <f t="shared" si="10"/>
        <v>12.945621809612321</v>
      </c>
      <c r="H13" s="27">
        <f t="shared" si="10"/>
        <v>19.719425285248398</v>
      </c>
      <c r="I13" s="27">
        <f t="shared" si="10"/>
        <v>2.1760675831197829</v>
      </c>
      <c r="J13" s="27">
        <f t="shared" si="10"/>
        <v>5.0850474003105708</v>
      </c>
      <c r="K13" s="27">
        <f t="shared" si="10"/>
        <v>39.663138828687948</v>
      </c>
      <c r="L13" s="27">
        <f t="shared" ref="L13:M15" si="11">IF($D13=0,"1",INDEX($AB$8:$AJ$18,MATCH(L$5,$AA$8:$AA$18,0),MATCH($D13,$AB$7:$AJ$7,0)))*L82</f>
        <v>0</v>
      </c>
      <c r="M13" s="27">
        <f t="shared" si="11"/>
        <v>9.8800000000000008</v>
      </c>
      <c r="N13" s="28" t="s">
        <v>97</v>
      </c>
      <c r="Z13" t="s">
        <v>90</v>
      </c>
      <c r="AA13" t="s">
        <v>9</v>
      </c>
      <c r="AD13">
        <v>182.66658655038</v>
      </c>
      <c r="AE13">
        <v>199.09549265976</v>
      </c>
      <c r="AF13">
        <v>164.294684415033</v>
      </c>
      <c r="AG13">
        <v>242.89582595863101</v>
      </c>
      <c r="AH13">
        <v>242.453849940829</v>
      </c>
      <c r="AI13">
        <v>201.23193731339899</v>
      </c>
      <c r="AJ13">
        <v>253.58004493116499</v>
      </c>
    </row>
    <row r="14" spans="2:36" x14ac:dyDescent="0.3">
      <c r="B14" t="s">
        <v>82</v>
      </c>
      <c r="C14" t="s">
        <v>14</v>
      </c>
      <c r="D14">
        <v>2025</v>
      </c>
      <c r="E14" s="27">
        <f t="shared" si="10"/>
        <v>235.85685737468293</v>
      </c>
      <c r="F14" s="27">
        <f t="shared" si="10"/>
        <v>69.683422430915996</v>
      </c>
      <c r="G14" s="27">
        <f t="shared" si="10"/>
        <v>181.47446135491612</v>
      </c>
      <c r="H14" s="27">
        <f t="shared" si="10"/>
        <v>276.69824254431575</v>
      </c>
      <c r="I14" s="27">
        <f t="shared" si="10"/>
        <v>33.031867476835494</v>
      </c>
      <c r="J14" s="27">
        <f t="shared" si="10"/>
        <v>78.339807548446942</v>
      </c>
      <c r="K14" s="27">
        <f t="shared" si="10"/>
        <v>610.05756555057837</v>
      </c>
      <c r="L14" s="27">
        <f t="shared" si="11"/>
        <v>0</v>
      </c>
      <c r="M14" s="27">
        <f t="shared" si="11"/>
        <v>40.594201629032924</v>
      </c>
      <c r="N14" s="28" t="s">
        <v>97</v>
      </c>
      <c r="Z14" t="s">
        <v>90</v>
      </c>
      <c r="AA14" t="s">
        <v>10</v>
      </c>
      <c r="AC14">
        <v>6.2328581479797958</v>
      </c>
      <c r="AD14">
        <v>61.470835681349797</v>
      </c>
      <c r="AE14">
        <v>61.741808367916803</v>
      </c>
      <c r="AF14">
        <v>50.1840244411257</v>
      </c>
      <c r="AG14">
        <v>77.361957965907493</v>
      </c>
      <c r="AH14">
        <v>74.399170310497496</v>
      </c>
      <c r="AI14">
        <v>60.8225824562086</v>
      </c>
      <c r="AJ14">
        <v>78.464475294401396</v>
      </c>
    </row>
    <row r="15" spans="2:36" x14ac:dyDescent="0.3">
      <c r="B15" t="s">
        <v>82</v>
      </c>
      <c r="C15" t="s">
        <v>14</v>
      </c>
      <c r="D15">
        <v>2030</v>
      </c>
      <c r="E15" s="27">
        <f t="shared" si="10"/>
        <v>277.18062704135849</v>
      </c>
      <c r="F15" s="27">
        <f t="shared" si="10"/>
        <v>82.147342207516502</v>
      </c>
      <c r="G15" s="27">
        <f t="shared" si="10"/>
        <v>209.44922413623851</v>
      </c>
      <c r="H15" s="27">
        <f t="shared" si="10"/>
        <v>311.61868847275605</v>
      </c>
      <c r="I15" s="27">
        <f t="shared" si="10"/>
        <v>36.890900470457332</v>
      </c>
      <c r="J15" s="27">
        <f t="shared" si="10"/>
        <v>89.449385179119076</v>
      </c>
      <c r="K15" s="27">
        <f t="shared" si="10"/>
        <v>667.64730656367908</v>
      </c>
      <c r="L15" s="27">
        <f t="shared" si="11"/>
        <v>0</v>
      </c>
      <c r="M15" s="27">
        <f t="shared" si="11"/>
        <v>48.517420796066546</v>
      </c>
      <c r="N15" s="28" t="s">
        <v>97</v>
      </c>
      <c r="Z15" t="s">
        <v>90</v>
      </c>
      <c r="AA15" t="s">
        <v>11</v>
      </c>
      <c r="AC15">
        <v>19.360155827408384</v>
      </c>
      <c r="AD15">
        <v>143.6454067884342</v>
      </c>
      <c r="AE15">
        <v>146.42954681952699</v>
      </c>
      <c r="AF15">
        <v>121.68122964814501</v>
      </c>
      <c r="AG15">
        <v>183.76898829907401</v>
      </c>
      <c r="AH15">
        <v>176.04419620086699</v>
      </c>
      <c r="AI15">
        <v>146.41461127224599</v>
      </c>
      <c r="AJ15">
        <v>186.97778322403599</v>
      </c>
    </row>
    <row r="16" spans="2:36" x14ac:dyDescent="0.3">
      <c r="B16" t="s">
        <v>82</v>
      </c>
      <c r="C16" t="s">
        <v>14</v>
      </c>
      <c r="D16">
        <v>0</v>
      </c>
      <c r="E16" s="27">
        <v>4</v>
      </c>
      <c r="F16" s="27">
        <v>4</v>
      </c>
      <c r="G16" s="27">
        <v>4</v>
      </c>
      <c r="H16" s="27">
        <v>4</v>
      </c>
      <c r="I16" s="27">
        <v>4</v>
      </c>
      <c r="J16" s="27">
        <v>4</v>
      </c>
      <c r="K16" s="27">
        <v>4</v>
      </c>
      <c r="L16" s="27">
        <v>4</v>
      </c>
      <c r="M16" s="27">
        <v>4</v>
      </c>
      <c r="N16" s="28" t="s">
        <v>97</v>
      </c>
      <c r="Z16" t="s">
        <v>90</v>
      </c>
      <c r="AA16" t="s">
        <v>12</v>
      </c>
      <c r="AC16">
        <v>83.567832612392337</v>
      </c>
      <c r="AD16">
        <v>1120.4276505279081</v>
      </c>
      <c r="AE16">
        <v>1140.2945150478099</v>
      </c>
      <c r="AF16">
        <v>908.22474711547898</v>
      </c>
      <c r="AG16">
        <v>1403.0517385076801</v>
      </c>
      <c r="AH16">
        <v>1369.7653095707899</v>
      </c>
      <c r="AI16">
        <v>1107.2195461362401</v>
      </c>
      <c r="AJ16">
        <v>1423.4206631806501</v>
      </c>
    </row>
    <row r="17" spans="2:36" x14ac:dyDescent="0.3">
      <c r="B17" t="s">
        <v>82</v>
      </c>
      <c r="C17" t="s">
        <v>14</v>
      </c>
      <c r="D17">
        <v>2015</v>
      </c>
      <c r="E17" s="27">
        <f>E18/10</f>
        <v>0.56635532555511492</v>
      </c>
      <c r="F17" s="27">
        <f t="shared" ref="F17" si="12">F18/10</f>
        <v>0.18266658655038001</v>
      </c>
      <c r="G17" s="27">
        <f>G18/10</f>
        <v>0</v>
      </c>
      <c r="H17" s="27">
        <f t="shared" ref="H17" si="13">H18/10</f>
        <v>0</v>
      </c>
      <c r="I17" s="27">
        <f t="shared" ref="I17" si="14">I18/10</f>
        <v>3.0735417840674899E-2</v>
      </c>
      <c r="J17" s="27">
        <f t="shared" ref="J17" si="15">J18/10</f>
        <v>7.1822703394217105E-2</v>
      </c>
      <c r="K17" s="27">
        <f t="shared" ref="K17" si="16">K18/10</f>
        <v>0.56021382526395402</v>
      </c>
      <c r="L17" s="27">
        <f t="shared" ref="L17:M17" si="17">L18/10</f>
        <v>0</v>
      </c>
      <c r="M17" s="27">
        <f t="shared" si="17"/>
        <v>0</v>
      </c>
      <c r="N17" s="28" t="str">
        <f>N18</f>
        <v>TPCANGBL*N</v>
      </c>
      <c r="Z17" t="s">
        <v>90</v>
      </c>
      <c r="AA17" t="s">
        <v>13</v>
      </c>
      <c r="AC17">
        <v>36.548810459422981</v>
      </c>
      <c r="AD17">
        <v>356.25445142645401</v>
      </c>
      <c r="AE17">
        <v>362.846301621588</v>
      </c>
      <c r="AF17">
        <v>294.82952343300502</v>
      </c>
      <c r="AG17">
        <v>450.60599901090899</v>
      </c>
      <c r="AH17">
        <v>436.03448991942503</v>
      </c>
      <c r="AI17">
        <v>357.20399340969101</v>
      </c>
      <c r="AJ17">
        <v>457.77177115313202</v>
      </c>
    </row>
    <row r="18" spans="2:36" x14ac:dyDescent="0.3">
      <c r="B18" t="s">
        <v>82</v>
      </c>
      <c r="C18" t="s">
        <v>14</v>
      </c>
      <c r="D18">
        <v>2020</v>
      </c>
      <c r="E18" s="27">
        <f t="shared" ref="E18:K20" si="18">IF($D18=0,"1",INDEX($AB$8:$AJ$18,MATCH(E$5,$AA$8:$AA$18,0),MATCH($D18,$AB$7:$AJ$7,0)))*D90</f>
        <v>5.6635532555511494</v>
      </c>
      <c r="F18" s="27">
        <f t="shared" si="18"/>
        <v>1.8266658655038002</v>
      </c>
      <c r="G18" s="27">
        <f t="shared" si="18"/>
        <v>0</v>
      </c>
      <c r="H18" s="27">
        <f t="shared" si="18"/>
        <v>0</v>
      </c>
      <c r="I18" s="27">
        <f t="shared" si="18"/>
        <v>0.307354178406749</v>
      </c>
      <c r="J18" s="27">
        <f t="shared" si="18"/>
        <v>0.71822703394217102</v>
      </c>
      <c r="K18" s="27">
        <f t="shared" si="18"/>
        <v>5.6021382526395405</v>
      </c>
      <c r="L18" s="27">
        <f t="shared" ref="L18:M20" si="19">IF($D18=0,"1",INDEX($AB$8:$AJ$18,MATCH(L$5,$AA$8:$AA$18,0),MATCH($D18,$AB$7:$AJ$7,0)))*L90</f>
        <v>0</v>
      </c>
      <c r="M18" s="27">
        <f t="shared" si="19"/>
        <v>0</v>
      </c>
      <c r="N18" s="28" t="s">
        <v>98</v>
      </c>
      <c r="AA18" t="s">
        <v>176</v>
      </c>
      <c r="AC18">
        <v>0</v>
      </c>
      <c r="AD18">
        <v>76</v>
      </c>
      <c r="AE18">
        <v>66</v>
      </c>
      <c r="AF18">
        <v>66</v>
      </c>
      <c r="AG18">
        <v>66</v>
      </c>
      <c r="AH18">
        <v>66</v>
      </c>
      <c r="AI18">
        <v>66</v>
      </c>
      <c r="AJ18">
        <v>66</v>
      </c>
    </row>
    <row r="19" spans="2:36" x14ac:dyDescent="0.3">
      <c r="B19" t="s">
        <v>82</v>
      </c>
      <c r="C19" t="s">
        <v>14</v>
      </c>
      <c r="D19">
        <v>2025</v>
      </c>
      <c r="E19" s="27">
        <f t="shared" si="18"/>
        <v>33.693836767811852</v>
      </c>
      <c r="F19" s="27">
        <f t="shared" si="18"/>
        <v>9.9547746329880002</v>
      </c>
      <c r="G19" s="27">
        <f t="shared" si="18"/>
        <v>14.752928108647415</v>
      </c>
      <c r="H19" s="27">
        <f t="shared" si="18"/>
        <v>22.494125341757311</v>
      </c>
      <c r="I19" s="27">
        <f t="shared" si="18"/>
        <v>3.0870904183958405</v>
      </c>
      <c r="J19" s="27">
        <f t="shared" si="18"/>
        <v>7.3214773409763501</v>
      </c>
      <c r="K19" s="27">
        <f t="shared" si="18"/>
        <v>57.014725752390497</v>
      </c>
      <c r="L19" s="27">
        <f t="shared" si="19"/>
        <v>0</v>
      </c>
      <c r="M19" s="27">
        <f t="shared" si="19"/>
        <v>3.3000970703519701</v>
      </c>
      <c r="N19" s="28" t="s">
        <v>98</v>
      </c>
    </row>
    <row r="20" spans="2:36" x14ac:dyDescent="0.3">
      <c r="B20" t="s">
        <v>82</v>
      </c>
      <c r="C20" t="s">
        <v>14</v>
      </c>
      <c r="D20">
        <v>2030</v>
      </c>
      <c r="E20" s="27">
        <f t="shared" si="18"/>
        <v>55.4361254082717</v>
      </c>
      <c r="F20" s="27">
        <f t="shared" si="18"/>
        <v>16.4294684415033</v>
      </c>
      <c r="G20" s="27">
        <f t="shared" si="18"/>
        <v>56.984269015852</v>
      </c>
      <c r="H20" s="27">
        <f t="shared" si="18"/>
        <v>84.78123157309021</v>
      </c>
      <c r="I20" s="27">
        <f t="shared" si="18"/>
        <v>10.036804888225141</v>
      </c>
      <c r="J20" s="27">
        <f t="shared" si="18"/>
        <v>24.336245929629001</v>
      </c>
      <c r="K20" s="27">
        <f t="shared" si="18"/>
        <v>181.6449494230958</v>
      </c>
      <c r="L20" s="27">
        <f t="shared" si="19"/>
        <v>0</v>
      </c>
      <c r="M20" s="27">
        <f t="shared" si="19"/>
        <v>13.200000000000001</v>
      </c>
      <c r="N20" s="28" t="s">
        <v>98</v>
      </c>
    </row>
    <row r="21" spans="2:36" x14ac:dyDescent="0.3">
      <c r="B21" t="s">
        <v>82</v>
      </c>
      <c r="C21" t="s">
        <v>14</v>
      </c>
      <c r="D21">
        <v>0</v>
      </c>
      <c r="E21" s="27">
        <v>4</v>
      </c>
      <c r="F21" s="27">
        <v>4</v>
      </c>
      <c r="G21" s="27">
        <v>4</v>
      </c>
      <c r="H21" s="27">
        <v>4</v>
      </c>
      <c r="I21" s="27">
        <v>4</v>
      </c>
      <c r="J21" s="27">
        <v>4</v>
      </c>
      <c r="K21" s="27">
        <v>4</v>
      </c>
      <c r="L21" s="27">
        <v>4</v>
      </c>
      <c r="M21" s="27">
        <v>4</v>
      </c>
      <c r="N21" s="28" t="s">
        <v>98</v>
      </c>
    </row>
    <row r="22" spans="2:36" x14ac:dyDescent="0.3">
      <c r="B22" t="s">
        <v>82</v>
      </c>
      <c r="C22" t="s">
        <v>14</v>
      </c>
      <c r="D22">
        <v>2015</v>
      </c>
      <c r="E22" s="27">
        <f>E23*2</f>
        <v>342.6449719608446</v>
      </c>
      <c r="F22" s="27">
        <f>F23*2</f>
        <v>110.51328486297992</v>
      </c>
      <c r="G22" s="27">
        <f t="shared" ref="G22:H22" si="20">G23*1.2</f>
        <v>143.05083211255976</v>
      </c>
      <c r="H22" s="27">
        <f t="shared" si="20"/>
        <v>217.90225586087246</v>
      </c>
      <c r="I22" s="27">
        <f>I23*0.2</f>
        <v>5.0803364995708558</v>
      </c>
      <c r="J22" s="27">
        <f t="shared" ref="J22" si="21">J23*0.2</f>
        <v>11.8717599169454</v>
      </c>
      <c r="K22" s="27">
        <f>K23*0.2</f>
        <v>92.599188298205362</v>
      </c>
      <c r="L22" s="27">
        <f>L23*0.2</f>
        <v>0</v>
      </c>
      <c r="M22" s="27">
        <f>M23*2</f>
        <v>86.365372834231309</v>
      </c>
      <c r="N22" s="28" t="s">
        <v>99</v>
      </c>
    </row>
    <row r="23" spans="2:36" x14ac:dyDescent="0.3">
      <c r="B23" t="s">
        <v>82</v>
      </c>
      <c r="C23" t="s">
        <v>14</v>
      </c>
      <c r="D23">
        <v>2020</v>
      </c>
      <c r="E23" s="27">
        <f t="shared" ref="E23:H25" si="22">IF($D23=0,"1",INDEX($AB$8:$AJ$18,MATCH(E$5,$AA$8:$AA$18,0),MATCH($D23,$AB$7:$AJ$7,0)))*D94*$D$2</f>
        <v>171.3224859804223</v>
      </c>
      <c r="F23" s="27">
        <f t="shared" si="22"/>
        <v>55.256642431489958</v>
      </c>
      <c r="G23" s="27">
        <f t="shared" si="22"/>
        <v>119.20902676046647</v>
      </c>
      <c r="H23" s="27">
        <f t="shared" si="22"/>
        <v>181.58521321739372</v>
      </c>
      <c r="I23" s="27">
        <f t="shared" ref="I23:K25" si="23">IF($D23=0,"1",INDEX($AB$8:$AJ$18,MATCH(I$5,$AA$8:$AA$18,0),MATCH($D23,$AB$7:$AJ$7,0)))*H94*$D$1</f>
        <v>25.401682497854278</v>
      </c>
      <c r="J23" s="27">
        <f t="shared" si="23"/>
        <v>59.358799584726995</v>
      </c>
      <c r="K23" s="27">
        <f t="shared" si="23"/>
        <v>462.99594149102677</v>
      </c>
      <c r="L23" s="27">
        <f>IF($D23=0,"1",INDEX($AB$8:$AJ$18,MATCH(L$5,$AA$8:$AA$18,0),MATCH($D23,$AB$7:$AJ$7,0)))*L94*$D$1</f>
        <v>0</v>
      </c>
      <c r="M23" s="27">
        <f>IF($D23=0,"1",INDEX($AB$8:$AJ$18,MATCH(M$5,$AA$8:$AA$18,0),MATCH($D23,$AB$7:$AJ$7,0)))*M94*$D$2</f>
        <v>43.182686417115654</v>
      </c>
      <c r="N23" s="28" t="s">
        <v>99</v>
      </c>
    </row>
    <row r="24" spans="2:36" x14ac:dyDescent="0.3">
      <c r="B24" t="s">
        <v>82</v>
      </c>
      <c r="C24" t="s">
        <v>14</v>
      </c>
      <c r="D24">
        <v>2025</v>
      </c>
      <c r="E24" s="27">
        <f t="shared" si="22"/>
        <v>111.1896613337791</v>
      </c>
      <c r="F24" s="27">
        <f t="shared" si="22"/>
        <v>32.850756288860403</v>
      </c>
      <c r="G24" s="27">
        <f t="shared" si="22"/>
        <v>16.719979304937535</v>
      </c>
      <c r="H24" s="27">
        <f t="shared" si="22"/>
        <v>25.493333081207233</v>
      </c>
      <c r="I24" s="27">
        <f t="shared" si="23"/>
        <v>12.743509247138029</v>
      </c>
      <c r="J24" s="27">
        <f t="shared" si="23"/>
        <v>30.223058463550373</v>
      </c>
      <c r="K24" s="27">
        <f t="shared" si="23"/>
        <v>235.356787905868</v>
      </c>
      <c r="L24" s="27">
        <f>IF($D24=0,"1",INDEX($AB$8:$AJ$18,MATCH(L$5,$AA$8:$AA$18,0),MATCH($D24,$AB$7:$AJ$7,0)))*L95*$D$1</f>
        <v>0</v>
      </c>
      <c r="M24" s="27">
        <f>IF($D24=0,"1",INDEX($AB$8:$AJ$18,MATCH(M$5,$AA$8:$AA$18,0),MATCH($D24,$AB$7:$AJ$7,0)))*M95*$D$2</f>
        <v>18.730799999999999</v>
      </c>
      <c r="N24" s="28" t="s">
        <v>99</v>
      </c>
    </row>
    <row r="25" spans="2:36" x14ac:dyDescent="0.3">
      <c r="B25" t="s">
        <v>82</v>
      </c>
      <c r="C25" t="s">
        <v>14</v>
      </c>
      <c r="D25">
        <v>2030</v>
      </c>
      <c r="E25" s="27">
        <f t="shared" si="22"/>
        <v>91.4696069236483</v>
      </c>
      <c r="F25" s="27">
        <f t="shared" si="22"/>
        <v>27.10862292848045</v>
      </c>
      <c r="G25" s="27">
        <f t="shared" si="22"/>
        <v>31.341347958718604</v>
      </c>
      <c r="H25" s="27">
        <f t="shared" si="22"/>
        <v>46.629677365199619</v>
      </c>
      <c r="I25" s="27">
        <f t="shared" si="23"/>
        <v>25.252601098774452</v>
      </c>
      <c r="J25" s="27">
        <f t="shared" si="23"/>
        <v>61.229994758946567</v>
      </c>
      <c r="K25" s="27">
        <f t="shared" si="23"/>
        <v>457.01869274850907</v>
      </c>
      <c r="L25" s="27">
        <f>IF($D25=0,"1",INDEX($AB$8:$AJ$18,MATCH(L$5,$AA$8:$AA$18,0),MATCH($D25,$AB$7:$AJ$7,0)))*L96*$D$1</f>
        <v>0</v>
      </c>
      <c r="M25" s="27">
        <f>IF($D25=0,"1",INDEX($AB$8:$AJ$18,MATCH(M$5,$AA$8:$AA$18,0),MATCH($D25,$AB$7:$AJ$7,0)))*M96*$D$2</f>
        <v>45.665400000000005</v>
      </c>
      <c r="N25" s="28" t="s">
        <v>99</v>
      </c>
    </row>
    <row r="26" spans="2:36" x14ac:dyDescent="0.3">
      <c r="B26" t="s">
        <v>82</v>
      </c>
      <c r="C26" t="s">
        <v>14</v>
      </c>
      <c r="D26">
        <v>0</v>
      </c>
      <c r="E26" s="27">
        <v>4</v>
      </c>
      <c r="F26" s="27">
        <v>4</v>
      </c>
      <c r="G26" s="27">
        <v>4</v>
      </c>
      <c r="H26" s="27">
        <v>4</v>
      </c>
      <c r="I26" s="27">
        <v>4</v>
      </c>
      <c r="J26" s="27">
        <v>4</v>
      </c>
      <c r="K26" s="27">
        <v>4</v>
      </c>
      <c r="L26" s="27">
        <v>4</v>
      </c>
      <c r="M26" s="27">
        <v>4</v>
      </c>
      <c r="N26" s="28" t="s">
        <v>99</v>
      </c>
    </row>
    <row r="27" spans="2:36" x14ac:dyDescent="0.3">
      <c r="B27" t="s">
        <v>82</v>
      </c>
      <c r="C27" t="s">
        <v>14</v>
      </c>
      <c r="D27">
        <v>2015</v>
      </c>
      <c r="E27" s="27">
        <f>E28*2</f>
        <v>155.74771452765663</v>
      </c>
      <c r="F27" s="27">
        <f>F28*2</f>
        <v>50.233311301354505</v>
      </c>
      <c r="G27" s="27">
        <f t="shared" ref="G27:H27" si="24">G28*1.2</f>
        <v>273.67850783541581</v>
      </c>
      <c r="H27" s="27">
        <f t="shared" si="24"/>
        <v>416.88093216438295</v>
      </c>
      <c r="I27" s="27">
        <f>I28*0.6</f>
        <v>12.375926821239942</v>
      </c>
      <c r="J27" s="27">
        <f>J28*0.6</f>
        <v>28.920137865642705</v>
      </c>
      <c r="K27" s="27">
        <f>K28*0.6</f>
        <v>225.57576219244768</v>
      </c>
      <c r="L27" s="27">
        <f>L28*0.6</f>
        <v>0</v>
      </c>
      <c r="M27" s="27">
        <f>M28*2</f>
        <v>70.129969683165555</v>
      </c>
      <c r="N27" s="28" t="str">
        <f>N28</f>
        <v>TPCAGSBL*N</v>
      </c>
    </row>
    <row r="28" spans="2:36" x14ac:dyDescent="0.3">
      <c r="B28" t="s">
        <v>82</v>
      </c>
      <c r="C28" t="s">
        <v>14</v>
      </c>
      <c r="D28">
        <v>2020</v>
      </c>
      <c r="E28" s="27">
        <f t="shared" ref="E28:H31" si="25">IF($D28=0,"1",INDEX($AB$8:$AJ$18,MATCH(E$5,$AA$8:$AA$18,0),MATCH($D28,$AB$7:$AJ$7,0)))*D98*$D$2</f>
        <v>77.873857263828313</v>
      </c>
      <c r="F28" s="27">
        <f t="shared" si="25"/>
        <v>25.116655650677252</v>
      </c>
      <c r="G28" s="27">
        <f t="shared" si="25"/>
        <v>228.06542319617986</v>
      </c>
      <c r="H28" s="27">
        <f t="shared" si="25"/>
        <v>347.40077680365249</v>
      </c>
      <c r="I28" s="27">
        <f t="shared" ref="I28:K30" si="26">IF($D28=0,"1",INDEX($AB$8:$AJ$18,MATCH(I$5,$AA$8:$AA$18,0),MATCH($D28,$AB$7:$AJ$7,0)))*H98*$D$1</f>
        <v>20.626544702066571</v>
      </c>
      <c r="J28" s="27">
        <f t="shared" si="26"/>
        <v>48.200229776071176</v>
      </c>
      <c r="K28" s="27">
        <f t="shared" si="26"/>
        <v>375.9596036540795</v>
      </c>
      <c r="L28" s="27">
        <f>IF($D28=0,"1",INDEX($AB$8:$AJ$18,MATCH(L$5,$AA$8:$AA$18,0),MATCH($D28,$AB$7:$AJ$7,0)))*L98*$D$1</f>
        <v>0</v>
      </c>
      <c r="M28" s="27">
        <f>IF($D28=0,"1",INDEX($AB$8:$AJ$18,MATCH(M$5,$AA$8:$AA$18,0),MATCH($D28,$AB$7:$AJ$7,0)))*M98*$D$2</f>
        <v>35.064984841582778</v>
      </c>
      <c r="N28" s="28" t="s">
        <v>100</v>
      </c>
    </row>
    <row r="29" spans="2:36" x14ac:dyDescent="0.3">
      <c r="B29" t="s">
        <v>82</v>
      </c>
      <c r="C29" t="s">
        <v>14</v>
      </c>
      <c r="D29">
        <v>2025</v>
      </c>
      <c r="E29" s="27">
        <f t="shared" si="25"/>
        <v>74.126440889186085</v>
      </c>
      <c r="F29" s="27">
        <f t="shared" si="25"/>
        <v>21.900504192573603</v>
      </c>
      <c r="G29" s="27">
        <f t="shared" si="25"/>
        <v>110.54767831732731</v>
      </c>
      <c r="H29" s="27">
        <f t="shared" si="25"/>
        <v>168.55456177900481</v>
      </c>
      <c r="I29" s="27">
        <f t="shared" si="26"/>
        <v>9.8786893388666908</v>
      </c>
      <c r="J29" s="27">
        <f t="shared" si="26"/>
        <v>23.42872749112432</v>
      </c>
      <c r="K29" s="27">
        <f t="shared" si="26"/>
        <v>182.4471224076496</v>
      </c>
      <c r="L29" s="27">
        <f>IF($D29=0,"1",INDEX($AB$8:$AJ$18,MATCH(L$5,$AA$8:$AA$18,0),MATCH($D29,$AB$7:$AJ$7,0)))*L99*$D$1</f>
        <v>0</v>
      </c>
      <c r="M29" s="27">
        <f>IF($D29=0,"1",INDEX($AB$8:$AJ$18,MATCH(M$5,$AA$8:$AA$18,0),MATCH($D29,$AB$7:$AJ$7,0)))*M99*$D$2</f>
        <v>14.520000000000003</v>
      </c>
      <c r="N29" s="28" t="s">
        <v>100</v>
      </c>
    </row>
    <row r="30" spans="2:36" x14ac:dyDescent="0.3">
      <c r="B30" t="s">
        <v>82</v>
      </c>
      <c r="C30" t="s">
        <v>14</v>
      </c>
      <c r="D30">
        <v>2030</v>
      </c>
      <c r="E30" s="27">
        <f t="shared" si="25"/>
        <v>60.979737949098876</v>
      </c>
      <c r="F30" s="27">
        <f t="shared" si="25"/>
        <v>18.07241528565363</v>
      </c>
      <c r="G30" s="27">
        <f t="shared" si="25"/>
        <v>31.341347958718604</v>
      </c>
      <c r="H30" s="27">
        <f t="shared" si="25"/>
        <v>46.629677365199619</v>
      </c>
      <c r="I30" s="27">
        <f t="shared" si="26"/>
        <v>20.073609776450283</v>
      </c>
      <c r="J30" s="27">
        <f t="shared" si="26"/>
        <v>48.672491859258002</v>
      </c>
      <c r="K30" s="27">
        <f t="shared" si="26"/>
        <v>363.28989884619159</v>
      </c>
      <c r="L30" s="27">
        <f>IF($D30=0,"1",INDEX($AB$8:$AJ$18,MATCH(L$5,$AA$8:$AA$18,0),MATCH($D30,$AB$7:$AJ$7,0)))*L100*$D$1</f>
        <v>0</v>
      </c>
      <c r="M30" s="27">
        <f>IF($D30=0,"1",INDEX($AB$8:$AJ$18,MATCH(M$5,$AA$8:$AA$18,0),MATCH($D30,$AB$7:$AJ$7,0)))*M100*$D$2</f>
        <v>36.300000000000004</v>
      </c>
      <c r="N30" s="28" t="s">
        <v>100</v>
      </c>
    </row>
    <row r="31" spans="2:36" x14ac:dyDescent="0.3">
      <c r="B31" t="s">
        <v>82</v>
      </c>
      <c r="C31" t="s">
        <v>14</v>
      </c>
      <c r="D31">
        <v>0</v>
      </c>
      <c r="E31" s="27">
        <f t="shared" si="25"/>
        <v>1.1000000000000001</v>
      </c>
      <c r="F31" s="27">
        <f t="shared" si="25"/>
        <v>1.1000000000000001</v>
      </c>
      <c r="G31" s="27">
        <f t="shared" si="25"/>
        <v>1.1000000000000001</v>
      </c>
      <c r="H31" s="27">
        <f t="shared" si="25"/>
        <v>1.1000000000000001</v>
      </c>
      <c r="I31" s="27">
        <f>IF($D31=0,"1",INDEX($AB$8:$AJ$18,MATCH(I$5,$AA$8:$AA$18,0),MATCH($D31,$AB$7:$AJ$7,0)))*H101*$D$2</f>
        <v>1.1000000000000001</v>
      </c>
      <c r="J31" s="27">
        <f>IF($D31=0,"1",INDEX($AB$8:$AJ$18,MATCH(J$5,$AA$8:$AA$18,0),MATCH($D31,$AB$7:$AJ$7,0)))*I101*$D$2</f>
        <v>1.1000000000000001</v>
      </c>
      <c r="K31" s="27">
        <f>IF($D31=0,"1",INDEX($AB$8:$AJ$18,MATCH(K$5,$AA$8:$AA$18,0),MATCH($D31,$AB$7:$AJ$7,0)))*J101*$D$2</f>
        <v>1.1000000000000001</v>
      </c>
      <c r="L31" s="27">
        <f>IF($D31=0,"1",INDEX($AB$8:$AJ$18,MATCH(L$5,$AA$8:$AA$18,0),MATCH($D31,$AB$7:$AJ$7,0)))*L101*$D$2</f>
        <v>0</v>
      </c>
      <c r="M31" s="27">
        <f>IF($D31=0,"1",INDEX($AB$8:$AJ$18,MATCH(M$5,$AA$8:$AA$18,0),MATCH($D31,$AB$7:$AJ$7,0)))*M101*$D$2</f>
        <v>1.1000000000000001</v>
      </c>
      <c r="N31" s="28" t="s">
        <v>100</v>
      </c>
    </row>
    <row r="32" spans="2:36" x14ac:dyDescent="0.3">
      <c r="B32" t="s">
        <v>82</v>
      </c>
      <c r="C32" t="s">
        <v>14</v>
      </c>
      <c r="D32">
        <v>2015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t="s">
        <v>125</v>
      </c>
    </row>
    <row r="33" spans="2:18" x14ac:dyDescent="0.3">
      <c r="B33" t="s">
        <v>82</v>
      </c>
      <c r="C33" t="s">
        <v>14</v>
      </c>
      <c r="D33">
        <v>2020</v>
      </c>
      <c r="E33" s="27">
        <v>1</v>
      </c>
      <c r="F33" s="27">
        <v>1</v>
      </c>
      <c r="G33" s="27">
        <v>1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1</v>
      </c>
      <c r="N33" t="s">
        <v>125</v>
      </c>
    </row>
    <row r="34" spans="2:18" x14ac:dyDescent="0.3">
      <c r="B34" t="s">
        <v>82</v>
      </c>
      <c r="C34" t="s">
        <v>14</v>
      </c>
      <c r="D34">
        <v>2025</v>
      </c>
      <c r="E34" s="27">
        <v>5</v>
      </c>
      <c r="F34" s="27">
        <v>5</v>
      </c>
      <c r="G34" s="27">
        <v>5</v>
      </c>
      <c r="H34" s="27">
        <v>5</v>
      </c>
      <c r="I34" s="27">
        <v>5</v>
      </c>
      <c r="J34" s="27">
        <v>5</v>
      </c>
      <c r="K34" s="27">
        <v>5</v>
      </c>
      <c r="L34" s="27">
        <v>5</v>
      </c>
      <c r="M34" s="27">
        <v>5</v>
      </c>
      <c r="N34" t="s">
        <v>125</v>
      </c>
    </row>
    <row r="35" spans="2:18" x14ac:dyDescent="0.3">
      <c r="B35" t="s">
        <v>82</v>
      </c>
      <c r="C35" t="s">
        <v>14</v>
      </c>
      <c r="D35">
        <v>2030</v>
      </c>
      <c r="E35" s="27">
        <v>20</v>
      </c>
      <c r="F35" s="27">
        <v>20</v>
      </c>
      <c r="G35" s="27">
        <v>20</v>
      </c>
      <c r="H35" s="27">
        <v>20</v>
      </c>
      <c r="I35" s="27">
        <v>20</v>
      </c>
      <c r="J35" s="27">
        <v>20</v>
      </c>
      <c r="K35" s="27">
        <v>20</v>
      </c>
      <c r="L35" s="27">
        <v>20</v>
      </c>
      <c r="M35" s="27">
        <v>20</v>
      </c>
      <c r="N35" t="s">
        <v>125</v>
      </c>
    </row>
    <row r="36" spans="2:18" x14ac:dyDescent="0.3">
      <c r="B36" t="s">
        <v>82</v>
      </c>
      <c r="C36" t="s">
        <v>14</v>
      </c>
      <c r="D36">
        <v>0</v>
      </c>
      <c r="E36" s="27">
        <v>1</v>
      </c>
      <c r="F36" s="27">
        <v>1</v>
      </c>
      <c r="G36" s="27">
        <v>1</v>
      </c>
      <c r="H36" s="27">
        <v>1</v>
      </c>
      <c r="I36" s="27">
        <v>1</v>
      </c>
      <c r="J36" s="27">
        <v>1</v>
      </c>
      <c r="K36" s="27">
        <v>1</v>
      </c>
      <c r="L36" s="27">
        <v>1</v>
      </c>
      <c r="M36" s="27">
        <v>1</v>
      </c>
      <c r="N36" t="s">
        <v>125</v>
      </c>
    </row>
    <row r="37" spans="2:18" x14ac:dyDescent="0.3">
      <c r="B37" t="s">
        <v>82</v>
      </c>
      <c r="C37" t="s">
        <v>14</v>
      </c>
      <c r="D37">
        <v>2015</v>
      </c>
      <c r="E37" s="27">
        <f>E38</f>
        <v>7.7873857263828317</v>
      </c>
      <c r="F37" s="27">
        <f t="shared" ref="F37:J37" si="27">F38</f>
        <v>2.5116655650677253</v>
      </c>
      <c r="G37" s="27">
        <f t="shared" si="27"/>
        <v>22.806542319617989</v>
      </c>
      <c r="H37" s="27">
        <f t="shared" si="27"/>
        <v>34.740077680365253</v>
      </c>
      <c r="I37" s="27">
        <f t="shared" si="27"/>
        <v>2.0626544702066574</v>
      </c>
      <c r="J37" s="27">
        <f t="shared" si="27"/>
        <v>4.8200229776071177</v>
      </c>
      <c r="K37" s="27">
        <f>K38</f>
        <v>37.595960365407954</v>
      </c>
      <c r="L37" s="27">
        <f>L38</f>
        <v>0</v>
      </c>
      <c r="M37" s="27">
        <f>M38</f>
        <v>3.506498484158278</v>
      </c>
      <c r="N37" s="28" t="s">
        <v>174</v>
      </c>
    </row>
    <row r="38" spans="2:18" x14ac:dyDescent="0.3">
      <c r="B38" t="s">
        <v>82</v>
      </c>
      <c r="C38" t="s">
        <v>14</v>
      </c>
      <c r="D38">
        <v>2020</v>
      </c>
      <c r="E38" s="27">
        <f>E28*0.1</f>
        <v>7.7873857263828317</v>
      </c>
      <c r="F38" s="27">
        <f t="shared" ref="F38:J38" si="28">F28*0.1</f>
        <v>2.5116655650677253</v>
      </c>
      <c r="G38" s="27">
        <f t="shared" si="28"/>
        <v>22.806542319617989</v>
      </c>
      <c r="H38" s="27">
        <f t="shared" si="28"/>
        <v>34.740077680365253</v>
      </c>
      <c r="I38" s="27">
        <f t="shared" si="28"/>
        <v>2.0626544702066574</v>
      </c>
      <c r="J38" s="27">
        <f t="shared" si="28"/>
        <v>4.8200229776071177</v>
      </c>
      <c r="K38" s="27">
        <f>K28*0.1</f>
        <v>37.595960365407954</v>
      </c>
      <c r="L38" s="27">
        <f>L28*0.1</f>
        <v>0</v>
      </c>
      <c r="M38" s="27">
        <f t="shared" ref="M38" si="29">M28*0.1</f>
        <v>3.506498484158278</v>
      </c>
      <c r="N38" s="28" t="s">
        <v>174</v>
      </c>
    </row>
    <row r="39" spans="2:18" x14ac:dyDescent="0.3">
      <c r="B39" t="s">
        <v>82</v>
      </c>
      <c r="C39" t="s">
        <v>14</v>
      </c>
      <c r="D39">
        <v>0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</v>
      </c>
      <c r="M39" s="27">
        <v>1</v>
      </c>
      <c r="N39" s="28" t="s">
        <v>174</v>
      </c>
      <c r="R39" t="s">
        <v>175</v>
      </c>
    </row>
    <row r="40" spans="2:18" x14ac:dyDescent="0.3">
      <c r="B40" t="s">
        <v>82</v>
      </c>
      <c r="C40" t="s">
        <v>14</v>
      </c>
      <c r="D40">
        <v>2015</v>
      </c>
      <c r="E40" s="27">
        <v>1E-3</v>
      </c>
      <c r="F40" s="27">
        <v>1E-3</v>
      </c>
      <c r="G40" s="27">
        <v>1E-3</v>
      </c>
      <c r="H40" s="27">
        <v>1E-3</v>
      </c>
      <c r="I40" s="27">
        <v>1E-3</v>
      </c>
      <c r="J40" s="27">
        <v>1E-3</v>
      </c>
      <c r="K40" s="27">
        <v>1E-3</v>
      </c>
      <c r="L40" s="27">
        <v>1E-3</v>
      </c>
      <c r="M40" s="27">
        <v>1E-3</v>
      </c>
      <c r="N40" s="29" t="s">
        <v>111</v>
      </c>
    </row>
    <row r="41" spans="2:18" x14ac:dyDescent="0.3">
      <c r="B41" t="s">
        <v>82</v>
      </c>
      <c r="C41" t="s">
        <v>14</v>
      </c>
      <c r="D41">
        <v>2020</v>
      </c>
      <c r="E41" s="27">
        <f>1%*30/2</f>
        <v>0.15</v>
      </c>
      <c r="F41" s="27">
        <f>1%*30/2</f>
        <v>0.15</v>
      </c>
      <c r="G41" s="27">
        <f>1%*30/2</f>
        <v>0.15</v>
      </c>
      <c r="H41" s="27">
        <f>1%*30/2</f>
        <v>0.15</v>
      </c>
      <c r="I41" s="27">
        <f>1%*100/4</f>
        <v>0.25</v>
      </c>
      <c r="J41" s="27">
        <f>1%*100/4</f>
        <v>0.25</v>
      </c>
      <c r="K41" s="27">
        <f>1%*100/4</f>
        <v>0.25</v>
      </c>
      <c r="L41" s="27">
        <f>1%*100/4</f>
        <v>0.25</v>
      </c>
      <c r="M41" s="27">
        <f>1%*30/2</f>
        <v>0.15</v>
      </c>
      <c r="N41" s="29" t="s">
        <v>111</v>
      </c>
    </row>
    <row r="42" spans="2:18" x14ac:dyDescent="0.3">
      <c r="B42" t="s">
        <v>82</v>
      </c>
      <c r="C42" t="s">
        <v>14</v>
      </c>
      <c r="D42">
        <v>2025</v>
      </c>
      <c r="E42" s="27">
        <f>(30/6*5)*15%/2</f>
        <v>1.875</v>
      </c>
      <c r="F42" s="27">
        <f>(30/6*5)*15%/2</f>
        <v>1.875</v>
      </c>
      <c r="G42" s="27">
        <f>(30/6*5)*15%/2</f>
        <v>1.875</v>
      </c>
      <c r="H42" s="27">
        <f>(30/6*5)*15%/2</f>
        <v>1.875</v>
      </c>
      <c r="I42" s="27">
        <f>(100/6*5)*15%/4</f>
        <v>3.1250000000000004</v>
      </c>
      <c r="J42" s="27">
        <f>(100/6*5)*15%/4</f>
        <v>3.1250000000000004</v>
      </c>
      <c r="K42" s="27">
        <f>(100/6*5)*15%/4</f>
        <v>3.1250000000000004</v>
      </c>
      <c r="L42" s="27">
        <f>(100/6*5)*15%/4</f>
        <v>3.1250000000000004</v>
      </c>
      <c r="M42" s="27">
        <f>(30/6*5)*15%/2</f>
        <v>1.875</v>
      </c>
      <c r="N42" s="29" t="s">
        <v>111</v>
      </c>
    </row>
    <row r="43" spans="2:18" x14ac:dyDescent="0.3">
      <c r="B43" t="s">
        <v>82</v>
      </c>
      <c r="C43" t="s">
        <v>14</v>
      </c>
      <c r="D43">
        <v>2030</v>
      </c>
      <c r="E43" s="27">
        <f>(30/6*5)*50%/2</f>
        <v>6.25</v>
      </c>
      <c r="F43" s="27">
        <f>(30/6*5)*50%/2</f>
        <v>6.25</v>
      </c>
      <c r="G43" s="27">
        <f>(30/6*5)*50%/2</f>
        <v>6.25</v>
      </c>
      <c r="H43" s="27">
        <f>(30/6*5)*50%/2</f>
        <v>6.25</v>
      </c>
      <c r="I43" s="27">
        <f>(100/6*5)*50%/4</f>
        <v>10.416666666666668</v>
      </c>
      <c r="J43" s="27">
        <f>(100/6*5)*50%/4</f>
        <v>10.416666666666668</v>
      </c>
      <c r="K43" s="27">
        <f>(100/6*5)*50%/4</f>
        <v>10.416666666666668</v>
      </c>
      <c r="L43" s="27">
        <f>(100/6*5)*50%/4</f>
        <v>10.416666666666668</v>
      </c>
      <c r="M43" s="27">
        <f>(30/6*5)*50%/2</f>
        <v>6.25</v>
      </c>
      <c r="N43" s="29" t="s">
        <v>111</v>
      </c>
      <c r="R43" t="s">
        <v>109</v>
      </c>
    </row>
    <row r="44" spans="2:18" x14ac:dyDescent="0.3">
      <c r="B44" t="s">
        <v>82</v>
      </c>
      <c r="C44" t="s">
        <v>14</v>
      </c>
      <c r="D44">
        <v>0</v>
      </c>
      <c r="E44" s="27">
        <v>1</v>
      </c>
      <c r="F44" s="27">
        <v>1</v>
      </c>
      <c r="G44" s="27">
        <v>1</v>
      </c>
      <c r="H44" s="27">
        <v>1</v>
      </c>
      <c r="I44" s="27">
        <v>1</v>
      </c>
      <c r="J44" s="27">
        <v>1</v>
      </c>
      <c r="K44" s="27">
        <v>1</v>
      </c>
      <c r="L44" s="27">
        <v>1</v>
      </c>
      <c r="M44" s="27">
        <v>1</v>
      </c>
      <c r="N44" s="29" t="s">
        <v>111</v>
      </c>
      <c r="R44" t="s">
        <v>110</v>
      </c>
    </row>
    <row r="45" spans="2:18" x14ac:dyDescent="0.3">
      <c r="B45" t="s">
        <v>82</v>
      </c>
      <c r="C45" t="s">
        <v>14</v>
      </c>
      <c r="D45">
        <v>2015</v>
      </c>
      <c r="E45" s="27">
        <v>1E-3</v>
      </c>
      <c r="F45" s="27">
        <v>1E-3</v>
      </c>
      <c r="G45" s="27">
        <v>1E-3</v>
      </c>
      <c r="H45" s="27">
        <v>1E-3</v>
      </c>
      <c r="I45" s="27">
        <v>1E-3</v>
      </c>
      <c r="J45" s="27">
        <v>1E-3</v>
      </c>
      <c r="K45" s="27">
        <v>1E-3</v>
      </c>
      <c r="L45" s="27">
        <v>1E-3</v>
      </c>
      <c r="M45" s="27">
        <v>1E-3</v>
      </c>
      <c r="N45" s="28" t="s">
        <v>112</v>
      </c>
    </row>
    <row r="46" spans="2:18" x14ac:dyDescent="0.3">
      <c r="B46" t="s">
        <v>82</v>
      </c>
      <c r="C46" t="s">
        <v>14</v>
      </c>
      <c r="D46">
        <v>2020</v>
      </c>
      <c r="E46" s="27">
        <f>1%*30/2</f>
        <v>0.15</v>
      </c>
      <c r="F46" s="27">
        <f>1%*30/2</f>
        <v>0.15</v>
      </c>
      <c r="G46" s="27">
        <f>1%*30/2</f>
        <v>0.15</v>
      </c>
      <c r="H46" s="27">
        <f>1%*30/2</f>
        <v>0.15</v>
      </c>
      <c r="I46" s="27">
        <f>1%*100/4</f>
        <v>0.25</v>
      </c>
      <c r="J46" s="27">
        <f>1%*100/4</f>
        <v>0.25</v>
      </c>
      <c r="K46" s="27">
        <f>1%*100/4</f>
        <v>0.25</v>
      </c>
      <c r="L46" s="27">
        <f>1%*100/4</f>
        <v>0.25</v>
      </c>
      <c r="M46" s="27">
        <f>1%*30/2</f>
        <v>0.15</v>
      </c>
      <c r="N46" s="28" t="s">
        <v>112</v>
      </c>
    </row>
    <row r="47" spans="2:18" x14ac:dyDescent="0.3">
      <c r="B47" t="s">
        <v>82</v>
      </c>
      <c r="C47" t="s">
        <v>14</v>
      </c>
      <c r="D47">
        <v>2025</v>
      </c>
      <c r="E47" s="27">
        <f>(30/6*5)*5%/2</f>
        <v>0.625</v>
      </c>
      <c r="F47" s="27">
        <f>(30/6*5)*5%/2</f>
        <v>0.625</v>
      </c>
      <c r="G47" s="27">
        <f>(30/6*5)*5%/2</f>
        <v>0.625</v>
      </c>
      <c r="H47" s="27">
        <f>(30/6*5)*5%/2</f>
        <v>0.625</v>
      </c>
      <c r="I47" s="27">
        <f>(100/6*5)*5%/4</f>
        <v>1.0416666666666667</v>
      </c>
      <c r="J47" s="27">
        <f>(100/6*5)*5%/4</f>
        <v>1.0416666666666667</v>
      </c>
      <c r="K47" s="27">
        <f>(100/6*5)*5%/4</f>
        <v>1.0416666666666667</v>
      </c>
      <c r="L47" s="27">
        <f>(100/6*5)*5%/4</f>
        <v>1.0416666666666667</v>
      </c>
      <c r="M47" s="27">
        <f>(30/6*5)*5%/2</f>
        <v>0.625</v>
      </c>
      <c r="N47" s="28" t="s">
        <v>112</v>
      </c>
    </row>
    <row r="48" spans="2:18" x14ac:dyDescent="0.3">
      <c r="B48" t="s">
        <v>82</v>
      </c>
      <c r="C48" t="s">
        <v>14</v>
      </c>
      <c r="D48">
        <v>2030</v>
      </c>
      <c r="E48" s="27">
        <f>(30/6*5)*15%/2</f>
        <v>1.875</v>
      </c>
      <c r="F48" s="27">
        <f>(30/6*5)*15%/2</f>
        <v>1.875</v>
      </c>
      <c r="G48" s="27">
        <f>(30/6*5)*15%/2</f>
        <v>1.875</v>
      </c>
      <c r="H48" s="27">
        <f>(30/6*5)*15%/2</f>
        <v>1.875</v>
      </c>
      <c r="I48" s="27">
        <f>(100/6*5)*15%/4</f>
        <v>3.1250000000000004</v>
      </c>
      <c r="J48" s="27">
        <f>(100/6*5)*15%/4</f>
        <v>3.1250000000000004</v>
      </c>
      <c r="K48" s="27">
        <f>(100/6*5)*15%/4</f>
        <v>3.1250000000000004</v>
      </c>
      <c r="L48" s="27">
        <f>(100/6*5)*15%/4</f>
        <v>3.1250000000000004</v>
      </c>
      <c r="M48" s="27">
        <f>(30/6*5)*15%/2</f>
        <v>1.875</v>
      </c>
      <c r="N48" s="28" t="s">
        <v>112</v>
      </c>
      <c r="R48" t="s">
        <v>114</v>
      </c>
    </row>
    <row r="49" spans="2:39" x14ac:dyDescent="0.3">
      <c r="B49" t="s">
        <v>82</v>
      </c>
      <c r="C49" t="s">
        <v>14</v>
      </c>
      <c r="D49">
        <v>0</v>
      </c>
      <c r="E49" s="27">
        <v>1</v>
      </c>
      <c r="F49" s="27">
        <v>1</v>
      </c>
      <c r="G49" s="27">
        <v>1</v>
      </c>
      <c r="H49" s="27">
        <v>1</v>
      </c>
      <c r="I49" s="27">
        <v>1</v>
      </c>
      <c r="J49" s="27">
        <v>1</v>
      </c>
      <c r="K49" s="27">
        <v>1</v>
      </c>
      <c r="L49" s="27">
        <v>1</v>
      </c>
      <c r="M49" s="27">
        <v>1</v>
      </c>
      <c r="N49" s="28" t="s">
        <v>112</v>
      </c>
      <c r="R49" t="s">
        <v>109</v>
      </c>
    </row>
    <row r="50" spans="2:39" x14ac:dyDescent="0.3">
      <c r="B50" t="s">
        <v>82</v>
      </c>
      <c r="C50" t="s">
        <v>14</v>
      </c>
      <c r="D50">
        <v>2015</v>
      </c>
      <c r="E50" s="27">
        <v>1E-3</v>
      </c>
      <c r="F50" s="27">
        <v>1E-3</v>
      </c>
      <c r="G50" s="27">
        <v>1E-3</v>
      </c>
      <c r="H50" s="27">
        <v>1E-3</v>
      </c>
      <c r="I50" s="27">
        <v>1E-3</v>
      </c>
      <c r="J50" s="27">
        <v>1E-3</v>
      </c>
      <c r="K50" s="27">
        <v>1E-3</v>
      </c>
      <c r="L50" s="27">
        <v>1E-3</v>
      </c>
      <c r="M50" s="27">
        <v>1E-3</v>
      </c>
      <c r="N50" s="28" t="s">
        <v>113</v>
      </c>
    </row>
    <row r="51" spans="2:39" x14ac:dyDescent="0.3">
      <c r="B51" t="s">
        <v>82</v>
      </c>
      <c r="C51" t="s">
        <v>14</v>
      </c>
      <c r="D51">
        <v>2020</v>
      </c>
      <c r="E51" s="27">
        <f>1%*30/2</f>
        <v>0.15</v>
      </c>
      <c r="F51" s="27">
        <f>1%*30/2</f>
        <v>0.15</v>
      </c>
      <c r="G51" s="27">
        <f>1%*30/2</f>
        <v>0.15</v>
      </c>
      <c r="H51" s="27">
        <f>1%*30/2</f>
        <v>0.15</v>
      </c>
      <c r="I51" s="27">
        <f>1%*100/4</f>
        <v>0.25</v>
      </c>
      <c r="J51" s="27">
        <f>1%*100/4</f>
        <v>0.25</v>
      </c>
      <c r="K51" s="27">
        <f>1%*100/4</f>
        <v>0.25</v>
      </c>
      <c r="L51" s="27">
        <f>1%*100/4</f>
        <v>0.25</v>
      </c>
      <c r="M51" s="27">
        <f>1%*30/2</f>
        <v>0.15</v>
      </c>
      <c r="N51" s="28" t="s">
        <v>113</v>
      </c>
    </row>
    <row r="52" spans="2:39" x14ac:dyDescent="0.3">
      <c r="B52" t="s">
        <v>82</v>
      </c>
      <c r="C52" t="s">
        <v>14</v>
      </c>
      <c r="D52">
        <v>2025</v>
      </c>
      <c r="E52" s="27">
        <f>(30/6*5)*5%/2</f>
        <v>0.625</v>
      </c>
      <c r="F52" s="27">
        <f>(30/6*5)*5%/2</f>
        <v>0.625</v>
      </c>
      <c r="G52" s="27">
        <f>(30/6*5)*5%/2</f>
        <v>0.625</v>
      </c>
      <c r="H52" s="27">
        <f>(30/6*5)*5%/2</f>
        <v>0.625</v>
      </c>
      <c r="I52" s="27">
        <f>(100/6*5)*5%/4</f>
        <v>1.0416666666666667</v>
      </c>
      <c r="J52" s="27">
        <f>(100/6*5)*5%/4</f>
        <v>1.0416666666666667</v>
      </c>
      <c r="K52" s="27">
        <f>(100/6*5)*5%/4</f>
        <v>1.0416666666666667</v>
      </c>
      <c r="L52" s="27">
        <f>(100/6*5)*5%/4</f>
        <v>1.0416666666666667</v>
      </c>
      <c r="M52" s="27">
        <f>(30/6*5)*5%/2</f>
        <v>0.625</v>
      </c>
      <c r="N52" s="28" t="s">
        <v>113</v>
      </c>
    </row>
    <row r="53" spans="2:39" x14ac:dyDescent="0.3">
      <c r="B53" t="s">
        <v>82</v>
      </c>
      <c r="C53" t="s">
        <v>14</v>
      </c>
      <c r="D53">
        <v>2030</v>
      </c>
      <c r="E53" s="27">
        <f>(30/6*5)*15%/2</f>
        <v>1.875</v>
      </c>
      <c r="F53" s="27">
        <f>(30/6*5)*15%/2</f>
        <v>1.875</v>
      </c>
      <c r="G53" s="27">
        <f>(30/6*5)*15%/2</f>
        <v>1.875</v>
      </c>
      <c r="H53" s="27">
        <f>(30/6*5)*15%/2</f>
        <v>1.875</v>
      </c>
      <c r="I53" s="27">
        <f>(100/6*5)*15%/4</f>
        <v>3.1250000000000004</v>
      </c>
      <c r="J53" s="27">
        <f>(100/6*5)*15%/4</f>
        <v>3.1250000000000004</v>
      </c>
      <c r="K53" s="27">
        <f>(100/6*5)*15%/4</f>
        <v>3.1250000000000004</v>
      </c>
      <c r="L53" s="27">
        <f>(100/6*5)*15%/4</f>
        <v>3.1250000000000004</v>
      </c>
      <c r="M53" s="27">
        <f>(30/6*5)*15%/2</f>
        <v>1.875</v>
      </c>
      <c r="N53" s="28" t="s">
        <v>113</v>
      </c>
      <c r="R53" t="s">
        <v>114</v>
      </c>
    </row>
    <row r="54" spans="2:39" x14ac:dyDescent="0.3">
      <c r="B54" t="s">
        <v>82</v>
      </c>
      <c r="C54" t="s">
        <v>14</v>
      </c>
      <c r="D54">
        <v>0</v>
      </c>
      <c r="E54" s="27">
        <v>1</v>
      </c>
      <c r="F54" s="27">
        <v>1</v>
      </c>
      <c r="G54" s="27">
        <v>1</v>
      </c>
      <c r="H54" s="27">
        <v>1</v>
      </c>
      <c r="I54" s="27">
        <v>1</v>
      </c>
      <c r="J54" s="27">
        <v>1</v>
      </c>
      <c r="K54" s="27">
        <v>1</v>
      </c>
      <c r="L54" s="27">
        <v>1</v>
      </c>
      <c r="M54" s="27">
        <v>1</v>
      </c>
      <c r="N54" s="28" t="s">
        <v>113</v>
      </c>
      <c r="R54" t="s">
        <v>109</v>
      </c>
    </row>
    <row r="55" spans="2:39" x14ac:dyDescent="0.3">
      <c r="B55" t="s">
        <v>82</v>
      </c>
      <c r="C55" t="s">
        <v>14</v>
      </c>
      <c r="D55">
        <v>2015</v>
      </c>
      <c r="E55" s="27">
        <f t="shared" ref="E55:M55" si="30">0.5%*AE$57</f>
        <v>0.45871047281419153</v>
      </c>
      <c r="F55" s="27">
        <f t="shared" si="30"/>
        <v>9.305401123165892E-2</v>
      </c>
      <c r="G55" s="27">
        <f t="shared" si="30"/>
        <v>1.0717349075776614</v>
      </c>
      <c r="H55" s="27">
        <f t="shared" si="30"/>
        <v>1.2829335910752835</v>
      </c>
      <c r="I55" s="27">
        <f t="shared" si="30"/>
        <v>0.12962656524925614</v>
      </c>
      <c r="J55" s="27">
        <f t="shared" si="30"/>
        <v>0.26692489435360428</v>
      </c>
      <c r="K55" s="27">
        <f t="shared" si="30"/>
        <v>1.8418519582191335</v>
      </c>
      <c r="L55" s="27">
        <f t="shared" si="30"/>
        <v>0.49286657925060767</v>
      </c>
      <c r="M55" s="27">
        <f t="shared" si="30"/>
        <v>7.4999999999999997E-2</v>
      </c>
      <c r="N55" s="28" t="s">
        <v>115</v>
      </c>
      <c r="X55" t="s">
        <v>116</v>
      </c>
    </row>
    <row r="56" spans="2:39" x14ac:dyDescent="0.3">
      <c r="B56" t="s">
        <v>82</v>
      </c>
      <c r="C56" t="s">
        <v>14</v>
      </c>
      <c r="D56">
        <v>2020</v>
      </c>
      <c r="E56" s="27">
        <f t="shared" ref="E56:M56" si="31">1%*AE$57</f>
        <v>0.91742094562838306</v>
      </c>
      <c r="F56" s="27">
        <f t="shared" si="31"/>
        <v>0.18610802246331784</v>
      </c>
      <c r="G56" s="27">
        <f t="shared" si="31"/>
        <v>2.1434698151553229</v>
      </c>
      <c r="H56" s="27">
        <f t="shared" si="31"/>
        <v>2.565867182150567</v>
      </c>
      <c r="I56" s="27">
        <f t="shared" si="31"/>
        <v>0.25925313049851229</v>
      </c>
      <c r="J56" s="27">
        <f t="shared" si="31"/>
        <v>0.53384978870720856</v>
      </c>
      <c r="K56" s="27">
        <f t="shared" si="31"/>
        <v>3.683703916438267</v>
      </c>
      <c r="L56" s="27">
        <f t="shared" si="31"/>
        <v>0.98573315850121535</v>
      </c>
      <c r="M56" s="27">
        <f t="shared" si="31"/>
        <v>0.15</v>
      </c>
      <c r="N56" s="28" t="s">
        <v>115</v>
      </c>
      <c r="R56" t="s">
        <v>124</v>
      </c>
      <c r="Z56" t="s">
        <v>86</v>
      </c>
      <c r="AA56" t="s">
        <v>117</v>
      </c>
      <c r="AB56" t="s">
        <v>118</v>
      </c>
      <c r="AC56" t="s">
        <v>80</v>
      </c>
      <c r="AD56" t="s">
        <v>119</v>
      </c>
      <c r="AE56" t="s">
        <v>8</v>
      </c>
      <c r="AF56" t="s">
        <v>9</v>
      </c>
      <c r="AG56" t="s">
        <v>6</v>
      </c>
      <c r="AH56" t="s">
        <v>7</v>
      </c>
      <c r="AI56" t="s">
        <v>10</v>
      </c>
      <c r="AJ56" t="s">
        <v>11</v>
      </c>
      <c r="AK56" t="s">
        <v>12</v>
      </c>
      <c r="AL56" t="s">
        <v>13</v>
      </c>
      <c r="AM56" t="s">
        <v>176</v>
      </c>
    </row>
    <row r="57" spans="2:39" x14ac:dyDescent="0.3">
      <c r="B57" t="s">
        <v>82</v>
      </c>
      <c r="C57" t="s">
        <v>14</v>
      </c>
      <c r="D57">
        <v>2025</v>
      </c>
      <c r="E57" s="27">
        <f t="shared" ref="E57:M58" si="32">AVERAGE($D78:$L78)*AE$57</f>
        <v>12.155827529576074</v>
      </c>
      <c r="F57" s="27">
        <f t="shared" si="32"/>
        <v>2.4659312976389609</v>
      </c>
      <c r="G57" s="27">
        <f t="shared" si="32"/>
        <v>28.400975050808025</v>
      </c>
      <c r="H57" s="27">
        <f t="shared" si="32"/>
        <v>33.997740163495003</v>
      </c>
      <c r="I57" s="27">
        <f t="shared" si="32"/>
        <v>3.4351039791052873</v>
      </c>
      <c r="J57" s="27">
        <f t="shared" si="32"/>
        <v>7.0735097003705114</v>
      </c>
      <c r="K57" s="27">
        <f t="shared" si="32"/>
        <v>48.809076892807028</v>
      </c>
      <c r="L57" s="27">
        <f t="shared" si="32"/>
        <v>13.0609643501411</v>
      </c>
      <c r="M57" s="27">
        <f>AVERAGE($D78:$L78)*AM$57</f>
        <v>1.9874999999999996</v>
      </c>
      <c r="N57" s="28" t="s">
        <v>115</v>
      </c>
      <c r="R57" t="s">
        <v>124</v>
      </c>
      <c r="Z57" t="s">
        <v>120</v>
      </c>
      <c r="AA57" t="s">
        <v>121</v>
      </c>
      <c r="AB57" t="s">
        <v>121</v>
      </c>
      <c r="AC57" t="s">
        <v>122</v>
      </c>
      <c r="AD57" s="30" t="s">
        <v>123</v>
      </c>
      <c r="AE57">
        <v>91.742094562838304</v>
      </c>
      <c r="AF57">
        <v>18.610802246331783</v>
      </c>
      <c r="AG57">
        <v>214.34698151553229</v>
      </c>
      <c r="AH57">
        <v>256.58671821505669</v>
      </c>
      <c r="AI57">
        <v>25.92531304985123</v>
      </c>
      <c r="AJ57">
        <v>53.38497887072085</v>
      </c>
      <c r="AK57">
        <v>368.37039164382668</v>
      </c>
      <c r="AL57">
        <v>98.573315850121531</v>
      </c>
      <c r="AM57">
        <v>15</v>
      </c>
    </row>
    <row r="58" spans="2:39" x14ac:dyDescent="0.3">
      <c r="B58" t="s">
        <v>82</v>
      </c>
      <c r="C58" t="s">
        <v>14</v>
      </c>
      <c r="D58">
        <v>2030</v>
      </c>
      <c r="E58" s="27">
        <f t="shared" si="32"/>
        <v>27.027565381423461</v>
      </c>
      <c r="F58" s="27">
        <f t="shared" si="32"/>
        <v>5.4828121911795273</v>
      </c>
      <c r="G58" s="27">
        <f t="shared" si="32"/>
        <v>63.147425234048235</v>
      </c>
      <c r="H58" s="27">
        <f t="shared" si="32"/>
        <v>75.591410198426274</v>
      </c>
      <c r="I58" s="27">
        <f t="shared" si="32"/>
        <v>7.6376945264617344</v>
      </c>
      <c r="J58" s="27">
        <f t="shared" si="32"/>
        <v>15.727415137944487</v>
      </c>
      <c r="K58" s="27">
        <f t="shared" si="32"/>
        <v>108.52329993310401</v>
      </c>
      <c r="L58" s="27">
        <f t="shared" si="32"/>
        <v>29.040068811357216</v>
      </c>
      <c r="M58" s="27">
        <f t="shared" si="32"/>
        <v>4.4190562974738485</v>
      </c>
      <c r="N58" s="28" t="s">
        <v>115</v>
      </c>
      <c r="R58" t="s">
        <v>124</v>
      </c>
    </row>
    <row r="59" spans="2:39" x14ac:dyDescent="0.3">
      <c r="B59" t="s">
        <v>82</v>
      </c>
      <c r="C59" t="s">
        <v>14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s="28" t="s">
        <v>115</v>
      </c>
      <c r="R59" t="s">
        <v>124</v>
      </c>
    </row>
    <row r="60" spans="2:39" x14ac:dyDescent="0.3">
      <c r="R60" t="s">
        <v>124</v>
      </c>
    </row>
    <row r="61" spans="2:39" x14ac:dyDescent="0.3"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8"/>
    </row>
    <row r="62" spans="2:39" x14ac:dyDescent="0.3"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8"/>
    </row>
    <row r="63" spans="2:39" x14ac:dyDescent="0.3"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8"/>
    </row>
    <row r="64" spans="2:39" x14ac:dyDescent="0.3"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8"/>
    </row>
    <row r="65" spans="2:37" x14ac:dyDescent="0.3"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8"/>
    </row>
    <row r="66" spans="2:37" x14ac:dyDescent="0.3"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8"/>
    </row>
    <row r="67" spans="2:37" x14ac:dyDescent="0.3"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8"/>
    </row>
    <row r="68" spans="2:37" x14ac:dyDescent="0.3"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8"/>
    </row>
    <row r="69" spans="2:37" x14ac:dyDescent="0.3"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8"/>
    </row>
    <row r="70" spans="2:37" x14ac:dyDescent="0.3"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8"/>
    </row>
    <row r="71" spans="2:37" x14ac:dyDescent="0.3"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8"/>
    </row>
    <row r="72" spans="2:37" x14ac:dyDescent="0.3"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8"/>
    </row>
    <row r="73" spans="2:37" x14ac:dyDescent="0.3"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8"/>
    </row>
    <row r="76" spans="2:37" ht="14.4" customHeight="1" x14ac:dyDescent="0.3">
      <c r="B76" t="s">
        <v>51</v>
      </c>
      <c r="I76" s="17"/>
      <c r="J76" s="17"/>
      <c r="K76" s="17"/>
      <c r="L76" s="17"/>
      <c r="M76" s="17"/>
      <c r="Z76" s="76" t="s">
        <v>163</v>
      </c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</row>
    <row r="77" spans="2:37" ht="14.4" customHeight="1" x14ac:dyDescent="0.3">
      <c r="D77" s="8" t="s">
        <v>8</v>
      </c>
      <c r="E77" s="8" t="s">
        <v>9</v>
      </c>
      <c r="F77" s="8" t="s">
        <v>6</v>
      </c>
      <c r="G77" s="8" t="s">
        <v>7</v>
      </c>
      <c r="H77" s="8" t="s">
        <v>10</v>
      </c>
      <c r="I77" s="8" t="s">
        <v>11</v>
      </c>
      <c r="J77" s="8" t="s">
        <v>12</v>
      </c>
      <c r="K77" s="8" t="s">
        <v>13</v>
      </c>
      <c r="L77" s="8"/>
      <c r="M77" s="8" t="s">
        <v>176</v>
      </c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</row>
    <row r="78" spans="2:37" x14ac:dyDescent="0.3">
      <c r="B78" t="s">
        <v>46</v>
      </c>
      <c r="C78">
        <v>2020</v>
      </c>
      <c r="D78" s="16">
        <v>0.45</v>
      </c>
      <c r="E78" s="16">
        <v>0.45</v>
      </c>
      <c r="F78" s="16">
        <v>0.03</v>
      </c>
      <c r="G78" s="16">
        <v>0.03</v>
      </c>
      <c r="H78" s="16">
        <v>2.5000000000000001E-2</v>
      </c>
      <c r="I78" s="16">
        <v>2.5000000000000001E-2</v>
      </c>
      <c r="J78" s="16">
        <v>2.5000000000000001E-2</v>
      </c>
      <c r="K78" s="16">
        <v>2.5000000000000001E-2</v>
      </c>
      <c r="L78" s="16"/>
      <c r="M78" s="16">
        <v>0.03</v>
      </c>
      <c r="N78" s="16">
        <f>E78+E82+E86+E90+E94+E98</f>
        <v>1.02</v>
      </c>
      <c r="O78" s="16">
        <f t="shared" ref="O78:T81" si="33">E78+E82+E86+E90+E94+E98</f>
        <v>1.02</v>
      </c>
      <c r="P78" s="16">
        <f t="shared" si="33"/>
        <v>1.0455577878819922</v>
      </c>
      <c r="Q78" s="16">
        <f t="shared" si="33"/>
        <v>1.0455577878819922</v>
      </c>
      <c r="R78" s="16">
        <f t="shared" si="33"/>
        <v>1.0113769289317993</v>
      </c>
      <c r="S78" s="16">
        <f t="shared" si="33"/>
        <v>1.0113769289317993</v>
      </c>
      <c r="T78" s="16">
        <f t="shared" si="33"/>
        <v>1.0113769289317993</v>
      </c>
      <c r="U78" s="16">
        <f>L78+L82+L86+L90+L94+L98</f>
        <v>0</v>
      </c>
      <c r="V78" s="16">
        <f>M78+M82+M86+M90+M94+M98</f>
        <v>1.0960572926835177</v>
      </c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</row>
    <row r="79" spans="2:37" x14ac:dyDescent="0.3">
      <c r="B79" t="s">
        <v>46</v>
      </c>
      <c r="C79">
        <v>2025</v>
      </c>
      <c r="D79" s="16">
        <v>0.6</v>
      </c>
      <c r="E79" s="16">
        <v>0.6</v>
      </c>
      <c r="F79" s="16">
        <v>0.1928050042198976</v>
      </c>
      <c r="G79" s="16">
        <v>0.1928050042198976</v>
      </c>
      <c r="H79" s="16">
        <f>G79</f>
        <v>0.1928050042198976</v>
      </c>
      <c r="I79" s="16">
        <f t="shared" ref="H79:J80" si="34">H79</f>
        <v>0.1928050042198976</v>
      </c>
      <c r="J79" s="16">
        <f t="shared" si="34"/>
        <v>0.1928050042198976</v>
      </c>
      <c r="K79" s="16">
        <f>I79</f>
        <v>0.1928050042198976</v>
      </c>
      <c r="L79" s="16"/>
      <c r="M79" s="16">
        <f>F79/2+E79/2</f>
        <v>0.39640250210994876</v>
      </c>
      <c r="N79" s="16">
        <f>E79+E83+E87+E91+E95+E99</f>
        <v>1.3</v>
      </c>
      <c r="O79" s="16">
        <f t="shared" si="33"/>
        <v>1.3</v>
      </c>
      <c r="P79" s="16">
        <f t="shared" si="33"/>
        <v>1.3000014707629086</v>
      </c>
      <c r="Q79" s="16">
        <f t="shared" si="33"/>
        <v>1.3000014707629086</v>
      </c>
      <c r="R79" s="16">
        <f t="shared" si="33"/>
        <v>1.2858050042198976</v>
      </c>
      <c r="S79" s="16">
        <f t="shared" si="33"/>
        <v>1.2858050042198976</v>
      </c>
      <c r="T79" s="16">
        <f t="shared" si="33"/>
        <v>1.2858050042198976</v>
      </c>
      <c r="U79" s="16">
        <f>L79+L83+L87+L91+L95+L99</f>
        <v>0</v>
      </c>
      <c r="V79" s="16">
        <f>M79+M83+M87+M91+M95+M99</f>
        <v>1.5694691046817193</v>
      </c>
      <c r="Z79" s="52" t="s">
        <v>164</v>
      </c>
      <c r="AA79" s="53" t="s">
        <v>165</v>
      </c>
      <c r="AB79" s="54">
        <v>2010</v>
      </c>
      <c r="AC79" s="54">
        <v>2012</v>
      </c>
      <c r="AD79" s="54">
        <v>2015</v>
      </c>
      <c r="AE79" s="54">
        <v>2020</v>
      </c>
      <c r="AF79" s="54">
        <v>2025</v>
      </c>
      <c r="AG79" s="54">
        <v>2030</v>
      </c>
      <c r="AH79" s="54">
        <v>2035</v>
      </c>
      <c r="AI79" s="54">
        <v>2040</v>
      </c>
      <c r="AJ79" s="54">
        <v>2045</v>
      </c>
      <c r="AK79" s="53">
        <v>2050</v>
      </c>
    </row>
    <row r="80" spans="2:37" x14ac:dyDescent="0.3">
      <c r="B80" t="s">
        <v>46</v>
      </c>
      <c r="C80">
        <v>2030</v>
      </c>
      <c r="D80" s="16">
        <v>0.8</v>
      </c>
      <c r="E80" s="16">
        <v>0.8</v>
      </c>
      <c r="F80" s="16">
        <v>0.46488656481230928</v>
      </c>
      <c r="G80" s="16">
        <v>0.46488656481230928</v>
      </c>
      <c r="H80" s="16">
        <f t="shared" si="34"/>
        <v>0.46488656481230928</v>
      </c>
      <c r="I80" s="16">
        <f t="shared" si="34"/>
        <v>0.46488656481230928</v>
      </c>
      <c r="J80" s="16">
        <f t="shared" si="34"/>
        <v>0.46488656481230928</v>
      </c>
      <c r="K80" s="16">
        <f>I80</f>
        <v>0.46488656481230928</v>
      </c>
      <c r="L80" s="16"/>
      <c r="M80" s="16">
        <f>F80/2+E80/2</f>
        <v>0.63244328240615466</v>
      </c>
      <c r="N80" s="16">
        <f>E80+E84+E88+E92+E96+E100</f>
        <v>2.1500000000000004</v>
      </c>
      <c r="O80" s="16">
        <f t="shared" si="33"/>
        <v>2.1500000000000004</v>
      </c>
      <c r="P80" s="16">
        <f t="shared" si="33"/>
        <v>1.7000000000000004</v>
      </c>
      <c r="Q80" s="16">
        <f t="shared" si="33"/>
        <v>1.7000000000000004</v>
      </c>
      <c r="R80" s="16">
        <f t="shared" si="33"/>
        <v>3.0289990011163477</v>
      </c>
      <c r="S80" s="16">
        <f t="shared" si="33"/>
        <v>3.0289990011163477</v>
      </c>
      <c r="T80" s="16">
        <f t="shared" si="33"/>
        <v>3.0289990011163477</v>
      </c>
      <c r="U80" s="16">
        <f>L80+L84+L88+L92+L96+L100</f>
        <v>0</v>
      </c>
      <c r="V80" s="16">
        <f>M80+M84+M88+M92+M96+M100</f>
        <v>2.7965567175938455</v>
      </c>
      <c r="Z80" s="55" t="s">
        <v>166</v>
      </c>
      <c r="AA80" s="56"/>
      <c r="AB80" s="57"/>
      <c r="AC80" s="57"/>
      <c r="AD80" s="57"/>
      <c r="AE80" s="57"/>
      <c r="AF80" s="57"/>
      <c r="AG80" s="57"/>
      <c r="AH80" s="57"/>
      <c r="AI80" s="57"/>
      <c r="AJ80" s="57"/>
      <c r="AK80" s="58"/>
    </row>
    <row r="81" spans="2:37" ht="14.4" customHeight="1" x14ac:dyDescent="0.3">
      <c r="B81" t="s">
        <v>46</v>
      </c>
      <c r="C81">
        <v>2035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/>
      <c r="M81" s="16">
        <v>1</v>
      </c>
      <c r="N81" s="16">
        <f>E81+E85+E89+E93+E97+E101</f>
        <v>6</v>
      </c>
      <c r="O81" s="16">
        <f t="shared" si="33"/>
        <v>6</v>
      </c>
      <c r="P81" s="16">
        <f t="shared" si="33"/>
        <v>6</v>
      </c>
      <c r="Q81" s="16">
        <f t="shared" si="33"/>
        <v>6</v>
      </c>
      <c r="R81" s="16">
        <f t="shared" si="33"/>
        <v>6</v>
      </c>
      <c r="S81" s="16">
        <f t="shared" si="33"/>
        <v>6</v>
      </c>
      <c r="T81" s="16">
        <f t="shared" si="33"/>
        <v>6</v>
      </c>
      <c r="U81" s="16">
        <f>L81+L85+L89+L93+L97+L101</f>
        <v>0</v>
      </c>
      <c r="V81" s="16">
        <f>M81+M85+M89+M93+M97+M101</f>
        <v>6</v>
      </c>
      <c r="Z81" s="77" t="s">
        <v>10</v>
      </c>
      <c r="AA81" s="59" t="s">
        <v>167</v>
      </c>
      <c r="AB81" s="60">
        <v>126.617</v>
      </c>
      <c r="AC81" s="60">
        <v>106.63200000000001</v>
      </c>
      <c r="AD81" s="60">
        <v>95.19</v>
      </c>
      <c r="AE81" s="60">
        <v>64.483999999999995</v>
      </c>
      <c r="AF81" s="60">
        <v>35.892000000000003</v>
      </c>
      <c r="AG81" s="60">
        <v>15.226000000000001</v>
      </c>
      <c r="AH81" s="60">
        <v>4.367</v>
      </c>
      <c r="AI81" s="60">
        <v>0.73099999999999998</v>
      </c>
      <c r="AJ81" s="60">
        <v>6.0999999999999999E-2</v>
      </c>
      <c r="AK81" s="61">
        <v>2E-3</v>
      </c>
    </row>
    <row r="82" spans="2:37" x14ac:dyDescent="0.3">
      <c r="B82" t="s">
        <v>47</v>
      </c>
      <c r="C82">
        <v>2020</v>
      </c>
      <c r="D82" s="16">
        <v>0.15</v>
      </c>
      <c r="E82" s="16">
        <v>0.15</v>
      </c>
      <c r="F82" s="16">
        <v>0.04</v>
      </c>
      <c r="G82" s="16">
        <v>0.04</v>
      </c>
      <c r="H82" s="16">
        <v>3.5400000000000001E-2</v>
      </c>
      <c r="I82" s="16">
        <v>3.5400000000000001E-2</v>
      </c>
      <c r="J82" s="16">
        <v>3.5400000000000001E-2</v>
      </c>
      <c r="K82" s="16">
        <v>3.5400000000000001E-2</v>
      </c>
      <c r="L82" s="16"/>
      <c r="M82" s="16">
        <v>0.13</v>
      </c>
      <c r="P82" s="16"/>
      <c r="Z82" s="77"/>
      <c r="AA82" s="62" t="s">
        <v>50</v>
      </c>
      <c r="AB82" s="63">
        <v>22.071999999999999</v>
      </c>
      <c r="AC82" s="63">
        <v>36.383000000000003</v>
      </c>
      <c r="AD82" s="63">
        <v>41.295999999999999</v>
      </c>
      <c r="AE82" s="63">
        <v>27.974</v>
      </c>
      <c r="AF82" s="63">
        <v>15.571</v>
      </c>
      <c r="AG82" s="63">
        <v>6.6050000000000004</v>
      </c>
      <c r="AH82" s="63">
        <v>1.8939999999999999</v>
      </c>
      <c r="AI82" s="63">
        <v>0.317</v>
      </c>
      <c r="AJ82" s="63">
        <v>2.5999999999999999E-2</v>
      </c>
      <c r="AK82" s="64">
        <v>1E-3</v>
      </c>
    </row>
    <row r="83" spans="2:37" x14ac:dyDescent="0.3">
      <c r="B83" t="s">
        <v>47</v>
      </c>
      <c r="C83">
        <v>2025</v>
      </c>
      <c r="D83" s="16">
        <v>0.35</v>
      </c>
      <c r="E83" s="16">
        <v>0.35</v>
      </c>
      <c r="F83" s="16">
        <v>0.61506366104595334</v>
      </c>
      <c r="G83" s="16">
        <v>0.61506366104595334</v>
      </c>
      <c r="H83" s="16">
        <v>0.53500000000000003</v>
      </c>
      <c r="I83" s="16">
        <v>0.53500000000000003</v>
      </c>
      <c r="J83" s="16">
        <v>0.53500000000000003</v>
      </c>
      <c r="K83" s="16">
        <v>0.53500000000000003</v>
      </c>
      <c r="L83" s="16"/>
      <c r="M83" s="16">
        <v>0.61506366104595334</v>
      </c>
      <c r="Z83" s="77"/>
      <c r="AA83" s="62" t="s">
        <v>168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3">
        <v>0</v>
      </c>
      <c r="AI83" s="63">
        <v>0</v>
      </c>
      <c r="AJ83" s="63">
        <v>0</v>
      </c>
      <c r="AK83" s="64">
        <v>0</v>
      </c>
    </row>
    <row r="84" spans="2:37" x14ac:dyDescent="0.3">
      <c r="B84" t="s">
        <v>47</v>
      </c>
      <c r="C84">
        <v>2030</v>
      </c>
      <c r="D84" s="16">
        <v>0.5</v>
      </c>
      <c r="E84" s="16">
        <v>0.5</v>
      </c>
      <c r="F84" s="16">
        <v>0.73511243630403855</v>
      </c>
      <c r="G84" s="16">
        <v>0.73511243630403855</v>
      </c>
      <c r="H84" s="16">
        <f>G84</f>
        <v>0.73511243630403855</v>
      </c>
      <c r="I84" s="16">
        <f t="shared" ref="I84:J84" si="35">H84</f>
        <v>0.73511243630403855</v>
      </c>
      <c r="J84" s="16">
        <f t="shared" si="35"/>
        <v>0.73511243630403855</v>
      </c>
      <c r="K84" s="16">
        <f>I84</f>
        <v>0.73511243630403855</v>
      </c>
      <c r="L84" s="16"/>
      <c r="M84" s="16">
        <v>0.73511243630403855</v>
      </c>
      <c r="Z84" s="77"/>
      <c r="AA84" s="62"/>
      <c r="AB84" s="63"/>
      <c r="AC84" s="63"/>
      <c r="AD84" s="63"/>
      <c r="AE84" s="63"/>
      <c r="AF84" s="63"/>
      <c r="AG84" s="63"/>
      <c r="AH84" s="63"/>
      <c r="AI84" s="63"/>
      <c r="AJ84" s="63"/>
      <c r="AK84" s="64"/>
    </row>
    <row r="85" spans="2:37" x14ac:dyDescent="0.3">
      <c r="B85" t="s">
        <v>47</v>
      </c>
      <c r="C85">
        <v>2035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 s="16"/>
      <c r="M85" s="16">
        <v>1</v>
      </c>
      <c r="Z85" s="77"/>
      <c r="AA85" s="62" t="s">
        <v>169</v>
      </c>
      <c r="AB85" s="63">
        <v>0.90900000000000003</v>
      </c>
      <c r="AC85" s="63">
        <v>1.272</v>
      </c>
      <c r="AD85" s="63">
        <v>1.3120000000000001</v>
      </c>
      <c r="AE85" s="63">
        <v>0.88900000000000001</v>
      </c>
      <c r="AF85" s="63">
        <v>0.495</v>
      </c>
      <c r="AG85" s="63">
        <v>0.21</v>
      </c>
      <c r="AH85" s="63">
        <v>0.06</v>
      </c>
      <c r="AI85" s="63">
        <v>0.01</v>
      </c>
      <c r="AJ85" s="63">
        <v>1E-3</v>
      </c>
      <c r="AK85" s="64">
        <v>0</v>
      </c>
    </row>
    <row r="86" spans="2:37" x14ac:dyDescent="0.3">
      <c r="B86" t="s">
        <v>48</v>
      </c>
      <c r="C86">
        <v>2020</v>
      </c>
      <c r="D86" s="16">
        <v>0.01</v>
      </c>
      <c r="E86" s="16">
        <v>0.01</v>
      </c>
      <c r="F86" s="16">
        <v>8.0363751718303886E-5</v>
      </c>
      <c r="G86" s="16">
        <v>8.0363751718303886E-5</v>
      </c>
      <c r="H86" s="16">
        <v>0.01</v>
      </c>
      <c r="I86" s="16">
        <v>0.01</v>
      </c>
      <c r="J86" s="16">
        <v>0.01</v>
      </c>
      <c r="K86" s="16">
        <v>0.01</v>
      </c>
      <c r="L86" s="16"/>
      <c r="M86" s="16">
        <v>8.0363751718303886E-5</v>
      </c>
      <c r="Z86" s="77"/>
      <c r="AA86" s="65" t="s">
        <v>170</v>
      </c>
      <c r="AB86" s="66">
        <v>7.0000000000000001E-3</v>
      </c>
      <c r="AC86" s="63">
        <v>1.056</v>
      </c>
      <c r="AD86" s="63">
        <v>1.5740000000000001</v>
      </c>
      <c r="AE86" s="63">
        <v>1.0660000000000001</v>
      </c>
      <c r="AF86" s="63">
        <v>0.59299999999999997</v>
      </c>
      <c r="AG86" s="63">
        <v>0.252</v>
      </c>
      <c r="AH86" s="63">
        <v>7.1999999999999995E-2</v>
      </c>
      <c r="AI86" s="63">
        <v>1.2E-2</v>
      </c>
      <c r="AJ86" s="63">
        <v>1E-3</v>
      </c>
      <c r="AK86" s="64">
        <v>0</v>
      </c>
    </row>
    <row r="87" spans="2:37" x14ac:dyDescent="0.3">
      <c r="B87" t="s">
        <v>48</v>
      </c>
      <c r="C87">
        <v>2025</v>
      </c>
      <c r="D87" s="16">
        <v>0.05</v>
      </c>
      <c r="E87" s="16">
        <v>0.05</v>
      </c>
      <c r="F87" s="16">
        <v>5.0001470762908638E-2</v>
      </c>
      <c r="G87" s="16">
        <v>5.0001470762908638E-2</v>
      </c>
      <c r="H87" s="16">
        <v>0.05</v>
      </c>
      <c r="I87" s="16">
        <v>0.05</v>
      </c>
      <c r="J87" s="16">
        <v>0.05</v>
      </c>
      <c r="K87" s="16">
        <v>0.05</v>
      </c>
      <c r="L87" s="16"/>
      <c r="M87" s="16">
        <v>5.0001470762908638E-2</v>
      </c>
      <c r="Z87" s="67"/>
      <c r="AA87" s="68" t="s">
        <v>171</v>
      </c>
      <c r="AB87" s="69">
        <v>8.1440000000000001</v>
      </c>
      <c r="AC87" s="69">
        <v>7.7919999999999998</v>
      </c>
      <c r="AD87" s="69">
        <v>8.0939999999999994</v>
      </c>
      <c r="AE87" s="69">
        <v>4.9139999999999997</v>
      </c>
      <c r="AF87" s="69">
        <v>2.7349999999999999</v>
      </c>
      <c r="AG87" s="69">
        <v>1.1599999999999999</v>
      </c>
      <c r="AH87" s="69">
        <v>0.33300000000000002</v>
      </c>
      <c r="AI87" s="69">
        <v>5.6000000000000001E-2</v>
      </c>
      <c r="AJ87" s="69">
        <v>5.0000000000000001E-3</v>
      </c>
      <c r="AK87" s="70">
        <v>0</v>
      </c>
    </row>
    <row r="88" spans="2:37" x14ac:dyDescent="0.3">
      <c r="B88" t="s">
        <v>48</v>
      </c>
      <c r="C88">
        <v>2030</v>
      </c>
      <c r="D88" s="16">
        <v>0.5</v>
      </c>
      <c r="E88" s="16">
        <v>0.5</v>
      </c>
      <c r="F88" s="16">
        <v>0.1000009988836523</v>
      </c>
      <c r="G88" s="16">
        <v>0.1000009988836523</v>
      </c>
      <c r="H88" s="16">
        <v>0.5</v>
      </c>
      <c r="I88" s="16">
        <v>0.5</v>
      </c>
      <c r="J88" s="16">
        <v>0.5</v>
      </c>
      <c r="K88" s="16">
        <v>0.5</v>
      </c>
      <c r="L88" s="16"/>
      <c r="M88" s="16">
        <v>0.1000009988836523</v>
      </c>
      <c r="Z88" s="71"/>
      <c r="AA88" s="62"/>
      <c r="AB88" s="63"/>
      <c r="AC88" s="63"/>
      <c r="AD88" s="63"/>
      <c r="AE88" s="63"/>
      <c r="AF88" s="63"/>
      <c r="AG88" s="63"/>
      <c r="AH88" s="63"/>
      <c r="AI88" s="63"/>
      <c r="AJ88" s="63"/>
      <c r="AK88" s="64"/>
    </row>
    <row r="89" spans="2:37" ht="14.4" customHeight="1" x14ac:dyDescent="0.3">
      <c r="B89" t="s">
        <v>48</v>
      </c>
      <c r="C89">
        <v>2035</v>
      </c>
      <c r="D89" s="16">
        <v>1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 s="16"/>
      <c r="M89" s="16">
        <v>1</v>
      </c>
      <c r="Z89" s="78" t="s">
        <v>11</v>
      </c>
      <c r="AA89" s="59" t="s">
        <v>167</v>
      </c>
      <c r="AB89" s="60">
        <v>301.779</v>
      </c>
      <c r="AC89" s="60">
        <v>252.09700000000001</v>
      </c>
      <c r="AD89" s="60">
        <v>225.60900000000001</v>
      </c>
      <c r="AE89" s="60">
        <v>152.83199999999999</v>
      </c>
      <c r="AF89" s="60">
        <v>85.067999999999998</v>
      </c>
      <c r="AG89" s="60">
        <v>36.087000000000003</v>
      </c>
      <c r="AH89" s="60">
        <v>10.349</v>
      </c>
      <c r="AI89" s="60">
        <v>1.734</v>
      </c>
      <c r="AJ89" s="60">
        <v>0.14399999999999999</v>
      </c>
      <c r="AK89" s="61">
        <v>5.0000000000000001E-3</v>
      </c>
    </row>
    <row r="90" spans="2:37" x14ac:dyDescent="0.3">
      <c r="B90" t="s">
        <v>52</v>
      </c>
      <c r="C90">
        <v>2020</v>
      </c>
      <c r="D90" s="16">
        <v>0.01</v>
      </c>
      <c r="E90" s="16">
        <v>0.01</v>
      </c>
      <c r="F90" s="16">
        <v>0</v>
      </c>
      <c r="G90" s="16">
        <v>0</v>
      </c>
      <c r="H90" s="16">
        <v>5.0000000000000001E-3</v>
      </c>
      <c r="I90" s="16">
        <v>5.0000000000000001E-3</v>
      </c>
      <c r="J90" s="16">
        <v>5.0000000000000001E-3</v>
      </c>
      <c r="K90" s="16">
        <v>5.0000000000000001E-3</v>
      </c>
      <c r="L90" s="16"/>
      <c r="M90" s="16">
        <v>0</v>
      </c>
      <c r="Z90" s="77"/>
      <c r="AA90" s="62" t="s">
        <v>50</v>
      </c>
      <c r="AB90" s="63">
        <v>52.606000000000002</v>
      </c>
      <c r="AC90" s="63">
        <v>86.016000000000005</v>
      </c>
      <c r="AD90" s="63">
        <v>97.873999999999995</v>
      </c>
      <c r="AE90" s="63">
        <v>66.302000000000007</v>
      </c>
      <c r="AF90" s="63">
        <v>36.904000000000003</v>
      </c>
      <c r="AG90" s="63">
        <v>15.654999999999999</v>
      </c>
      <c r="AH90" s="63">
        <v>4.49</v>
      </c>
      <c r="AI90" s="63">
        <v>0.752</v>
      </c>
      <c r="AJ90" s="63">
        <v>6.3E-2</v>
      </c>
      <c r="AK90" s="64">
        <v>2E-3</v>
      </c>
    </row>
    <row r="91" spans="2:37" x14ac:dyDescent="0.3">
      <c r="B91" t="s">
        <v>52</v>
      </c>
      <c r="C91">
        <v>2025</v>
      </c>
      <c r="D91" s="16">
        <v>0.05</v>
      </c>
      <c r="E91" s="16">
        <v>0.05</v>
      </c>
      <c r="F91" s="16">
        <v>5.0001470762908638E-2</v>
      </c>
      <c r="G91" s="16">
        <v>5.0001470762908638E-2</v>
      </c>
      <c r="H91" s="16">
        <v>0.05</v>
      </c>
      <c r="I91" s="16">
        <v>0.05</v>
      </c>
      <c r="J91" s="16">
        <v>0.05</v>
      </c>
      <c r="K91" s="16">
        <v>0.05</v>
      </c>
      <c r="L91" s="16"/>
      <c r="M91" s="16">
        <v>5.0001470762908638E-2</v>
      </c>
      <c r="Z91" s="77"/>
      <c r="AA91" s="62" t="s">
        <v>168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3">
        <v>0</v>
      </c>
      <c r="AI91" s="63">
        <v>0</v>
      </c>
      <c r="AJ91" s="63">
        <v>0</v>
      </c>
      <c r="AK91" s="64">
        <v>0</v>
      </c>
    </row>
    <row r="92" spans="2:37" x14ac:dyDescent="0.3">
      <c r="B92" t="s">
        <v>52</v>
      </c>
      <c r="C92">
        <v>2030</v>
      </c>
      <c r="D92" s="16">
        <v>0.1</v>
      </c>
      <c r="E92" s="16">
        <v>0.1</v>
      </c>
      <c r="F92" s="16">
        <v>0.2</v>
      </c>
      <c r="G92" s="16">
        <v>0.2</v>
      </c>
      <c r="H92" s="16">
        <v>0.2</v>
      </c>
      <c r="I92" s="16">
        <v>0.2</v>
      </c>
      <c r="J92" s="16">
        <v>0.2</v>
      </c>
      <c r="K92" s="16">
        <v>0.2</v>
      </c>
      <c r="L92" s="16"/>
      <c r="M92" s="16">
        <v>0.2</v>
      </c>
      <c r="Z92" s="77"/>
      <c r="AA92" s="62"/>
      <c r="AB92" s="63"/>
      <c r="AC92" s="63"/>
      <c r="AD92" s="63"/>
      <c r="AE92" s="63"/>
      <c r="AF92" s="63"/>
      <c r="AG92" s="63"/>
      <c r="AH92" s="63"/>
      <c r="AI92" s="63"/>
      <c r="AJ92" s="63"/>
      <c r="AK92" s="64"/>
    </row>
    <row r="93" spans="2:37" x14ac:dyDescent="0.3">
      <c r="B93" t="s">
        <v>52</v>
      </c>
      <c r="C93">
        <v>2035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 s="16"/>
      <c r="M93" s="16">
        <v>1</v>
      </c>
      <c r="Z93" s="77"/>
      <c r="AA93" s="62" t="s">
        <v>169</v>
      </c>
      <c r="AB93" s="63">
        <v>2.1659999999999999</v>
      </c>
      <c r="AC93" s="63">
        <v>3.0059999999999998</v>
      </c>
      <c r="AD93" s="63">
        <v>3.109</v>
      </c>
      <c r="AE93" s="63">
        <v>2.1059999999999999</v>
      </c>
      <c r="AF93" s="63">
        <v>1.1719999999999999</v>
      </c>
      <c r="AG93" s="63">
        <v>0.497</v>
      </c>
      <c r="AH93" s="63">
        <v>0.14299999999999999</v>
      </c>
      <c r="AI93" s="63">
        <v>2.4E-2</v>
      </c>
      <c r="AJ93" s="63">
        <v>2E-3</v>
      </c>
      <c r="AK93" s="64">
        <v>0</v>
      </c>
    </row>
    <row r="94" spans="2:37" x14ac:dyDescent="0.3">
      <c r="B94" t="s">
        <v>50</v>
      </c>
      <c r="C94">
        <v>2020</v>
      </c>
      <c r="D94" s="16">
        <v>0.27500000000000002</v>
      </c>
      <c r="E94" s="16">
        <v>0.27500000000000002</v>
      </c>
      <c r="F94" s="16">
        <v>0.33485249021888536</v>
      </c>
      <c r="G94" s="16">
        <v>0.33485249021888536</v>
      </c>
      <c r="H94" s="16">
        <f>AF134/SUM(AF133:AF139)</f>
        <v>0.51653931120951735</v>
      </c>
      <c r="I94" s="16">
        <f>H94</f>
        <v>0.51653931120951735</v>
      </c>
      <c r="J94" s="16">
        <f>H94</f>
        <v>0.51653931120951735</v>
      </c>
      <c r="K94" s="16">
        <f>H94</f>
        <v>0.51653931120951735</v>
      </c>
      <c r="L94" s="16"/>
      <c r="M94" s="16">
        <f>H94</f>
        <v>0.51653931120951735</v>
      </c>
      <c r="N94" s="16"/>
      <c r="Z94" s="77"/>
      <c r="AA94" s="65" t="s">
        <v>170</v>
      </c>
      <c r="AB94" s="66">
        <v>1.6E-2</v>
      </c>
      <c r="AC94" s="63">
        <v>2.4969999999999999</v>
      </c>
      <c r="AD94" s="63">
        <v>3.7290000000000001</v>
      </c>
      <c r="AE94" s="63">
        <v>2.5259999999999998</v>
      </c>
      <c r="AF94" s="63">
        <v>1.4059999999999999</v>
      </c>
      <c r="AG94" s="63">
        <v>0.59699999999999998</v>
      </c>
      <c r="AH94" s="63">
        <v>0.17100000000000001</v>
      </c>
      <c r="AI94" s="63">
        <v>2.9000000000000001E-2</v>
      </c>
      <c r="AJ94" s="63">
        <v>2E-3</v>
      </c>
      <c r="AK94" s="64">
        <v>0</v>
      </c>
    </row>
    <row r="95" spans="2:37" x14ac:dyDescent="0.3">
      <c r="B95" t="s">
        <v>50</v>
      </c>
      <c r="C95">
        <v>2025</v>
      </c>
      <c r="D95" s="16">
        <v>0.15</v>
      </c>
      <c r="E95" s="16">
        <v>0.15</v>
      </c>
      <c r="F95" s="16">
        <v>5.1516648714528573E-2</v>
      </c>
      <c r="G95" s="16">
        <v>5.1516648714528573E-2</v>
      </c>
      <c r="H95" s="16">
        <v>0.25800000000000001</v>
      </c>
      <c r="I95" s="16">
        <v>0.25800000000000001</v>
      </c>
      <c r="J95" s="16">
        <v>0.25800000000000001</v>
      </c>
      <c r="K95" s="16">
        <v>0.25800000000000001</v>
      </c>
      <c r="L95" s="16"/>
      <c r="M95" s="16">
        <f>H95</f>
        <v>0.25800000000000001</v>
      </c>
      <c r="Z95" s="67"/>
      <c r="AA95" s="68" t="s">
        <v>171</v>
      </c>
      <c r="AB95" s="72">
        <v>19.41</v>
      </c>
      <c r="AC95" s="69">
        <v>18.420999999999999</v>
      </c>
      <c r="AD95" s="69">
        <v>17.190999999999999</v>
      </c>
      <c r="AE95" s="69">
        <v>11.646000000000001</v>
      </c>
      <c r="AF95" s="69">
        <v>6.4820000000000002</v>
      </c>
      <c r="AG95" s="69">
        <v>2.75</v>
      </c>
      <c r="AH95" s="69">
        <v>0.78900000000000003</v>
      </c>
      <c r="AI95" s="69">
        <v>0.13200000000000001</v>
      </c>
      <c r="AJ95" s="69">
        <v>1.0999999999999999E-2</v>
      </c>
      <c r="AK95" s="70">
        <v>0</v>
      </c>
    </row>
    <row r="96" spans="2:37" x14ac:dyDescent="0.3">
      <c r="B96" t="s">
        <v>50</v>
      </c>
      <c r="C96">
        <v>2030</v>
      </c>
      <c r="D96" s="16">
        <f>D95</f>
        <v>0.15</v>
      </c>
      <c r="E96" s="16">
        <f>E95</f>
        <v>0.15</v>
      </c>
      <c r="F96" s="16">
        <v>0.1</v>
      </c>
      <c r="G96" s="16">
        <v>0.1</v>
      </c>
      <c r="H96" s="16">
        <v>0.629</v>
      </c>
      <c r="I96" s="16">
        <v>0.629</v>
      </c>
      <c r="J96" s="16">
        <v>0.629</v>
      </c>
      <c r="K96" s="16">
        <v>0.629</v>
      </c>
      <c r="L96" s="16"/>
      <c r="M96" s="16">
        <f>H96</f>
        <v>0.629</v>
      </c>
      <c r="Z96" s="71"/>
      <c r="AA96" s="62"/>
      <c r="AB96" s="63"/>
      <c r="AC96" s="63"/>
      <c r="AD96" s="63"/>
      <c r="AE96" s="63"/>
      <c r="AF96" s="63"/>
      <c r="AG96" s="63"/>
      <c r="AH96" s="63"/>
      <c r="AI96" s="63"/>
      <c r="AJ96" s="63"/>
      <c r="AK96" s="64"/>
    </row>
    <row r="97" spans="2:37" ht="14.4" customHeight="1" x14ac:dyDescent="0.3">
      <c r="B97" t="s">
        <v>50</v>
      </c>
      <c r="C97">
        <v>2035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 s="16"/>
      <c r="M97" s="16">
        <v>1</v>
      </c>
      <c r="Z97" s="78" t="s">
        <v>12</v>
      </c>
      <c r="AA97" s="59" t="s">
        <v>167</v>
      </c>
      <c r="AB97" s="60">
        <v>2310.06</v>
      </c>
      <c r="AC97" s="60">
        <v>1951.8710000000001</v>
      </c>
      <c r="AD97" s="60">
        <v>1760.797</v>
      </c>
      <c r="AE97" s="60">
        <v>1192.798</v>
      </c>
      <c r="AF97" s="60">
        <v>663.92600000000004</v>
      </c>
      <c r="AG97" s="60">
        <v>281.64299999999997</v>
      </c>
      <c r="AH97" s="60">
        <v>80.77</v>
      </c>
      <c r="AI97" s="60">
        <v>13.53</v>
      </c>
      <c r="AJ97" s="60">
        <v>1.127</v>
      </c>
      <c r="AK97" s="61">
        <v>3.9E-2</v>
      </c>
    </row>
    <row r="98" spans="2:37" x14ac:dyDescent="0.3">
      <c r="B98" t="s">
        <v>49</v>
      </c>
      <c r="C98">
        <v>2020</v>
      </c>
      <c r="D98" s="16">
        <v>0.125</v>
      </c>
      <c r="E98" s="16">
        <v>0.125</v>
      </c>
      <c r="F98" s="16">
        <v>0.64062493391138842</v>
      </c>
      <c r="G98" s="16">
        <v>0.64062493391138842</v>
      </c>
      <c r="H98" s="16">
        <f>AF133/SUM(AF133:AF139)</f>
        <v>0.41943761772228205</v>
      </c>
      <c r="I98" s="16">
        <f>H98</f>
        <v>0.41943761772228205</v>
      </c>
      <c r="J98" s="16">
        <f>I98</f>
        <v>0.41943761772228205</v>
      </c>
      <c r="K98" s="16">
        <f>I98</f>
        <v>0.41943761772228205</v>
      </c>
      <c r="L98" s="16"/>
      <c r="M98" s="16">
        <f>H98</f>
        <v>0.41943761772228205</v>
      </c>
      <c r="Z98" s="77"/>
      <c r="AA98" s="62" t="s">
        <v>50</v>
      </c>
      <c r="AB98" s="63">
        <v>402.68700000000001</v>
      </c>
      <c r="AC98" s="63">
        <v>665.98299999999995</v>
      </c>
      <c r="AD98" s="63">
        <v>763.86900000000003</v>
      </c>
      <c r="AE98" s="63">
        <v>517.46</v>
      </c>
      <c r="AF98" s="63">
        <v>288.024</v>
      </c>
      <c r="AG98" s="63">
        <v>122.182</v>
      </c>
      <c r="AH98" s="63">
        <v>35.04</v>
      </c>
      <c r="AI98" s="63">
        <v>5.8689999999999998</v>
      </c>
      <c r="AJ98" s="63">
        <v>0.48899999999999999</v>
      </c>
      <c r="AK98" s="64">
        <v>1.7000000000000001E-2</v>
      </c>
    </row>
    <row r="99" spans="2:37" x14ac:dyDescent="0.3">
      <c r="B99" t="s">
        <v>49</v>
      </c>
      <c r="C99">
        <v>2025</v>
      </c>
      <c r="D99" s="16">
        <v>0.1</v>
      </c>
      <c r="E99" s="16">
        <v>0.1</v>
      </c>
      <c r="F99" s="16">
        <v>0.34061321525671195</v>
      </c>
      <c r="G99" s="16">
        <v>0.34061321525671195</v>
      </c>
      <c r="H99" s="16">
        <v>0.2</v>
      </c>
      <c r="I99" s="16">
        <v>0.2</v>
      </c>
      <c r="J99" s="16">
        <v>0.2</v>
      </c>
      <c r="K99" s="16">
        <v>0.2</v>
      </c>
      <c r="L99" s="16"/>
      <c r="M99" s="16">
        <f>H99</f>
        <v>0.2</v>
      </c>
      <c r="Z99" s="77"/>
      <c r="AA99" s="62" t="s">
        <v>168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  <c r="AH99" s="63">
        <v>0</v>
      </c>
      <c r="AI99" s="63">
        <v>0</v>
      </c>
      <c r="AJ99" s="63">
        <v>0</v>
      </c>
      <c r="AK99" s="64">
        <v>0</v>
      </c>
    </row>
    <row r="100" spans="2:37" x14ac:dyDescent="0.3">
      <c r="B100" t="s">
        <v>49</v>
      </c>
      <c r="C100">
        <v>2030</v>
      </c>
      <c r="D100" s="16">
        <f>D99</f>
        <v>0.1</v>
      </c>
      <c r="E100" s="16">
        <f>E99</f>
        <v>0.1</v>
      </c>
      <c r="F100" s="16">
        <v>0.1</v>
      </c>
      <c r="G100" s="16">
        <v>0.1</v>
      </c>
      <c r="H100" s="16">
        <v>0.5</v>
      </c>
      <c r="I100" s="16">
        <v>0.5</v>
      </c>
      <c r="J100" s="16">
        <v>0.5</v>
      </c>
      <c r="K100" s="16">
        <v>0.5</v>
      </c>
      <c r="L100" s="16"/>
      <c r="M100" s="16">
        <f>H100</f>
        <v>0.5</v>
      </c>
      <c r="Z100" s="77"/>
      <c r="AA100" s="62"/>
      <c r="AB100" s="63"/>
      <c r="AC100" s="63"/>
      <c r="AD100" s="63"/>
      <c r="AE100" s="63"/>
      <c r="AF100" s="63"/>
      <c r="AG100" s="63"/>
      <c r="AH100" s="63"/>
      <c r="AI100" s="63"/>
      <c r="AJ100" s="63"/>
      <c r="AK100" s="64"/>
    </row>
    <row r="101" spans="2:37" x14ac:dyDescent="0.3">
      <c r="B101" t="s">
        <v>49</v>
      </c>
      <c r="C101">
        <v>2035</v>
      </c>
      <c r="D101" s="16">
        <v>1</v>
      </c>
      <c r="E101" s="16">
        <v>1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16">
        <v>1</v>
      </c>
      <c r="L101" s="16"/>
      <c r="M101" s="16">
        <f>H101</f>
        <v>1</v>
      </c>
      <c r="Z101" s="77"/>
      <c r="AA101" s="62" t="s">
        <v>169</v>
      </c>
      <c r="AB101" s="63">
        <v>16.579000000000001</v>
      </c>
      <c r="AC101" s="63">
        <v>23.276</v>
      </c>
      <c r="AD101" s="63">
        <v>24.262</v>
      </c>
      <c r="AE101" s="63">
        <v>16.434999999999999</v>
      </c>
      <c r="AF101" s="63">
        <v>9.1479999999999997</v>
      </c>
      <c r="AG101" s="63">
        <v>3.8809999999999998</v>
      </c>
      <c r="AH101" s="63">
        <v>1.113</v>
      </c>
      <c r="AI101" s="63">
        <v>0.186</v>
      </c>
      <c r="AJ101" s="63">
        <v>1.6E-2</v>
      </c>
      <c r="AK101" s="64">
        <v>1E-3</v>
      </c>
    </row>
    <row r="102" spans="2:37" x14ac:dyDescent="0.3">
      <c r="B102" t="s">
        <v>53</v>
      </c>
      <c r="C102">
        <v>2020</v>
      </c>
      <c r="D102" s="16">
        <v>0.01</v>
      </c>
      <c r="E102" s="16">
        <v>0.01</v>
      </c>
      <c r="F102" s="16">
        <v>0.01</v>
      </c>
      <c r="G102" s="16">
        <v>0.01</v>
      </c>
      <c r="H102" s="16">
        <v>0.01</v>
      </c>
      <c r="I102" s="16">
        <v>0.01</v>
      </c>
      <c r="J102" s="16">
        <v>0.01</v>
      </c>
      <c r="K102" s="16">
        <v>0.01</v>
      </c>
      <c r="L102" s="16"/>
      <c r="M102" s="16">
        <v>0.01</v>
      </c>
      <c r="Z102" s="77"/>
      <c r="AA102" s="62" t="s">
        <v>170</v>
      </c>
      <c r="AB102" s="66">
        <v>0.126</v>
      </c>
      <c r="AC102" s="63">
        <v>19.332999999999998</v>
      </c>
      <c r="AD102" s="63">
        <v>29.106999999999999</v>
      </c>
      <c r="AE102" s="63">
        <v>19.716999999999999</v>
      </c>
      <c r="AF102" s="63">
        <v>10.975</v>
      </c>
      <c r="AG102" s="63">
        <v>4.6559999999999997</v>
      </c>
      <c r="AH102" s="63">
        <v>1.335</v>
      </c>
      <c r="AI102" s="63">
        <v>0.224</v>
      </c>
      <c r="AJ102" s="63">
        <v>1.9E-2</v>
      </c>
      <c r="AK102" s="64">
        <v>1E-3</v>
      </c>
    </row>
    <row r="103" spans="2:37" x14ac:dyDescent="0.3">
      <c r="B103" t="s">
        <v>53</v>
      </c>
      <c r="C103">
        <v>2025</v>
      </c>
      <c r="D103" s="16">
        <v>0.2</v>
      </c>
      <c r="E103" s="16">
        <v>0.2</v>
      </c>
      <c r="F103" s="16">
        <v>0.2</v>
      </c>
      <c r="G103" s="16">
        <v>0.2</v>
      </c>
      <c r="H103" s="16">
        <v>0.2</v>
      </c>
      <c r="I103" s="16">
        <v>0.2</v>
      </c>
      <c r="J103" s="16">
        <v>0.2</v>
      </c>
      <c r="K103" s="16">
        <v>0.2</v>
      </c>
      <c r="L103" s="16"/>
      <c r="M103" s="16">
        <v>0.2</v>
      </c>
      <c r="Z103" s="67"/>
      <c r="AA103" s="68" t="s">
        <v>171</v>
      </c>
      <c r="AB103" s="72">
        <v>148.58000000000001</v>
      </c>
      <c r="AC103" s="69">
        <v>142.62700000000001</v>
      </c>
      <c r="AD103" s="69">
        <v>134.16999999999999</v>
      </c>
      <c r="AE103" s="69">
        <v>90.89</v>
      </c>
      <c r="AF103" s="69">
        <v>50.59</v>
      </c>
      <c r="AG103" s="69">
        <v>21.460999999999999</v>
      </c>
      <c r="AH103" s="69">
        <v>6.1550000000000002</v>
      </c>
      <c r="AI103" s="69">
        <v>1.0309999999999999</v>
      </c>
      <c r="AJ103" s="69">
        <v>8.5999999999999993E-2</v>
      </c>
      <c r="AK103" s="70">
        <v>3.0000000000000001E-3</v>
      </c>
    </row>
    <row r="104" spans="2:37" x14ac:dyDescent="0.3">
      <c r="B104" t="s">
        <v>53</v>
      </c>
      <c r="C104">
        <v>2030</v>
      </c>
      <c r="D104" s="16">
        <v>0.5</v>
      </c>
      <c r="E104" s="16">
        <v>0.5</v>
      </c>
      <c r="F104" s="16">
        <v>0.5</v>
      </c>
      <c r="G104" s="16">
        <v>0.5</v>
      </c>
      <c r="H104" s="16">
        <v>0.5</v>
      </c>
      <c r="I104" s="16">
        <v>0.5</v>
      </c>
      <c r="J104" s="16">
        <v>0.5</v>
      </c>
      <c r="K104" s="16">
        <v>0.5</v>
      </c>
      <c r="L104" s="16"/>
      <c r="M104" s="16">
        <v>0.5</v>
      </c>
      <c r="Z104" s="71"/>
      <c r="AA104" s="62"/>
      <c r="AB104" s="63"/>
      <c r="AC104" s="63"/>
      <c r="AD104" s="63"/>
      <c r="AE104" s="63"/>
      <c r="AF104" s="63"/>
      <c r="AG104" s="63"/>
      <c r="AH104" s="63"/>
      <c r="AI104" s="63"/>
      <c r="AJ104" s="63"/>
      <c r="AK104" s="64"/>
    </row>
    <row r="105" spans="2:37" ht="14.4" customHeight="1" x14ac:dyDescent="0.3">
      <c r="B105" t="s">
        <v>53</v>
      </c>
      <c r="C105">
        <v>2035</v>
      </c>
      <c r="D105" s="16">
        <v>1</v>
      </c>
      <c r="E105" s="16">
        <v>1</v>
      </c>
      <c r="F105" s="16">
        <v>1</v>
      </c>
      <c r="G105" s="16">
        <v>1</v>
      </c>
      <c r="H105" s="16">
        <v>1</v>
      </c>
      <c r="I105" s="16">
        <v>1</v>
      </c>
      <c r="J105" s="16">
        <v>1</v>
      </c>
      <c r="K105" s="16">
        <v>1</v>
      </c>
      <c r="L105" s="16"/>
      <c r="M105" s="16">
        <v>1</v>
      </c>
      <c r="Z105" s="78" t="s">
        <v>13</v>
      </c>
      <c r="AA105" s="59" t="s">
        <v>167</v>
      </c>
      <c r="AB105" s="60">
        <v>740.995</v>
      </c>
      <c r="AC105" s="60">
        <v>623.47400000000005</v>
      </c>
      <c r="AD105" s="60">
        <v>559.71299999999997</v>
      </c>
      <c r="AE105" s="60">
        <v>379.16</v>
      </c>
      <c r="AF105" s="60">
        <v>211.04499999999999</v>
      </c>
      <c r="AG105" s="60">
        <v>89.527000000000001</v>
      </c>
      <c r="AH105" s="60">
        <v>25.675000000000001</v>
      </c>
      <c r="AI105" s="60">
        <v>4.3010000000000002</v>
      </c>
      <c r="AJ105" s="60">
        <v>0.35799999999999998</v>
      </c>
      <c r="AK105" s="61">
        <v>1.2E-2</v>
      </c>
    </row>
    <row r="106" spans="2:37" x14ac:dyDescent="0.3">
      <c r="B106" t="s">
        <v>93</v>
      </c>
      <c r="C106">
        <v>2020</v>
      </c>
      <c r="D106" s="16">
        <v>0.01</v>
      </c>
      <c r="E106" s="16">
        <v>0.01</v>
      </c>
      <c r="F106" s="16">
        <v>0.01</v>
      </c>
      <c r="G106" s="16">
        <v>0.01</v>
      </c>
      <c r="H106" s="16">
        <v>0.01</v>
      </c>
      <c r="I106" s="16">
        <v>0.01</v>
      </c>
      <c r="J106" s="16">
        <v>0.01</v>
      </c>
      <c r="K106" s="16">
        <v>0.01</v>
      </c>
      <c r="L106" s="16"/>
      <c r="M106" s="16">
        <v>0.01</v>
      </c>
      <c r="Z106" s="77"/>
      <c r="AA106" s="62" t="s">
        <v>50</v>
      </c>
      <c r="AB106" s="63">
        <v>129.16999999999999</v>
      </c>
      <c r="AC106" s="63">
        <v>212.73099999999999</v>
      </c>
      <c r="AD106" s="63">
        <v>242.81399999999999</v>
      </c>
      <c r="AE106" s="63">
        <v>164.48699999999999</v>
      </c>
      <c r="AF106" s="63">
        <v>91.555999999999997</v>
      </c>
      <c r="AG106" s="63">
        <v>38.838999999999999</v>
      </c>
      <c r="AH106" s="63">
        <v>11.138</v>
      </c>
      <c r="AI106" s="63">
        <v>1.8660000000000001</v>
      </c>
      <c r="AJ106" s="63">
        <v>0.155</v>
      </c>
      <c r="AK106" s="64">
        <v>5.0000000000000001E-3</v>
      </c>
    </row>
    <row r="107" spans="2:37" x14ac:dyDescent="0.3">
      <c r="B107" t="s">
        <v>93</v>
      </c>
      <c r="C107">
        <v>2025</v>
      </c>
      <c r="D107" s="16">
        <v>0.255</v>
      </c>
      <c r="E107" s="16">
        <v>0.255</v>
      </c>
      <c r="F107" s="16">
        <v>0.255</v>
      </c>
      <c r="G107" s="16">
        <v>0.255</v>
      </c>
      <c r="H107" s="16">
        <v>0.255</v>
      </c>
      <c r="I107" s="16">
        <v>0.255</v>
      </c>
      <c r="J107" s="16">
        <v>0.255</v>
      </c>
      <c r="K107" s="16">
        <v>0.255</v>
      </c>
      <c r="L107" s="16"/>
      <c r="M107" s="16">
        <v>0.255</v>
      </c>
      <c r="Z107" s="77"/>
      <c r="AA107" s="62" t="s">
        <v>168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  <c r="AH107" s="63">
        <v>0</v>
      </c>
      <c r="AI107" s="63">
        <v>0</v>
      </c>
      <c r="AJ107" s="63">
        <v>0</v>
      </c>
      <c r="AK107" s="64">
        <v>0</v>
      </c>
    </row>
    <row r="108" spans="2:37" x14ac:dyDescent="0.3">
      <c r="B108" t="s">
        <v>93</v>
      </c>
      <c r="C108">
        <v>2030</v>
      </c>
      <c r="D108" s="16">
        <v>0.5</v>
      </c>
      <c r="E108" s="16">
        <v>0.5</v>
      </c>
      <c r="F108" s="16">
        <v>0.5</v>
      </c>
      <c r="G108" s="16">
        <v>0.5</v>
      </c>
      <c r="H108" s="16">
        <v>0.5</v>
      </c>
      <c r="I108" s="16">
        <v>0.5</v>
      </c>
      <c r="J108" s="16">
        <v>0.5</v>
      </c>
      <c r="K108" s="16">
        <v>0.5</v>
      </c>
      <c r="L108" s="16"/>
      <c r="M108" s="16">
        <v>0.5</v>
      </c>
      <c r="Z108" s="77"/>
      <c r="AA108" s="62"/>
      <c r="AB108" s="63"/>
      <c r="AC108" s="63"/>
      <c r="AD108" s="63"/>
      <c r="AE108" s="63"/>
      <c r="AF108" s="63"/>
      <c r="AG108" s="63"/>
      <c r="AH108" s="63"/>
      <c r="AI108" s="63"/>
      <c r="AJ108" s="63"/>
      <c r="AK108" s="64"/>
    </row>
    <row r="109" spans="2:37" x14ac:dyDescent="0.3">
      <c r="B109" t="s">
        <v>93</v>
      </c>
      <c r="C109">
        <v>2035</v>
      </c>
      <c r="D109" s="16">
        <v>1</v>
      </c>
      <c r="E109" s="16">
        <v>1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16">
        <v>1</v>
      </c>
      <c r="L109" s="16"/>
      <c r="M109" s="16">
        <v>1</v>
      </c>
      <c r="Z109" s="77"/>
      <c r="AA109" s="62" t="s">
        <v>169</v>
      </c>
      <c r="AB109" s="63">
        <v>5.3179999999999996</v>
      </c>
      <c r="AC109" s="63">
        <v>7.4349999999999996</v>
      </c>
      <c r="AD109" s="63">
        <v>7.7119999999999997</v>
      </c>
      <c r="AE109" s="63">
        <v>5.2240000000000002</v>
      </c>
      <c r="AF109" s="63">
        <v>2.9079999999999999</v>
      </c>
      <c r="AG109" s="63">
        <v>1.234</v>
      </c>
      <c r="AH109" s="63">
        <v>0.35399999999999998</v>
      </c>
      <c r="AI109" s="63">
        <v>5.8999999999999997E-2</v>
      </c>
      <c r="AJ109" s="63">
        <v>5.0000000000000001E-3</v>
      </c>
      <c r="AK109" s="64">
        <v>0</v>
      </c>
    </row>
    <row r="110" spans="2:37" x14ac:dyDescent="0.3">
      <c r="B110" t="s">
        <v>54</v>
      </c>
      <c r="C110">
        <v>2015</v>
      </c>
      <c r="D110" s="16">
        <v>0.01</v>
      </c>
      <c r="E110" s="16">
        <v>0.01</v>
      </c>
      <c r="F110" s="16">
        <v>0.01</v>
      </c>
      <c r="G110" s="16">
        <v>0.01</v>
      </c>
      <c r="H110" s="16">
        <v>0.01</v>
      </c>
      <c r="I110" s="16">
        <v>0.01</v>
      </c>
      <c r="J110" s="16">
        <v>0.01</v>
      </c>
      <c r="K110" s="16">
        <v>0.01</v>
      </c>
      <c r="L110" s="16"/>
      <c r="M110" s="16">
        <v>0.01</v>
      </c>
      <c r="Z110" s="77"/>
      <c r="AA110" s="62" t="s">
        <v>170</v>
      </c>
      <c r="AB110" s="66">
        <v>0.04</v>
      </c>
      <c r="AC110" s="63">
        <v>6.1760000000000002</v>
      </c>
      <c r="AD110" s="63">
        <v>9.2520000000000007</v>
      </c>
      <c r="AE110" s="63">
        <v>6.2679999999999998</v>
      </c>
      <c r="AF110" s="63">
        <v>3.4889999999999999</v>
      </c>
      <c r="AG110" s="63">
        <v>1.48</v>
      </c>
      <c r="AH110" s="63">
        <v>0.42399999999999999</v>
      </c>
      <c r="AI110" s="63">
        <v>7.0999999999999994E-2</v>
      </c>
      <c r="AJ110" s="63">
        <v>6.0000000000000001E-3</v>
      </c>
      <c r="AK110" s="64">
        <v>0</v>
      </c>
    </row>
    <row r="111" spans="2:37" x14ac:dyDescent="0.3">
      <c r="B111" t="s">
        <v>54</v>
      </c>
      <c r="C111">
        <v>2020</v>
      </c>
      <c r="D111" s="16">
        <v>0.01</v>
      </c>
      <c r="E111" s="16">
        <v>0.01</v>
      </c>
      <c r="F111" s="16">
        <v>0.01</v>
      </c>
      <c r="G111" s="16">
        <v>0.01</v>
      </c>
      <c r="H111" s="16">
        <v>0.01</v>
      </c>
      <c r="I111" s="16">
        <v>0.01</v>
      </c>
      <c r="J111" s="16">
        <v>0.01</v>
      </c>
      <c r="K111" s="16">
        <v>0.01</v>
      </c>
      <c r="L111" s="16"/>
      <c r="M111" s="16">
        <v>0.01</v>
      </c>
      <c r="Z111" s="67"/>
      <c r="AA111" s="68" t="s">
        <v>171</v>
      </c>
      <c r="AB111" s="72">
        <v>47.66</v>
      </c>
      <c r="AC111" s="69">
        <v>45.558999999999997</v>
      </c>
      <c r="AD111" s="69">
        <v>42.649000000000001</v>
      </c>
      <c r="AE111" s="69">
        <v>28.891999999999999</v>
      </c>
      <c r="AF111" s="69">
        <v>16.081</v>
      </c>
      <c r="AG111" s="69">
        <v>6.8220000000000001</v>
      </c>
      <c r="AH111" s="69">
        <v>1.956</v>
      </c>
      <c r="AI111" s="69">
        <v>0.32800000000000001</v>
      </c>
      <c r="AJ111" s="69">
        <v>2.7E-2</v>
      </c>
      <c r="AK111" s="70">
        <v>1E-3</v>
      </c>
    </row>
    <row r="112" spans="2:37" x14ac:dyDescent="0.3">
      <c r="B112" t="s">
        <v>54</v>
      </c>
      <c r="C112">
        <v>2025</v>
      </c>
      <c r="D112" s="16">
        <v>0.03</v>
      </c>
      <c r="E112" s="16">
        <v>0.03</v>
      </c>
      <c r="F112" s="16">
        <v>0.03</v>
      </c>
      <c r="G112" s="16">
        <v>0.03</v>
      </c>
      <c r="H112" s="16">
        <v>0.03</v>
      </c>
      <c r="I112" s="16">
        <v>0.03</v>
      </c>
      <c r="J112" s="16">
        <v>0.03</v>
      </c>
      <c r="K112" s="16">
        <v>0.03</v>
      </c>
      <c r="L112" s="16"/>
      <c r="M112" s="16">
        <v>0.03</v>
      </c>
    </row>
    <row r="113" spans="2:37" x14ac:dyDescent="0.3">
      <c r="B113" t="s">
        <v>54</v>
      </c>
      <c r="C113">
        <v>2030</v>
      </c>
      <c r="D113" s="16">
        <v>0.2</v>
      </c>
      <c r="E113" s="16">
        <v>0.2</v>
      </c>
      <c r="F113" s="16">
        <v>0.2</v>
      </c>
      <c r="G113" s="16">
        <v>0.2</v>
      </c>
      <c r="H113" s="16">
        <v>0.2</v>
      </c>
      <c r="I113" s="16">
        <v>0.2</v>
      </c>
      <c r="J113" s="16">
        <v>0.2</v>
      </c>
      <c r="K113" s="16">
        <v>0.2</v>
      </c>
      <c r="L113" s="16"/>
      <c r="M113" s="16">
        <v>0.2</v>
      </c>
      <c r="AB113" s="54">
        <v>2010</v>
      </c>
      <c r="AC113" s="54">
        <v>2012</v>
      </c>
      <c r="AD113" s="54">
        <v>2015</v>
      </c>
      <c r="AE113" s="54">
        <v>2020</v>
      </c>
      <c r="AF113" s="54">
        <v>2025</v>
      </c>
      <c r="AG113" s="54">
        <v>2030</v>
      </c>
      <c r="AH113" s="54">
        <v>2035</v>
      </c>
      <c r="AI113" s="54">
        <v>2040</v>
      </c>
      <c r="AJ113" s="54">
        <v>2045</v>
      </c>
      <c r="AK113" s="53">
        <v>2050</v>
      </c>
    </row>
    <row r="114" spans="2:37" x14ac:dyDescent="0.3">
      <c r="B114" t="s">
        <v>54</v>
      </c>
      <c r="C114">
        <v>2035</v>
      </c>
      <c r="D114" s="16">
        <v>1</v>
      </c>
      <c r="E114" s="16">
        <v>1</v>
      </c>
      <c r="F114" s="16">
        <v>1</v>
      </c>
      <c r="G114" s="16">
        <v>1</v>
      </c>
      <c r="H114" s="16">
        <v>1</v>
      </c>
      <c r="I114" s="16">
        <v>1</v>
      </c>
      <c r="J114" s="16">
        <v>1</v>
      </c>
      <c r="K114" s="16">
        <v>1</v>
      </c>
      <c r="L114" s="16"/>
      <c r="M114" s="16">
        <v>1</v>
      </c>
      <c r="Z114" s="75" t="s">
        <v>162</v>
      </c>
      <c r="AA114" t="str">
        <f>AA105</f>
        <v>Petrol</v>
      </c>
      <c r="AB114" s="73">
        <f>AB81+AB89+AB97+AB105</f>
        <v>3479.451</v>
      </c>
      <c r="AC114" s="73">
        <f t="shared" ref="AC114:AK114" si="36">AC81+AC89+AC97+AC105</f>
        <v>2934.0740000000005</v>
      </c>
      <c r="AD114" s="73">
        <f t="shared" si="36"/>
        <v>2641.3090000000002</v>
      </c>
      <c r="AE114" s="73">
        <f t="shared" si="36"/>
        <v>1789.2740000000001</v>
      </c>
      <c r="AF114" s="73">
        <f t="shared" si="36"/>
        <v>995.93100000000004</v>
      </c>
      <c r="AG114" s="73">
        <f t="shared" si="36"/>
        <v>422.48299999999995</v>
      </c>
      <c r="AH114" s="73">
        <f t="shared" si="36"/>
        <v>121.16099999999999</v>
      </c>
      <c r="AI114" s="73">
        <f t="shared" si="36"/>
        <v>20.295999999999999</v>
      </c>
      <c r="AJ114" s="73">
        <f t="shared" si="36"/>
        <v>1.69</v>
      </c>
      <c r="AK114" s="73">
        <f t="shared" si="36"/>
        <v>5.7999999999999996E-2</v>
      </c>
    </row>
    <row r="115" spans="2:37" x14ac:dyDescent="0.3">
      <c r="Z115" s="75"/>
      <c r="AA115" t="str">
        <f>AA106</f>
        <v>Diesel</v>
      </c>
      <c r="AB115" s="73">
        <f>AB82+AB90+AB98+AB106</f>
        <v>606.53499999999997</v>
      </c>
      <c r="AC115" s="73">
        <f t="shared" ref="AC115:AK115" si="37">AC82+AC90+AC98+AC106</f>
        <v>1001.1129999999999</v>
      </c>
      <c r="AD115" s="73">
        <f t="shared" si="37"/>
        <v>1145.8530000000001</v>
      </c>
      <c r="AE115" s="73">
        <f t="shared" si="37"/>
        <v>776.22300000000007</v>
      </c>
      <c r="AF115" s="73">
        <f t="shared" si="37"/>
        <v>432.05500000000001</v>
      </c>
      <c r="AG115" s="73">
        <f t="shared" si="37"/>
        <v>183.28100000000001</v>
      </c>
      <c r="AH115" s="73">
        <f t="shared" si="37"/>
        <v>52.561999999999998</v>
      </c>
      <c r="AI115" s="73">
        <f t="shared" si="37"/>
        <v>8.8040000000000003</v>
      </c>
      <c r="AJ115" s="73">
        <f t="shared" si="37"/>
        <v>0.73299999999999998</v>
      </c>
      <c r="AK115" s="73">
        <f t="shared" si="37"/>
        <v>2.5000000000000001E-2</v>
      </c>
    </row>
    <row r="116" spans="2:37" x14ac:dyDescent="0.3">
      <c r="Z116" s="75"/>
      <c r="AA116" t="str">
        <f>AA107</f>
        <v>LPG</v>
      </c>
      <c r="AB116" s="73">
        <f>AB83+AB91+AB99+AB107</f>
        <v>0</v>
      </c>
      <c r="AC116" s="73">
        <f t="shared" ref="AC116:AK116" si="38">AC83+AC91+AC99+AC107</f>
        <v>0</v>
      </c>
      <c r="AD116" s="73">
        <f t="shared" si="38"/>
        <v>0</v>
      </c>
      <c r="AE116" s="73">
        <f t="shared" si="38"/>
        <v>0</v>
      </c>
      <c r="AF116" s="73">
        <f t="shared" si="38"/>
        <v>0</v>
      </c>
      <c r="AG116" s="73">
        <f t="shared" si="38"/>
        <v>0</v>
      </c>
      <c r="AH116" s="73">
        <f t="shared" si="38"/>
        <v>0</v>
      </c>
      <c r="AI116" s="73">
        <f t="shared" si="38"/>
        <v>0</v>
      </c>
      <c r="AJ116" s="73">
        <f t="shared" si="38"/>
        <v>0</v>
      </c>
      <c r="AK116" s="73">
        <f t="shared" si="38"/>
        <v>0</v>
      </c>
    </row>
    <row r="117" spans="2:37" x14ac:dyDescent="0.3">
      <c r="Z117" s="75"/>
    </row>
    <row r="118" spans="2:37" x14ac:dyDescent="0.3">
      <c r="Z118" s="75"/>
      <c r="AA118" t="str">
        <f>AA109</f>
        <v>NG</v>
      </c>
      <c r="AB118" s="73">
        <f>AB85+AB93+AB101+AB109</f>
        <v>24.972000000000001</v>
      </c>
      <c r="AC118" s="73">
        <f t="shared" ref="AC118:AK118" si="39">AC85+AC93+AC101+AC109</f>
        <v>34.988999999999997</v>
      </c>
      <c r="AD118" s="73">
        <f t="shared" si="39"/>
        <v>36.394999999999996</v>
      </c>
      <c r="AE118" s="73">
        <f t="shared" si="39"/>
        <v>24.654</v>
      </c>
      <c r="AF118" s="73">
        <f t="shared" si="39"/>
        <v>13.722999999999999</v>
      </c>
      <c r="AG118" s="73">
        <f t="shared" si="39"/>
        <v>5.8220000000000001</v>
      </c>
      <c r="AH118" s="73">
        <f t="shared" si="39"/>
        <v>1.67</v>
      </c>
      <c r="AI118" s="73">
        <f t="shared" si="39"/>
        <v>0.27900000000000003</v>
      </c>
      <c r="AJ118" s="73">
        <f t="shared" si="39"/>
        <v>2.4E-2</v>
      </c>
      <c r="AK118" s="73">
        <f t="shared" si="39"/>
        <v>1E-3</v>
      </c>
    </row>
    <row r="119" spans="2:37" x14ac:dyDescent="0.3">
      <c r="Z119" s="75"/>
      <c r="AA119" t="str">
        <f>AA110</f>
        <v>Electricity</v>
      </c>
      <c r="AB119" s="73">
        <f>AB86+AB94+AB102+AB110</f>
        <v>0.189</v>
      </c>
      <c r="AC119" s="73">
        <f t="shared" ref="AC119:AK119" si="40">AC86+AC94+AC102+AC110</f>
        <v>29.061999999999998</v>
      </c>
      <c r="AD119" s="73">
        <f t="shared" si="40"/>
        <v>43.661999999999999</v>
      </c>
      <c r="AE119" s="73">
        <f t="shared" si="40"/>
        <v>29.576999999999998</v>
      </c>
      <c r="AF119" s="73">
        <f t="shared" si="40"/>
        <v>16.463000000000001</v>
      </c>
      <c r="AG119" s="73">
        <f t="shared" si="40"/>
        <v>6.9849999999999994</v>
      </c>
      <c r="AH119" s="73">
        <f t="shared" si="40"/>
        <v>2.0019999999999998</v>
      </c>
      <c r="AI119" s="73">
        <f t="shared" si="40"/>
        <v>0.33600000000000002</v>
      </c>
      <c r="AJ119" s="73">
        <f t="shared" si="40"/>
        <v>2.7999999999999997E-2</v>
      </c>
      <c r="AK119" s="73">
        <f t="shared" si="40"/>
        <v>1E-3</v>
      </c>
    </row>
    <row r="120" spans="2:37" x14ac:dyDescent="0.3">
      <c r="Z120" s="75"/>
      <c r="AA120" t="str">
        <f>AA111</f>
        <v>Ethanol</v>
      </c>
      <c r="AB120" s="73">
        <f>AB87+AB95+AB103+AB111</f>
        <v>223.79400000000001</v>
      </c>
      <c r="AC120" s="73">
        <f t="shared" ref="AC120:AK120" si="41">AC87+AC95+AC103+AC111</f>
        <v>214.399</v>
      </c>
      <c r="AD120" s="73">
        <f t="shared" si="41"/>
        <v>202.10399999999998</v>
      </c>
      <c r="AE120" s="73">
        <f t="shared" si="41"/>
        <v>136.34200000000001</v>
      </c>
      <c r="AF120" s="73">
        <f t="shared" si="41"/>
        <v>75.888000000000005</v>
      </c>
      <c r="AG120" s="73">
        <f t="shared" si="41"/>
        <v>32.192999999999998</v>
      </c>
      <c r="AH120" s="73">
        <f t="shared" si="41"/>
        <v>9.2330000000000005</v>
      </c>
      <c r="AI120" s="73">
        <f t="shared" si="41"/>
        <v>1.5469999999999999</v>
      </c>
      <c r="AJ120" s="73">
        <f t="shared" si="41"/>
        <v>0.129</v>
      </c>
      <c r="AK120" s="73">
        <f t="shared" si="41"/>
        <v>4.0000000000000001E-3</v>
      </c>
    </row>
    <row r="122" spans="2:37" x14ac:dyDescent="0.3">
      <c r="AE122">
        <v>2019</v>
      </c>
    </row>
    <row r="123" spans="2:37" x14ac:dyDescent="0.3">
      <c r="AA123" t="str">
        <f>AA114</f>
        <v>Petrol</v>
      </c>
      <c r="AC123" s="74">
        <f>Sheet1!C30</f>
        <v>3236814</v>
      </c>
      <c r="AD123" s="74">
        <f>Sheet1!C33</f>
        <v>2958846</v>
      </c>
      <c r="AE123" s="74">
        <f>Sheet1!C37</f>
        <v>2694251</v>
      </c>
    </row>
    <row r="124" spans="2:37" x14ac:dyDescent="0.3">
      <c r="AA124" t="str">
        <f>AA115</f>
        <v>Diesel</v>
      </c>
      <c r="AC124" s="74">
        <f>Sheet1!D30</f>
        <v>924197</v>
      </c>
      <c r="AD124" s="74">
        <f>Sheet1!D33</f>
        <v>1381784</v>
      </c>
      <c r="AE124" s="74">
        <f>Sheet1!D37</f>
        <v>1735589</v>
      </c>
    </row>
    <row r="125" spans="2:37" x14ac:dyDescent="0.3">
      <c r="AA125" t="str">
        <f>AA116</f>
        <v>LPG</v>
      </c>
    </row>
    <row r="127" spans="2:37" x14ac:dyDescent="0.3">
      <c r="AA127" t="str">
        <f>AA118</f>
        <v>NG</v>
      </c>
      <c r="AC127" s="74">
        <f>Sheet1!I30</f>
        <v>35121</v>
      </c>
      <c r="AD127" s="74">
        <f>Sheet1!I33</f>
        <v>42671</v>
      </c>
      <c r="AE127" s="74">
        <f>Sheet1!I37</f>
        <v>41633</v>
      </c>
    </row>
    <row r="128" spans="2:37" x14ac:dyDescent="0.3">
      <c r="AA128" t="str">
        <f>AA119</f>
        <v>Electricity</v>
      </c>
      <c r="AC128" s="74">
        <f>Sheet1!E30</f>
        <v>603</v>
      </c>
      <c r="AD128" s="74">
        <f>Sheet1!E33</f>
        <v>4765</v>
      </c>
      <c r="AE128" s="74">
        <f>Sheet1!E37</f>
        <v>30343</v>
      </c>
    </row>
    <row r="129" spans="27:32" x14ac:dyDescent="0.3">
      <c r="AA129" t="str">
        <f>AA120</f>
        <v>Ethanol</v>
      </c>
      <c r="AC129" s="74">
        <f>Sheet1!H30</f>
        <v>225868</v>
      </c>
      <c r="AD129" s="74">
        <f>Sheet1!H33</f>
        <v>228175</v>
      </c>
      <c r="AE129" s="74">
        <f>Sheet1!H37</f>
        <v>201714</v>
      </c>
    </row>
    <row r="130" spans="27:32" x14ac:dyDescent="0.3">
      <c r="AA130" t="s">
        <v>172</v>
      </c>
      <c r="AC130" s="74">
        <f>Sheet1!F30</f>
        <v>23699</v>
      </c>
      <c r="AD130" s="74">
        <f>Sheet1!F33</f>
        <v>42778</v>
      </c>
      <c r="AE130" s="74">
        <f>Sheet1!F37</f>
        <v>117512</v>
      </c>
    </row>
    <row r="131" spans="27:32" x14ac:dyDescent="0.3">
      <c r="AA131" t="s">
        <v>47</v>
      </c>
      <c r="AC131" s="74">
        <f>Sheet1!G30</f>
        <v>651</v>
      </c>
      <c r="AD131" s="74">
        <f>Sheet1!G33</f>
        <v>9780</v>
      </c>
      <c r="AE131" s="74">
        <f>Sheet1!G37</f>
        <v>66609</v>
      </c>
    </row>
    <row r="133" spans="27:32" x14ac:dyDescent="0.3">
      <c r="AC133" s="27">
        <f t="shared" ref="AC133:AE134" si="42">AC123/1000-AC114</f>
        <v>302.73999999999933</v>
      </c>
      <c r="AD133" s="27">
        <f t="shared" si="42"/>
        <v>317.53699999999981</v>
      </c>
      <c r="AE133" s="27">
        <f t="shared" si="42"/>
        <v>904.97700000000009</v>
      </c>
      <c r="AF133" s="27">
        <f>AE133-AD133</f>
        <v>587.44000000000028</v>
      </c>
    </row>
    <row r="134" spans="27:32" x14ac:dyDescent="0.3">
      <c r="AC134" s="27">
        <f t="shared" si="42"/>
        <v>-76.91599999999994</v>
      </c>
      <c r="AD134" s="27">
        <f t="shared" si="42"/>
        <v>235.93100000000004</v>
      </c>
      <c r="AE134" s="27">
        <f t="shared" si="42"/>
        <v>959.36599999999987</v>
      </c>
      <c r="AF134" s="27">
        <f>AE134-AD134</f>
        <v>723.43499999999983</v>
      </c>
    </row>
    <row r="135" spans="27:32" x14ac:dyDescent="0.3">
      <c r="AC135" s="27"/>
      <c r="AD135" s="27"/>
      <c r="AE135" s="27"/>
    </row>
    <row r="136" spans="27:32" x14ac:dyDescent="0.3">
      <c r="AC136" s="27"/>
      <c r="AD136" s="27"/>
      <c r="AE136" s="27"/>
    </row>
    <row r="137" spans="27:32" x14ac:dyDescent="0.3">
      <c r="AC137" s="27">
        <f t="shared" ref="AC137:AE139" si="43">AC127/1000-AC118</f>
        <v>0.132000000000005</v>
      </c>
      <c r="AD137" s="27">
        <f t="shared" si="43"/>
        <v>6.2760000000000034</v>
      </c>
      <c r="AE137" s="27">
        <f t="shared" si="43"/>
        <v>16.979000000000003</v>
      </c>
      <c r="AF137" s="27">
        <f>AE137-AD137</f>
        <v>10.702999999999999</v>
      </c>
    </row>
    <row r="138" spans="27:32" x14ac:dyDescent="0.3">
      <c r="AC138" s="27">
        <f t="shared" si="43"/>
        <v>-28.458999999999996</v>
      </c>
      <c r="AD138" s="27">
        <f t="shared" si="43"/>
        <v>-38.896999999999998</v>
      </c>
      <c r="AE138" s="27">
        <f t="shared" si="43"/>
        <v>0.76600000000000179</v>
      </c>
      <c r="AF138" s="27">
        <f>AE138-AD138</f>
        <v>39.662999999999997</v>
      </c>
    </row>
    <row r="139" spans="27:32" x14ac:dyDescent="0.3">
      <c r="AC139" s="27">
        <f t="shared" si="43"/>
        <v>11.468999999999994</v>
      </c>
      <c r="AD139" s="27">
        <f t="shared" si="43"/>
        <v>26.071000000000026</v>
      </c>
      <c r="AE139" s="27">
        <f>AE129/1000-AE120</f>
        <v>65.371999999999986</v>
      </c>
      <c r="AF139" s="27">
        <f>AE139-AD139</f>
        <v>39.300999999999959</v>
      </c>
    </row>
  </sheetData>
  <mergeCells count="6">
    <mergeCell ref="Z114:Z120"/>
    <mergeCell ref="Z76:AK77"/>
    <mergeCell ref="Z81:Z86"/>
    <mergeCell ref="Z89:Z94"/>
    <mergeCell ref="Z97:Z102"/>
    <mergeCell ref="Z105:Z110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910-8EA6-4436-8233-0FF3E6B15A3F}">
  <dimension ref="B1:K37"/>
  <sheetViews>
    <sheetView topLeftCell="A9" workbookViewId="0">
      <selection activeCell="E27" sqref="E27"/>
    </sheetView>
  </sheetViews>
  <sheetFormatPr defaultRowHeight="14.4" x14ac:dyDescent="0.3"/>
  <cols>
    <col min="5" max="5" width="23" bestFit="1" customWidth="1"/>
  </cols>
  <sheetData>
    <row r="1" spans="2:9" x14ac:dyDescent="0.3">
      <c r="B1" t="s">
        <v>149</v>
      </c>
    </row>
    <row r="2" spans="2:9" ht="18" x14ac:dyDescent="0.35">
      <c r="B2" s="31" t="s">
        <v>126</v>
      </c>
    </row>
    <row r="4" spans="2:9" x14ac:dyDescent="0.3">
      <c r="F4" s="32" t="s">
        <v>127</v>
      </c>
    </row>
    <row r="5" spans="2:9" x14ac:dyDescent="0.3">
      <c r="F5" s="32" t="s">
        <v>128</v>
      </c>
      <c r="G5" s="32" t="s">
        <v>129</v>
      </c>
      <c r="H5" s="32" t="s">
        <v>130</v>
      </c>
      <c r="I5" s="32" t="s">
        <v>131</v>
      </c>
    </row>
    <row r="6" spans="2:9" x14ac:dyDescent="0.3">
      <c r="B6" s="32" t="s">
        <v>132</v>
      </c>
      <c r="C6" s="32" t="s">
        <v>133</v>
      </c>
      <c r="D6" s="32" t="s">
        <v>134</v>
      </c>
      <c r="E6" s="32" t="s">
        <v>135</v>
      </c>
      <c r="F6" s="27">
        <v>1196148</v>
      </c>
      <c r="G6" s="27">
        <v>1139998</v>
      </c>
      <c r="H6" s="27">
        <v>1075179</v>
      </c>
      <c r="I6" s="27">
        <v>1031207</v>
      </c>
    </row>
    <row r="7" spans="2:9" x14ac:dyDescent="0.3">
      <c r="D7" s="32" t="s">
        <v>136</v>
      </c>
      <c r="E7" s="32" t="s">
        <v>50</v>
      </c>
      <c r="F7" s="27">
        <v>1276947</v>
      </c>
      <c r="G7" s="27">
        <v>1294493</v>
      </c>
      <c r="H7" s="27">
        <v>1290442</v>
      </c>
      <c r="I7" s="27">
        <v>1281019</v>
      </c>
    </row>
    <row r="8" spans="2:9" x14ac:dyDescent="0.3">
      <c r="D8" s="32" t="s">
        <v>137</v>
      </c>
      <c r="E8" s="32" t="s">
        <v>138</v>
      </c>
      <c r="F8" s="27">
        <v>9</v>
      </c>
      <c r="G8" s="27">
        <v>8</v>
      </c>
      <c r="H8" s="27">
        <v>11</v>
      </c>
      <c r="I8" s="27">
        <v>13</v>
      </c>
    </row>
    <row r="9" spans="2:9" x14ac:dyDescent="0.3">
      <c r="D9" s="32" t="s">
        <v>139</v>
      </c>
      <c r="E9" s="32" t="s">
        <v>140</v>
      </c>
      <c r="F9" s="27">
        <v>116</v>
      </c>
      <c r="G9" s="27">
        <v>169</v>
      </c>
      <c r="H9" s="27">
        <v>223</v>
      </c>
      <c r="I9" s="27">
        <v>233</v>
      </c>
    </row>
    <row r="10" spans="2:9" x14ac:dyDescent="0.3">
      <c r="D10" s="32" t="s">
        <v>141</v>
      </c>
      <c r="E10" s="32" t="s">
        <v>142</v>
      </c>
      <c r="F10" s="27">
        <v>97532</v>
      </c>
      <c r="G10" s="27">
        <v>138983</v>
      </c>
      <c r="H10" s="27">
        <v>195351</v>
      </c>
      <c r="I10" s="27">
        <v>260692</v>
      </c>
    </row>
    <row r="11" spans="2:9" x14ac:dyDescent="0.3">
      <c r="D11" s="32" t="s">
        <v>143</v>
      </c>
      <c r="E11" s="32" t="s">
        <v>144</v>
      </c>
      <c r="F11" s="27">
        <v>41</v>
      </c>
      <c r="G11" s="27">
        <v>98</v>
      </c>
      <c r="H11" s="27">
        <v>140</v>
      </c>
      <c r="I11" s="27">
        <v>146</v>
      </c>
    </row>
    <row r="12" spans="2:9" x14ac:dyDescent="0.3">
      <c r="D12" s="32" t="s">
        <v>145</v>
      </c>
      <c r="E12" s="32" t="s">
        <v>146</v>
      </c>
      <c r="F12" s="27">
        <v>32251</v>
      </c>
      <c r="G12" s="27">
        <v>62580</v>
      </c>
      <c r="H12" s="27">
        <v>89657</v>
      </c>
      <c r="I12" s="27">
        <v>108575</v>
      </c>
    </row>
    <row r="13" spans="2:9" x14ac:dyDescent="0.3">
      <c r="D13" s="32" t="s">
        <v>147</v>
      </c>
      <c r="E13" s="32" t="s">
        <v>148</v>
      </c>
      <c r="F13" s="27">
        <v>55483</v>
      </c>
      <c r="G13" s="27">
        <v>76070</v>
      </c>
      <c r="H13" s="27">
        <v>92144</v>
      </c>
      <c r="I13" s="27">
        <v>108971</v>
      </c>
    </row>
    <row r="20" spans="2:11" x14ac:dyDescent="0.3">
      <c r="B20" t="s">
        <v>161</v>
      </c>
    </row>
    <row r="22" spans="2:11" x14ac:dyDescent="0.3">
      <c r="B22" s="33" t="s">
        <v>150</v>
      </c>
      <c r="C22" s="34"/>
      <c r="D22" s="34"/>
      <c r="E22" s="34"/>
      <c r="F22" s="34"/>
      <c r="G22" s="34"/>
      <c r="H22" s="34"/>
      <c r="I22" s="34"/>
      <c r="J22" s="34"/>
      <c r="K22" s="34"/>
    </row>
    <row r="23" spans="2:11" x14ac:dyDescent="0.3">
      <c r="B23" s="35" t="s">
        <v>151</v>
      </c>
      <c r="C23" s="34"/>
      <c r="D23" s="34"/>
      <c r="E23" s="34"/>
      <c r="F23" s="34"/>
      <c r="G23" s="34"/>
      <c r="H23" s="34"/>
      <c r="I23" s="34"/>
      <c r="J23" s="34"/>
      <c r="K23" s="34"/>
    </row>
    <row r="24" spans="2:11" x14ac:dyDescent="0.3">
      <c r="B24" s="36" t="s">
        <v>152</v>
      </c>
      <c r="C24" s="34"/>
      <c r="D24" s="34"/>
      <c r="E24" s="34"/>
      <c r="F24" s="34"/>
      <c r="G24" s="34"/>
      <c r="H24" s="34"/>
      <c r="I24" s="34"/>
      <c r="J24" s="34"/>
      <c r="K24" s="34"/>
    </row>
    <row r="25" spans="2:1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4"/>
    </row>
    <row r="26" spans="2:11" x14ac:dyDescent="0.3">
      <c r="B26" s="38" t="s">
        <v>153</v>
      </c>
      <c r="C26" s="39" t="s">
        <v>135</v>
      </c>
      <c r="D26" s="39" t="s">
        <v>50</v>
      </c>
      <c r="E26" s="39" t="s">
        <v>154</v>
      </c>
      <c r="F26" s="39" t="s">
        <v>155</v>
      </c>
      <c r="G26" s="40" t="s">
        <v>156</v>
      </c>
      <c r="H26" s="39" t="s">
        <v>157</v>
      </c>
      <c r="I26" s="39" t="s">
        <v>52</v>
      </c>
      <c r="J26" s="39" t="s">
        <v>158</v>
      </c>
      <c r="K26" s="41" t="s">
        <v>159</v>
      </c>
    </row>
    <row r="27" spans="2:11" x14ac:dyDescent="0.3">
      <c r="B27" s="42" t="s">
        <v>160</v>
      </c>
      <c r="C27" s="43"/>
      <c r="D27" s="43"/>
      <c r="E27" s="43"/>
      <c r="F27" s="44"/>
      <c r="G27" s="37"/>
      <c r="H27" s="44"/>
      <c r="I27" s="44"/>
      <c r="J27" s="43"/>
      <c r="K27" s="43"/>
    </row>
    <row r="28" spans="2:11" x14ac:dyDescent="0.3">
      <c r="B28" s="45">
        <v>2010</v>
      </c>
      <c r="C28" s="46">
        <v>3479607</v>
      </c>
      <c r="D28" s="46">
        <v>606570</v>
      </c>
      <c r="E28" s="46">
        <v>190</v>
      </c>
      <c r="F28" s="46">
        <v>19210</v>
      </c>
      <c r="G28" s="47" t="s">
        <v>121</v>
      </c>
      <c r="H28" s="46">
        <v>204456</v>
      </c>
      <c r="I28" s="46">
        <v>24973</v>
      </c>
      <c r="J28" s="46">
        <v>176</v>
      </c>
      <c r="K28" s="46">
        <v>4335182</v>
      </c>
    </row>
    <row r="29" spans="2:11" x14ac:dyDescent="0.3">
      <c r="B29" s="45">
        <v>2011</v>
      </c>
      <c r="C29" s="46">
        <v>3364196</v>
      </c>
      <c r="D29" s="46">
        <v>766042</v>
      </c>
      <c r="E29" s="46">
        <v>366</v>
      </c>
      <c r="F29" s="46">
        <v>21389</v>
      </c>
      <c r="G29" s="47" t="s">
        <v>121</v>
      </c>
      <c r="H29" s="46">
        <v>218175</v>
      </c>
      <c r="I29" s="46">
        <v>30992</v>
      </c>
      <c r="J29" s="46">
        <v>192</v>
      </c>
      <c r="K29" s="46">
        <v>4401352</v>
      </c>
    </row>
    <row r="30" spans="2:11" x14ac:dyDescent="0.3">
      <c r="B30" s="45">
        <v>2012</v>
      </c>
      <c r="C30" s="46">
        <v>3236814</v>
      </c>
      <c r="D30" s="46">
        <v>924197</v>
      </c>
      <c r="E30" s="46">
        <v>603</v>
      </c>
      <c r="F30" s="46">
        <v>23699</v>
      </c>
      <c r="G30" s="47">
        <v>651</v>
      </c>
      <c r="H30" s="46">
        <v>225868</v>
      </c>
      <c r="I30" s="46">
        <v>35121</v>
      </c>
      <c r="J30" s="46">
        <v>212</v>
      </c>
      <c r="K30" s="46">
        <v>4447165</v>
      </c>
    </row>
    <row r="31" spans="2:11" x14ac:dyDescent="0.3">
      <c r="B31" s="45">
        <v>2013</v>
      </c>
      <c r="C31" s="46">
        <v>3130151</v>
      </c>
      <c r="D31" s="48">
        <v>1068038</v>
      </c>
      <c r="E31" s="46">
        <v>1010</v>
      </c>
      <c r="F31" s="46">
        <v>28357</v>
      </c>
      <c r="G31" s="46">
        <v>1637</v>
      </c>
      <c r="H31" s="46">
        <v>228726</v>
      </c>
      <c r="I31" s="46">
        <v>37328</v>
      </c>
      <c r="J31" s="46">
        <v>226</v>
      </c>
      <c r="K31" s="46">
        <v>4495473</v>
      </c>
    </row>
    <row r="32" spans="2:11" x14ac:dyDescent="0.3">
      <c r="B32" s="45">
        <v>2014</v>
      </c>
      <c r="C32" s="46">
        <v>3049225</v>
      </c>
      <c r="D32" s="48">
        <v>1224290</v>
      </c>
      <c r="E32" s="46">
        <v>2172</v>
      </c>
      <c r="F32" s="46">
        <v>34930</v>
      </c>
      <c r="G32" s="46">
        <v>4922</v>
      </c>
      <c r="H32" s="46">
        <v>229621</v>
      </c>
      <c r="I32" s="46">
        <v>40095</v>
      </c>
      <c r="J32" s="48">
        <v>264</v>
      </c>
      <c r="K32" s="46">
        <v>4585519</v>
      </c>
    </row>
    <row r="33" spans="2:11" x14ac:dyDescent="0.3">
      <c r="B33" s="45">
        <v>2015</v>
      </c>
      <c r="C33" s="48">
        <v>2958846</v>
      </c>
      <c r="D33" s="48">
        <v>1381784</v>
      </c>
      <c r="E33" s="48">
        <v>4765</v>
      </c>
      <c r="F33" s="48">
        <v>42778</v>
      </c>
      <c r="G33" s="48">
        <v>9780</v>
      </c>
      <c r="H33" s="48">
        <v>228175</v>
      </c>
      <c r="I33" s="46">
        <v>42671</v>
      </c>
      <c r="J33" s="48">
        <v>264</v>
      </c>
      <c r="K33" s="46">
        <v>4669063</v>
      </c>
    </row>
    <row r="34" spans="2:11" x14ac:dyDescent="0.3">
      <c r="B34" s="45">
        <v>2016</v>
      </c>
      <c r="C34" s="48">
        <v>2887978</v>
      </c>
      <c r="D34" s="48">
        <v>1529744</v>
      </c>
      <c r="E34" s="46">
        <v>7532</v>
      </c>
      <c r="F34" s="48">
        <v>55203</v>
      </c>
      <c r="G34" s="48">
        <v>18844</v>
      </c>
      <c r="H34" s="48">
        <v>224788</v>
      </c>
      <c r="I34" s="46">
        <v>43693</v>
      </c>
      <c r="J34" s="48">
        <v>278</v>
      </c>
      <c r="K34" s="46">
        <v>4768060</v>
      </c>
    </row>
    <row r="35" spans="2:11" x14ac:dyDescent="0.3">
      <c r="B35" s="45">
        <v>2017</v>
      </c>
      <c r="C35" s="46">
        <v>2821771</v>
      </c>
      <c r="D35" s="48">
        <v>1644862</v>
      </c>
      <c r="E35" s="46">
        <v>11034</v>
      </c>
      <c r="F35" s="46">
        <v>71475</v>
      </c>
      <c r="G35" s="46">
        <v>32253</v>
      </c>
      <c r="H35" s="46">
        <v>220223</v>
      </c>
      <c r="I35" s="46">
        <v>43706</v>
      </c>
      <c r="J35" s="48">
        <v>285</v>
      </c>
      <c r="K35" s="46">
        <v>4845609</v>
      </c>
    </row>
    <row r="36" spans="2:11" x14ac:dyDescent="0.3">
      <c r="B36" s="45">
        <v>2018</v>
      </c>
      <c r="C36" s="46">
        <v>2754872</v>
      </c>
      <c r="D36" s="48">
        <v>1704457</v>
      </c>
      <c r="E36" s="46">
        <v>16664</v>
      </c>
      <c r="F36" s="46">
        <v>90273</v>
      </c>
      <c r="G36" s="46">
        <v>49394</v>
      </c>
      <c r="H36" s="46">
        <v>212385</v>
      </c>
      <c r="I36" s="46">
        <v>42463</v>
      </c>
      <c r="J36" s="48">
        <v>275</v>
      </c>
      <c r="K36" s="46">
        <v>4870783</v>
      </c>
    </row>
    <row r="37" spans="2:11" x14ac:dyDescent="0.3">
      <c r="B37" s="49">
        <v>2019</v>
      </c>
      <c r="C37" s="50">
        <v>2694251</v>
      </c>
      <c r="D37" s="50">
        <v>1735589</v>
      </c>
      <c r="E37" s="50">
        <v>30343</v>
      </c>
      <c r="F37" s="50">
        <v>117512</v>
      </c>
      <c r="G37" s="50">
        <v>66609</v>
      </c>
      <c r="H37" s="50">
        <v>201714</v>
      </c>
      <c r="I37" s="50">
        <v>41633</v>
      </c>
      <c r="J37" s="50">
        <v>253</v>
      </c>
      <c r="K37" s="50">
        <v>4887904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14C3-A365-40F1-8D4F-30E3FDE684CB}">
  <dimension ref="A2:V410"/>
  <sheetViews>
    <sheetView workbookViewId="0">
      <selection activeCell="D18" sqref="D18"/>
    </sheetView>
  </sheetViews>
  <sheetFormatPr defaultColWidth="7.88671875" defaultRowHeight="13.8" x14ac:dyDescent="0.3"/>
  <cols>
    <col min="1" max="1" width="4.33203125" style="79" customWidth="1"/>
    <col min="2" max="2" width="5.109375" style="79" customWidth="1"/>
    <col min="3" max="3" width="9.6640625" style="79" customWidth="1"/>
    <col min="4" max="4" width="13" style="79" customWidth="1"/>
    <col min="5" max="5" width="9.6640625" style="79" customWidth="1"/>
    <col min="6" max="6" width="12.44140625" style="79" customWidth="1"/>
    <col min="7" max="7" width="8" style="79" bestFit="1" customWidth="1"/>
    <col min="8" max="8" width="12.88671875" style="79" customWidth="1"/>
    <col min="9" max="9" width="8" style="79" bestFit="1" customWidth="1"/>
    <col min="10" max="10" width="11.5546875" style="79" customWidth="1"/>
    <col min="11" max="11" width="12.33203125" style="79" customWidth="1"/>
    <col min="12" max="12" width="9.44140625" style="79" customWidth="1"/>
    <col min="13" max="13" width="10" style="79" bestFit="1" customWidth="1"/>
    <col min="14" max="14" width="10.44140625" style="79" customWidth="1"/>
    <col min="15" max="19" width="8.109375" style="79" bestFit="1" customWidth="1"/>
    <col min="20" max="16384" width="7.88671875" style="79"/>
  </cols>
  <sheetData>
    <row r="2" spans="1:11" ht="16.2" thickBot="1" x14ac:dyDescent="0.35">
      <c r="B2" s="121" t="s">
        <v>198</v>
      </c>
      <c r="D2" s="121"/>
    </row>
    <row r="3" spans="1:11" ht="14.4" thickBot="1" x14ac:dyDescent="0.35">
      <c r="B3" s="120" t="s">
        <v>3</v>
      </c>
      <c r="C3" s="119" t="s">
        <v>187</v>
      </c>
      <c r="D3" s="118"/>
      <c r="E3" s="119" t="s">
        <v>186</v>
      </c>
      <c r="F3" s="118"/>
      <c r="G3" s="119" t="s">
        <v>185</v>
      </c>
      <c r="H3" s="118"/>
      <c r="I3" s="119" t="s">
        <v>184</v>
      </c>
      <c r="J3" s="118"/>
      <c r="K3" s="117" t="s">
        <v>183</v>
      </c>
    </row>
    <row r="4" spans="1:11" ht="27.6" x14ac:dyDescent="0.3">
      <c r="B4" s="116"/>
      <c r="C4" s="115" t="s">
        <v>182</v>
      </c>
      <c r="D4" s="114" t="s">
        <v>181</v>
      </c>
      <c r="E4" s="115" t="s">
        <v>182</v>
      </c>
      <c r="F4" s="114" t="s">
        <v>181</v>
      </c>
      <c r="G4" s="115" t="s">
        <v>182</v>
      </c>
      <c r="H4" s="114" t="s">
        <v>181</v>
      </c>
      <c r="I4" s="115" t="s">
        <v>182</v>
      </c>
      <c r="J4" s="114" t="s">
        <v>181</v>
      </c>
      <c r="K4" s="113" t="s">
        <v>181</v>
      </c>
    </row>
    <row r="5" spans="1:11" ht="14.4" thickBot="1" x14ac:dyDescent="0.35">
      <c r="B5" s="112"/>
      <c r="C5" s="111"/>
      <c r="D5" s="110" t="s">
        <v>180</v>
      </c>
      <c r="E5" s="111"/>
      <c r="F5" s="110" t="s">
        <v>180</v>
      </c>
      <c r="G5" s="111"/>
      <c r="H5" s="110" t="s">
        <v>180</v>
      </c>
      <c r="I5" s="111"/>
      <c r="J5" s="110" t="s">
        <v>180</v>
      </c>
      <c r="K5" s="110" t="s">
        <v>180</v>
      </c>
    </row>
    <row r="6" spans="1:11" ht="12.75" customHeight="1" x14ac:dyDescent="0.3">
      <c r="A6" s="79" t="s">
        <v>178</v>
      </c>
      <c r="B6" s="109">
        <v>2000</v>
      </c>
      <c r="C6" s="92" t="s">
        <v>179</v>
      </c>
      <c r="D6" s="93" t="s">
        <v>179</v>
      </c>
      <c r="E6" s="144" t="s">
        <v>179</v>
      </c>
      <c r="F6" s="181" t="s">
        <v>179</v>
      </c>
      <c r="G6" s="144" t="s">
        <v>179</v>
      </c>
      <c r="H6" s="180" t="s">
        <v>179</v>
      </c>
      <c r="I6" s="167" t="s">
        <v>179</v>
      </c>
      <c r="J6" s="176" t="s">
        <v>179</v>
      </c>
      <c r="K6" s="179" t="s">
        <v>179</v>
      </c>
    </row>
    <row r="7" spans="1:11" ht="12.75" customHeight="1" x14ac:dyDescent="0.3">
      <c r="A7" s="79" t="s">
        <v>178</v>
      </c>
      <c r="B7" s="90">
        <v>2001</v>
      </c>
      <c r="C7" s="92" t="s">
        <v>179</v>
      </c>
      <c r="D7" s="93" t="s">
        <v>179</v>
      </c>
      <c r="E7" s="92" t="s">
        <v>179</v>
      </c>
      <c r="F7" s="178" t="s">
        <v>179</v>
      </c>
      <c r="G7" s="128" t="s">
        <v>179</v>
      </c>
      <c r="H7" s="177" t="s">
        <v>179</v>
      </c>
      <c r="I7" s="167" t="s">
        <v>179</v>
      </c>
      <c r="J7" s="176" t="s">
        <v>179</v>
      </c>
      <c r="K7" s="86" t="s">
        <v>179</v>
      </c>
    </row>
    <row r="8" spans="1:11" ht="12.75" customHeight="1" x14ac:dyDescent="0.3">
      <c r="A8" s="79" t="s">
        <v>178</v>
      </c>
      <c r="B8" s="90">
        <v>2002</v>
      </c>
      <c r="C8" s="92" t="s">
        <v>179</v>
      </c>
      <c r="D8" s="93" t="s">
        <v>179</v>
      </c>
      <c r="E8" s="92" t="s">
        <v>179</v>
      </c>
      <c r="F8" s="178" t="s">
        <v>179</v>
      </c>
      <c r="G8" s="128" t="s">
        <v>179</v>
      </c>
      <c r="H8" s="177" t="s">
        <v>179</v>
      </c>
      <c r="I8" s="167" t="s">
        <v>179</v>
      </c>
      <c r="J8" s="176" t="s">
        <v>179</v>
      </c>
      <c r="K8" s="86" t="s">
        <v>179</v>
      </c>
    </row>
    <row r="9" spans="1:11" ht="12.75" customHeight="1" x14ac:dyDescent="0.3">
      <c r="A9" s="79" t="s">
        <v>178</v>
      </c>
      <c r="B9" s="90">
        <v>2003</v>
      </c>
      <c r="C9" s="92" t="s">
        <v>179</v>
      </c>
      <c r="D9" s="93" t="s">
        <v>179</v>
      </c>
      <c r="E9" s="92" t="s">
        <v>179</v>
      </c>
      <c r="F9" s="178" t="s">
        <v>179</v>
      </c>
      <c r="G9" s="128" t="s">
        <v>179</v>
      </c>
      <c r="H9" s="177" t="s">
        <v>179</v>
      </c>
      <c r="I9" s="167" t="s">
        <v>179</v>
      </c>
      <c r="J9" s="176" t="s">
        <v>179</v>
      </c>
      <c r="K9" s="86" t="s">
        <v>179</v>
      </c>
    </row>
    <row r="10" spans="1:11" ht="12.75" customHeight="1" x14ac:dyDescent="0.3">
      <c r="A10" s="79" t="s">
        <v>178</v>
      </c>
      <c r="B10" s="90">
        <v>2004</v>
      </c>
      <c r="C10" s="92" t="s">
        <v>179</v>
      </c>
      <c r="D10" s="93" t="s">
        <v>179</v>
      </c>
      <c r="E10" s="92" t="s">
        <v>179</v>
      </c>
      <c r="F10" s="178" t="s">
        <v>179</v>
      </c>
      <c r="G10" s="128" t="s">
        <v>179</v>
      </c>
      <c r="H10" s="177" t="s">
        <v>179</v>
      </c>
      <c r="I10" s="167" t="s">
        <v>179</v>
      </c>
      <c r="J10" s="176" t="s">
        <v>179</v>
      </c>
      <c r="K10" s="86" t="s">
        <v>179</v>
      </c>
    </row>
    <row r="11" spans="1:11" ht="12.75" customHeight="1" x14ac:dyDescent="0.3">
      <c r="A11" s="79" t="s">
        <v>178</v>
      </c>
      <c r="B11" s="90">
        <v>2005</v>
      </c>
      <c r="C11" s="92" t="s">
        <v>179</v>
      </c>
      <c r="D11" s="93" t="s">
        <v>179</v>
      </c>
      <c r="E11" s="92" t="s">
        <v>179</v>
      </c>
      <c r="F11" s="178" t="s">
        <v>179</v>
      </c>
      <c r="G11" s="128" t="s">
        <v>179</v>
      </c>
      <c r="H11" s="177" t="s">
        <v>179</v>
      </c>
      <c r="I11" s="167" t="s">
        <v>179</v>
      </c>
      <c r="J11" s="176" t="s">
        <v>179</v>
      </c>
      <c r="K11" s="86" t="s">
        <v>179</v>
      </c>
    </row>
    <row r="12" spans="1:11" ht="12.75" customHeight="1" x14ac:dyDescent="0.3">
      <c r="A12" s="79" t="s">
        <v>178</v>
      </c>
      <c r="B12" s="90">
        <v>2006</v>
      </c>
      <c r="C12" s="92" t="s">
        <v>179</v>
      </c>
      <c r="D12" s="93" t="s">
        <v>179</v>
      </c>
      <c r="E12" s="92" t="s">
        <v>179</v>
      </c>
      <c r="F12" s="178" t="s">
        <v>179</v>
      </c>
      <c r="G12" s="128" t="s">
        <v>179</v>
      </c>
      <c r="H12" s="177" t="s">
        <v>179</v>
      </c>
      <c r="I12" s="167" t="s">
        <v>179</v>
      </c>
      <c r="J12" s="176" t="s">
        <v>179</v>
      </c>
      <c r="K12" s="86" t="s">
        <v>179</v>
      </c>
    </row>
    <row r="13" spans="1:11" ht="12.75" customHeight="1" x14ac:dyDescent="0.3">
      <c r="A13" s="79" t="s">
        <v>178</v>
      </c>
      <c r="B13" s="90">
        <v>2007</v>
      </c>
      <c r="C13" s="92" t="s">
        <v>179</v>
      </c>
      <c r="D13" s="93" t="s">
        <v>179</v>
      </c>
      <c r="E13" s="92" t="s">
        <v>179</v>
      </c>
      <c r="F13" s="178" t="s">
        <v>179</v>
      </c>
      <c r="G13" s="128" t="s">
        <v>179</v>
      </c>
      <c r="H13" s="177" t="s">
        <v>179</v>
      </c>
      <c r="I13" s="167" t="s">
        <v>179</v>
      </c>
      <c r="J13" s="176" t="s">
        <v>179</v>
      </c>
      <c r="K13" s="86" t="s">
        <v>179</v>
      </c>
    </row>
    <row r="14" spans="1:11" ht="12.75" customHeight="1" x14ac:dyDescent="0.3">
      <c r="A14" s="79" t="s">
        <v>178</v>
      </c>
      <c r="B14" s="90">
        <v>2008</v>
      </c>
      <c r="C14" s="92" t="s">
        <v>179</v>
      </c>
      <c r="D14" s="93" t="s">
        <v>179</v>
      </c>
      <c r="E14" s="92" t="s">
        <v>179</v>
      </c>
      <c r="F14" s="91" t="s">
        <v>179</v>
      </c>
      <c r="G14" s="128" t="s">
        <v>179</v>
      </c>
      <c r="H14" s="175" t="s">
        <v>179</v>
      </c>
      <c r="I14" s="167" t="s">
        <v>179</v>
      </c>
      <c r="J14" s="93" t="s">
        <v>179</v>
      </c>
      <c r="K14" s="98" t="s">
        <v>179</v>
      </c>
    </row>
    <row r="15" spans="1:11" ht="12.75" customHeight="1" x14ac:dyDescent="0.3">
      <c r="A15" s="79" t="s">
        <v>178</v>
      </c>
      <c r="B15" s="90">
        <v>2009</v>
      </c>
      <c r="C15" s="92" t="s">
        <v>179</v>
      </c>
      <c r="D15" s="93" t="s">
        <v>179</v>
      </c>
      <c r="E15" s="92" t="s">
        <v>179</v>
      </c>
      <c r="F15" s="91" t="s">
        <v>179</v>
      </c>
      <c r="G15" s="128" t="s">
        <v>179</v>
      </c>
      <c r="H15" s="175" t="s">
        <v>179</v>
      </c>
      <c r="I15" s="167" t="s">
        <v>179</v>
      </c>
      <c r="J15" s="93" t="s">
        <v>179</v>
      </c>
      <c r="K15" s="98" t="s">
        <v>179</v>
      </c>
    </row>
    <row r="16" spans="1:11" ht="12.75" customHeight="1" x14ac:dyDescent="0.3">
      <c r="A16" s="79" t="s">
        <v>178</v>
      </c>
      <c r="B16" s="90">
        <v>2010</v>
      </c>
      <c r="C16" s="92" t="s">
        <v>179</v>
      </c>
      <c r="D16" s="93" t="s">
        <v>179</v>
      </c>
      <c r="E16" s="92" t="s">
        <v>179</v>
      </c>
      <c r="F16" s="91" t="s">
        <v>179</v>
      </c>
      <c r="G16" s="128" t="s">
        <v>179</v>
      </c>
      <c r="H16" s="175" t="s">
        <v>179</v>
      </c>
      <c r="I16" s="167" t="s">
        <v>179</v>
      </c>
      <c r="J16" s="93" t="s">
        <v>179</v>
      </c>
      <c r="K16" s="98" t="s">
        <v>179</v>
      </c>
    </row>
    <row r="17" spans="1:15" ht="12.75" customHeight="1" x14ac:dyDescent="0.3">
      <c r="A17" s="79" t="s">
        <v>178</v>
      </c>
      <c r="B17" s="90">
        <v>2011</v>
      </c>
      <c r="C17" s="92" t="s">
        <v>179</v>
      </c>
      <c r="D17" s="93" t="s">
        <v>179</v>
      </c>
      <c r="E17" s="92" t="s">
        <v>179</v>
      </c>
      <c r="F17" s="91" t="s">
        <v>179</v>
      </c>
      <c r="G17" s="128" t="s">
        <v>179</v>
      </c>
      <c r="H17" s="175" t="s">
        <v>179</v>
      </c>
      <c r="I17" s="167" t="s">
        <v>179</v>
      </c>
      <c r="J17" s="93" t="s">
        <v>179</v>
      </c>
      <c r="K17" s="98" t="s">
        <v>179</v>
      </c>
    </row>
    <row r="18" spans="1:15" ht="12.75" customHeight="1" x14ac:dyDescent="0.3">
      <c r="A18" s="79" t="s">
        <v>178</v>
      </c>
      <c r="B18" s="90">
        <v>2012</v>
      </c>
      <c r="C18" s="92" t="s">
        <v>179</v>
      </c>
      <c r="D18" s="93" t="s">
        <v>179</v>
      </c>
      <c r="E18" s="92" t="s">
        <v>179</v>
      </c>
      <c r="F18" s="91" t="s">
        <v>179</v>
      </c>
      <c r="G18" s="128" t="s">
        <v>179</v>
      </c>
      <c r="H18" s="175" t="s">
        <v>179</v>
      </c>
      <c r="I18" s="167" t="s">
        <v>179</v>
      </c>
      <c r="J18" s="93" t="s">
        <v>179</v>
      </c>
      <c r="K18" s="98" t="s">
        <v>179</v>
      </c>
    </row>
    <row r="19" spans="1:15" ht="12.75" customHeight="1" x14ac:dyDescent="0.3">
      <c r="A19" s="79" t="s">
        <v>178</v>
      </c>
      <c r="B19" s="90">
        <v>2013</v>
      </c>
      <c r="C19" s="92" t="s">
        <v>179</v>
      </c>
      <c r="D19" s="93" t="s">
        <v>179</v>
      </c>
      <c r="E19" s="92" t="s">
        <v>179</v>
      </c>
      <c r="F19" s="91" t="s">
        <v>179</v>
      </c>
      <c r="G19" s="128" t="s">
        <v>179</v>
      </c>
      <c r="H19" s="175" t="s">
        <v>179</v>
      </c>
      <c r="I19" s="167" t="s">
        <v>179</v>
      </c>
      <c r="J19" s="93" t="s">
        <v>179</v>
      </c>
      <c r="K19" s="98" t="s">
        <v>179</v>
      </c>
    </row>
    <row r="20" spans="1:15" ht="12.75" customHeight="1" x14ac:dyDescent="0.3">
      <c r="A20" s="79" t="s">
        <v>178</v>
      </c>
      <c r="B20" s="90">
        <v>2014</v>
      </c>
      <c r="C20" s="92" t="s">
        <v>179</v>
      </c>
      <c r="D20" s="93" t="s">
        <v>179</v>
      </c>
      <c r="E20" s="92" t="s">
        <v>179</v>
      </c>
      <c r="F20" s="91" t="s">
        <v>179</v>
      </c>
      <c r="G20" s="128" t="s">
        <v>179</v>
      </c>
      <c r="H20" s="175" t="s">
        <v>179</v>
      </c>
      <c r="I20" s="167" t="s">
        <v>179</v>
      </c>
      <c r="J20" s="93" t="s">
        <v>179</v>
      </c>
      <c r="K20" s="98" t="s">
        <v>179</v>
      </c>
    </row>
    <row r="21" spans="1:15" ht="12.75" customHeight="1" x14ac:dyDescent="0.3">
      <c r="A21" s="79" t="s">
        <v>178</v>
      </c>
      <c r="B21" s="90">
        <v>2015</v>
      </c>
      <c r="C21" s="92" t="s">
        <v>179</v>
      </c>
      <c r="D21" s="93" t="s">
        <v>179</v>
      </c>
      <c r="E21" s="92" t="s">
        <v>179</v>
      </c>
      <c r="F21" s="91" t="s">
        <v>179</v>
      </c>
      <c r="G21" s="128" t="s">
        <v>179</v>
      </c>
      <c r="H21" s="175" t="s">
        <v>179</v>
      </c>
      <c r="I21" s="167" t="s">
        <v>179</v>
      </c>
      <c r="J21" s="100" t="s">
        <v>179</v>
      </c>
      <c r="K21" s="98" t="s">
        <v>179</v>
      </c>
    </row>
    <row r="22" spans="1:15" ht="12.75" customHeight="1" x14ac:dyDescent="0.3">
      <c r="A22" s="79" t="s">
        <v>178</v>
      </c>
      <c r="B22" s="90">
        <v>2016</v>
      </c>
      <c r="C22" s="92" t="s">
        <v>179</v>
      </c>
      <c r="D22" s="93" t="s">
        <v>179</v>
      </c>
      <c r="E22" s="92" t="s">
        <v>179</v>
      </c>
      <c r="F22" s="166" t="s">
        <v>179</v>
      </c>
      <c r="G22" s="128" t="s">
        <v>179</v>
      </c>
      <c r="H22" s="165" t="s">
        <v>179</v>
      </c>
      <c r="I22" s="167" t="s">
        <v>179</v>
      </c>
      <c r="J22" s="100" t="s">
        <v>179</v>
      </c>
      <c r="K22" s="98" t="s">
        <v>179</v>
      </c>
    </row>
    <row r="23" spans="1:15" ht="12.75" customHeight="1" x14ac:dyDescent="0.3">
      <c r="A23" s="79" t="s">
        <v>178</v>
      </c>
      <c r="B23" s="90">
        <v>2017</v>
      </c>
      <c r="C23" s="92" t="s">
        <v>179</v>
      </c>
      <c r="D23" s="93" t="s">
        <v>179</v>
      </c>
      <c r="E23" s="92">
        <v>227</v>
      </c>
      <c r="F23" s="166" t="s">
        <v>179</v>
      </c>
      <c r="G23" s="128">
        <v>26.5</v>
      </c>
      <c r="H23" s="165" t="s">
        <v>179</v>
      </c>
      <c r="I23" s="167">
        <v>5</v>
      </c>
      <c r="J23" s="100" t="s">
        <v>179</v>
      </c>
      <c r="K23" s="98" t="s">
        <v>179</v>
      </c>
    </row>
    <row r="24" spans="1:15" ht="14.4" thickBot="1" x14ac:dyDescent="0.35">
      <c r="A24" s="79" t="s">
        <v>178</v>
      </c>
      <c r="B24" s="90">
        <v>2018</v>
      </c>
      <c r="C24" s="92" t="s">
        <v>179</v>
      </c>
      <c r="D24" s="93" t="s">
        <v>179</v>
      </c>
      <c r="E24" s="92">
        <v>227</v>
      </c>
      <c r="F24" s="166" t="s">
        <v>179</v>
      </c>
      <c r="G24" s="128">
        <v>26.5</v>
      </c>
      <c r="H24" s="165" t="s">
        <v>179</v>
      </c>
      <c r="I24" s="167">
        <v>5</v>
      </c>
      <c r="J24" s="100" t="s">
        <v>179</v>
      </c>
      <c r="K24" s="98" t="s">
        <v>179</v>
      </c>
      <c r="L24" s="79" t="s">
        <v>193</v>
      </c>
    </row>
    <row r="25" spans="1:15" x14ac:dyDescent="0.3">
      <c r="A25" s="79" t="s">
        <v>178</v>
      </c>
      <c r="B25" s="90">
        <v>2019</v>
      </c>
      <c r="C25" s="92">
        <v>889</v>
      </c>
      <c r="D25" s="93" t="s">
        <v>179</v>
      </c>
      <c r="E25" s="92">
        <v>233.5</v>
      </c>
      <c r="F25" s="166" t="s">
        <v>179</v>
      </c>
      <c r="G25" s="128">
        <v>28.5</v>
      </c>
      <c r="H25" s="165" t="s">
        <v>179</v>
      </c>
      <c r="I25" s="167">
        <v>5</v>
      </c>
      <c r="J25" s="100" t="s">
        <v>179</v>
      </c>
      <c r="K25" s="98" t="s">
        <v>179</v>
      </c>
      <c r="L25" s="174" t="s">
        <v>192</v>
      </c>
      <c r="M25" s="173" t="s">
        <v>191</v>
      </c>
      <c r="N25" s="173" t="s">
        <v>185</v>
      </c>
      <c r="O25" s="172" t="s">
        <v>184</v>
      </c>
    </row>
    <row r="26" spans="1:15" ht="14.4" thickBot="1" x14ac:dyDescent="0.35">
      <c r="A26" s="163"/>
      <c r="B26" s="90">
        <v>2020</v>
      </c>
      <c r="C26" s="92">
        <v>910.11964149647451</v>
      </c>
      <c r="D26" s="93">
        <v>0.70883456425378699</v>
      </c>
      <c r="E26" s="92">
        <v>233.06375490441718</v>
      </c>
      <c r="F26" s="166">
        <v>0.35091285078670725</v>
      </c>
      <c r="G26" s="128">
        <v>28.437210981818183</v>
      </c>
      <c r="H26" s="165">
        <v>0.10400808748445123</v>
      </c>
      <c r="I26" s="167">
        <v>4.9967532375038886</v>
      </c>
      <c r="J26" s="100">
        <v>3.4091327688878945E-2</v>
      </c>
      <c r="K26" s="98">
        <v>1.1978468302138243</v>
      </c>
      <c r="L26" s="171">
        <f>1388/2+200</f>
        <v>894</v>
      </c>
      <c r="M26" s="170">
        <f>45/2+190</f>
        <v>212.5</v>
      </c>
      <c r="N26" s="169">
        <v>28</v>
      </c>
      <c r="O26" s="133">
        <v>5</v>
      </c>
    </row>
    <row r="27" spans="1:15" x14ac:dyDescent="0.3">
      <c r="A27" s="163"/>
      <c r="B27" s="90">
        <v>2021</v>
      </c>
      <c r="C27" s="92">
        <v>944.61560227719042</v>
      </c>
      <c r="D27" s="93">
        <v>0.64520257755846444</v>
      </c>
      <c r="E27" s="92">
        <v>234.02707489802475</v>
      </c>
      <c r="F27" s="166">
        <v>0.34952267971160872</v>
      </c>
      <c r="G27" s="128">
        <v>28.369318855782392</v>
      </c>
      <c r="H27" s="165">
        <v>0.1030050811271012</v>
      </c>
      <c r="I27" s="167">
        <v>5.0191323467490543</v>
      </c>
      <c r="J27" s="100">
        <v>2.4912574956942463E-2</v>
      </c>
      <c r="K27" s="98">
        <v>1.1226429133541169</v>
      </c>
    </row>
    <row r="28" spans="1:15" x14ac:dyDescent="0.3">
      <c r="A28" s="163"/>
      <c r="B28" s="90">
        <v>2022</v>
      </c>
      <c r="C28" s="92">
        <v>997.03095298534083</v>
      </c>
      <c r="D28" s="93">
        <v>0.68298739389258656</v>
      </c>
      <c r="E28" s="92">
        <v>235.65264736952125</v>
      </c>
      <c r="F28" s="166">
        <v>0.34800607064432804</v>
      </c>
      <c r="G28" s="128">
        <v>28.273326590930129</v>
      </c>
      <c r="H28" s="165">
        <v>0.10158676902143408</v>
      </c>
      <c r="I28" s="167">
        <v>5.079688728521683</v>
      </c>
      <c r="J28" s="100">
        <v>2.9509814364758628E-2</v>
      </c>
      <c r="K28" s="98">
        <v>1.1620900479231071</v>
      </c>
    </row>
    <row r="29" spans="1:15" x14ac:dyDescent="0.3">
      <c r="A29" s="163"/>
      <c r="B29" s="90">
        <v>2023</v>
      </c>
      <c r="C29" s="92">
        <v>1071.3147906676352</v>
      </c>
      <c r="D29" s="93">
        <v>0.7308314257691112</v>
      </c>
      <c r="E29" s="92">
        <v>238.07316271253745</v>
      </c>
      <c r="F29" s="166">
        <v>0.34578397051511645</v>
      </c>
      <c r="G29" s="128">
        <v>28.146552162963225</v>
      </c>
      <c r="H29" s="165">
        <v>9.9543056172889319E-2</v>
      </c>
      <c r="I29" s="167">
        <v>5.1649572468539438</v>
      </c>
      <c r="J29" s="100">
        <v>3.4098125567527893E-2</v>
      </c>
      <c r="K29" s="98">
        <v>1.2102565780246448</v>
      </c>
    </row>
    <row r="30" spans="1:15" x14ac:dyDescent="0.3">
      <c r="A30" s="163"/>
      <c r="B30" s="90">
        <v>2024</v>
      </c>
      <c r="C30" s="92">
        <v>1161.8542412023669</v>
      </c>
      <c r="D30" s="93">
        <v>0.7873025048585427</v>
      </c>
      <c r="E30" s="92">
        <v>242.14650471009776</v>
      </c>
      <c r="F30" s="166">
        <v>0.3513805857651176</v>
      </c>
      <c r="G30" s="128">
        <v>28.006170643835596</v>
      </c>
      <c r="H30" s="165">
        <v>9.903543287184717E-2</v>
      </c>
      <c r="I30" s="167">
        <v>5.2910979245296446</v>
      </c>
      <c r="J30" s="100">
        <v>3.4935050934655432E-2</v>
      </c>
      <c r="K30" s="98">
        <v>1.272653574430163</v>
      </c>
    </row>
    <row r="31" spans="1:15" x14ac:dyDescent="0.3">
      <c r="A31" s="163"/>
      <c r="B31" s="90">
        <v>2025</v>
      </c>
      <c r="C31" s="92">
        <v>1263.7412279036357</v>
      </c>
      <c r="D31" s="93">
        <v>0.84355407700335405</v>
      </c>
      <c r="E31" s="92">
        <v>248.69789952983874</v>
      </c>
      <c r="F31" s="166">
        <v>0.35926223389099032</v>
      </c>
      <c r="G31" s="128">
        <v>27.864815101587865</v>
      </c>
      <c r="H31" s="165">
        <v>9.8170103198176914E-2</v>
      </c>
      <c r="I31" s="167">
        <v>5.3881781078179607</v>
      </c>
      <c r="J31" s="100">
        <v>3.5452301390494739E-2</v>
      </c>
      <c r="K31" s="98">
        <v>1.3364387154830162</v>
      </c>
    </row>
    <row r="32" spans="1:15" x14ac:dyDescent="0.3">
      <c r="A32" s="163"/>
      <c r="B32" s="90">
        <v>2026</v>
      </c>
      <c r="C32" s="92">
        <v>1353.6685203773466</v>
      </c>
      <c r="D32" s="93">
        <v>0.89202626373540583</v>
      </c>
      <c r="E32" s="92">
        <v>258.7640973591993</v>
      </c>
      <c r="F32" s="166">
        <v>0.37035282555730997</v>
      </c>
      <c r="G32" s="128">
        <v>27.738399566288585</v>
      </c>
      <c r="H32" s="165">
        <v>9.6899904315057475E-2</v>
      </c>
      <c r="I32" s="167">
        <v>5.5407856530327875</v>
      </c>
      <c r="J32" s="100">
        <v>3.6157084562436596E-2</v>
      </c>
      <c r="K32" s="98">
        <v>1.39543607817021</v>
      </c>
    </row>
    <row r="33" spans="1:11" x14ac:dyDescent="0.3">
      <c r="A33" s="163"/>
      <c r="B33" s="90">
        <v>2027</v>
      </c>
      <c r="C33" s="92">
        <v>1484.8194306076264</v>
      </c>
      <c r="D33" s="93">
        <v>0.96423481552988399</v>
      </c>
      <c r="E33" s="92">
        <v>273.57983071739841</v>
      </c>
      <c r="F33" s="166">
        <v>0.37882153630859861</v>
      </c>
      <c r="G33" s="128">
        <v>27.646804049600512</v>
      </c>
      <c r="H33" s="165">
        <v>9.351318552838242E-2</v>
      </c>
      <c r="I33" s="167">
        <v>5.7699241243858346</v>
      </c>
      <c r="J33" s="100">
        <v>3.6465218861525109E-2</v>
      </c>
      <c r="K33" s="98">
        <v>1.4730347562283901</v>
      </c>
    </row>
    <row r="34" spans="1:11" x14ac:dyDescent="0.3">
      <c r="A34" s="163"/>
      <c r="B34" s="90">
        <v>2028</v>
      </c>
      <c r="C34" s="92">
        <v>1627.5245543936953</v>
      </c>
      <c r="D34" s="93">
        <v>1.050923145101575</v>
      </c>
      <c r="E34" s="92">
        <v>294.52263593250643</v>
      </c>
      <c r="F34" s="166">
        <v>0.40056431913319895</v>
      </c>
      <c r="G34" s="128">
        <v>27.614682619519137</v>
      </c>
      <c r="H34" s="165">
        <v>9.1815996969033364E-2</v>
      </c>
      <c r="I34" s="167">
        <v>6.1021375635998467</v>
      </c>
      <c r="J34" s="100">
        <v>3.7917683319878895E-2</v>
      </c>
      <c r="K34" s="98">
        <v>1.5812211445236861</v>
      </c>
    </row>
    <row r="35" spans="1:11" x14ac:dyDescent="0.3">
      <c r="A35" s="163"/>
      <c r="B35" s="90">
        <v>2029</v>
      </c>
      <c r="C35" s="92">
        <v>1790.2678766290833</v>
      </c>
      <c r="D35" s="93">
        <v>1.1607548982181675</v>
      </c>
      <c r="E35" s="92">
        <v>323.01143730449201</v>
      </c>
      <c r="F35" s="166">
        <v>0.43890933937412113</v>
      </c>
      <c r="G35" s="128">
        <v>27.672401548244682</v>
      </c>
      <c r="H35" s="165">
        <v>9.199754283528537E-2</v>
      </c>
      <c r="I35" s="167">
        <v>6.570576970888844</v>
      </c>
      <c r="J35" s="100">
        <v>4.083335686412401E-2</v>
      </c>
      <c r="K35" s="98">
        <v>1.7324951372916979</v>
      </c>
    </row>
    <row r="36" spans="1:11" x14ac:dyDescent="0.3">
      <c r="A36" s="163"/>
      <c r="B36" s="90">
        <v>2030</v>
      </c>
      <c r="C36" s="92">
        <v>1973.2355347095249</v>
      </c>
      <c r="D36" s="93">
        <v>1.2877455101070745</v>
      </c>
      <c r="E36" s="92">
        <v>360.37043866478507</v>
      </c>
      <c r="F36" s="166">
        <v>0.48922546754237295</v>
      </c>
      <c r="G36" s="128">
        <v>27.857106519783965</v>
      </c>
      <c r="H36" s="165">
        <v>9.2601165964731849E-2</v>
      </c>
      <c r="I36" s="167">
        <v>7.2160939510086584</v>
      </c>
      <c r="J36" s="100">
        <v>4.4850317900763569E-2</v>
      </c>
      <c r="K36" s="98">
        <v>1.914422461514943</v>
      </c>
    </row>
    <row r="37" spans="1:11" x14ac:dyDescent="0.3">
      <c r="A37" s="163"/>
      <c r="B37" s="90">
        <v>2031</v>
      </c>
      <c r="C37" s="92">
        <v>2148.9147168715831</v>
      </c>
      <c r="D37" s="93">
        <v>1.3985363072606141</v>
      </c>
      <c r="E37" s="92">
        <v>404.90587595111157</v>
      </c>
      <c r="F37" s="166">
        <v>0.54907679978683677</v>
      </c>
      <c r="G37" s="128">
        <v>28.153354741036864</v>
      </c>
      <c r="H37" s="165">
        <v>9.3573181128750169E-2</v>
      </c>
      <c r="I37" s="167">
        <v>8.0461593962234321</v>
      </c>
      <c r="J37" s="100">
        <v>5.0016651302594972E-2</v>
      </c>
      <c r="K37" s="98">
        <v>2.0912029394787961</v>
      </c>
    </row>
    <row r="38" spans="1:11" x14ac:dyDescent="0.3">
      <c r="A38" s="163"/>
      <c r="B38" s="90">
        <v>2032</v>
      </c>
      <c r="C38" s="92">
        <v>2315.2540316365416</v>
      </c>
      <c r="D38" s="93">
        <v>1.5026345056793677</v>
      </c>
      <c r="E38" s="92">
        <v>456.56388865654333</v>
      </c>
      <c r="F38" s="166">
        <v>0.61844225639024097</v>
      </c>
      <c r="G38" s="128">
        <v>28.617471336238843</v>
      </c>
      <c r="H38" s="165">
        <v>9.5102795100354021E-2</v>
      </c>
      <c r="I38" s="167">
        <v>9.1065497147442507</v>
      </c>
      <c r="J38" s="100">
        <v>5.6616428134025114E-2</v>
      </c>
      <c r="K38" s="98">
        <v>2.2727959853039881</v>
      </c>
    </row>
    <row r="39" spans="1:11" x14ac:dyDescent="0.3">
      <c r="A39" s="163"/>
      <c r="B39" s="90">
        <v>2033</v>
      </c>
      <c r="C39" s="92">
        <v>2471.4158781047145</v>
      </c>
      <c r="D39" s="93">
        <v>1.5916644764035219</v>
      </c>
      <c r="E39" s="92">
        <v>514.88649506027639</v>
      </c>
      <c r="F39" s="166">
        <v>0.6775800511732667</v>
      </c>
      <c r="G39" s="128">
        <v>29.316386131064203</v>
      </c>
      <c r="H39" s="165">
        <v>9.4742905087934329E-2</v>
      </c>
      <c r="I39" s="167">
        <v>10.449292750439817</v>
      </c>
      <c r="J39" s="100">
        <v>6.3193379263238827E-2</v>
      </c>
      <c r="K39" s="98">
        <v>2.4271808119279616</v>
      </c>
    </row>
    <row r="40" spans="1:11" x14ac:dyDescent="0.3">
      <c r="A40" s="163"/>
      <c r="B40" s="90">
        <v>2034</v>
      </c>
      <c r="C40" s="92">
        <v>2616.7962180524646</v>
      </c>
      <c r="D40" s="93">
        <v>1.6580983140564627</v>
      </c>
      <c r="E40" s="92">
        <v>579.07208956086333</v>
      </c>
      <c r="F40" s="166">
        <v>0.74178337610037171</v>
      </c>
      <c r="G40" s="128">
        <v>30.328486504205301</v>
      </c>
      <c r="H40" s="165">
        <v>9.5500491931435422E-2</v>
      </c>
      <c r="I40" s="167">
        <v>12.131819868038388</v>
      </c>
      <c r="J40" s="100">
        <v>7.1507415570462154E-2</v>
      </c>
      <c r="K40" s="98">
        <v>2.566889597658732</v>
      </c>
    </row>
    <row r="41" spans="1:11" x14ac:dyDescent="0.3">
      <c r="A41" s="163"/>
      <c r="B41" s="90">
        <v>2035</v>
      </c>
      <c r="C41" s="92">
        <v>2749.950882769544</v>
      </c>
      <c r="D41" s="93">
        <v>1.7302040651972181</v>
      </c>
      <c r="E41" s="92">
        <v>648.07418030888095</v>
      </c>
      <c r="F41" s="166">
        <v>0.82925129621442484</v>
      </c>
      <c r="G41" s="128">
        <v>31.744164722418848</v>
      </c>
      <c r="H41" s="165">
        <v>9.9944645903956936E-2</v>
      </c>
      <c r="I41" s="167">
        <v>14.215310611413161</v>
      </c>
      <c r="J41" s="100">
        <v>8.3800011711654798E-2</v>
      </c>
      <c r="K41" s="98">
        <v>2.7432000190272547</v>
      </c>
    </row>
    <row r="42" spans="1:11" x14ac:dyDescent="0.3">
      <c r="A42" s="163"/>
      <c r="B42" s="90">
        <v>2036</v>
      </c>
      <c r="C42" s="92">
        <v>2869.4393959536501</v>
      </c>
      <c r="D42" s="93">
        <v>1.8003468490173737</v>
      </c>
      <c r="E42" s="92">
        <v>720.71022031155621</v>
      </c>
      <c r="F42" s="166">
        <v>0.9211673989081669</v>
      </c>
      <c r="G42" s="128">
        <v>33.665861770025309</v>
      </c>
      <c r="H42" s="165">
        <v>0.10598053715996053</v>
      </c>
      <c r="I42" s="167">
        <v>16.762110313647572</v>
      </c>
      <c r="J42" s="100">
        <v>9.8827772788143947E-2</v>
      </c>
      <c r="K42" s="98">
        <v>2.9263225578736454</v>
      </c>
    </row>
    <row r="43" spans="1:11" x14ac:dyDescent="0.3">
      <c r="A43" s="163"/>
      <c r="B43" s="90">
        <v>2037</v>
      </c>
      <c r="C43" s="92">
        <v>2974.7648575861922</v>
      </c>
      <c r="D43" s="93">
        <v>1.8612088321952101</v>
      </c>
      <c r="E43" s="92">
        <v>795.75858306769317</v>
      </c>
      <c r="F43" s="166">
        <v>1.015956492556084</v>
      </c>
      <c r="G43" s="128">
        <v>36.207369629573286</v>
      </c>
      <c r="H43" s="165">
        <v>0.11396568334767442</v>
      </c>
      <c r="I43" s="167">
        <v>19.832219800813096</v>
      </c>
      <c r="J43" s="100">
        <v>0.11694568972686338</v>
      </c>
      <c r="K43" s="98">
        <v>3.1080766978258318</v>
      </c>
    </row>
    <row r="44" spans="1:11" x14ac:dyDescent="0.3">
      <c r="A44" s="163"/>
      <c r="B44" s="90">
        <v>2038</v>
      </c>
      <c r="C44" s="92">
        <v>3066.3596333348951</v>
      </c>
      <c r="D44" s="93">
        <v>1.9053431887213947</v>
      </c>
      <c r="E44" s="92">
        <v>872.03259508458518</v>
      </c>
      <c r="F44" s="166">
        <v>1.0907500813687583</v>
      </c>
      <c r="G44" s="128">
        <v>39.492133127163839</v>
      </c>
      <c r="H44" s="165">
        <v>0.12190228546326898</v>
      </c>
      <c r="I44" s="167">
        <v>23.479031142896421</v>
      </c>
      <c r="J44" s="100">
        <v>0.13581227743702282</v>
      </c>
      <c r="K44" s="98">
        <v>3.2538078329904447</v>
      </c>
    </row>
    <row r="45" spans="1:11" x14ac:dyDescent="0.3">
      <c r="A45" s="163"/>
      <c r="B45" s="90">
        <v>2039</v>
      </c>
      <c r="C45" s="92">
        <v>3145.3746007004829</v>
      </c>
      <c r="D45" s="93">
        <v>1.9437985135064193</v>
      </c>
      <c r="E45" s="92">
        <v>948.42993031505023</v>
      </c>
      <c r="F45" s="166">
        <v>1.1715614015315847</v>
      </c>
      <c r="G45" s="128">
        <v>43.650307813393681</v>
      </c>
      <c r="H45" s="165">
        <v>0.1331931049408204</v>
      </c>
      <c r="I45" s="167">
        <v>27.74468516824443</v>
      </c>
      <c r="J45" s="100">
        <v>0.15869150256523845</v>
      </c>
      <c r="K45" s="98">
        <v>3.4072445225440631</v>
      </c>
    </row>
    <row r="46" spans="1:11" x14ac:dyDescent="0.3">
      <c r="A46" s="163"/>
      <c r="B46" s="90">
        <v>2040</v>
      </c>
      <c r="C46" s="92">
        <v>3211.3804687193706</v>
      </c>
      <c r="D46" s="93">
        <v>1.9737107797197335</v>
      </c>
      <c r="E46" s="92">
        <v>1023.9610834122275</v>
      </c>
      <c r="F46" s="166">
        <v>1.2497794126230712</v>
      </c>
      <c r="G46" s="128">
        <v>48.814399819379588</v>
      </c>
      <c r="H46" s="165">
        <v>0.14731906052441082</v>
      </c>
      <c r="I46" s="167">
        <v>32.655601389618141</v>
      </c>
      <c r="J46" s="100">
        <v>0.18478637459100791</v>
      </c>
      <c r="K46" s="98">
        <v>3.5555956274582234</v>
      </c>
    </row>
    <row r="47" spans="1:11" x14ac:dyDescent="0.3">
      <c r="A47" s="163"/>
      <c r="B47" s="90">
        <v>2041</v>
      </c>
      <c r="C47" s="92">
        <v>3274.6719920773025</v>
      </c>
      <c r="D47" s="93">
        <v>1.9949353634011981</v>
      </c>
      <c r="E47" s="92">
        <v>1101.6127409520648</v>
      </c>
      <c r="F47" s="166">
        <v>1.329316690255248</v>
      </c>
      <c r="G47" s="128">
        <v>54.948510111511538</v>
      </c>
      <c r="H47" s="165">
        <v>0.16407621762791033</v>
      </c>
      <c r="I47" s="167">
        <v>37.966776039871434</v>
      </c>
      <c r="J47" s="100">
        <v>0.21256644386852402</v>
      </c>
      <c r="K47" s="98">
        <v>3.7008947151528804</v>
      </c>
    </row>
    <row r="48" spans="1:11" x14ac:dyDescent="0.3">
      <c r="A48" s="163"/>
      <c r="B48" s="90">
        <v>2042</v>
      </c>
      <c r="C48" s="88">
        <v>3333.7700371490951</v>
      </c>
      <c r="D48" s="89">
        <v>2.0129062441318073</v>
      </c>
      <c r="E48" s="88">
        <v>1181.010031239899</v>
      </c>
      <c r="F48" s="166">
        <v>1.4094475625508969</v>
      </c>
      <c r="G48" s="96">
        <v>62.126342098122677</v>
      </c>
      <c r="H48" s="165">
        <v>0.18360762490195459</v>
      </c>
      <c r="I48" s="164">
        <v>43.632039669925895</v>
      </c>
      <c r="J48" s="100">
        <v>0.24178074779364722</v>
      </c>
      <c r="K48" s="98">
        <v>3.8477421793783058</v>
      </c>
    </row>
    <row r="49" spans="1:11" x14ac:dyDescent="0.3">
      <c r="A49" s="163"/>
      <c r="B49" s="90">
        <v>2043</v>
      </c>
      <c r="C49" s="88">
        <v>3389.5175404304832</v>
      </c>
      <c r="D49" s="89">
        <v>2.0282533252766761</v>
      </c>
      <c r="E49" s="88">
        <v>1261.8562413577215</v>
      </c>
      <c r="F49" s="166">
        <v>1.4899814080963232</v>
      </c>
      <c r="G49" s="96">
        <v>70.407579681830342</v>
      </c>
      <c r="H49" s="165">
        <v>0.20603434071017801</v>
      </c>
      <c r="I49" s="164">
        <v>49.591655788319059</v>
      </c>
      <c r="J49" s="100">
        <v>0.27210096247570248</v>
      </c>
      <c r="K49" s="98">
        <v>3.9963700365588801</v>
      </c>
    </row>
    <row r="50" spans="1:11" x14ac:dyDescent="0.3">
      <c r="A50" s="163"/>
      <c r="B50" s="90">
        <v>2044</v>
      </c>
      <c r="C50" s="88">
        <v>3442.9694840493053</v>
      </c>
      <c r="D50" s="89">
        <v>2.0418283195009233</v>
      </c>
      <c r="E50" s="88">
        <v>1343.9211416494882</v>
      </c>
      <c r="F50" s="166">
        <v>1.5711046378335576</v>
      </c>
      <c r="G50" s="96">
        <v>79.83320822965446</v>
      </c>
      <c r="H50" s="165">
        <v>0.23146963165432294</v>
      </c>
      <c r="I50" s="164">
        <v>55.77546935663522</v>
      </c>
      <c r="J50" s="100">
        <v>0.30321797548964063</v>
      </c>
      <c r="K50" s="98">
        <v>4.1476205644784443</v>
      </c>
    </row>
    <row r="51" spans="1:11" x14ac:dyDescent="0.3">
      <c r="A51" s="163"/>
      <c r="B51" s="90">
        <v>2045</v>
      </c>
      <c r="C51" s="88">
        <v>3493.5693761129564</v>
      </c>
      <c r="D51" s="89">
        <v>2.0533436092107547</v>
      </c>
      <c r="E51" s="88">
        <v>1427.029827864206</v>
      </c>
      <c r="F51" s="166">
        <v>1.652639540265725</v>
      </c>
      <c r="G51" s="96">
        <v>90.421579431406485</v>
      </c>
      <c r="H51" s="165">
        <v>0.2599120574311452</v>
      </c>
      <c r="I51" s="164">
        <v>62.106722811123504</v>
      </c>
      <c r="J51" s="100">
        <v>0.33472968111535872</v>
      </c>
      <c r="K51" s="98">
        <v>4.300624888022984</v>
      </c>
    </row>
    <row r="52" spans="1:11" x14ac:dyDescent="0.3">
      <c r="A52" s="163"/>
      <c r="B52" s="90">
        <v>2046</v>
      </c>
      <c r="C52" s="88">
        <v>3540.3977334308788</v>
      </c>
      <c r="D52" s="89">
        <v>2.0632929646304516</v>
      </c>
      <c r="E52" s="88">
        <v>1511.0527566244075</v>
      </c>
      <c r="F52" s="166">
        <v>1.7369492690843096</v>
      </c>
      <c r="G52" s="96">
        <v>102.16572902167594</v>
      </c>
      <c r="H52" s="165">
        <v>0.29171071556574191</v>
      </c>
      <c r="I52" s="164">
        <v>68.50603648362025</v>
      </c>
      <c r="J52" s="100">
        <v>0.36675602562448695</v>
      </c>
      <c r="K52" s="98">
        <v>4.4587089749049902</v>
      </c>
    </row>
    <row r="53" spans="1:11" x14ac:dyDescent="0.3">
      <c r="A53" s="163"/>
      <c r="B53" s="90">
        <v>2047</v>
      </c>
      <c r="C53" s="88">
        <v>3583.7232992212848</v>
      </c>
      <c r="D53" s="89">
        <v>2.0719433700074443</v>
      </c>
      <c r="E53" s="88">
        <v>1595.897209479956</v>
      </c>
      <c r="F53" s="166">
        <v>1.8241342763019763</v>
      </c>
      <c r="G53" s="96">
        <v>115.03232703935305</v>
      </c>
      <c r="H53" s="165">
        <v>0.32684516941010361</v>
      </c>
      <c r="I53" s="164">
        <v>74.895102784560208</v>
      </c>
      <c r="J53" s="100">
        <v>0.3990036407749149</v>
      </c>
      <c r="K53" s="98">
        <v>4.6219264564944389</v>
      </c>
    </row>
    <row r="54" spans="1:11" x14ac:dyDescent="0.3">
      <c r="A54" s="163"/>
      <c r="B54" s="90">
        <v>2048</v>
      </c>
      <c r="C54" s="88">
        <v>3623.6991587209868</v>
      </c>
      <c r="D54" s="89">
        <v>2.0792289944376905</v>
      </c>
      <c r="E54" s="88">
        <v>1681.5001761775354</v>
      </c>
      <c r="F54" s="166">
        <v>1.9137372523154492</v>
      </c>
      <c r="G54" s="96">
        <v>128.96242917336852</v>
      </c>
      <c r="H54" s="165">
        <v>0.36513189103615845</v>
      </c>
      <c r="I54" s="164">
        <v>81.199771646950893</v>
      </c>
      <c r="J54" s="100">
        <v>0.43106488014376143</v>
      </c>
      <c r="K54" s="98">
        <v>4.7891630179330598</v>
      </c>
    </row>
    <row r="55" spans="1:11" x14ac:dyDescent="0.3">
      <c r="A55" s="163"/>
      <c r="B55" s="90">
        <v>2049</v>
      </c>
      <c r="C55" s="88">
        <v>3660.7312002834442</v>
      </c>
      <c r="D55" s="89">
        <v>2.0845934529176628</v>
      </c>
      <c r="E55" s="88">
        <v>1767.8225277631618</v>
      </c>
      <c r="F55" s="166">
        <v>2.0036638232429667</v>
      </c>
      <c r="G55" s="96">
        <v>143.87395032413011</v>
      </c>
      <c r="H55" s="165">
        <v>0.40597629160437043</v>
      </c>
      <c r="I55" s="164">
        <v>87.35235986411071</v>
      </c>
      <c r="J55" s="100">
        <v>0.46216219615280107</v>
      </c>
      <c r="K55" s="98">
        <v>4.9563957639178007</v>
      </c>
    </row>
    <row r="56" spans="1:11" x14ac:dyDescent="0.3">
      <c r="A56" s="163"/>
      <c r="B56" s="90">
        <v>2050</v>
      </c>
      <c r="C56" s="96">
        <v>3694.9772848205866</v>
      </c>
      <c r="D56" s="97">
        <v>2.0880618254702155</v>
      </c>
      <c r="E56" s="96">
        <v>1854.8443036399192</v>
      </c>
      <c r="F56" s="166">
        <v>2.0936293634450096</v>
      </c>
      <c r="G56" s="96">
        <v>159.66555452820558</v>
      </c>
      <c r="H56" s="165">
        <v>0.44902164936814176</v>
      </c>
      <c r="I56" s="168">
        <v>93.293157363326429</v>
      </c>
      <c r="J56" s="152">
        <v>0.49193430665694571</v>
      </c>
      <c r="K56" s="98">
        <v>5.1226471449403128</v>
      </c>
    </row>
    <row r="57" spans="1:11" x14ac:dyDescent="0.3">
      <c r="A57" s="163"/>
      <c r="B57" s="90">
        <v>2051</v>
      </c>
      <c r="C57" s="92">
        <v>3730.150698747786</v>
      </c>
      <c r="D57" s="93">
        <v>2.091901119298667</v>
      </c>
      <c r="E57" s="92">
        <v>1940.1136065980829</v>
      </c>
      <c r="F57" s="166">
        <v>2.181288583860324</v>
      </c>
      <c r="G57" s="128">
        <v>175.92391391936394</v>
      </c>
      <c r="H57" s="165">
        <v>0.49318084414896979</v>
      </c>
      <c r="I57" s="167">
        <v>100.38899463531597</v>
      </c>
      <c r="J57" s="100">
        <v>0.52767764783748472</v>
      </c>
      <c r="K57" s="98">
        <v>5.2940481951454457</v>
      </c>
    </row>
    <row r="58" spans="1:11" x14ac:dyDescent="0.3">
      <c r="A58" s="163"/>
      <c r="B58" s="90">
        <v>2052</v>
      </c>
      <c r="C58" s="88">
        <v>3766.2941214631792</v>
      </c>
      <c r="D58" s="89">
        <v>2.0960539373229436</v>
      </c>
      <c r="E58" s="88">
        <v>2023.8091735623341</v>
      </c>
      <c r="F58" s="166">
        <v>2.2667003409726099</v>
      </c>
      <c r="G58" s="96">
        <v>192.52860616503722</v>
      </c>
      <c r="H58" s="165">
        <v>0.53808027910754863</v>
      </c>
      <c r="I58" s="164">
        <v>108.58148101245717</v>
      </c>
      <c r="J58" s="100">
        <v>0.56899551292209383</v>
      </c>
      <c r="K58" s="98">
        <v>5.4698300703251963</v>
      </c>
    </row>
    <row r="59" spans="1:11" x14ac:dyDescent="0.3">
      <c r="A59" s="163"/>
      <c r="B59" s="90">
        <v>2053</v>
      </c>
      <c r="C59" s="88">
        <v>3803.6956692327904</v>
      </c>
      <c r="D59" s="89">
        <v>2.10064144936154</v>
      </c>
      <c r="E59" s="88">
        <v>2106.1059626692181</v>
      </c>
      <c r="F59" s="166">
        <v>2.3500236932184224</v>
      </c>
      <c r="G59" s="96">
        <v>209.36156185136093</v>
      </c>
      <c r="H59" s="165">
        <v>0.58337577101834726</v>
      </c>
      <c r="I59" s="164">
        <v>117.81112629744644</v>
      </c>
      <c r="J59" s="100">
        <v>0.61551553473949505</v>
      </c>
      <c r="K59" s="98">
        <v>5.6495564483378047</v>
      </c>
    </row>
    <row r="60" spans="1:11" x14ac:dyDescent="0.3">
      <c r="A60" s="163"/>
      <c r="B60" s="90">
        <v>2054</v>
      </c>
      <c r="C60" s="88">
        <v>3842.848519623315</v>
      </c>
      <c r="D60" s="89">
        <v>2.1059301440743945</v>
      </c>
      <c r="E60" s="88">
        <v>2187.1737145775282</v>
      </c>
      <c r="F60" s="166">
        <v>2.4315127012459872</v>
      </c>
      <c r="G60" s="96">
        <v>226.31096537328114</v>
      </c>
      <c r="H60" s="165">
        <v>0.62876837149488318</v>
      </c>
      <c r="I60" s="164">
        <v>128.01902996569964</v>
      </c>
      <c r="J60" s="100">
        <v>0.66690027198128898</v>
      </c>
      <c r="K60" s="98">
        <v>5.8331114887965532</v>
      </c>
    </row>
    <row r="61" spans="1:11" x14ac:dyDescent="0.3">
      <c r="A61" s="163"/>
      <c r="B61" s="90">
        <v>2055</v>
      </c>
      <c r="C61" s="88">
        <v>3883.7205640089505</v>
      </c>
      <c r="D61" s="89">
        <v>2.1118686201015691</v>
      </c>
      <c r="E61" s="88">
        <v>2267.1760400311159</v>
      </c>
      <c r="F61" s="166">
        <v>2.5113409335976802</v>
      </c>
      <c r="G61" s="96">
        <v>243.27419451240573</v>
      </c>
      <c r="H61" s="165">
        <v>0.67397062245967554</v>
      </c>
      <c r="I61" s="164">
        <v>139.14815030611464</v>
      </c>
      <c r="J61" s="100">
        <v>0.72280913567423855</v>
      </c>
      <c r="K61" s="98">
        <v>6.0199893118331635</v>
      </c>
    </row>
    <row r="62" spans="1:11" x14ac:dyDescent="0.3">
      <c r="A62" s="163"/>
      <c r="B62" s="90">
        <v>2056</v>
      </c>
      <c r="C62" s="88">
        <v>3925.6040854522294</v>
      </c>
      <c r="D62" s="89">
        <v>2.1181422048590219</v>
      </c>
      <c r="E62" s="88">
        <v>2346.2698945136804</v>
      </c>
      <c r="F62" s="166">
        <v>2.5899718487242773</v>
      </c>
      <c r="G62" s="96">
        <v>260.15978145897833</v>
      </c>
      <c r="H62" s="165">
        <v>0.71881088646167435</v>
      </c>
      <c r="I62" s="164">
        <v>151.14419908244079</v>
      </c>
      <c r="J62" s="100">
        <v>0.78300988086565504</v>
      </c>
      <c r="K62" s="98">
        <v>6.2099348209106289</v>
      </c>
    </row>
    <row r="63" spans="1:11" x14ac:dyDescent="0.3">
      <c r="A63" s="163"/>
      <c r="B63" s="90">
        <v>2057</v>
      </c>
      <c r="C63" s="88">
        <v>3968.2454598965987</v>
      </c>
      <c r="D63" s="89">
        <v>2.1243717516623031</v>
      </c>
      <c r="E63" s="88">
        <v>2424.6053345081737</v>
      </c>
      <c r="F63" s="166">
        <v>2.6668953651671634</v>
      </c>
      <c r="G63" s="96">
        <v>276.88847686923731</v>
      </c>
      <c r="H63" s="165">
        <v>0.76288730781920822</v>
      </c>
      <c r="I63" s="164">
        <v>163.95622184064146</v>
      </c>
      <c r="J63" s="100">
        <v>0.84700247885780033</v>
      </c>
      <c r="K63" s="98">
        <v>6.4011569035064753</v>
      </c>
    </row>
    <row r="64" spans="1:11" x14ac:dyDescent="0.3">
      <c r="A64" s="163"/>
      <c r="B64" s="90">
        <v>2058</v>
      </c>
      <c r="C64" s="88">
        <v>4011.5948788451842</v>
      </c>
      <c r="D64" s="89">
        <v>2.1307066723619683</v>
      </c>
      <c r="E64" s="88">
        <v>2502.3254759221704</v>
      </c>
      <c r="F64" s="166">
        <v>2.7428414234274223</v>
      </c>
      <c r="G64" s="96">
        <v>293.39355836610969</v>
      </c>
      <c r="H64" s="165">
        <v>0.80617902611873038</v>
      </c>
      <c r="I64" s="164">
        <v>177.53692679825386</v>
      </c>
      <c r="J64" s="100">
        <v>0.91468359647655129</v>
      </c>
      <c r="K64" s="98">
        <v>6.5944107183846716</v>
      </c>
    </row>
    <row r="65" spans="1:11" x14ac:dyDescent="0.3">
      <c r="A65" s="163"/>
      <c r="B65" s="90">
        <v>2059</v>
      </c>
      <c r="C65" s="88">
        <v>4056.2160917637425</v>
      </c>
      <c r="D65" s="89">
        <v>2.1373321141682009</v>
      </c>
      <c r="E65" s="88">
        <v>2579.566595202793</v>
      </c>
      <c r="F65" s="166">
        <v>2.8176560792791308</v>
      </c>
      <c r="G65" s="96">
        <v>309.62054999933378</v>
      </c>
      <c r="H65" s="165">
        <v>0.8484548216336244</v>
      </c>
      <c r="I65" s="164">
        <v>191.84282104903048</v>
      </c>
      <c r="J65" s="100">
        <v>0.98570229662079556</v>
      </c>
      <c r="K65" s="98">
        <v>6.7891453117017511</v>
      </c>
    </row>
    <row r="66" spans="1:11" ht="14.4" thickBot="1" x14ac:dyDescent="0.35">
      <c r="A66" s="163"/>
      <c r="B66" s="85">
        <v>2060</v>
      </c>
      <c r="C66" s="83">
        <v>4102.0661667805343</v>
      </c>
      <c r="D66" s="84">
        <v>2.1444441138429915</v>
      </c>
      <c r="E66" s="83">
        <v>2656.4583288567701</v>
      </c>
      <c r="F66" s="162">
        <v>2.8922220328659236</v>
      </c>
      <c r="G66" s="83">
        <v>325.52651829080054</v>
      </c>
      <c r="H66" s="161">
        <v>0.88982918575355474</v>
      </c>
      <c r="I66" s="160">
        <v>206.83420510322105</v>
      </c>
      <c r="J66" s="148">
        <v>1.0600928532604754</v>
      </c>
      <c r="K66" s="159">
        <v>6.9865881857229457</v>
      </c>
    </row>
    <row r="70" spans="1:11" ht="16.2" thickBot="1" x14ac:dyDescent="0.35">
      <c r="B70" s="121" t="s">
        <v>197</v>
      </c>
    </row>
    <row r="71" spans="1:11" ht="14.4" thickBot="1" x14ac:dyDescent="0.35">
      <c r="B71" s="120" t="s">
        <v>3</v>
      </c>
      <c r="C71" s="119" t="s">
        <v>187</v>
      </c>
      <c r="D71" s="118"/>
      <c r="E71" s="119" t="s">
        <v>186</v>
      </c>
      <c r="F71" s="118"/>
      <c r="G71" s="119" t="s">
        <v>185</v>
      </c>
      <c r="H71" s="118"/>
      <c r="I71" s="119" t="s">
        <v>184</v>
      </c>
      <c r="J71" s="118"/>
      <c r="K71" s="117" t="s">
        <v>183</v>
      </c>
    </row>
    <row r="72" spans="1:11" ht="27.6" x14ac:dyDescent="0.3">
      <c r="B72" s="116"/>
      <c r="C72" s="115" t="s">
        <v>182</v>
      </c>
      <c r="D72" s="114" t="s">
        <v>181</v>
      </c>
      <c r="E72" s="115" t="s">
        <v>182</v>
      </c>
      <c r="F72" s="114" t="s">
        <v>181</v>
      </c>
      <c r="G72" s="115" t="s">
        <v>182</v>
      </c>
      <c r="H72" s="114" t="s">
        <v>181</v>
      </c>
      <c r="I72" s="115" t="s">
        <v>182</v>
      </c>
      <c r="J72" s="114" t="s">
        <v>181</v>
      </c>
      <c r="K72" s="113" t="s">
        <v>181</v>
      </c>
    </row>
    <row r="73" spans="1:11" ht="14.4" thickBot="1" x14ac:dyDescent="0.35">
      <c r="B73" s="112"/>
      <c r="C73" s="111"/>
      <c r="D73" s="110" t="s">
        <v>180</v>
      </c>
      <c r="E73" s="111"/>
      <c r="F73" s="110" t="s">
        <v>180</v>
      </c>
      <c r="G73" s="111"/>
      <c r="H73" s="110" t="s">
        <v>180</v>
      </c>
      <c r="I73" s="111"/>
      <c r="J73" s="110" t="s">
        <v>180</v>
      </c>
      <c r="K73" s="110" t="s">
        <v>180</v>
      </c>
    </row>
    <row r="74" spans="1:11" x14ac:dyDescent="0.3">
      <c r="A74" s="79" t="s">
        <v>178</v>
      </c>
      <c r="B74" s="109">
        <v>2000</v>
      </c>
      <c r="C74" s="158">
        <v>142708.61239744301</v>
      </c>
      <c r="D74" s="103"/>
      <c r="E74" s="92">
        <v>7384.4053873180528</v>
      </c>
      <c r="F74" s="107"/>
      <c r="G74" s="144">
        <v>849.61593172119478</v>
      </c>
      <c r="H74" s="145"/>
      <c r="I74" s="92">
        <v>190.3840682788051</v>
      </c>
      <c r="J74" s="106"/>
      <c r="K74" s="108"/>
    </row>
    <row r="75" spans="1:11" x14ac:dyDescent="0.3">
      <c r="A75" s="79" t="s">
        <v>178</v>
      </c>
      <c r="B75" s="90">
        <v>2001</v>
      </c>
      <c r="C75" s="92">
        <v>142760.74866918963</v>
      </c>
      <c r="D75" s="103"/>
      <c r="E75" s="92">
        <v>7423.4002265738791</v>
      </c>
      <c r="F75" s="107"/>
      <c r="G75" s="128">
        <v>820.76436535162941</v>
      </c>
      <c r="H75" s="141"/>
      <c r="I75" s="92">
        <v>184.34337478559178</v>
      </c>
      <c r="J75" s="106"/>
      <c r="K75" s="105"/>
    </row>
    <row r="76" spans="1:11" x14ac:dyDescent="0.3">
      <c r="A76" s="79" t="s">
        <v>178</v>
      </c>
      <c r="B76" s="90">
        <v>2002</v>
      </c>
      <c r="C76" s="92">
        <v>143802.88601975006</v>
      </c>
      <c r="D76" s="103"/>
      <c r="E76" s="92">
        <v>7393.9297297297289</v>
      </c>
      <c r="F76" s="107"/>
      <c r="G76" s="128">
        <v>784.32987928640102</v>
      </c>
      <c r="H76" s="141"/>
      <c r="I76" s="92">
        <v>173.87479970088665</v>
      </c>
      <c r="J76" s="106"/>
      <c r="K76" s="105"/>
    </row>
    <row r="77" spans="1:11" x14ac:dyDescent="0.3">
      <c r="A77" s="79" t="s">
        <v>178</v>
      </c>
      <c r="B77" s="90">
        <v>2003</v>
      </c>
      <c r="C77" s="92">
        <v>147655.80571586092</v>
      </c>
      <c r="D77" s="103"/>
      <c r="E77" s="92">
        <v>7462.4910693927195</v>
      </c>
      <c r="F77" s="107"/>
      <c r="G77" s="128">
        <v>755.81280788177344</v>
      </c>
      <c r="H77" s="141"/>
      <c r="I77" s="92">
        <v>160.65722495894912</v>
      </c>
      <c r="J77" s="106"/>
      <c r="K77" s="105"/>
    </row>
    <row r="78" spans="1:11" x14ac:dyDescent="0.3">
      <c r="A78" s="79" t="s">
        <v>178</v>
      </c>
      <c r="B78" s="90">
        <v>2004</v>
      </c>
      <c r="C78" s="92">
        <v>154514.83420454094</v>
      </c>
      <c r="D78" s="103"/>
      <c r="E78" s="92">
        <v>7875.7270328449422</v>
      </c>
      <c r="F78" s="107"/>
      <c r="G78" s="128">
        <v>762.20689655172418</v>
      </c>
      <c r="H78" s="141"/>
      <c r="I78" s="92">
        <v>156.23645320197045</v>
      </c>
      <c r="J78" s="106"/>
      <c r="K78" s="105"/>
    </row>
    <row r="79" spans="1:11" x14ac:dyDescent="0.3">
      <c r="A79" s="79" t="s">
        <v>178</v>
      </c>
      <c r="B79" s="90">
        <v>2005</v>
      </c>
      <c r="C79" s="92">
        <v>162738.05406472401</v>
      </c>
      <c r="D79" s="103"/>
      <c r="E79" s="92">
        <v>8091.6699793737116</v>
      </c>
      <c r="F79" s="107"/>
      <c r="G79" s="128">
        <v>769.1152833830497</v>
      </c>
      <c r="H79" s="141"/>
      <c r="I79" s="92">
        <v>153.61273907703105</v>
      </c>
      <c r="J79" s="106"/>
      <c r="K79" s="105"/>
    </row>
    <row r="80" spans="1:11" x14ac:dyDescent="0.3">
      <c r="A80" s="79" t="s">
        <v>178</v>
      </c>
      <c r="B80" s="90">
        <v>2006</v>
      </c>
      <c r="C80" s="92">
        <v>168159.18099659894</v>
      </c>
      <c r="D80" s="103"/>
      <c r="E80" s="92">
        <v>8115.1120680013428</v>
      </c>
      <c r="F80" s="107"/>
      <c r="G80" s="128">
        <v>751.40162037037032</v>
      </c>
      <c r="H80" s="141"/>
      <c r="I80" s="92">
        <v>142.41046626984127</v>
      </c>
      <c r="J80" s="106"/>
      <c r="K80" s="105"/>
    </row>
    <row r="81" spans="1:12" x14ac:dyDescent="0.3">
      <c r="A81" s="79" t="s">
        <v>178</v>
      </c>
      <c r="B81" s="90">
        <v>2007</v>
      </c>
      <c r="C81" s="92">
        <v>172714.91569840262</v>
      </c>
      <c r="D81" s="103"/>
      <c r="E81" s="92">
        <v>8277.3329372152912</v>
      </c>
      <c r="F81" s="107"/>
      <c r="G81" s="128">
        <v>765.8837263966152</v>
      </c>
      <c r="H81" s="141"/>
      <c r="I81" s="92">
        <v>137.31771527070438</v>
      </c>
      <c r="J81" s="106"/>
      <c r="K81" s="105"/>
    </row>
    <row r="82" spans="1:12" x14ac:dyDescent="0.3">
      <c r="A82" s="79" t="s">
        <v>178</v>
      </c>
      <c r="B82" s="90">
        <v>2008</v>
      </c>
      <c r="C82" s="92">
        <v>172896.44216916422</v>
      </c>
      <c r="D82" s="103"/>
      <c r="E82" s="92">
        <v>8150.9840326060903</v>
      </c>
      <c r="F82" s="104"/>
      <c r="G82" s="128">
        <v>763.97878811510566</v>
      </c>
      <c r="H82" s="140"/>
      <c r="I82" s="92">
        <v>137.21438041020042</v>
      </c>
      <c r="J82" s="103"/>
      <c r="K82" s="99"/>
    </row>
    <row r="83" spans="1:12" x14ac:dyDescent="0.3">
      <c r="A83" s="79" t="s">
        <v>178</v>
      </c>
      <c r="B83" s="90">
        <v>2009</v>
      </c>
      <c r="C83" s="92">
        <v>168008.64235874248</v>
      </c>
      <c r="D83" s="103"/>
      <c r="E83" s="92">
        <v>7804.3669675267347</v>
      </c>
      <c r="F83" s="104"/>
      <c r="G83" s="128">
        <v>725.30743024010383</v>
      </c>
      <c r="H83" s="140"/>
      <c r="I83" s="92">
        <v>130.9409474367294</v>
      </c>
      <c r="J83" s="103"/>
      <c r="K83" s="99"/>
    </row>
    <row r="84" spans="1:12" x14ac:dyDescent="0.3">
      <c r="A84" s="79" t="s">
        <v>178</v>
      </c>
      <c r="B84" s="90">
        <v>2010</v>
      </c>
      <c r="C84" s="92">
        <v>166790.25704321661</v>
      </c>
      <c r="D84" s="103"/>
      <c r="E84" s="92">
        <v>7616.6017066878358</v>
      </c>
      <c r="F84" s="104"/>
      <c r="G84" s="128">
        <v>697.08786021861556</v>
      </c>
      <c r="H84" s="140"/>
      <c r="I84" s="92">
        <v>131.21331566743956</v>
      </c>
      <c r="J84" s="103"/>
      <c r="K84" s="99"/>
    </row>
    <row r="85" spans="1:12" x14ac:dyDescent="0.3">
      <c r="A85" s="79" t="s">
        <v>178</v>
      </c>
      <c r="B85" s="90">
        <v>2011</v>
      </c>
      <c r="C85" s="92">
        <v>165908.17079063811</v>
      </c>
      <c r="D85" s="103"/>
      <c r="E85" s="92">
        <v>7419.9725685785534</v>
      </c>
      <c r="F85" s="104"/>
      <c r="G85" s="128">
        <v>682.97280160186881</v>
      </c>
      <c r="H85" s="140"/>
      <c r="I85" s="92">
        <v>134.25262806607708</v>
      </c>
      <c r="J85" s="103"/>
      <c r="K85" s="99"/>
    </row>
    <row r="86" spans="1:12" x14ac:dyDescent="0.3">
      <c r="A86" s="79" t="s">
        <v>178</v>
      </c>
      <c r="B86" s="90">
        <v>2012</v>
      </c>
      <c r="C86" s="92">
        <v>166091.04464226207</v>
      </c>
      <c r="D86" s="103"/>
      <c r="E86" s="92">
        <v>7289.7796214417003</v>
      </c>
      <c r="F86" s="104"/>
      <c r="G86" s="128">
        <v>676.95037098103876</v>
      </c>
      <c r="H86" s="140"/>
      <c r="I86" s="92">
        <v>140.19323990107171</v>
      </c>
      <c r="J86" s="103"/>
      <c r="K86" s="99"/>
    </row>
    <row r="87" spans="1:12" x14ac:dyDescent="0.3">
      <c r="A87" s="79" t="s">
        <v>178</v>
      </c>
      <c r="B87" s="90">
        <v>2013</v>
      </c>
      <c r="C87" s="92">
        <v>165323.76012725639</v>
      </c>
      <c r="D87" s="103"/>
      <c r="E87" s="92">
        <v>7162.1011335198</v>
      </c>
      <c r="F87" s="104"/>
      <c r="G87" s="128">
        <v>610.26479273556481</v>
      </c>
      <c r="H87" s="140"/>
      <c r="I87" s="92">
        <v>131.42587303526346</v>
      </c>
      <c r="J87" s="103"/>
      <c r="K87" s="99"/>
    </row>
    <row r="88" spans="1:12" x14ac:dyDescent="0.3">
      <c r="A88" s="79" t="s">
        <v>178</v>
      </c>
      <c r="B88" s="90">
        <v>2014</v>
      </c>
      <c r="C88" s="92">
        <v>150486.37910326227</v>
      </c>
      <c r="D88" s="103"/>
      <c r="E88" s="92">
        <v>6758.2200884892427</v>
      </c>
      <c r="F88" s="104"/>
      <c r="G88" s="128">
        <v>571.57587149908079</v>
      </c>
      <c r="H88" s="140"/>
      <c r="I88" s="92">
        <v>128.51935716569417</v>
      </c>
      <c r="J88" s="103"/>
      <c r="K88" s="99"/>
    </row>
    <row r="89" spans="1:12" x14ac:dyDescent="0.3">
      <c r="A89" s="79" t="s">
        <v>178</v>
      </c>
      <c r="B89" s="90">
        <v>2015</v>
      </c>
      <c r="C89" s="92">
        <v>147044.9404582982</v>
      </c>
      <c r="D89" s="103"/>
      <c r="E89" s="92">
        <v>6594.3370148851009</v>
      </c>
      <c r="F89" s="104"/>
      <c r="G89" s="128">
        <v>545.10807116788317</v>
      </c>
      <c r="H89" s="140"/>
      <c r="I89" s="92">
        <v>126.91191788321169</v>
      </c>
      <c r="J89" s="100"/>
      <c r="K89" s="99"/>
    </row>
    <row r="90" spans="1:12" x14ac:dyDescent="0.3">
      <c r="A90" s="79" t="s">
        <v>178</v>
      </c>
      <c r="B90" s="90">
        <v>2016</v>
      </c>
      <c r="C90" s="92">
        <v>149936.54985382859</v>
      </c>
      <c r="D90" s="103"/>
      <c r="E90" s="92">
        <v>7047.533504</v>
      </c>
      <c r="F90" s="102"/>
      <c r="G90" s="128">
        <v>540.41763600000002</v>
      </c>
      <c r="H90" s="136"/>
      <c r="I90" s="92">
        <v>146.20240800000002</v>
      </c>
      <c r="J90" s="100"/>
      <c r="K90" s="99"/>
    </row>
    <row r="91" spans="1:12" x14ac:dyDescent="0.3">
      <c r="A91" s="79" t="s">
        <v>178</v>
      </c>
      <c r="B91" s="90">
        <v>2017</v>
      </c>
      <c r="C91" s="92">
        <v>152175.21803565713</v>
      </c>
      <c r="D91" s="103"/>
      <c r="E91" s="92">
        <v>7600.1547570000021</v>
      </c>
      <c r="F91" s="102"/>
      <c r="G91" s="128">
        <v>595.54162850000012</v>
      </c>
      <c r="H91" s="136"/>
      <c r="I91" s="92">
        <v>159.74327200000005</v>
      </c>
      <c r="J91" s="100"/>
      <c r="K91" s="99"/>
    </row>
    <row r="92" spans="1:12" x14ac:dyDescent="0.3">
      <c r="A92" s="79" t="s">
        <v>178</v>
      </c>
      <c r="B92" s="90">
        <v>2018</v>
      </c>
      <c r="C92" s="92">
        <v>148260.01273200003</v>
      </c>
      <c r="D92" s="103"/>
      <c r="E92" s="92">
        <v>7894.6407600000002</v>
      </c>
      <c r="F92" s="102"/>
      <c r="G92" s="128">
        <v>620.58283000000006</v>
      </c>
      <c r="H92" s="136"/>
      <c r="I92" s="92">
        <v>158.32796000000002</v>
      </c>
      <c r="J92" s="100"/>
      <c r="K92" s="99"/>
    </row>
    <row r="93" spans="1:12" x14ac:dyDescent="0.3">
      <c r="A93" s="79" t="s">
        <v>178</v>
      </c>
      <c r="B93" s="90">
        <v>2019</v>
      </c>
      <c r="C93" s="92">
        <v>143346.5687129143</v>
      </c>
      <c r="D93" s="103"/>
      <c r="E93" s="92">
        <v>8151.7055055000001</v>
      </c>
      <c r="F93" s="102"/>
      <c r="G93" s="128">
        <v>640.70579050000003</v>
      </c>
      <c r="H93" s="136"/>
      <c r="I93" s="92">
        <v>157.83368200000001</v>
      </c>
      <c r="J93" s="100"/>
      <c r="K93" s="99"/>
    </row>
    <row r="94" spans="1:12" x14ac:dyDescent="0.3">
      <c r="B94" s="90">
        <v>2020</v>
      </c>
      <c r="C94" s="92">
        <v>128594.55685445148</v>
      </c>
      <c r="D94" s="93">
        <v>100.15415832961901</v>
      </c>
      <c r="E94" s="92">
        <v>7539.477471980711</v>
      </c>
      <c r="F94" s="151">
        <v>9.3143199681660711</v>
      </c>
      <c r="G94" s="128">
        <v>577.6460759692377</v>
      </c>
      <c r="H94" s="136">
        <v>2.2129982208735419</v>
      </c>
      <c r="I94" s="92">
        <v>92.840631300608322</v>
      </c>
      <c r="J94" s="100">
        <v>0.66348823209002794</v>
      </c>
      <c r="K94" s="98">
        <v>112.34496475074864</v>
      </c>
      <c r="L94" s="157"/>
    </row>
    <row r="95" spans="1:12" x14ac:dyDescent="0.3">
      <c r="B95" s="90">
        <v>2021</v>
      </c>
      <c r="C95" s="92">
        <v>122831.57140015077</v>
      </c>
      <c r="D95" s="93">
        <v>83.455822417666212</v>
      </c>
      <c r="E95" s="92">
        <v>7756.6697527398555</v>
      </c>
      <c r="F95" s="151">
        <v>9.5538675610715611</v>
      </c>
      <c r="G95" s="128">
        <v>591.2484384791635</v>
      </c>
      <c r="H95" s="136">
        <v>2.2601026297390119</v>
      </c>
      <c r="I95" s="92">
        <v>103.91702170431006</v>
      </c>
      <c r="J95" s="100">
        <v>0.74117617367332567</v>
      </c>
      <c r="K95" s="98">
        <v>96.010968782150115</v>
      </c>
    </row>
    <row r="96" spans="1:12" x14ac:dyDescent="0.3">
      <c r="B96" s="90">
        <v>2022</v>
      </c>
      <c r="C96" s="92">
        <v>116089.62715939703</v>
      </c>
      <c r="D96" s="93">
        <v>79.485475492057844</v>
      </c>
      <c r="E96" s="92">
        <v>7967.06527401945</v>
      </c>
      <c r="F96" s="151">
        <v>9.7831723776807014</v>
      </c>
      <c r="G96" s="128">
        <v>605.13065211576577</v>
      </c>
      <c r="H96" s="136">
        <v>2.307969042704539</v>
      </c>
      <c r="I96" s="92">
        <v>118.63989833451997</v>
      </c>
      <c r="J96" s="100">
        <v>0.84447908785516845</v>
      </c>
      <c r="K96" s="98">
        <v>92.421096000298249</v>
      </c>
    </row>
    <row r="97" spans="2:11" x14ac:dyDescent="0.3">
      <c r="B97" s="90">
        <v>2023</v>
      </c>
      <c r="C97" s="92">
        <v>109851.8962348951</v>
      </c>
      <c r="D97" s="93">
        <v>75.508352439103717</v>
      </c>
      <c r="E97" s="92">
        <v>8072.2579970041406</v>
      </c>
      <c r="F97" s="151">
        <v>9.8129011383435305</v>
      </c>
      <c r="G97" s="128">
        <v>613.8748114374813</v>
      </c>
      <c r="H97" s="136">
        <v>2.31967590095738</v>
      </c>
      <c r="I97" s="92">
        <v>129.56651231224919</v>
      </c>
      <c r="J97" s="100">
        <v>0.91394123677299366</v>
      </c>
      <c r="K97" s="86">
        <v>88.554870715177628</v>
      </c>
    </row>
    <row r="98" spans="2:11" x14ac:dyDescent="0.3">
      <c r="B98" s="90">
        <v>2024</v>
      </c>
      <c r="C98" s="92">
        <v>101029.00661637951</v>
      </c>
      <c r="D98" s="93">
        <v>69.012796923095394</v>
      </c>
      <c r="E98" s="92">
        <v>8184.9442142499647</v>
      </c>
      <c r="F98" s="151">
        <v>9.8252478216889028</v>
      </c>
      <c r="G98" s="128">
        <v>622.69219305628644</v>
      </c>
      <c r="H98" s="136">
        <v>2.3253711582313565</v>
      </c>
      <c r="I98" s="92">
        <v>138.55196336718754</v>
      </c>
      <c r="J98" s="100">
        <v>0.96607368649829806</v>
      </c>
      <c r="K98" s="86">
        <v>82.129489589513952</v>
      </c>
    </row>
    <row r="99" spans="2:11" x14ac:dyDescent="0.3">
      <c r="B99" s="90">
        <v>2025</v>
      </c>
      <c r="C99" s="92">
        <v>91660.223074062349</v>
      </c>
      <c r="D99" s="93">
        <v>61.648779201429875</v>
      </c>
      <c r="E99" s="92">
        <v>8272.3068703241624</v>
      </c>
      <c r="F99" s="151">
        <v>9.724452706860987</v>
      </c>
      <c r="G99" s="128">
        <v>631.57232867067387</v>
      </c>
      <c r="H99" s="136">
        <v>2.3115272333744761</v>
      </c>
      <c r="I99" s="92">
        <v>139.87756318519808</v>
      </c>
      <c r="J99" s="100">
        <v>0.95610014981265357</v>
      </c>
      <c r="K99" s="86">
        <v>74.640859291477994</v>
      </c>
    </row>
    <row r="100" spans="2:11" x14ac:dyDescent="0.3">
      <c r="B100" s="90">
        <v>2026</v>
      </c>
      <c r="C100" s="92">
        <v>81834.863877587602</v>
      </c>
      <c r="D100" s="93">
        <v>54.296538891208797</v>
      </c>
      <c r="E100" s="92">
        <v>8327.0796667052746</v>
      </c>
      <c r="F100" s="151">
        <v>9.5905151894018239</v>
      </c>
      <c r="G100" s="128">
        <v>640.5024156656682</v>
      </c>
      <c r="H100" s="136">
        <v>2.2985505050400548</v>
      </c>
      <c r="I100" s="92">
        <v>141.17267166565662</v>
      </c>
      <c r="J100" s="100">
        <v>0.94637665640320978</v>
      </c>
      <c r="K100" s="86">
        <v>67.131981242053882</v>
      </c>
    </row>
    <row r="101" spans="2:11" x14ac:dyDescent="0.3">
      <c r="B101" s="90">
        <v>2027</v>
      </c>
      <c r="C101" s="92">
        <v>72265.220780315591</v>
      </c>
      <c r="D101" s="93">
        <v>47.205633327877834</v>
      </c>
      <c r="E101" s="92">
        <v>8313.9147711033293</v>
      </c>
      <c r="F101" s="151">
        <v>9.3652143395622041</v>
      </c>
      <c r="G101" s="128">
        <v>649.46693232741848</v>
      </c>
      <c r="H101" s="136">
        <v>2.2813939487488386</v>
      </c>
      <c r="I101" s="92">
        <v>142.42259202852401</v>
      </c>
      <c r="J101" s="100">
        <v>0.93476605313558603</v>
      </c>
      <c r="K101" s="86">
        <v>59.787007669324467</v>
      </c>
    </row>
    <row r="102" spans="2:11" x14ac:dyDescent="0.3">
      <c r="B102" s="90">
        <v>2028</v>
      </c>
      <c r="C102" s="92">
        <v>62845.975310993148</v>
      </c>
      <c r="D102" s="93">
        <v>40.775252944168798</v>
      </c>
      <c r="E102" s="92">
        <v>8281.0875819857556</v>
      </c>
      <c r="F102" s="151">
        <v>9.2060118666107336</v>
      </c>
      <c r="G102" s="128">
        <v>658.44721787332901</v>
      </c>
      <c r="H102" s="136">
        <v>2.2844601711345396</v>
      </c>
      <c r="I102" s="92">
        <v>143.60980718081245</v>
      </c>
      <c r="J102" s="100">
        <v>0.93116839231758419</v>
      </c>
      <c r="K102" s="86">
        <v>53.196893374231657</v>
      </c>
    </row>
    <row r="103" spans="2:11" x14ac:dyDescent="0.3">
      <c r="B103" s="90">
        <v>2029</v>
      </c>
      <c r="C103" s="92">
        <v>53802.46195565629</v>
      </c>
      <c r="D103" s="93">
        <v>35.010306060504057</v>
      </c>
      <c r="E103" s="92">
        <v>8195.0172904363408</v>
      </c>
      <c r="F103" s="151">
        <v>9.0796542303047758</v>
      </c>
      <c r="G103" s="128">
        <v>667.42102724540223</v>
      </c>
      <c r="H103" s="136">
        <v>2.3096465904212056</v>
      </c>
      <c r="I103" s="92">
        <v>144.71371583797946</v>
      </c>
      <c r="J103" s="100">
        <v>0.93613297148463437</v>
      </c>
      <c r="K103" s="86">
        <v>47.335739852714674</v>
      </c>
    </row>
    <row r="104" spans="2:11" x14ac:dyDescent="0.3">
      <c r="B104" s="90">
        <v>2030</v>
      </c>
      <c r="C104" s="92">
        <v>45297.132479805448</v>
      </c>
      <c r="D104" s="93">
        <v>29.635994447059552</v>
      </c>
      <c r="E104" s="92">
        <v>8052.0670777360574</v>
      </c>
      <c r="F104" s="151">
        <v>8.9131208847319439</v>
      </c>
      <c r="G104" s="128">
        <v>676.36207820125912</v>
      </c>
      <c r="H104" s="136">
        <v>2.3403239102364655</v>
      </c>
      <c r="I104" s="92">
        <v>145.7104676739103</v>
      </c>
      <c r="J104" s="100">
        <v>0.94269318720485751</v>
      </c>
      <c r="K104" s="86">
        <v>41.832132429232821</v>
      </c>
    </row>
    <row r="105" spans="2:11" x14ac:dyDescent="0.3">
      <c r="B105" s="90">
        <v>2031</v>
      </c>
      <c r="C105" s="92">
        <v>37515.943817598069</v>
      </c>
      <c r="D105" s="93">
        <v>24.464330283113807</v>
      </c>
      <c r="E105" s="92">
        <v>7853.1528194127395</v>
      </c>
      <c r="F105" s="151">
        <v>8.6833154268745663</v>
      </c>
      <c r="G105" s="128">
        <v>684.88211183250689</v>
      </c>
      <c r="H105" s="136">
        <v>2.3694815655593371</v>
      </c>
      <c r="I105" s="92">
        <v>146.5352773145475</v>
      </c>
      <c r="J105" s="100">
        <v>0.94816613529820815</v>
      </c>
      <c r="K105" s="86">
        <v>36.465293410845916</v>
      </c>
    </row>
    <row r="106" spans="2:11" x14ac:dyDescent="0.3">
      <c r="B106" s="90">
        <v>2032</v>
      </c>
      <c r="C106" s="92">
        <v>30645.191057612075</v>
      </c>
      <c r="D106" s="93">
        <v>19.919685115301721</v>
      </c>
      <c r="E106" s="92">
        <v>7603.3849385777175</v>
      </c>
      <c r="F106" s="151">
        <v>8.3978302104144973</v>
      </c>
      <c r="G106" s="128">
        <v>692.93409225827349</v>
      </c>
      <c r="H106" s="136">
        <v>2.3970120836115134</v>
      </c>
      <c r="I106" s="92">
        <v>147.15719272097874</v>
      </c>
      <c r="J106" s="100">
        <v>0.95232759287059932</v>
      </c>
      <c r="K106" s="86">
        <v>31.666855002198332</v>
      </c>
    </row>
    <row r="107" spans="2:11" x14ac:dyDescent="0.3">
      <c r="B107" s="90">
        <v>2033</v>
      </c>
      <c r="C107" s="92">
        <v>24658.772971412684</v>
      </c>
      <c r="D107" s="93">
        <v>15.899469181698835</v>
      </c>
      <c r="E107" s="92">
        <v>7310.9883104045248</v>
      </c>
      <c r="F107" s="151">
        <v>8.0261710955323551</v>
      </c>
      <c r="G107" s="128">
        <v>700.45925883440566</v>
      </c>
      <c r="H107" s="136">
        <v>2.4107718595923759</v>
      </c>
      <c r="I107" s="92">
        <v>147.54193650140837</v>
      </c>
      <c r="J107" s="100">
        <v>0.95024836617259301</v>
      </c>
      <c r="K107" s="86">
        <v>27.28666050299616</v>
      </c>
    </row>
    <row r="108" spans="2:11" x14ac:dyDescent="0.3">
      <c r="B108" s="90">
        <v>2034</v>
      </c>
      <c r="C108" s="92">
        <v>19517.536165118017</v>
      </c>
      <c r="D108" s="93">
        <v>12.377965920787346</v>
      </c>
      <c r="E108" s="92">
        <v>6986.4904702676176</v>
      </c>
      <c r="F108" s="151">
        <v>7.5587523237817607</v>
      </c>
      <c r="G108" s="128">
        <v>707.39367107220403</v>
      </c>
      <c r="H108" s="136">
        <v>2.40168683279426</v>
      </c>
      <c r="I108" s="92">
        <v>147.65458993767291</v>
      </c>
      <c r="J108" s="100">
        <v>0.93836633166654793</v>
      </c>
      <c r="K108" s="86">
        <v>23.276771409029916</v>
      </c>
    </row>
    <row r="109" spans="2:11" x14ac:dyDescent="0.3">
      <c r="B109" s="90">
        <v>2035</v>
      </c>
      <c r="C109" s="92">
        <v>15166.256237989372</v>
      </c>
      <c r="D109" s="93">
        <v>9.5487509168001843</v>
      </c>
      <c r="E109" s="92">
        <v>6619.4998123007981</v>
      </c>
      <c r="F109" s="151">
        <v>7.1231993182129072</v>
      </c>
      <c r="G109" s="128">
        <v>713.66868455785141</v>
      </c>
      <c r="H109" s="136">
        <v>2.4123177279345223</v>
      </c>
      <c r="I109" s="92">
        <v>147.46142284285551</v>
      </c>
      <c r="J109" s="100">
        <v>0.93327231736746896</v>
      </c>
      <c r="K109" s="86">
        <v>20.017540280315082</v>
      </c>
    </row>
    <row r="110" spans="2:11" x14ac:dyDescent="0.3">
      <c r="B110" s="90">
        <v>2036</v>
      </c>
      <c r="C110" s="92">
        <v>11547.675755185308</v>
      </c>
      <c r="D110" s="93">
        <v>7.2491653334460961</v>
      </c>
      <c r="E110" s="92">
        <v>6267.4167259698897</v>
      </c>
      <c r="F110" s="151">
        <v>6.7368198447991112</v>
      </c>
      <c r="G110" s="128">
        <v>719.21192637674858</v>
      </c>
      <c r="H110" s="136">
        <v>2.4307231618037513</v>
      </c>
      <c r="I110" s="92">
        <v>146.93224739389913</v>
      </c>
      <c r="J110" s="100">
        <v>0.93005723022572417</v>
      </c>
      <c r="K110" s="86">
        <v>17.346765570274684</v>
      </c>
    </row>
    <row r="111" spans="2:11" x14ac:dyDescent="0.3">
      <c r="B111" s="90">
        <v>2037</v>
      </c>
      <c r="C111" s="92">
        <v>8605.7420123479678</v>
      </c>
      <c r="D111" s="93">
        <v>5.3867136300815073</v>
      </c>
      <c r="E111" s="92">
        <v>5918.2574008498341</v>
      </c>
      <c r="F111" s="151">
        <v>6.3544228473214854</v>
      </c>
      <c r="G111" s="128">
        <v>723.94889946677517</v>
      </c>
      <c r="H111" s="136">
        <v>2.4463989059966655</v>
      </c>
      <c r="I111" s="92">
        <v>146.04317181563519</v>
      </c>
      <c r="J111" s="100">
        <v>0.9245627401344475</v>
      </c>
      <c r="K111" s="86">
        <v>15.112098123534105</v>
      </c>
    </row>
    <row r="112" spans="2:11" x14ac:dyDescent="0.3">
      <c r="B112" s="90">
        <v>2038</v>
      </c>
      <c r="C112" s="92">
        <v>6284.43058005275</v>
      </c>
      <c r="D112" s="93">
        <v>3.9064569442931205</v>
      </c>
      <c r="E112" s="92">
        <v>5582.196257328339</v>
      </c>
      <c r="F112" s="151">
        <v>5.9625284474771032</v>
      </c>
      <c r="G112" s="128">
        <v>727.80532473301366</v>
      </c>
      <c r="H112" s="136">
        <v>2.4490805376000395</v>
      </c>
      <c r="I112" s="92">
        <v>144.77950525044582</v>
      </c>
      <c r="J112" s="100">
        <v>0.91296164199315855</v>
      </c>
      <c r="K112" s="86">
        <v>13.231027571363422</v>
      </c>
    </row>
    <row r="113" spans="2:11" x14ac:dyDescent="0.3">
      <c r="B113" s="90">
        <v>2039</v>
      </c>
      <c r="C113" s="92">
        <v>4526.4659640603786</v>
      </c>
      <c r="D113" s="93">
        <v>2.7982705586536833</v>
      </c>
      <c r="E113" s="92">
        <v>5267.9908128997668</v>
      </c>
      <c r="F113" s="151">
        <v>5.6057981579046068</v>
      </c>
      <c r="G113" s="128">
        <v>730.71027813687795</v>
      </c>
      <c r="H113" s="136">
        <v>2.4520315157058623</v>
      </c>
      <c r="I113" s="92">
        <v>143.13845278853461</v>
      </c>
      <c r="J113" s="100">
        <v>0.90036082182660804</v>
      </c>
      <c r="K113" s="86">
        <v>11.75646105409076</v>
      </c>
    </row>
    <row r="114" spans="2:11" x14ac:dyDescent="0.3">
      <c r="B114" s="90">
        <v>2040</v>
      </c>
      <c r="C114" s="92">
        <v>3272.9462521080518</v>
      </c>
      <c r="D114" s="93">
        <v>2.0122080972385912</v>
      </c>
      <c r="E114" s="92">
        <v>4982.8768428838157</v>
      </c>
      <c r="F114" s="151">
        <v>5.2823446475147771</v>
      </c>
      <c r="G114" s="128">
        <v>732.60009113170122</v>
      </c>
      <c r="H114" s="136">
        <v>2.4514801192325795</v>
      </c>
      <c r="I114" s="92">
        <v>141.1311802799685</v>
      </c>
      <c r="J114" s="100">
        <v>0.88549406127660657</v>
      </c>
      <c r="K114" s="86">
        <v>10.631526925262555</v>
      </c>
    </row>
    <row r="115" spans="2:11" x14ac:dyDescent="0.3">
      <c r="B115" s="90">
        <v>2041</v>
      </c>
      <c r="C115" s="92">
        <v>2243.626449740048</v>
      </c>
      <c r="D115" s="93">
        <v>1.3672927807630333</v>
      </c>
      <c r="E115" s="92">
        <v>4711.4948964620753</v>
      </c>
      <c r="F115" s="151">
        <v>4.977112463317436</v>
      </c>
      <c r="G115" s="128">
        <v>733.8184883494838</v>
      </c>
      <c r="H115" s="136">
        <v>2.4487888628913637</v>
      </c>
      <c r="I115" s="92">
        <v>138.73359432555279</v>
      </c>
      <c r="J115" s="100">
        <v>0.8680517204365823</v>
      </c>
      <c r="K115" s="86">
        <v>9.6612458274084148</v>
      </c>
    </row>
    <row r="116" spans="2:11" x14ac:dyDescent="0.3">
      <c r="B116" s="90">
        <v>2042</v>
      </c>
      <c r="C116" s="88">
        <v>1416.8547879817954</v>
      </c>
      <c r="D116" s="89">
        <v>0.85582713297358459</v>
      </c>
      <c r="E116" s="88">
        <v>4456.4829221729333</v>
      </c>
      <c r="F116" s="151">
        <v>4.6909038999259538</v>
      </c>
      <c r="G116" s="96">
        <v>734.33174073451084</v>
      </c>
      <c r="H116" s="136">
        <v>2.4435989951103387</v>
      </c>
      <c r="I116" s="88">
        <v>135.97880036604687</v>
      </c>
      <c r="J116" s="100">
        <v>0.84841847057713016</v>
      </c>
      <c r="K116" s="86">
        <v>8.8387484985870071</v>
      </c>
    </row>
    <row r="117" spans="2:11" x14ac:dyDescent="0.3">
      <c r="B117" s="90">
        <v>2043</v>
      </c>
      <c r="C117" s="88">
        <v>831.67689369744153</v>
      </c>
      <c r="D117" s="89">
        <v>0.4979101122744925</v>
      </c>
      <c r="E117" s="88">
        <v>4219.7517088399109</v>
      </c>
      <c r="F117" s="151">
        <v>4.4257029481595147</v>
      </c>
      <c r="G117" s="96">
        <v>734.12176429574436</v>
      </c>
      <c r="H117" s="136">
        <v>2.4359392102605253</v>
      </c>
      <c r="I117" s="88">
        <v>132.91105562273043</v>
      </c>
      <c r="J117" s="100">
        <v>0.82691472556442591</v>
      </c>
      <c r="K117" s="86">
        <v>8.1864669962589591</v>
      </c>
    </row>
    <row r="118" spans="2:11" x14ac:dyDescent="0.3">
      <c r="B118" s="90">
        <v>2044</v>
      </c>
      <c r="C118" s="88">
        <v>385.40732441356215</v>
      </c>
      <c r="D118" s="89">
        <v>0.22873018807106521</v>
      </c>
      <c r="E118" s="88">
        <v>4002.6231297632394</v>
      </c>
      <c r="F118" s="151">
        <v>4.1830462740210033</v>
      </c>
      <c r="G118" s="96">
        <v>733.18920546446975</v>
      </c>
      <c r="H118" s="136">
        <v>2.4260340922405228</v>
      </c>
      <c r="I118" s="88">
        <v>129.58321587643277</v>
      </c>
      <c r="J118" s="100">
        <v>0.80395337542656242</v>
      </c>
      <c r="K118" s="86">
        <v>7.6417639297591533</v>
      </c>
    </row>
    <row r="119" spans="2:11" x14ac:dyDescent="0.3">
      <c r="B119" s="90">
        <v>2045</v>
      </c>
      <c r="C119" s="88">
        <v>60.239712646656663</v>
      </c>
      <c r="D119" s="89">
        <v>3.5511548691231784E-2</v>
      </c>
      <c r="E119" s="88">
        <v>3805.9507795641525</v>
      </c>
      <c r="F119" s="151">
        <v>3.9635524614137769</v>
      </c>
      <c r="G119" s="96">
        <v>731.55555715548621</v>
      </c>
      <c r="H119" s="136">
        <v>2.4139694110425736</v>
      </c>
      <c r="I119" s="88">
        <v>126.05363963543832</v>
      </c>
      <c r="J119" s="100">
        <v>0.77990393361331944</v>
      </c>
      <c r="K119" s="86">
        <v>7.1929373547609012</v>
      </c>
    </row>
    <row r="120" spans="2:11" x14ac:dyDescent="0.3">
      <c r="B120" s="90">
        <v>2046</v>
      </c>
      <c r="C120" s="88">
        <v>3.4505470215599319</v>
      </c>
      <c r="D120" s="89">
        <v>2.0654603878675526E-3</v>
      </c>
      <c r="E120" s="88">
        <v>3630.2210268642102</v>
      </c>
      <c r="F120" s="151">
        <v>3.7692502201462674</v>
      </c>
      <c r="G120" s="96">
        <v>729.26396244556281</v>
      </c>
      <c r="H120" s="136">
        <v>2.4010436024261832</v>
      </c>
      <c r="I120" s="88">
        <v>122.38296003319641</v>
      </c>
      <c r="J120" s="100">
        <v>0.75550530663207982</v>
      </c>
      <c r="K120" s="86">
        <v>6.9278645895923985</v>
      </c>
    </row>
    <row r="121" spans="2:11" x14ac:dyDescent="0.3">
      <c r="B121" s="90">
        <v>2047</v>
      </c>
      <c r="C121" s="88">
        <v>0.71445685769890332</v>
      </c>
      <c r="D121" s="89">
        <v>4.2433790646893865E-4</v>
      </c>
      <c r="E121" s="88">
        <v>3475.6354509971111</v>
      </c>
      <c r="F121" s="151">
        <v>3.5999078078105602</v>
      </c>
      <c r="G121" s="96">
        <v>726.37851785249802</v>
      </c>
      <c r="H121" s="136">
        <v>2.3875044208675056</v>
      </c>
      <c r="I121" s="88">
        <v>118.63109167169281</v>
      </c>
      <c r="J121" s="100">
        <v>0.73110708343874287</v>
      </c>
      <c r="K121" s="86">
        <v>6.7189436500232773</v>
      </c>
    </row>
    <row r="122" spans="2:11" x14ac:dyDescent="0.3">
      <c r="B122" s="90">
        <v>2048</v>
      </c>
      <c r="C122" s="88">
        <v>0</v>
      </c>
      <c r="D122" s="89">
        <v>0</v>
      </c>
      <c r="E122" s="88">
        <v>3342.1769382174307</v>
      </c>
      <c r="F122" s="151">
        <v>3.4547060590077323</v>
      </c>
      <c r="G122" s="96">
        <v>722.98209106136244</v>
      </c>
      <c r="H122" s="136">
        <v>2.3733627745872572</v>
      </c>
      <c r="I122" s="88">
        <v>114.85473490347422</v>
      </c>
      <c r="J122" s="100">
        <v>0.70694684818753395</v>
      </c>
      <c r="K122" s="86">
        <v>6.5350156817825233</v>
      </c>
    </row>
    <row r="123" spans="2:11" x14ac:dyDescent="0.3">
      <c r="B123" s="90">
        <v>2049</v>
      </c>
      <c r="C123" s="88">
        <v>0</v>
      </c>
      <c r="D123" s="89">
        <v>0</v>
      </c>
      <c r="E123" s="88">
        <v>3229.6620903378289</v>
      </c>
      <c r="F123" s="151">
        <v>3.3317857878373616</v>
      </c>
      <c r="G123" s="96">
        <v>719.17287326970143</v>
      </c>
      <c r="H123" s="136">
        <v>2.3579758339019041</v>
      </c>
      <c r="I123" s="88">
        <v>111.10551342681765</v>
      </c>
      <c r="J123" s="100">
        <v>0.68303496300530131</v>
      </c>
      <c r="K123" s="86">
        <v>6.3727965847445667</v>
      </c>
    </row>
    <row r="124" spans="2:11" x14ac:dyDescent="0.3">
      <c r="B124" s="90">
        <v>2050</v>
      </c>
      <c r="C124" s="96">
        <v>2.2390175439635641E-3</v>
      </c>
      <c r="D124" s="97">
        <v>1.2652870910234591E-6</v>
      </c>
      <c r="E124" s="96">
        <v>3127.2882448300538</v>
      </c>
      <c r="F124" s="153">
        <v>3.2197222520009903</v>
      </c>
      <c r="G124" s="96">
        <v>715.06004722949308</v>
      </c>
      <c r="H124" s="136">
        <v>2.3415879395532659</v>
      </c>
      <c r="I124" s="96">
        <v>107.42876656768242</v>
      </c>
      <c r="J124" s="152">
        <v>0.65961393329120466</v>
      </c>
      <c r="K124" s="94">
        <v>6.2209253901325514</v>
      </c>
    </row>
    <row r="125" spans="2:11" x14ac:dyDescent="0.3">
      <c r="B125" s="90">
        <v>2051</v>
      </c>
      <c r="C125" s="92">
        <v>3.4302644961200709E-3</v>
      </c>
      <c r="D125" s="93">
        <v>1.9237223153833883E-6</v>
      </c>
      <c r="E125" s="92">
        <v>3044.4329438790382</v>
      </c>
      <c r="F125" s="151">
        <v>3.1283135040710333</v>
      </c>
      <c r="G125" s="128">
        <v>709.75077052809718</v>
      </c>
      <c r="H125" s="136">
        <v>2.3214473640498223</v>
      </c>
      <c r="I125" s="92">
        <v>103.83678090499008</v>
      </c>
      <c r="J125" s="100">
        <v>0.63680352138949925</v>
      </c>
      <c r="K125" s="86">
        <v>6.0865663132326704</v>
      </c>
    </row>
    <row r="126" spans="2:11" x14ac:dyDescent="0.3">
      <c r="B126" s="90">
        <v>2052</v>
      </c>
      <c r="C126" s="88">
        <v>4.0018725954869307E-3</v>
      </c>
      <c r="D126" s="89">
        <v>2.2271603172554232E-6</v>
      </c>
      <c r="E126" s="88">
        <v>2969.5778845233931</v>
      </c>
      <c r="F126" s="151">
        <v>3.0455106994683243</v>
      </c>
      <c r="G126" s="96">
        <v>703.14246734775429</v>
      </c>
      <c r="H126" s="136">
        <v>2.2971521023926318</v>
      </c>
      <c r="I126" s="88">
        <v>100.34334912008816</v>
      </c>
      <c r="J126" s="100">
        <v>0.61466189133882077</v>
      </c>
      <c r="K126" s="86">
        <v>5.957326920360094</v>
      </c>
    </row>
    <row r="127" spans="2:11" x14ac:dyDescent="0.3">
      <c r="B127" s="90">
        <v>2053</v>
      </c>
      <c r="C127" s="88">
        <v>4.2111434912032557E-3</v>
      </c>
      <c r="D127" s="89">
        <v>2.3256599202677258E-6</v>
      </c>
      <c r="E127" s="88">
        <v>2902.3365045644937</v>
      </c>
      <c r="F127" s="151">
        <v>2.97082728045695</v>
      </c>
      <c r="G127" s="96">
        <v>695.18683892666024</v>
      </c>
      <c r="H127" s="136">
        <v>2.2685290826456326</v>
      </c>
      <c r="I127" s="88">
        <v>96.968660876302607</v>
      </c>
      <c r="J127" s="100">
        <v>0.59330154585509098</v>
      </c>
      <c r="K127" s="86">
        <v>5.8326602346175944</v>
      </c>
    </row>
    <row r="128" spans="2:11" x14ac:dyDescent="0.3">
      <c r="B128" s="90">
        <v>2054</v>
      </c>
      <c r="C128" s="88">
        <v>4.2120483391932789E-3</v>
      </c>
      <c r="D128" s="89">
        <v>2.3082563677724934E-6</v>
      </c>
      <c r="E128" s="88">
        <v>2842.3206479980959</v>
      </c>
      <c r="F128" s="151">
        <v>2.9038350172264114</v>
      </c>
      <c r="G128" s="96">
        <v>685.81023191266218</v>
      </c>
      <c r="H128" s="136">
        <v>2.2353648093668248</v>
      </c>
      <c r="I128" s="88">
        <v>93.727965025853678</v>
      </c>
      <c r="J128" s="100">
        <v>0.57281569555337186</v>
      </c>
      <c r="K128" s="86">
        <v>5.7120178304029752</v>
      </c>
    </row>
    <row r="129" spans="1:11" x14ac:dyDescent="0.3">
      <c r="B129" s="90">
        <v>2055</v>
      </c>
      <c r="C129" s="88">
        <v>4.0958720266731684E-3</v>
      </c>
      <c r="D129" s="89">
        <v>2.2272311981565485E-6</v>
      </c>
      <c r="E129" s="88">
        <v>2789.1480491351522</v>
      </c>
      <c r="F129" s="151">
        <v>2.8440814546949866</v>
      </c>
      <c r="G129" s="96">
        <v>674.910398566092</v>
      </c>
      <c r="H129" s="136">
        <v>2.1973276929923951</v>
      </c>
      <c r="I129" s="88">
        <v>90.632146870496129</v>
      </c>
      <c r="J129" s="100">
        <v>0.55326379235952328</v>
      </c>
      <c r="K129" s="86">
        <v>5.5946751672781039</v>
      </c>
    </row>
    <row r="130" spans="1:11" x14ac:dyDescent="0.3">
      <c r="B130" s="90">
        <v>2056</v>
      </c>
      <c r="C130" s="88">
        <v>3.9168471260978555E-3</v>
      </c>
      <c r="D130" s="89">
        <v>2.1134172033583684E-6</v>
      </c>
      <c r="E130" s="88">
        <v>2742.447486310522</v>
      </c>
      <c r="F130" s="151">
        <v>2.7912630320578695</v>
      </c>
      <c r="G130" s="96">
        <v>662.35308953433037</v>
      </c>
      <c r="H130" s="136">
        <v>2.1540866878075562</v>
      </c>
      <c r="I130" s="88">
        <v>87.688338166669638</v>
      </c>
      <c r="J130" s="100">
        <v>0.53470804952458084</v>
      </c>
      <c r="K130" s="86">
        <v>5.4800598828072093</v>
      </c>
    </row>
    <row r="131" spans="1:11" x14ac:dyDescent="0.3">
      <c r="B131" s="90">
        <v>2057</v>
      </c>
      <c r="C131" s="88">
        <v>3.7075123175891347E-3</v>
      </c>
      <c r="D131" s="89">
        <v>1.9847901335799987E-6</v>
      </c>
      <c r="E131" s="88">
        <v>2701.8622075715662</v>
      </c>
      <c r="F131" s="151">
        <v>2.7446721412072166</v>
      </c>
      <c r="G131" s="96">
        <v>647.96833597316049</v>
      </c>
      <c r="H131" s="136">
        <v>2.1048706092233673</v>
      </c>
      <c r="I131" s="88">
        <v>84.900515513664686</v>
      </c>
      <c r="J131" s="100">
        <v>0.51711033710534804</v>
      </c>
      <c r="K131" s="86">
        <v>5.3666550723260649</v>
      </c>
    </row>
    <row r="132" spans="1:11" x14ac:dyDescent="0.3">
      <c r="B132" s="90">
        <v>2058</v>
      </c>
      <c r="C132" s="88">
        <v>3.4870256771937424E-3</v>
      </c>
      <c r="D132" s="89">
        <v>1.8520885337337544E-6</v>
      </c>
      <c r="E132" s="88">
        <v>2667.0520840063405</v>
      </c>
      <c r="F132" s="151">
        <v>2.7041718067771274</v>
      </c>
      <c r="G132" s="96">
        <v>631.54621820756665</v>
      </c>
      <c r="H132" s="136">
        <v>2.0492063668321303</v>
      </c>
      <c r="I132" s="88">
        <v>82.270059052001983</v>
      </c>
      <c r="J132" s="100">
        <v>0.50052253881602149</v>
      </c>
      <c r="K132" s="86">
        <v>5.2539025645138135</v>
      </c>
    </row>
    <row r="133" spans="1:11" x14ac:dyDescent="0.3">
      <c r="B133" s="90">
        <v>2059</v>
      </c>
      <c r="C133" s="88">
        <v>3.2664880986558275E-3</v>
      </c>
      <c r="D133" s="89">
        <v>1.7212026568262955E-6</v>
      </c>
      <c r="E133" s="88">
        <v>2637.6948337935687</v>
      </c>
      <c r="F133" s="151">
        <v>2.6692685234745719</v>
      </c>
      <c r="G133" s="96">
        <v>612.83187580342803</v>
      </c>
      <c r="H133" s="136">
        <v>1.9861887825510878</v>
      </c>
      <c r="I133" s="88">
        <v>79.796255919577405</v>
      </c>
      <c r="J133" s="100">
        <v>0.48491203701644753</v>
      </c>
      <c r="K133" s="86">
        <v>5.1403710642447642</v>
      </c>
    </row>
    <row r="134" spans="1:11" ht="14.4" thickBot="1" x14ac:dyDescent="0.35">
      <c r="B134" s="85">
        <v>2060</v>
      </c>
      <c r="C134" s="83">
        <v>3.0520445623093109E-3</v>
      </c>
      <c r="D134" s="84">
        <v>1.595522531994515E-6</v>
      </c>
      <c r="E134" s="83">
        <v>2613.4865742557076</v>
      </c>
      <c r="F134" s="150">
        <v>2.6399136053891303</v>
      </c>
      <c r="G134" s="83">
        <v>591.5194799914068</v>
      </c>
      <c r="H134" s="149">
        <v>1.9150666717867717</v>
      </c>
      <c r="I134" s="83">
        <v>77.476741884603911</v>
      </c>
      <c r="J134" s="148">
        <v>0.47031352487322137</v>
      </c>
      <c r="K134" s="81">
        <v>5.0252953975716554</v>
      </c>
    </row>
    <row r="138" spans="1:11" ht="16.2" thickBot="1" x14ac:dyDescent="0.35">
      <c r="B138" s="121" t="s">
        <v>196</v>
      </c>
    </row>
    <row r="139" spans="1:11" ht="14.4" thickBot="1" x14ac:dyDescent="0.35">
      <c r="B139" s="120" t="s">
        <v>3</v>
      </c>
      <c r="C139" s="119" t="s">
        <v>187</v>
      </c>
      <c r="D139" s="118"/>
      <c r="E139" s="119" t="s">
        <v>186</v>
      </c>
      <c r="F139" s="118"/>
      <c r="G139" s="119" t="s">
        <v>185</v>
      </c>
      <c r="H139" s="118"/>
      <c r="I139" s="119" t="s">
        <v>184</v>
      </c>
      <c r="J139" s="118"/>
      <c r="K139" s="117" t="s">
        <v>183</v>
      </c>
    </row>
    <row r="140" spans="1:11" ht="27.6" x14ac:dyDescent="0.3">
      <c r="B140" s="116"/>
      <c r="C140" s="115" t="s">
        <v>182</v>
      </c>
      <c r="D140" s="114" t="s">
        <v>181</v>
      </c>
      <c r="E140" s="115" t="s">
        <v>182</v>
      </c>
      <c r="F140" s="114" t="s">
        <v>181</v>
      </c>
      <c r="G140" s="115" t="s">
        <v>182</v>
      </c>
      <c r="H140" s="114" t="s">
        <v>181</v>
      </c>
      <c r="I140" s="115" t="s">
        <v>182</v>
      </c>
      <c r="J140" s="114" t="s">
        <v>181</v>
      </c>
      <c r="K140" s="113" t="s">
        <v>181</v>
      </c>
    </row>
    <row r="141" spans="1:11" ht="14.4" thickBot="1" x14ac:dyDescent="0.35">
      <c r="B141" s="112"/>
      <c r="C141" s="111"/>
      <c r="D141" s="110" t="s">
        <v>180</v>
      </c>
      <c r="E141" s="111"/>
      <c r="F141" s="110" t="s">
        <v>180</v>
      </c>
      <c r="G141" s="111"/>
      <c r="H141" s="110" t="s">
        <v>180</v>
      </c>
      <c r="I141" s="111"/>
      <c r="J141" s="110" t="s">
        <v>180</v>
      </c>
      <c r="K141" s="110" t="s">
        <v>180</v>
      </c>
    </row>
    <row r="142" spans="1:11" x14ac:dyDescent="0.3">
      <c r="A142" s="79" t="s">
        <v>178</v>
      </c>
      <c r="B142" s="109">
        <v>2000</v>
      </c>
      <c r="C142" s="92">
        <v>16221.387602557003</v>
      </c>
      <c r="D142" s="103"/>
      <c r="E142" s="92">
        <v>4581.5946126819481</v>
      </c>
      <c r="F142" s="107"/>
      <c r="G142" s="144">
        <v>6616.384068278805</v>
      </c>
      <c r="H142" s="145"/>
      <c r="I142" s="92">
        <v>1482.615931721195</v>
      </c>
      <c r="J142" s="106"/>
      <c r="K142" s="108"/>
    </row>
    <row r="143" spans="1:11" x14ac:dyDescent="0.3">
      <c r="A143" s="79" t="s">
        <v>178</v>
      </c>
      <c r="B143" s="90">
        <v>2001</v>
      </c>
      <c r="C143" s="92">
        <v>17097.251330810359</v>
      </c>
      <c r="D143" s="103"/>
      <c r="E143" s="92">
        <v>4948.5997734261209</v>
      </c>
      <c r="F143" s="107"/>
      <c r="G143" s="128">
        <v>6797.2356346483712</v>
      </c>
      <c r="H143" s="141"/>
      <c r="I143" s="92">
        <v>1526.6566252144082</v>
      </c>
      <c r="J143" s="106"/>
      <c r="K143" s="105"/>
    </row>
    <row r="144" spans="1:11" x14ac:dyDescent="0.3">
      <c r="A144" s="79" t="s">
        <v>178</v>
      </c>
      <c r="B144" s="90">
        <v>2002</v>
      </c>
      <c r="C144" s="92">
        <v>17910.113980249938</v>
      </c>
      <c r="D144" s="103"/>
      <c r="E144" s="92">
        <v>5220.0702702702702</v>
      </c>
      <c r="F144" s="107"/>
      <c r="G144" s="128">
        <v>6879.6701207135993</v>
      </c>
      <c r="H144" s="141"/>
      <c r="I144" s="92">
        <v>1525.1252002991134</v>
      </c>
      <c r="J144" s="106"/>
      <c r="K144" s="105"/>
    </row>
    <row r="145" spans="1:11" x14ac:dyDescent="0.3">
      <c r="A145" s="79" t="s">
        <v>178</v>
      </c>
      <c r="B145" s="90">
        <v>2003</v>
      </c>
      <c r="C145" s="92">
        <v>19206.194284139056</v>
      </c>
      <c r="D145" s="103"/>
      <c r="E145" s="92">
        <v>5732.5089306072805</v>
      </c>
      <c r="F145" s="107"/>
      <c r="G145" s="128">
        <v>7284.1871921182274</v>
      </c>
      <c r="H145" s="141"/>
      <c r="I145" s="92">
        <v>1548.342775041051</v>
      </c>
      <c r="J145" s="106"/>
      <c r="K145" s="105"/>
    </row>
    <row r="146" spans="1:11" x14ac:dyDescent="0.3">
      <c r="A146" s="79" t="s">
        <v>178</v>
      </c>
      <c r="B146" s="90">
        <v>2004</v>
      </c>
      <c r="C146" s="92">
        <v>20905.16579545907</v>
      </c>
      <c r="D146" s="103"/>
      <c r="E146" s="92">
        <v>6563.2729671550578</v>
      </c>
      <c r="F146" s="107"/>
      <c r="G146" s="128">
        <v>7833.7931034482763</v>
      </c>
      <c r="H146" s="141"/>
      <c r="I146" s="92">
        <v>1605.7635467980297</v>
      </c>
      <c r="J146" s="106"/>
      <c r="K146" s="105"/>
    </row>
    <row r="147" spans="1:11" x14ac:dyDescent="0.3">
      <c r="A147" s="79" t="s">
        <v>178</v>
      </c>
      <c r="B147" s="90">
        <v>2005</v>
      </c>
      <c r="C147" s="92">
        <v>24695.945935275966</v>
      </c>
      <c r="D147" s="103"/>
      <c r="E147" s="92">
        <v>7944.3300206262884</v>
      </c>
      <c r="F147" s="107"/>
      <c r="G147" s="128">
        <v>8738.8847166169508</v>
      </c>
      <c r="H147" s="141"/>
      <c r="I147" s="92">
        <v>1745.3872609229688</v>
      </c>
      <c r="J147" s="106"/>
      <c r="K147" s="105"/>
    </row>
    <row r="148" spans="1:11" x14ac:dyDescent="0.3">
      <c r="A148" s="79" t="s">
        <v>178</v>
      </c>
      <c r="B148" s="90">
        <v>2006</v>
      </c>
      <c r="C148" s="92">
        <v>29123.81900340108</v>
      </c>
      <c r="D148" s="103"/>
      <c r="E148" s="92">
        <v>9806.8879319986572</v>
      </c>
      <c r="F148" s="107"/>
      <c r="G148" s="128">
        <v>9426.5983796296296</v>
      </c>
      <c r="H148" s="141"/>
      <c r="I148" s="92">
        <v>1786.5895337301586</v>
      </c>
      <c r="J148" s="106"/>
      <c r="K148" s="105"/>
    </row>
    <row r="149" spans="1:11" x14ac:dyDescent="0.3">
      <c r="A149" s="79" t="s">
        <v>178</v>
      </c>
      <c r="B149" s="90">
        <v>2007</v>
      </c>
      <c r="C149" s="92">
        <v>34790.084301597402</v>
      </c>
      <c r="D149" s="103"/>
      <c r="E149" s="92">
        <v>11980.667062784711</v>
      </c>
      <c r="F149" s="107"/>
      <c r="G149" s="128">
        <v>10071.116273603384</v>
      </c>
      <c r="H149" s="141"/>
      <c r="I149" s="92">
        <v>1805.6822847292956</v>
      </c>
      <c r="J149" s="106"/>
      <c r="K149" s="105"/>
    </row>
    <row r="150" spans="1:11" x14ac:dyDescent="0.3">
      <c r="A150" s="79" t="s">
        <v>178</v>
      </c>
      <c r="B150" s="90">
        <v>2008</v>
      </c>
      <c r="C150" s="92">
        <v>36835.557830835802</v>
      </c>
      <c r="D150" s="103"/>
      <c r="E150" s="92">
        <v>12781.015967393911</v>
      </c>
      <c r="F150" s="104"/>
      <c r="G150" s="128">
        <v>10121.021211884894</v>
      </c>
      <c r="H150" s="140"/>
      <c r="I150" s="92">
        <v>1817.7856195897996</v>
      </c>
      <c r="J150" s="103"/>
      <c r="K150" s="99"/>
    </row>
    <row r="151" spans="1:11" x14ac:dyDescent="0.3">
      <c r="A151" s="79" t="s">
        <v>178</v>
      </c>
      <c r="B151" s="90">
        <v>2009</v>
      </c>
      <c r="C151" s="92">
        <v>37320.357641257535</v>
      </c>
      <c r="D151" s="103"/>
      <c r="E151" s="92">
        <v>12658.633032473264</v>
      </c>
      <c r="F151" s="104"/>
      <c r="G151" s="128">
        <v>9732.6925697598963</v>
      </c>
      <c r="H151" s="140"/>
      <c r="I151" s="92">
        <v>1757.0590525632706</v>
      </c>
      <c r="J151" s="103"/>
      <c r="K151" s="99"/>
    </row>
    <row r="152" spans="1:11" x14ac:dyDescent="0.3">
      <c r="A152" s="79" t="s">
        <v>178</v>
      </c>
      <c r="B152" s="90">
        <v>2010</v>
      </c>
      <c r="C152" s="92">
        <v>37895.742956783353</v>
      </c>
      <c r="D152" s="103"/>
      <c r="E152" s="92">
        <v>12639.398293312164</v>
      </c>
      <c r="F152" s="104"/>
      <c r="G152" s="128">
        <v>9481.9121397813833</v>
      </c>
      <c r="H152" s="140"/>
      <c r="I152" s="92">
        <v>1784.7866843325603</v>
      </c>
      <c r="J152" s="103"/>
      <c r="K152" s="99"/>
    </row>
    <row r="153" spans="1:11" x14ac:dyDescent="0.3">
      <c r="A153" s="79" t="s">
        <v>178</v>
      </c>
      <c r="B153" s="90">
        <v>2011</v>
      </c>
      <c r="C153" s="92">
        <v>40053.829209361917</v>
      </c>
      <c r="D153" s="103"/>
      <c r="E153" s="92">
        <v>12755.027431421446</v>
      </c>
      <c r="F153" s="104"/>
      <c r="G153" s="128">
        <v>9349.0271983981311</v>
      </c>
      <c r="H153" s="140"/>
      <c r="I153" s="92">
        <v>1837.747371933923</v>
      </c>
      <c r="J153" s="103"/>
      <c r="K153" s="99"/>
    </row>
    <row r="154" spans="1:11" x14ac:dyDescent="0.3">
      <c r="A154" s="79" t="s">
        <v>178</v>
      </c>
      <c r="B154" s="90">
        <v>2012</v>
      </c>
      <c r="C154" s="92">
        <v>43762.955357737905</v>
      </c>
      <c r="D154" s="103"/>
      <c r="E154" s="92">
        <v>12983.220378558301</v>
      </c>
      <c r="F154" s="104"/>
      <c r="G154" s="128">
        <v>9386.0496290189603</v>
      </c>
      <c r="H154" s="140"/>
      <c r="I154" s="92">
        <v>1943.806760098928</v>
      </c>
      <c r="J154" s="103"/>
      <c r="K154" s="99"/>
    </row>
    <row r="155" spans="1:11" x14ac:dyDescent="0.3">
      <c r="A155" s="79" t="s">
        <v>178</v>
      </c>
      <c r="B155" s="90">
        <v>2013</v>
      </c>
      <c r="C155" s="92">
        <v>47368.239872743579</v>
      </c>
      <c r="D155" s="103"/>
      <c r="E155" s="92">
        <v>13374.898866480198</v>
      </c>
      <c r="F155" s="104"/>
      <c r="G155" s="128">
        <v>9507.7352072644353</v>
      </c>
      <c r="H155" s="140"/>
      <c r="I155" s="92">
        <v>2047.5741269647365</v>
      </c>
      <c r="J155" s="103"/>
      <c r="K155" s="99"/>
    </row>
    <row r="156" spans="1:11" x14ac:dyDescent="0.3">
      <c r="A156" s="79" t="s">
        <v>178</v>
      </c>
      <c r="B156" s="90">
        <v>2014</v>
      </c>
      <c r="C156" s="92">
        <v>58767.11589673769</v>
      </c>
      <c r="D156" s="103"/>
      <c r="E156" s="92">
        <v>13635.124911510758</v>
      </c>
      <c r="F156" s="104"/>
      <c r="G156" s="128">
        <v>9299.4091285009199</v>
      </c>
      <c r="H156" s="140"/>
      <c r="I156" s="92">
        <v>2090.9806428343059</v>
      </c>
      <c r="J156" s="103"/>
      <c r="K156" s="99"/>
    </row>
    <row r="157" spans="1:11" x14ac:dyDescent="0.3">
      <c r="A157" s="79" t="s">
        <v>178</v>
      </c>
      <c r="B157" s="90">
        <v>2015</v>
      </c>
      <c r="C157" s="92">
        <v>67070.809541701834</v>
      </c>
      <c r="D157" s="103"/>
      <c r="E157" s="92">
        <v>14725.562985114901</v>
      </c>
      <c r="F157" s="104"/>
      <c r="G157" s="128">
        <v>9504.9419288321151</v>
      </c>
      <c r="H157" s="140"/>
      <c r="I157" s="92">
        <v>2212.9380821167883</v>
      </c>
      <c r="J157" s="100"/>
      <c r="K157" s="99"/>
    </row>
    <row r="158" spans="1:11" x14ac:dyDescent="0.3">
      <c r="A158" s="79" t="s">
        <v>178</v>
      </c>
      <c r="B158" s="90">
        <v>2016</v>
      </c>
      <c r="C158" s="92">
        <v>75696.748146171405</v>
      </c>
      <c r="D158" s="103"/>
      <c r="E158" s="92">
        <v>16135.142495999997</v>
      </c>
      <c r="F158" s="102"/>
      <c r="G158" s="128">
        <v>9467.3163639999984</v>
      </c>
      <c r="H158" s="136"/>
      <c r="I158" s="92">
        <v>2561.2495920000001</v>
      </c>
      <c r="J158" s="100"/>
      <c r="K158" s="99"/>
    </row>
    <row r="159" spans="1:11" x14ac:dyDescent="0.3">
      <c r="A159" s="79" t="s">
        <v>178</v>
      </c>
      <c r="B159" s="90">
        <v>2017</v>
      </c>
      <c r="C159" s="92">
        <v>88597.469964342861</v>
      </c>
      <c r="D159" s="103"/>
      <c r="E159" s="92">
        <v>17482.864243000004</v>
      </c>
      <c r="F159" s="102"/>
      <c r="G159" s="128">
        <v>10641.092871499999</v>
      </c>
      <c r="H159" s="136"/>
      <c r="I159" s="92">
        <v>2854.2807280000002</v>
      </c>
      <c r="J159" s="100"/>
      <c r="K159" s="99"/>
    </row>
    <row r="160" spans="1:11" x14ac:dyDescent="0.3">
      <c r="A160" s="79" t="s">
        <v>178</v>
      </c>
      <c r="B160" s="90">
        <v>2018</v>
      </c>
      <c r="C160" s="92">
        <v>96983.16726799999</v>
      </c>
      <c r="D160" s="103"/>
      <c r="E160" s="92">
        <v>18160.27924</v>
      </c>
      <c r="F160" s="102"/>
      <c r="G160" s="128">
        <v>11088.527170000001</v>
      </c>
      <c r="H160" s="136"/>
      <c r="I160" s="92">
        <v>2828.9920400000001</v>
      </c>
      <c r="J160" s="100"/>
      <c r="K160" s="99"/>
    </row>
    <row r="161" spans="1:11" x14ac:dyDescent="0.3">
      <c r="A161" s="79" t="s">
        <v>178</v>
      </c>
      <c r="B161" s="90">
        <v>2019</v>
      </c>
      <c r="C161" s="92">
        <v>102929.19728708568</v>
      </c>
      <c r="D161" s="103"/>
      <c r="E161" s="92">
        <v>18751.612994499999</v>
      </c>
      <c r="F161" s="102"/>
      <c r="G161" s="128">
        <v>11448.082709499999</v>
      </c>
      <c r="H161" s="136"/>
      <c r="I161" s="92">
        <v>2820.1603180000002</v>
      </c>
      <c r="J161" s="100"/>
      <c r="K161" s="99"/>
    </row>
    <row r="162" spans="1:11" x14ac:dyDescent="0.3">
      <c r="B162" s="90">
        <v>2020</v>
      </c>
      <c r="C162" s="92">
        <v>103286.40604641415</v>
      </c>
      <c r="D162" s="93">
        <v>118.79798174677579</v>
      </c>
      <c r="E162" s="92">
        <v>17425.6797200084</v>
      </c>
      <c r="F162" s="151">
        <v>26.237005191785684</v>
      </c>
      <c r="G162" s="128">
        <v>10530.932308054564</v>
      </c>
      <c r="H162" s="136">
        <v>38.51651026850957</v>
      </c>
      <c r="I162" s="92">
        <v>1692.5561244803207</v>
      </c>
      <c r="J162" s="155">
        <v>11.547795684283619</v>
      </c>
      <c r="K162" s="98">
        <v>195.09929289135465</v>
      </c>
    </row>
    <row r="163" spans="1:11" x14ac:dyDescent="0.3">
      <c r="B163" s="90">
        <v>2021</v>
      </c>
      <c r="C163" s="92">
        <v>108017.64725448473</v>
      </c>
      <c r="D163" s="93">
        <v>107.86694961827088</v>
      </c>
      <c r="E163" s="92">
        <v>17927.667176862316</v>
      </c>
      <c r="F163" s="151">
        <v>26.775219385898737</v>
      </c>
      <c r="G163" s="128">
        <v>10778.91383996629</v>
      </c>
      <c r="H163" s="136">
        <v>39.136748407389341</v>
      </c>
      <c r="I163" s="92">
        <v>1894.4872418401139</v>
      </c>
      <c r="J163" s="155">
        <v>9.2151233674506692</v>
      </c>
      <c r="K163" s="98">
        <v>182.99404077900962</v>
      </c>
    </row>
    <row r="164" spans="1:11" x14ac:dyDescent="0.3">
      <c r="B164" s="90">
        <v>2022</v>
      </c>
      <c r="C164" s="92">
        <v>111715.76365574625</v>
      </c>
      <c r="D164" s="93">
        <v>111.55251939394374</v>
      </c>
      <c r="E164" s="92">
        <v>18413.945567104554</v>
      </c>
      <c r="F164" s="151">
        <v>27.193264804779009</v>
      </c>
      <c r="G164" s="128">
        <v>11031.99727318742</v>
      </c>
      <c r="H164" s="136">
        <v>39.638241903798296</v>
      </c>
      <c r="I164" s="92">
        <v>2162.896608098556</v>
      </c>
      <c r="J164" s="155">
        <v>12.458748569191755</v>
      </c>
      <c r="K164" s="98">
        <v>190.84277467171279</v>
      </c>
    </row>
    <row r="165" spans="1:11" x14ac:dyDescent="0.3">
      <c r="B165" s="90">
        <v>2023</v>
      </c>
      <c r="C165" s="92">
        <v>111127.26166046259</v>
      </c>
      <c r="D165" s="93">
        <v>110.72918529261358</v>
      </c>
      <c r="E165" s="92">
        <v>18745.874883408287</v>
      </c>
      <c r="F165" s="151">
        <v>27.227021198484525</v>
      </c>
      <c r="G165" s="128">
        <v>11191.410023898696</v>
      </c>
      <c r="H165" s="136">
        <v>39.579524703870575</v>
      </c>
      <c r="I165" s="92">
        <v>2362.0971860002351</v>
      </c>
      <c r="J165" s="155">
        <v>15.594143881829881</v>
      </c>
      <c r="K165" s="86">
        <v>193.12987507679856</v>
      </c>
    </row>
    <row r="166" spans="1:11" x14ac:dyDescent="0.3">
      <c r="B166" s="90">
        <v>2024</v>
      </c>
      <c r="C166" s="92">
        <v>109611.085810694</v>
      </c>
      <c r="D166" s="93">
        <v>109.87921127294149</v>
      </c>
      <c r="E166" s="92">
        <v>19007.561480932647</v>
      </c>
      <c r="F166" s="151">
        <v>27.582013191281401</v>
      </c>
      <c r="G166" s="128">
        <v>11352.157673410762</v>
      </c>
      <c r="H166" s="136">
        <v>40.143504926588648</v>
      </c>
      <c r="I166" s="92">
        <v>2525.9088706171883</v>
      </c>
      <c r="J166" s="155">
        <v>16.677588717875384</v>
      </c>
      <c r="K166" s="86">
        <v>194.28231810868692</v>
      </c>
    </row>
    <row r="167" spans="1:11" x14ac:dyDescent="0.3">
      <c r="B167" s="90">
        <v>2025</v>
      </c>
      <c r="C167" s="92">
        <v>104554.32173279897</v>
      </c>
      <c r="D167" s="93">
        <v>104.94674763787742</v>
      </c>
      <c r="E167" s="92">
        <v>19210.440207164749</v>
      </c>
      <c r="F167" s="151">
        <v>27.75088038902901</v>
      </c>
      <c r="G167" s="128">
        <v>11514.049376534591</v>
      </c>
      <c r="H167" s="136">
        <v>40.564970964364797</v>
      </c>
      <c r="I167" s="92">
        <v>2550.075574991688</v>
      </c>
      <c r="J167" s="155">
        <v>16.778593068772192</v>
      </c>
      <c r="K167" s="86">
        <v>190.04119206004341</v>
      </c>
    </row>
    <row r="168" spans="1:11" x14ac:dyDescent="0.3">
      <c r="B168" s="90">
        <v>2026</v>
      </c>
      <c r="C168" s="92">
        <v>98157.609930969295</v>
      </c>
      <c r="D168" s="93">
        <v>98.325200926967511</v>
      </c>
      <c r="E168" s="92">
        <v>19337.636833976707</v>
      </c>
      <c r="F168" s="151">
        <v>27.676746945009604</v>
      </c>
      <c r="G168" s="128">
        <v>11676.851731751029</v>
      </c>
      <c r="H168" s="136">
        <v>40.79131576440772</v>
      </c>
      <c r="I168" s="92">
        <v>2573.68639882774</v>
      </c>
      <c r="J168" s="155">
        <v>16.794910069959503</v>
      </c>
      <c r="K168" s="86">
        <v>183.58817370634435</v>
      </c>
    </row>
    <row r="169" spans="1:11" x14ac:dyDescent="0.3">
      <c r="B169" s="90">
        <v>2027</v>
      </c>
      <c r="C169" s="92">
        <v>91167.366923939087</v>
      </c>
      <c r="D169" s="93">
        <v>88.961754678335495</v>
      </c>
      <c r="E169" s="92">
        <v>19399.134465907769</v>
      </c>
      <c r="F169" s="151">
        <v>26.861665577326193</v>
      </c>
      <c r="G169" s="128">
        <v>11840.281766276781</v>
      </c>
      <c r="H169" s="136">
        <v>40.048841216211514</v>
      </c>
      <c r="I169" s="92">
        <v>2596.4734085200143</v>
      </c>
      <c r="J169" s="155">
        <v>16.409396218861119</v>
      </c>
      <c r="K169" s="86">
        <v>172.28165769073433</v>
      </c>
    </row>
    <row r="170" spans="1:11" x14ac:dyDescent="0.3">
      <c r="B170" s="90">
        <v>2028</v>
      </c>
      <c r="C170" s="92">
        <v>83414.35688428313</v>
      </c>
      <c r="D170" s="93">
        <v>80.471575054960482</v>
      </c>
      <c r="E170" s="92">
        <v>19322.537691300098</v>
      </c>
      <c r="F170" s="151">
        <v>26.279539193092436</v>
      </c>
      <c r="G170" s="128">
        <v>12003.99927969069</v>
      </c>
      <c r="H170" s="136">
        <v>39.912070570070952</v>
      </c>
      <c r="I170" s="92">
        <v>2618.1172539886575</v>
      </c>
      <c r="J170" s="155">
        <v>16.268551781465995</v>
      </c>
      <c r="K170" s="86">
        <v>162.93173659958987</v>
      </c>
    </row>
    <row r="171" spans="1:11" x14ac:dyDescent="0.3">
      <c r="B171" s="90">
        <v>2029</v>
      </c>
      <c r="C171" s="92">
        <v>75158.376864229358</v>
      </c>
      <c r="D171" s="93">
        <v>72.895079423967317</v>
      </c>
      <c r="E171" s="92">
        <v>19121.70701101813</v>
      </c>
      <c r="F171" s="151">
        <v>25.982658267298305</v>
      </c>
      <c r="G171" s="128">
        <v>12167.598727473871</v>
      </c>
      <c r="H171" s="136">
        <v>40.451465088123037</v>
      </c>
      <c r="I171" s="92">
        <v>2638.2423579693177</v>
      </c>
      <c r="J171" s="155">
        <v>16.395560416429625</v>
      </c>
      <c r="K171" s="86">
        <v>155.7247631958183</v>
      </c>
    </row>
    <row r="172" spans="1:11" x14ac:dyDescent="0.3">
      <c r="B172" s="90">
        <v>2030</v>
      </c>
      <c r="C172" s="92">
        <v>66626.597615019156</v>
      </c>
      <c r="D172" s="93">
        <v>64.958139103264699</v>
      </c>
      <c r="E172" s="92">
        <v>18788.156514717466</v>
      </c>
      <c r="F172" s="151">
        <v>25.506100581468502</v>
      </c>
      <c r="G172" s="128">
        <v>12330.600964130648</v>
      </c>
      <c r="H172" s="136">
        <v>40.988751847340112</v>
      </c>
      <c r="I172" s="92">
        <v>2656.4139106705184</v>
      </c>
      <c r="J172" s="155">
        <v>16.510456928423157</v>
      </c>
      <c r="K172" s="86">
        <v>147.96344846049647</v>
      </c>
    </row>
    <row r="173" spans="1:11" x14ac:dyDescent="0.3">
      <c r="B173" s="90">
        <v>2031</v>
      </c>
      <c r="C173" s="92">
        <v>58132.2229667793</v>
      </c>
      <c r="D173" s="93">
        <v>56.472039221039154</v>
      </c>
      <c r="E173" s="92">
        <v>18324.023245296394</v>
      </c>
      <c r="F173" s="151">
        <v>24.848481191124407</v>
      </c>
      <c r="G173" s="128">
        <v>12485.927731100319</v>
      </c>
      <c r="H173" s="136">
        <v>41.499422995573902</v>
      </c>
      <c r="I173" s="92">
        <v>2671.4508248882885</v>
      </c>
      <c r="J173" s="155">
        <v>16.606310887052786</v>
      </c>
      <c r="K173" s="86">
        <v>139.42625429479025</v>
      </c>
    </row>
    <row r="174" spans="1:11" x14ac:dyDescent="0.3">
      <c r="B174" s="90">
        <v>2032</v>
      </c>
      <c r="C174" s="92">
        <v>50054.657487751159</v>
      </c>
      <c r="D174" s="93">
        <v>48.452271857240596</v>
      </c>
      <c r="E174" s="92">
        <v>17741.231523348008</v>
      </c>
      <c r="F174" s="151">
        <v>24.03152664291153</v>
      </c>
      <c r="G174" s="128">
        <v>12632.721528093138</v>
      </c>
      <c r="H174" s="136">
        <v>41.981596239941318</v>
      </c>
      <c r="I174" s="92">
        <v>2682.7888211439968</v>
      </c>
      <c r="J174" s="155">
        <v>16.679195221999713</v>
      </c>
      <c r="K174" s="86">
        <v>131.14458996209316</v>
      </c>
    </row>
    <row r="175" spans="1:11" x14ac:dyDescent="0.3">
      <c r="B175" s="90">
        <v>2033</v>
      </c>
      <c r="C175" s="92">
        <v>42484.299535156773</v>
      </c>
      <c r="D175" s="93">
        <v>39.858524025655541</v>
      </c>
      <c r="E175" s="92">
        <v>17058.972724277224</v>
      </c>
      <c r="F175" s="151">
        <v>22.449257695379966</v>
      </c>
      <c r="G175" s="128">
        <v>12769.911103365703</v>
      </c>
      <c r="H175" s="136">
        <v>41.269018297093126</v>
      </c>
      <c r="I175" s="92">
        <v>2689.8029962179835</v>
      </c>
      <c r="J175" s="155">
        <v>16.266913459405636</v>
      </c>
      <c r="K175" s="86">
        <v>119.84371347753427</v>
      </c>
    </row>
    <row r="176" spans="1:11" x14ac:dyDescent="0.3">
      <c r="B176" s="90">
        <v>2034</v>
      </c>
      <c r="C176" s="92">
        <v>35496.860692345988</v>
      </c>
      <c r="D176" s="93">
        <v>32.344782463316129</v>
      </c>
      <c r="E176" s="92">
        <v>16301.811097291109</v>
      </c>
      <c r="F176" s="151">
        <v>20.882395629651793</v>
      </c>
      <c r="G176" s="128">
        <v>12896.330772624027</v>
      </c>
      <c r="H176" s="136">
        <v>40.608882105782961</v>
      </c>
      <c r="I176" s="92">
        <v>2691.8567550175753</v>
      </c>
      <c r="J176" s="155">
        <v>15.866351605195826</v>
      </c>
      <c r="K176" s="86">
        <v>109.70241180394672</v>
      </c>
    </row>
    <row r="177" spans="2:11" x14ac:dyDescent="0.3">
      <c r="B177" s="90">
        <v>2035</v>
      </c>
      <c r="C177" s="92">
        <v>29142.50572608642</v>
      </c>
      <c r="D177" s="93">
        <v>26.469232264313376</v>
      </c>
      <c r="E177" s="92">
        <v>15519.295546564745</v>
      </c>
      <c r="F177" s="151">
        <v>19.857905683250401</v>
      </c>
      <c r="G177" s="128">
        <v>13010.729095400829</v>
      </c>
      <c r="H177" s="136">
        <v>40.963519555888368</v>
      </c>
      <c r="I177" s="92">
        <v>2688.3351702889804</v>
      </c>
      <c r="J177" s="155">
        <v>15.847878735354236</v>
      </c>
      <c r="K177" s="86">
        <v>103.13853623880638</v>
      </c>
    </row>
    <row r="178" spans="2:11" x14ac:dyDescent="0.3">
      <c r="B178" s="90">
        <v>2036</v>
      </c>
      <c r="C178" s="92">
        <v>23466.501792374747</v>
      </c>
      <c r="D178" s="93">
        <v>21.247813754578164</v>
      </c>
      <c r="E178" s="92">
        <v>14693.843227106663</v>
      </c>
      <c r="F178" s="151">
        <v>18.780765089784587</v>
      </c>
      <c r="G178" s="128">
        <v>13111.786657791494</v>
      </c>
      <c r="H178" s="136">
        <v>41.276061863854729</v>
      </c>
      <c r="I178" s="92">
        <v>2678.6878947964688</v>
      </c>
      <c r="J178" s="155">
        <v>15.793283404283358</v>
      </c>
      <c r="K178" s="86">
        <v>97.097924112500834</v>
      </c>
    </row>
    <row r="179" spans="2:11" x14ac:dyDescent="0.3">
      <c r="B179" s="90">
        <v>2037</v>
      </c>
      <c r="C179" s="92">
        <v>18514.820785435106</v>
      </c>
      <c r="D179" s="93">
        <v>16.714015594465241</v>
      </c>
      <c r="E179" s="92">
        <v>13875.245612025865</v>
      </c>
      <c r="F179" s="151">
        <v>17.714726759219669</v>
      </c>
      <c r="G179" s="128">
        <v>13198.14532104813</v>
      </c>
      <c r="H179" s="136">
        <v>41.542251365496071</v>
      </c>
      <c r="I179" s="92">
        <v>2662.4793631004259</v>
      </c>
      <c r="J179" s="155">
        <v>15.699981576875913</v>
      </c>
      <c r="K179" s="86">
        <v>91.670975296056895</v>
      </c>
    </row>
    <row r="180" spans="2:11" x14ac:dyDescent="0.3">
      <c r="B180" s="90">
        <v>2038</v>
      </c>
      <c r="C180" s="92">
        <v>14331.847449926277</v>
      </c>
      <c r="D180" s="93">
        <v>12.652584645610094</v>
      </c>
      <c r="E180" s="92">
        <v>13087.356442766441</v>
      </c>
      <c r="F180" s="151">
        <v>16.369841202397712</v>
      </c>
      <c r="G180" s="128">
        <v>13268.450920132635</v>
      </c>
      <c r="H180" s="136">
        <v>40.956371906101232</v>
      </c>
      <c r="I180" s="92">
        <v>2639.4417495658204</v>
      </c>
      <c r="J180" s="155">
        <v>15.267605932681288</v>
      </c>
      <c r="K180" s="86">
        <v>85.246403686790316</v>
      </c>
    </row>
    <row r="181" spans="2:11" x14ac:dyDescent="0.3">
      <c r="B181" s="90">
        <v>2039</v>
      </c>
      <c r="C181" s="92">
        <v>10956.949667498777</v>
      </c>
      <c r="D181" s="93">
        <v>9.5363365023179885</v>
      </c>
      <c r="E181" s="92">
        <v>12350.707558002463</v>
      </c>
      <c r="F181" s="151">
        <v>15.256385099269883</v>
      </c>
      <c r="G181" s="128">
        <v>13321.410455264619</v>
      </c>
      <c r="H181" s="136">
        <v>40.648511078388537</v>
      </c>
      <c r="I181" s="92">
        <v>2609.5241008371304</v>
      </c>
      <c r="J181" s="155">
        <v>14.925716332006598</v>
      </c>
      <c r="K181" s="86">
        <v>80.36694901198301</v>
      </c>
    </row>
    <row r="182" spans="2:11" x14ac:dyDescent="0.3">
      <c r="B182" s="90">
        <v>2040</v>
      </c>
      <c r="C182" s="92">
        <v>8422.1143730866188</v>
      </c>
      <c r="D182" s="93">
        <v>7.2305284166025627</v>
      </c>
      <c r="E182" s="92">
        <v>11682.263099871423</v>
      </c>
      <c r="F182" s="151">
        <v>14.258600401503442</v>
      </c>
      <c r="G182" s="128">
        <v>13355.863199862551</v>
      </c>
      <c r="H182" s="136">
        <v>40.307229554734064</v>
      </c>
      <c r="I182" s="92">
        <v>2572.9299789501947</v>
      </c>
      <c r="J182" s="155">
        <v>14.559290983931394</v>
      </c>
      <c r="K182" s="86">
        <v>76.355649356771465</v>
      </c>
    </row>
    <row r="183" spans="2:11" x14ac:dyDescent="0.3">
      <c r="B183" s="90">
        <v>2041</v>
      </c>
      <c r="C183" s="92">
        <v>6147.7954075907592</v>
      </c>
      <c r="D183" s="93">
        <v>5.1912266601011883</v>
      </c>
      <c r="E183" s="92">
        <v>11046.013118461251</v>
      </c>
      <c r="F183" s="151">
        <v>13.329230003693203</v>
      </c>
      <c r="G183" s="128">
        <v>13378.075518371357</v>
      </c>
      <c r="H183" s="136">
        <v>39.946925325916489</v>
      </c>
      <c r="I183" s="92">
        <v>2529.2201427043083</v>
      </c>
      <c r="J183" s="155">
        <v>14.160468377159487</v>
      </c>
      <c r="K183" s="86">
        <v>72.627850366870376</v>
      </c>
    </row>
    <row r="184" spans="2:11" x14ac:dyDescent="0.3">
      <c r="B184" s="90">
        <v>2042</v>
      </c>
      <c r="C184" s="88">
        <v>4141.929830263115</v>
      </c>
      <c r="D184" s="89">
        <v>3.4415726270589686</v>
      </c>
      <c r="E184" s="88">
        <v>10448.142235596073</v>
      </c>
      <c r="F184" s="151">
        <v>12.469080039638245</v>
      </c>
      <c r="G184" s="96">
        <v>13387.432504159928</v>
      </c>
      <c r="H184" s="136">
        <v>39.56509594177939</v>
      </c>
      <c r="I184" s="88">
        <v>2478.9981297502391</v>
      </c>
      <c r="J184" s="155">
        <v>13.737015874671432</v>
      </c>
      <c r="K184" s="86">
        <v>69.212764483148035</v>
      </c>
    </row>
    <row r="185" spans="2:11" x14ac:dyDescent="0.3">
      <c r="B185" s="90">
        <v>2043</v>
      </c>
      <c r="C185" s="88">
        <v>2599.3333938332571</v>
      </c>
      <c r="D185" s="89">
        <v>2.1265063573442862</v>
      </c>
      <c r="E185" s="88">
        <v>9893.1302605243382</v>
      </c>
      <c r="F185" s="151">
        <v>11.681663626116361</v>
      </c>
      <c r="G185" s="96">
        <v>13383.604472160878</v>
      </c>
      <c r="H185" s="136">
        <v>39.164563477518072</v>
      </c>
      <c r="I185" s="88">
        <v>2423.0707832759313</v>
      </c>
      <c r="J185" s="155">
        <v>13.294976378494567</v>
      </c>
      <c r="K185" s="86">
        <v>66.267709839473284</v>
      </c>
    </row>
    <row r="186" spans="2:11" x14ac:dyDescent="0.3">
      <c r="B186" s="90">
        <v>2044</v>
      </c>
      <c r="C186" s="88">
        <v>1290.9014061039818</v>
      </c>
      <c r="D186" s="89">
        <v>1.0412364170702475</v>
      </c>
      <c r="E186" s="88">
        <v>9384.0763008830454</v>
      </c>
      <c r="F186" s="151">
        <v>10.970409900692362</v>
      </c>
      <c r="G186" s="96">
        <v>13366.603207313794</v>
      </c>
      <c r="H186" s="136">
        <v>38.755334897303385</v>
      </c>
      <c r="I186" s="88">
        <v>2362.4017048241972</v>
      </c>
      <c r="J186" s="155">
        <v>12.842969687082565</v>
      </c>
      <c r="K186" s="86">
        <v>63.609950902148555</v>
      </c>
    </row>
    <row r="187" spans="2:11" x14ac:dyDescent="0.3">
      <c r="B187" s="90">
        <v>2045</v>
      </c>
      <c r="C187" s="88">
        <v>216.81547035373529</v>
      </c>
      <c r="D187" s="89">
        <v>0.17425959597422375</v>
      </c>
      <c r="E187" s="88">
        <v>8922.9815935601018</v>
      </c>
      <c r="F187" s="151">
        <v>10.333681826855237</v>
      </c>
      <c r="G187" s="96">
        <v>13336.820541988478</v>
      </c>
      <c r="H187" s="136">
        <v>38.335986702021579</v>
      </c>
      <c r="I187" s="88">
        <v>2298.0548148922217</v>
      </c>
      <c r="J187" s="155">
        <v>12.385569879670374</v>
      </c>
      <c r="K187" s="86">
        <v>61.229498004521417</v>
      </c>
    </row>
    <row r="188" spans="2:11" x14ac:dyDescent="0.3">
      <c r="B188" s="90">
        <v>2046</v>
      </c>
      <c r="C188" s="88">
        <v>13.38608280621054</v>
      </c>
      <c r="D188" s="89">
        <v>1.1921593812220519E-2</v>
      </c>
      <c r="E188" s="88">
        <v>8510.9864208421768</v>
      </c>
      <c r="F188" s="151">
        <v>9.7833458018321604</v>
      </c>
      <c r="G188" s="96">
        <v>13295.043007661414</v>
      </c>
      <c r="H188" s="136">
        <v>37.96093412517407</v>
      </c>
      <c r="I188" s="88">
        <v>2231.1355021436575</v>
      </c>
      <c r="J188" s="155">
        <v>11.944675701557374</v>
      </c>
      <c r="K188" s="86">
        <v>59.700877222375823</v>
      </c>
    </row>
    <row r="189" spans="2:11" x14ac:dyDescent="0.3">
      <c r="B189" s="90">
        <v>2047</v>
      </c>
      <c r="C189" s="88">
        <v>2.9978338221499108</v>
      </c>
      <c r="D189" s="89">
        <v>2.6497406535655466E-3</v>
      </c>
      <c r="E189" s="88">
        <v>8148.563381769146</v>
      </c>
      <c r="F189" s="151">
        <v>9.3139292925688508</v>
      </c>
      <c r="G189" s="96">
        <v>13242.439133157081</v>
      </c>
      <c r="H189" s="136">
        <v>37.626181902753352</v>
      </c>
      <c r="I189" s="88">
        <v>2162.7360558608611</v>
      </c>
      <c r="J189" s="155">
        <v>11.521975779991322</v>
      </c>
      <c r="K189" s="86">
        <v>58.464736715967092</v>
      </c>
    </row>
    <row r="190" spans="2:11" x14ac:dyDescent="0.3">
      <c r="B190" s="90">
        <v>2048</v>
      </c>
      <c r="C190" s="88">
        <v>0</v>
      </c>
      <c r="D190" s="89">
        <v>0</v>
      </c>
      <c r="E190" s="88">
        <v>7835.672353479662</v>
      </c>
      <c r="F190" s="151">
        <v>8.9178807663764772</v>
      </c>
      <c r="G190" s="96">
        <v>13180.519660118684</v>
      </c>
      <c r="H190" s="136">
        <v>37.318063091604955</v>
      </c>
      <c r="I190" s="88">
        <v>2093.8901670864143</v>
      </c>
      <c r="J190" s="155">
        <v>11.115825766527255</v>
      </c>
      <c r="K190" s="86">
        <v>57.351769624508684</v>
      </c>
    </row>
    <row r="191" spans="2:11" x14ac:dyDescent="0.3">
      <c r="B191" s="90">
        <v>2049</v>
      </c>
      <c r="C191" s="88">
        <v>0</v>
      </c>
      <c r="D191" s="89">
        <v>0</v>
      </c>
      <c r="E191" s="88">
        <v>7571.8833622970506</v>
      </c>
      <c r="F191" s="151">
        <v>8.5820315832531762</v>
      </c>
      <c r="G191" s="96">
        <v>13111.074689609171</v>
      </c>
      <c r="H191" s="136">
        <v>36.996172479061585</v>
      </c>
      <c r="I191" s="88">
        <v>2025.5389755504448</v>
      </c>
      <c r="J191" s="155">
        <v>10.716682901180587</v>
      </c>
      <c r="K191" s="86">
        <v>56.294886963495351</v>
      </c>
    </row>
    <row r="192" spans="2:11" x14ac:dyDescent="0.3">
      <c r="B192" s="90">
        <v>2050</v>
      </c>
      <c r="C192" s="96">
        <v>1.220625693322072E-2</v>
      </c>
      <c r="D192" s="97">
        <v>9.1620601194777467E-6</v>
      </c>
      <c r="E192" s="96">
        <v>7366.9676103043548</v>
      </c>
      <c r="F192" s="153">
        <v>8.3153608516975073</v>
      </c>
      <c r="G192" s="96">
        <v>13036.094707183836</v>
      </c>
      <c r="H192" s="136">
        <v>36.660936443276157</v>
      </c>
      <c r="I192" s="96">
        <v>1958.5090520415947</v>
      </c>
      <c r="J192" s="156">
        <v>10.327207480450967</v>
      </c>
      <c r="K192" s="94">
        <v>55.303513937484745</v>
      </c>
    </row>
    <row r="193" spans="2:11" x14ac:dyDescent="0.3">
      <c r="B193" s="90">
        <v>2051</v>
      </c>
      <c r="C193" s="92">
        <v>1.8700474188525548E-2</v>
      </c>
      <c r="D193" s="93">
        <v>1.3902301657817449E-5</v>
      </c>
      <c r="E193" s="92">
        <v>7171.7849886009562</v>
      </c>
      <c r="F193" s="151">
        <v>8.0633075652548101</v>
      </c>
      <c r="G193" s="128">
        <v>12939.302508858387</v>
      </c>
      <c r="H193" s="136">
        <v>36.2737276123963</v>
      </c>
      <c r="I193" s="92">
        <v>1893.024390344819</v>
      </c>
      <c r="J193" s="155">
        <v>9.9503602085555336</v>
      </c>
      <c r="K193" s="86">
        <v>54.287409288508307</v>
      </c>
    </row>
    <row r="194" spans="2:11" x14ac:dyDescent="0.3">
      <c r="B194" s="90">
        <v>2052</v>
      </c>
      <c r="C194" s="88">
        <v>2.1816660278622297E-2</v>
      </c>
      <c r="D194" s="89">
        <v>1.6064708032895684E-5</v>
      </c>
      <c r="E194" s="88">
        <v>6995.4485736087991</v>
      </c>
      <c r="F194" s="151">
        <v>7.8350201561466726</v>
      </c>
      <c r="G194" s="96">
        <v>12818.828058570598</v>
      </c>
      <c r="H194" s="136">
        <v>35.82614925116475</v>
      </c>
      <c r="I194" s="88">
        <v>1829.336441650838</v>
      </c>
      <c r="J194" s="155">
        <v>9.5862039937066186</v>
      </c>
      <c r="K194" s="86">
        <v>53.247389465726073</v>
      </c>
    </row>
    <row r="195" spans="2:11" x14ac:dyDescent="0.3">
      <c r="B195" s="90">
        <v>2053</v>
      </c>
      <c r="C195" s="88">
        <v>2.2957524193979045E-2</v>
      </c>
      <c r="D195" s="89">
        <v>1.6744447003057569E-5</v>
      </c>
      <c r="E195" s="88">
        <v>6837.0477389405187</v>
      </c>
      <c r="F195" s="151">
        <v>7.6288773988429952</v>
      </c>
      <c r="G195" s="96">
        <v>12673.790832739882</v>
      </c>
      <c r="H195" s="136">
        <v>35.31489941799375</v>
      </c>
      <c r="I195" s="88">
        <v>1767.8132790525933</v>
      </c>
      <c r="J195" s="155">
        <v>9.2361101194159652</v>
      </c>
      <c r="K195" s="86">
        <v>52.179903680699709</v>
      </c>
    </row>
    <row r="196" spans="2:11" x14ac:dyDescent="0.3">
      <c r="B196" s="90">
        <v>2054</v>
      </c>
      <c r="C196" s="88">
        <v>2.2962457074956911E-2</v>
      </c>
      <c r="D196" s="89">
        <v>1.658978109301163E-5</v>
      </c>
      <c r="E196" s="88">
        <v>6695.6681036733671</v>
      </c>
      <c r="F196" s="151">
        <v>7.4436712223172288</v>
      </c>
      <c r="G196" s="96">
        <v>12502.848074100071</v>
      </c>
      <c r="H196" s="136">
        <v>34.7371388285721</v>
      </c>
      <c r="I196" s="88">
        <v>1708.7329008559477</v>
      </c>
      <c r="J196" s="155">
        <v>8.9014456415544743</v>
      </c>
      <c r="K196" s="86">
        <v>51.082272282224892</v>
      </c>
    </row>
    <row r="197" spans="2:11" x14ac:dyDescent="0.3">
      <c r="B197" s="90">
        <v>2055</v>
      </c>
      <c r="C197" s="88">
        <v>2.232910879057308E-2</v>
      </c>
      <c r="D197" s="89">
        <v>1.5980026206936719E-5</v>
      </c>
      <c r="E197" s="88">
        <v>6570.4091627277749</v>
      </c>
      <c r="F197" s="151">
        <v>7.2780133476609326</v>
      </c>
      <c r="G197" s="96">
        <v>12304.13572770491</v>
      </c>
      <c r="H197" s="136">
        <v>34.087569509172631</v>
      </c>
      <c r="I197" s="88">
        <v>1652.2937544851984</v>
      </c>
      <c r="J197" s="155">
        <v>8.5828882233219854</v>
      </c>
      <c r="K197" s="86">
        <v>49.948487060181755</v>
      </c>
    </row>
    <row r="198" spans="2:11" x14ac:dyDescent="0.3">
      <c r="B198" s="90">
        <v>2056</v>
      </c>
      <c r="C198" s="88">
        <v>2.1353134332597983E-2</v>
      </c>
      <c r="D198" s="89">
        <v>1.5139170736035915E-5</v>
      </c>
      <c r="E198" s="88">
        <v>6460.3964274831769</v>
      </c>
      <c r="F198" s="151">
        <v>7.1314237624177812</v>
      </c>
      <c r="G198" s="96">
        <v>12075.206324587407</v>
      </c>
      <c r="H198" s="136">
        <v>33.363303557944107</v>
      </c>
      <c r="I198" s="88">
        <v>1598.6258573462078</v>
      </c>
      <c r="J198" s="155">
        <v>8.2817590731792183</v>
      </c>
      <c r="K198" s="86">
        <v>48.776501532711841</v>
      </c>
    </row>
    <row r="199" spans="2:11" x14ac:dyDescent="0.3">
      <c r="B199" s="90">
        <v>2057</v>
      </c>
      <c r="C199" s="88">
        <v>2.0211921989437543E-2</v>
      </c>
      <c r="D199" s="89">
        <v>1.4194315419945857E-5</v>
      </c>
      <c r="E199" s="88">
        <v>6364.7894956887221</v>
      </c>
      <c r="F199" s="151">
        <v>7.0008208613300313</v>
      </c>
      <c r="G199" s="96">
        <v>11812.961201972234</v>
      </c>
      <c r="H199" s="136">
        <v>32.547248880282304</v>
      </c>
      <c r="I199" s="88">
        <v>1547.8017059029635</v>
      </c>
      <c r="J199" s="155">
        <v>7.9959873859155595</v>
      </c>
      <c r="K199" s="86">
        <v>47.544071321843319</v>
      </c>
    </row>
    <row r="200" spans="2:11" x14ac:dyDescent="0.3">
      <c r="B200" s="90">
        <v>2058</v>
      </c>
      <c r="C200" s="88">
        <v>1.900991417566911E-2</v>
      </c>
      <c r="D200" s="89">
        <v>1.3224463987219523E-5</v>
      </c>
      <c r="E200" s="88">
        <v>6282.7871240686272</v>
      </c>
      <c r="F200" s="151">
        <v>6.8866695976554322</v>
      </c>
      <c r="G200" s="96">
        <v>11513.573362707177</v>
      </c>
      <c r="H200" s="136">
        <v>31.636691045245541</v>
      </c>
      <c r="I200" s="88">
        <v>1499.8464611788054</v>
      </c>
      <c r="J200" s="155">
        <v>7.7273217466055124</v>
      </c>
      <c r="K200" s="86">
        <v>46.250695613970471</v>
      </c>
    </row>
    <row r="201" spans="2:11" x14ac:dyDescent="0.3">
      <c r="B201" s="90">
        <v>2059</v>
      </c>
      <c r="C201" s="88">
        <v>1.7807628666865638E-2</v>
      </c>
      <c r="D201" s="89">
        <v>1.2270655008156624E-5</v>
      </c>
      <c r="E201" s="88">
        <v>6213.6301118224337</v>
      </c>
      <c r="F201" s="151">
        <v>6.7871373010984266</v>
      </c>
      <c r="G201" s="96">
        <v>11172.396505031726</v>
      </c>
      <c r="H201" s="136">
        <v>30.615776904721667</v>
      </c>
      <c r="I201" s="88">
        <v>1454.7471271492188</v>
      </c>
      <c r="J201" s="155">
        <v>7.4745960072543278</v>
      </c>
      <c r="K201" s="86">
        <v>44.877522483729429</v>
      </c>
    </row>
    <row r="202" spans="2:11" ht="14.4" thickBot="1" x14ac:dyDescent="0.35">
      <c r="B202" s="85">
        <v>2060</v>
      </c>
      <c r="C202" s="83">
        <v>1.6638565517105599E-2</v>
      </c>
      <c r="D202" s="84">
        <v>1.1358587817075937E-5</v>
      </c>
      <c r="E202" s="83">
        <v>6156.6026010990163</v>
      </c>
      <c r="F202" s="150">
        <v>6.7030080980646556</v>
      </c>
      <c r="G202" s="83">
        <v>10783.855135227954</v>
      </c>
      <c r="H202" s="149">
        <v>29.477749108267851</v>
      </c>
      <c r="I202" s="83">
        <v>1412.4606020500867</v>
      </c>
      <c r="J202" s="154">
        <v>7.2393218955154683</v>
      </c>
      <c r="K202" s="81">
        <v>43.420090460435794</v>
      </c>
    </row>
    <row r="206" spans="2:11" ht="16.2" thickBot="1" x14ac:dyDescent="0.35">
      <c r="B206" s="121" t="s">
        <v>195</v>
      </c>
    </row>
    <row r="207" spans="2:11" ht="14.4" thickBot="1" x14ac:dyDescent="0.35">
      <c r="B207" s="120" t="s">
        <v>3</v>
      </c>
      <c r="C207" s="119" t="s">
        <v>187</v>
      </c>
      <c r="D207" s="118"/>
      <c r="E207" s="119" t="s">
        <v>186</v>
      </c>
      <c r="F207" s="118"/>
      <c r="G207" s="119" t="s">
        <v>185</v>
      </c>
      <c r="H207" s="118"/>
      <c r="I207" s="119" t="s">
        <v>184</v>
      </c>
      <c r="J207" s="118"/>
      <c r="K207" s="117" t="s">
        <v>183</v>
      </c>
    </row>
    <row r="208" spans="2:11" ht="27.6" x14ac:dyDescent="0.3">
      <c r="B208" s="116"/>
      <c r="C208" s="115" t="s">
        <v>182</v>
      </c>
      <c r="D208" s="114" t="s">
        <v>181</v>
      </c>
      <c r="E208" s="115" t="s">
        <v>182</v>
      </c>
      <c r="F208" s="114" t="s">
        <v>181</v>
      </c>
      <c r="G208" s="115" t="s">
        <v>182</v>
      </c>
      <c r="H208" s="114" t="s">
        <v>181</v>
      </c>
      <c r="I208" s="115" t="s">
        <v>182</v>
      </c>
      <c r="J208" s="114" t="s">
        <v>181</v>
      </c>
      <c r="K208" s="113" t="s">
        <v>181</v>
      </c>
    </row>
    <row r="209" spans="1:11" ht="14.4" thickBot="1" x14ac:dyDescent="0.35">
      <c r="B209" s="112"/>
      <c r="C209" s="111"/>
      <c r="D209" s="110" t="s">
        <v>180</v>
      </c>
      <c r="E209" s="111"/>
      <c r="F209" s="110" t="s">
        <v>180</v>
      </c>
      <c r="G209" s="111"/>
      <c r="H209" s="110" t="s">
        <v>180</v>
      </c>
      <c r="I209" s="111"/>
      <c r="J209" s="110" t="s">
        <v>180</v>
      </c>
      <c r="K209" s="110" t="s">
        <v>180</v>
      </c>
    </row>
    <row r="210" spans="1:11" x14ac:dyDescent="0.3">
      <c r="A210" s="79" t="s">
        <v>178</v>
      </c>
      <c r="B210" s="109">
        <v>2000</v>
      </c>
      <c r="C210" s="92">
        <v>0</v>
      </c>
      <c r="D210" s="103"/>
      <c r="E210" s="92">
        <v>0</v>
      </c>
      <c r="F210" s="107"/>
      <c r="G210" s="144">
        <v>0</v>
      </c>
      <c r="H210" s="145"/>
      <c r="I210" s="92">
        <v>0</v>
      </c>
      <c r="J210" s="106"/>
      <c r="K210" s="108"/>
    </row>
    <row r="211" spans="1:11" x14ac:dyDescent="0.3">
      <c r="A211" s="79" t="s">
        <v>178</v>
      </c>
      <c r="B211" s="90">
        <v>2001</v>
      </c>
      <c r="C211" s="92">
        <v>0</v>
      </c>
      <c r="D211" s="103"/>
      <c r="E211" s="92">
        <v>0</v>
      </c>
      <c r="F211" s="107"/>
      <c r="G211" s="128">
        <v>0</v>
      </c>
      <c r="H211" s="141"/>
      <c r="I211" s="92">
        <v>0</v>
      </c>
      <c r="J211" s="106"/>
      <c r="K211" s="105"/>
    </row>
    <row r="212" spans="1:11" x14ac:dyDescent="0.3">
      <c r="A212" s="79" t="s">
        <v>178</v>
      </c>
      <c r="B212" s="90">
        <v>2002</v>
      </c>
      <c r="C212" s="92">
        <v>0</v>
      </c>
      <c r="D212" s="103"/>
      <c r="E212" s="92">
        <v>0</v>
      </c>
      <c r="F212" s="107"/>
      <c r="G212" s="128">
        <v>0</v>
      </c>
      <c r="H212" s="141"/>
      <c r="I212" s="92">
        <v>0</v>
      </c>
      <c r="J212" s="106"/>
      <c r="K212" s="105"/>
    </row>
    <row r="213" spans="1:11" x14ac:dyDescent="0.3">
      <c r="A213" s="79" t="s">
        <v>178</v>
      </c>
      <c r="B213" s="90">
        <v>2003</v>
      </c>
      <c r="C213" s="92">
        <v>0</v>
      </c>
      <c r="D213" s="103"/>
      <c r="E213" s="92">
        <v>0</v>
      </c>
      <c r="F213" s="107"/>
      <c r="G213" s="128">
        <v>0</v>
      </c>
      <c r="H213" s="141"/>
      <c r="I213" s="92">
        <v>0</v>
      </c>
      <c r="J213" s="106"/>
      <c r="K213" s="105"/>
    </row>
    <row r="214" spans="1:11" x14ac:dyDescent="0.3">
      <c r="A214" s="79" t="s">
        <v>178</v>
      </c>
      <c r="B214" s="90">
        <v>2004</v>
      </c>
      <c r="C214" s="92">
        <v>0</v>
      </c>
      <c r="D214" s="103"/>
      <c r="E214" s="92">
        <v>0</v>
      </c>
      <c r="F214" s="107"/>
      <c r="G214" s="128">
        <v>0</v>
      </c>
      <c r="H214" s="141"/>
      <c r="I214" s="92">
        <v>0</v>
      </c>
      <c r="J214" s="106"/>
      <c r="K214" s="105"/>
    </row>
    <row r="215" spans="1:11" x14ac:dyDescent="0.3">
      <c r="A215" s="79" t="s">
        <v>178</v>
      </c>
      <c r="B215" s="90">
        <v>2005</v>
      </c>
      <c r="C215" s="92">
        <v>0</v>
      </c>
      <c r="D215" s="103"/>
      <c r="E215" s="92">
        <v>0</v>
      </c>
      <c r="F215" s="107"/>
      <c r="G215" s="128">
        <v>0</v>
      </c>
      <c r="H215" s="141"/>
      <c r="I215" s="92">
        <v>0</v>
      </c>
      <c r="J215" s="106"/>
      <c r="K215" s="105"/>
    </row>
    <row r="216" spans="1:11" x14ac:dyDescent="0.3">
      <c r="A216" s="79" t="s">
        <v>178</v>
      </c>
      <c r="B216" s="90">
        <v>2006</v>
      </c>
      <c r="C216" s="92">
        <v>0</v>
      </c>
      <c r="D216" s="103"/>
      <c r="E216" s="92">
        <v>0</v>
      </c>
      <c r="F216" s="107"/>
      <c r="G216" s="128">
        <v>0</v>
      </c>
      <c r="H216" s="141"/>
      <c r="I216" s="92">
        <v>0</v>
      </c>
      <c r="J216" s="106"/>
      <c r="K216" s="105"/>
    </row>
    <row r="217" spans="1:11" x14ac:dyDescent="0.3">
      <c r="A217" s="79" t="s">
        <v>178</v>
      </c>
      <c r="B217" s="90">
        <v>2007</v>
      </c>
      <c r="C217" s="92">
        <v>0</v>
      </c>
      <c r="D217" s="103"/>
      <c r="E217" s="92">
        <v>0</v>
      </c>
      <c r="F217" s="107"/>
      <c r="G217" s="128">
        <v>0</v>
      </c>
      <c r="H217" s="141"/>
      <c r="I217" s="92">
        <v>0</v>
      </c>
      <c r="J217" s="106"/>
      <c r="K217" s="105"/>
    </row>
    <row r="218" spans="1:11" x14ac:dyDescent="0.3">
      <c r="A218" s="79" t="s">
        <v>178</v>
      </c>
      <c r="B218" s="90">
        <v>2008</v>
      </c>
      <c r="C218" s="92">
        <v>0</v>
      </c>
      <c r="D218" s="103"/>
      <c r="E218" s="92">
        <v>0</v>
      </c>
      <c r="F218" s="104"/>
      <c r="G218" s="128">
        <v>0</v>
      </c>
      <c r="H218" s="140"/>
      <c r="I218" s="92">
        <v>0</v>
      </c>
      <c r="J218" s="103"/>
      <c r="K218" s="99"/>
    </row>
    <row r="219" spans="1:11" x14ac:dyDescent="0.3">
      <c r="A219" s="79" t="s">
        <v>178</v>
      </c>
      <c r="B219" s="90">
        <v>2009</v>
      </c>
      <c r="C219" s="92">
        <v>0</v>
      </c>
      <c r="D219" s="103"/>
      <c r="E219" s="92">
        <v>0</v>
      </c>
      <c r="F219" s="104"/>
      <c r="G219" s="128">
        <v>0</v>
      </c>
      <c r="H219" s="140"/>
      <c r="I219" s="92">
        <v>0</v>
      </c>
      <c r="J219" s="103"/>
      <c r="K219" s="99"/>
    </row>
    <row r="220" spans="1:11" x14ac:dyDescent="0.3">
      <c r="A220" s="79" t="s">
        <v>178</v>
      </c>
      <c r="B220" s="90">
        <v>2010</v>
      </c>
      <c r="C220" s="92">
        <v>0</v>
      </c>
      <c r="D220" s="103"/>
      <c r="E220" s="92">
        <v>0</v>
      </c>
      <c r="F220" s="104"/>
      <c r="G220" s="128">
        <v>0</v>
      </c>
      <c r="H220" s="140"/>
      <c r="I220" s="92">
        <v>0</v>
      </c>
      <c r="J220" s="103"/>
      <c r="K220" s="99"/>
    </row>
    <row r="221" spans="1:11" x14ac:dyDescent="0.3">
      <c r="A221" s="79" t="s">
        <v>178</v>
      </c>
      <c r="B221" s="90">
        <v>2011</v>
      </c>
      <c r="C221" s="92">
        <v>0</v>
      </c>
      <c r="D221" s="103"/>
      <c r="E221" s="92">
        <v>0</v>
      </c>
      <c r="F221" s="104"/>
      <c r="G221" s="128">
        <v>0</v>
      </c>
      <c r="H221" s="140"/>
      <c r="I221" s="92">
        <v>0</v>
      </c>
      <c r="J221" s="103"/>
      <c r="K221" s="99"/>
    </row>
    <row r="222" spans="1:11" x14ac:dyDescent="0.3">
      <c r="A222" s="79" t="s">
        <v>178</v>
      </c>
      <c r="B222" s="90">
        <v>2012</v>
      </c>
      <c r="C222" s="92">
        <v>0</v>
      </c>
      <c r="D222" s="103"/>
      <c r="E222" s="92">
        <v>0</v>
      </c>
      <c r="F222" s="104"/>
      <c r="G222" s="128">
        <v>0</v>
      </c>
      <c r="H222" s="140"/>
      <c r="I222" s="92">
        <v>0</v>
      </c>
      <c r="J222" s="103"/>
      <c r="K222" s="99"/>
    </row>
    <row r="223" spans="1:11" x14ac:dyDescent="0.3">
      <c r="A223" s="79" t="s">
        <v>178</v>
      </c>
      <c r="B223" s="90">
        <v>2013</v>
      </c>
      <c r="C223" s="92">
        <v>0</v>
      </c>
      <c r="D223" s="103"/>
      <c r="E223" s="92">
        <v>0</v>
      </c>
      <c r="F223" s="104"/>
      <c r="G223" s="128">
        <v>0</v>
      </c>
      <c r="H223" s="140"/>
      <c r="I223" s="92">
        <v>0</v>
      </c>
      <c r="J223" s="103"/>
      <c r="K223" s="99"/>
    </row>
    <row r="224" spans="1:11" x14ac:dyDescent="0.3">
      <c r="A224" s="79" t="s">
        <v>178</v>
      </c>
      <c r="B224" s="90">
        <v>2014</v>
      </c>
      <c r="C224" s="92">
        <v>7589.5050000000001</v>
      </c>
      <c r="D224" s="103"/>
      <c r="E224" s="92">
        <v>739.65499999999997</v>
      </c>
      <c r="F224" s="104"/>
      <c r="G224" s="128">
        <v>358.01499999999999</v>
      </c>
      <c r="H224" s="140"/>
      <c r="I224" s="92">
        <v>80.5</v>
      </c>
      <c r="J224" s="103"/>
      <c r="K224" s="99"/>
    </row>
    <row r="225" spans="1:11" x14ac:dyDescent="0.3">
      <c r="A225" s="79" t="s">
        <v>178</v>
      </c>
      <c r="B225" s="90">
        <v>2015</v>
      </c>
      <c r="C225" s="92">
        <v>11269.25</v>
      </c>
      <c r="D225" s="103"/>
      <c r="E225" s="92">
        <v>1122.0999999999999</v>
      </c>
      <c r="F225" s="104"/>
      <c r="G225" s="128">
        <v>528.95000000000005</v>
      </c>
      <c r="H225" s="140"/>
      <c r="I225" s="92">
        <v>123.15</v>
      </c>
      <c r="J225" s="100"/>
      <c r="K225" s="99"/>
    </row>
    <row r="226" spans="1:11" x14ac:dyDescent="0.3">
      <c r="A226" s="79" t="s">
        <v>178</v>
      </c>
      <c r="B226" s="90">
        <v>2016</v>
      </c>
      <c r="C226" s="92">
        <v>12879.701999999999</v>
      </c>
      <c r="D226" s="103"/>
      <c r="E226" s="92">
        <v>1323.3239999999998</v>
      </c>
      <c r="F226" s="102"/>
      <c r="G226" s="128">
        <v>571.26600000000008</v>
      </c>
      <c r="H226" s="136"/>
      <c r="I226" s="92">
        <v>154.548</v>
      </c>
      <c r="J226" s="100"/>
      <c r="K226" s="99"/>
    </row>
    <row r="227" spans="1:11" x14ac:dyDescent="0.3">
      <c r="A227" s="79" t="s">
        <v>178</v>
      </c>
      <c r="B227" s="90">
        <v>2017</v>
      </c>
      <c r="C227" s="92">
        <v>12939.312000000002</v>
      </c>
      <c r="D227" s="103"/>
      <c r="E227" s="92">
        <v>1347.981</v>
      </c>
      <c r="F227" s="102"/>
      <c r="G227" s="128">
        <v>603.8655</v>
      </c>
      <c r="H227" s="136"/>
      <c r="I227" s="92">
        <v>161.97600000000003</v>
      </c>
      <c r="J227" s="100"/>
      <c r="K227" s="99"/>
    </row>
    <row r="228" spans="1:11" x14ac:dyDescent="0.3">
      <c r="A228" s="79" t="s">
        <v>178</v>
      </c>
      <c r="B228" s="90">
        <v>2018</v>
      </c>
      <c r="C228" s="92">
        <v>15653.82</v>
      </c>
      <c r="D228" s="103"/>
      <c r="E228" s="92">
        <v>1663.08</v>
      </c>
      <c r="F228" s="102"/>
      <c r="G228" s="128">
        <v>747.39</v>
      </c>
      <c r="H228" s="136"/>
      <c r="I228" s="92">
        <v>190.68</v>
      </c>
      <c r="J228" s="100"/>
      <c r="K228" s="99"/>
    </row>
    <row r="229" spans="1:11" x14ac:dyDescent="0.3">
      <c r="A229" s="79" t="s">
        <v>178</v>
      </c>
      <c r="B229" s="90">
        <v>2019</v>
      </c>
      <c r="C229" s="92">
        <v>14886.233999999999</v>
      </c>
      <c r="D229" s="103"/>
      <c r="E229" s="92">
        <v>1626.1814999999999</v>
      </c>
      <c r="F229" s="102"/>
      <c r="G229" s="128">
        <v>730.71149999999989</v>
      </c>
      <c r="H229" s="136"/>
      <c r="I229" s="92">
        <v>180.00599999999997</v>
      </c>
      <c r="J229" s="100"/>
      <c r="K229" s="99"/>
    </row>
    <row r="230" spans="1:11" x14ac:dyDescent="0.3">
      <c r="B230" s="90">
        <v>2020</v>
      </c>
      <c r="C230" s="92">
        <v>14039.842335301157</v>
      </c>
      <c r="D230" s="93">
        <v>16.14695388214059</v>
      </c>
      <c r="E230" s="92">
        <v>1511.5810563603125</v>
      </c>
      <c r="F230" s="151">
        <v>2.2759146650671531</v>
      </c>
      <c r="G230" s="128">
        <v>672.59807415801652</v>
      </c>
      <c r="H230" s="136">
        <v>2.4600035278996852</v>
      </c>
      <c r="I230" s="92">
        <v>108.10153901180327</v>
      </c>
      <c r="J230" s="100">
        <v>0.73754392401504887</v>
      </c>
      <c r="K230" s="98">
        <v>21.620415999122478</v>
      </c>
    </row>
    <row r="231" spans="1:11" x14ac:dyDescent="0.3">
      <c r="B231" s="90">
        <v>2021</v>
      </c>
      <c r="C231" s="92">
        <v>14000.979513428381</v>
      </c>
      <c r="D231" s="93">
        <v>13.977944212831266</v>
      </c>
      <c r="E231" s="92">
        <v>1557.7521867437824</v>
      </c>
      <c r="F231" s="151">
        <v>2.3265244795908906</v>
      </c>
      <c r="G231" s="128">
        <v>689.59908139448362</v>
      </c>
      <c r="H231" s="136">
        <v>2.5038390835293209</v>
      </c>
      <c r="I231" s="92">
        <v>121.20299698866482</v>
      </c>
      <c r="J231" s="100">
        <v>0.60159376937767606</v>
      </c>
      <c r="K231" s="98">
        <v>19.409901545329156</v>
      </c>
    </row>
    <row r="232" spans="1:11" x14ac:dyDescent="0.3">
      <c r="B232" s="90">
        <v>2022</v>
      </c>
      <c r="C232" s="92">
        <v>13839.671766011599</v>
      </c>
      <c r="D232" s="93">
        <v>13.812962184767088</v>
      </c>
      <c r="E232" s="92">
        <v>1602.703648014284</v>
      </c>
      <c r="F232" s="151">
        <v>2.3668335797568449</v>
      </c>
      <c r="G232" s="128">
        <v>706.98077077541075</v>
      </c>
      <c r="H232" s="136">
        <v>2.5401995775904331</v>
      </c>
      <c r="I232" s="92">
        <v>138.6082930619902</v>
      </c>
      <c r="J232" s="100">
        <v>0.80522748858782389</v>
      </c>
      <c r="K232" s="98">
        <v>19.525222830702191</v>
      </c>
    </row>
    <row r="233" spans="1:11" x14ac:dyDescent="0.3">
      <c r="B233" s="90">
        <v>2023</v>
      </c>
      <c r="C233" s="92">
        <v>13447.569546915875</v>
      </c>
      <c r="D233" s="93">
        <v>13.389821708934106</v>
      </c>
      <c r="E233" s="92">
        <v>1632.003264301306</v>
      </c>
      <c r="F233" s="151">
        <v>2.370366160528258</v>
      </c>
      <c r="G233" s="128">
        <v>718.4043525023751</v>
      </c>
      <c r="H233" s="136">
        <v>2.5407078068372351</v>
      </c>
      <c r="I233" s="92">
        <v>151.62887391601674</v>
      </c>
      <c r="J233" s="100">
        <v>1.0010267530482428</v>
      </c>
      <c r="K233" s="86">
        <v>19.30192242934784</v>
      </c>
    </row>
    <row r="234" spans="1:11" x14ac:dyDescent="0.3">
      <c r="B234" s="90">
        <v>2024</v>
      </c>
      <c r="C234" s="92">
        <v>12839.943905662662</v>
      </c>
      <c r="D234" s="93">
        <v>12.859018560907122</v>
      </c>
      <c r="E234" s="92">
        <v>1657.5678625921498</v>
      </c>
      <c r="F234" s="151">
        <v>2.4053089975441448</v>
      </c>
      <c r="G234" s="128">
        <v>729.94841007013645</v>
      </c>
      <c r="H234" s="136">
        <v>2.5812438867405256</v>
      </c>
      <c r="I234" s="92">
        <v>162.41697984935627</v>
      </c>
      <c r="J234" s="100">
        <v>1.0723758177646212</v>
      </c>
      <c r="K234" s="86">
        <v>18.917947262956414</v>
      </c>
    </row>
    <row r="235" spans="1:11" x14ac:dyDescent="0.3">
      <c r="B235" s="90">
        <v>2025</v>
      </c>
      <c r="C235" s="92">
        <v>11980.689385814912</v>
      </c>
      <c r="D235" s="93">
        <v>12.012151799864085</v>
      </c>
      <c r="E235" s="92">
        <v>1678.0726246793172</v>
      </c>
      <c r="F235" s="151">
        <v>2.4240981564915751</v>
      </c>
      <c r="G235" s="128">
        <v>741.60109379713833</v>
      </c>
      <c r="H235" s="136">
        <v>2.6127234523008664</v>
      </c>
      <c r="I235" s="92">
        <v>164.24619817362486</v>
      </c>
      <c r="J235" s="100">
        <v>1.0806817449938315</v>
      </c>
      <c r="K235" s="86">
        <v>18.129655153650358</v>
      </c>
    </row>
    <row r="236" spans="1:11" x14ac:dyDescent="0.3">
      <c r="B236" s="90">
        <v>2026</v>
      </c>
      <c r="C236" s="92">
        <v>11008.607794194973</v>
      </c>
      <c r="D236" s="93">
        <v>11.01348349397851</v>
      </c>
      <c r="E236" s="92">
        <v>1692.0152673579369</v>
      </c>
      <c r="F236" s="151">
        <v>2.4216753465696406</v>
      </c>
      <c r="G236" s="128">
        <v>753.34772616845305</v>
      </c>
      <c r="H236" s="136">
        <v>2.6317063609685607</v>
      </c>
      <c r="I236" s="92">
        <v>166.0448244928433</v>
      </c>
      <c r="J236" s="100">
        <v>1.0835461135473654</v>
      </c>
      <c r="K236" s="86">
        <v>17.150411315064076</v>
      </c>
    </row>
    <row r="237" spans="1:11" x14ac:dyDescent="0.3">
      <c r="B237" s="90">
        <v>2027</v>
      </c>
      <c r="C237" s="92">
        <v>10012.512608991965</v>
      </c>
      <c r="D237" s="93">
        <v>9.7571314753355924</v>
      </c>
      <c r="E237" s="92">
        <v>1697.8086122047316</v>
      </c>
      <c r="F237" s="151">
        <v>2.3509279362693309</v>
      </c>
      <c r="G237" s="128">
        <v>765.17032548129919</v>
      </c>
      <c r="H237" s="136">
        <v>2.5881296977101922</v>
      </c>
      <c r="I237" s="92">
        <v>167.79536520485502</v>
      </c>
      <c r="J237" s="100">
        <v>1.060446304706973</v>
      </c>
      <c r="K237" s="86">
        <v>15.756635414022089</v>
      </c>
    </row>
    <row r="238" spans="1:11" x14ac:dyDescent="0.3">
      <c r="B238" s="90">
        <v>2028</v>
      </c>
      <c r="C238" s="92">
        <v>8975.4507213619945</v>
      </c>
      <c r="D238" s="93">
        <v>8.6470367850505507</v>
      </c>
      <c r="E238" s="92">
        <v>1693.9314621584138</v>
      </c>
      <c r="F238" s="151">
        <v>2.3038246301492511</v>
      </c>
      <c r="G238" s="128">
        <v>777.04708340898458</v>
      </c>
      <c r="H238" s="136">
        <v>2.5836021234821609</v>
      </c>
      <c r="I238" s="92">
        <v>169.47688256501183</v>
      </c>
      <c r="J238" s="100">
        <v>1.0531015887733313</v>
      </c>
      <c r="K238" s="86">
        <v>14.587565127455294</v>
      </c>
    </row>
    <row r="239" spans="1:11" x14ac:dyDescent="0.3">
      <c r="B239" s="90">
        <v>2029</v>
      </c>
      <c r="C239" s="92">
        <v>7927.0533946026399</v>
      </c>
      <c r="D239" s="93">
        <v>7.6783677282594596</v>
      </c>
      <c r="E239" s="92">
        <v>1679.1231670391294</v>
      </c>
      <c r="F239" s="151">
        <v>2.2815998285478583</v>
      </c>
      <c r="G239" s="128">
        <v>788.95180775414235</v>
      </c>
      <c r="H239" s="136">
        <v>2.6228886424005204</v>
      </c>
      <c r="I239" s="92">
        <v>171.06465492765111</v>
      </c>
      <c r="J239" s="100">
        <v>1.0630944789851664</v>
      </c>
      <c r="K239" s="86">
        <v>13.645950678193005</v>
      </c>
    </row>
    <row r="240" spans="1:11" x14ac:dyDescent="0.3">
      <c r="B240" s="90">
        <v>2030</v>
      </c>
      <c r="C240" s="92">
        <v>6891.2700058384562</v>
      </c>
      <c r="D240" s="93">
        <v>6.7108064716436386</v>
      </c>
      <c r="E240" s="92">
        <v>1652.5827689621065</v>
      </c>
      <c r="F240" s="151">
        <v>2.2434847341904351</v>
      </c>
      <c r="G240" s="128">
        <v>800.85335080175219</v>
      </c>
      <c r="H240" s="136">
        <v>2.6621556692665367</v>
      </c>
      <c r="I240" s="92">
        <v>172.52995110825569</v>
      </c>
      <c r="J240" s="100">
        <v>1.0723284933848252</v>
      </c>
      <c r="K240" s="86">
        <v>12.688775368485436</v>
      </c>
    </row>
    <row r="241" spans="2:11" x14ac:dyDescent="0.3">
      <c r="B241" s="90">
        <v>2031</v>
      </c>
      <c r="C241" s="92">
        <v>5899.9453128488412</v>
      </c>
      <c r="D241" s="93">
        <v>5.725637566454278</v>
      </c>
      <c r="E241" s="92">
        <v>1614.7084927907426</v>
      </c>
      <c r="F241" s="151">
        <v>2.1896421476412842</v>
      </c>
      <c r="G241" s="128">
        <v>812.42600262702751</v>
      </c>
      <c r="H241" s="136">
        <v>2.7002567259494392</v>
      </c>
      <c r="I241" s="92">
        <v>173.82417723535912</v>
      </c>
      <c r="J241" s="100">
        <v>1.0805283406170294</v>
      </c>
      <c r="K241" s="86">
        <v>11.696064780662031</v>
      </c>
    </row>
    <row r="242" spans="2:11" x14ac:dyDescent="0.3">
      <c r="B242" s="90">
        <v>2032</v>
      </c>
      <c r="C242" s="92">
        <v>4986.9730148015924</v>
      </c>
      <c r="D242" s="93">
        <v>4.8232163690602441</v>
      </c>
      <c r="E242" s="92">
        <v>1566.2101062689287</v>
      </c>
      <c r="F242" s="151">
        <v>2.1215223896754711</v>
      </c>
      <c r="G242" s="128">
        <v>823.47967413936306</v>
      </c>
      <c r="H242" s="136">
        <v>2.7366225966935844</v>
      </c>
      <c r="I242" s="92">
        <v>174.88092801756378</v>
      </c>
      <c r="J242" s="100">
        <v>1.0872540976839205</v>
      </c>
      <c r="K242" s="86">
        <v>10.76861545311322</v>
      </c>
    </row>
    <row r="243" spans="2:11" x14ac:dyDescent="0.3">
      <c r="B243" s="90">
        <v>2033</v>
      </c>
      <c r="C243" s="92">
        <v>4156.7814878761801</v>
      </c>
      <c r="D243" s="93">
        <v>3.8971416256296143</v>
      </c>
      <c r="E243" s="92">
        <v>1508.7275441456368</v>
      </c>
      <c r="F243" s="151">
        <v>1.9854544571984583</v>
      </c>
      <c r="G243" s="128">
        <v>833.94137423411519</v>
      </c>
      <c r="H243" s="136">
        <v>2.6950807686437095</v>
      </c>
      <c r="I243" s="92">
        <v>175.65807537171131</v>
      </c>
      <c r="J243" s="100">
        <v>1.0623137510572593</v>
      </c>
      <c r="K243" s="86">
        <v>9.6399906025290427</v>
      </c>
    </row>
    <row r="244" spans="2:11" x14ac:dyDescent="0.3">
      <c r="B244" s="90">
        <v>2034</v>
      </c>
      <c r="C244" s="92">
        <v>3412.1078764612339</v>
      </c>
      <c r="D244" s="93">
        <v>3.1073419830416338</v>
      </c>
      <c r="E244" s="92">
        <v>1444.3891371552993</v>
      </c>
      <c r="F244" s="151">
        <v>1.8502426034283053</v>
      </c>
      <c r="G244" s="128">
        <v>843.73142259118515</v>
      </c>
      <c r="H244" s="136">
        <v>2.65680141685591</v>
      </c>
      <c r="I244" s="92">
        <v>176.11242836171039</v>
      </c>
      <c r="J244" s="100">
        <v>1.0380424980724929</v>
      </c>
      <c r="K244" s="86">
        <v>8.652428501398342</v>
      </c>
    </row>
    <row r="245" spans="2:11" x14ac:dyDescent="0.3">
      <c r="B245" s="90">
        <v>2035</v>
      </c>
      <c r="C245" s="92">
        <v>2753.1201007949376</v>
      </c>
      <c r="D245" s="93">
        <v>2.4993965692025224</v>
      </c>
      <c r="E245" s="92">
        <v>1375.5916393984432</v>
      </c>
      <c r="F245" s="151">
        <v>1.760155217862879</v>
      </c>
      <c r="G245" s="128">
        <v>852.76396189865397</v>
      </c>
      <c r="H245" s="136">
        <v>2.6848774556485506</v>
      </c>
      <c r="I245" s="92">
        <v>176.20191258439979</v>
      </c>
      <c r="J245" s="100">
        <v>1.0387196412249762</v>
      </c>
      <c r="K245" s="86">
        <v>7.9831488839389282</v>
      </c>
    </row>
    <row r="246" spans="2:11" x14ac:dyDescent="0.3">
      <c r="B246" s="90">
        <v>2036</v>
      </c>
      <c r="C246" s="92">
        <v>2179.5525858158271</v>
      </c>
      <c r="D246" s="93">
        <v>1.9726979183081066</v>
      </c>
      <c r="E246" s="92">
        <v>1304.7905600704121</v>
      </c>
      <c r="F246" s="151">
        <v>1.6677029025901819</v>
      </c>
      <c r="G246" s="128">
        <v>860.94807417915786</v>
      </c>
      <c r="H246" s="136">
        <v>2.710274877014446</v>
      </c>
      <c r="I246" s="92">
        <v>175.88840060798339</v>
      </c>
      <c r="J246" s="100">
        <v>1.0370209100224694</v>
      </c>
      <c r="K246" s="86">
        <v>7.3876966079352044</v>
      </c>
    </row>
    <row r="247" spans="2:11" x14ac:dyDescent="0.3">
      <c r="B247" s="90">
        <v>2037</v>
      </c>
      <c r="C247" s="92">
        <v>1691.2536239560889</v>
      </c>
      <c r="D247" s="93">
        <v>1.5262255789442778</v>
      </c>
      <c r="E247" s="92">
        <v>1234.334034692238</v>
      </c>
      <c r="F247" s="151">
        <v>1.57589211503591</v>
      </c>
      <c r="G247" s="128">
        <v>868.18966402233627</v>
      </c>
      <c r="H247" s="136">
        <v>2.7326986010847514</v>
      </c>
      <c r="I247" s="92">
        <v>175.14105258639415</v>
      </c>
      <c r="J247" s="100">
        <v>1.0327634223459436</v>
      </c>
      <c r="K247" s="86">
        <v>6.8675797174108828</v>
      </c>
    </row>
    <row r="248" spans="2:11" x14ac:dyDescent="0.3">
      <c r="B248" s="90">
        <v>2038</v>
      </c>
      <c r="C248" s="92">
        <v>1287.9697706786726</v>
      </c>
      <c r="D248" s="93">
        <v>1.1366949203894761</v>
      </c>
      <c r="E248" s="92">
        <v>1166.3511461597673</v>
      </c>
      <c r="F248" s="151">
        <v>1.4588876777649702</v>
      </c>
      <c r="G248" s="128">
        <v>874.39424904175542</v>
      </c>
      <c r="H248" s="136">
        <v>2.6990351979952343</v>
      </c>
      <c r="I248" s="92">
        <v>173.93987439778627</v>
      </c>
      <c r="J248" s="100">
        <v>1.0061390666122203</v>
      </c>
      <c r="K248" s="86">
        <v>6.3007568627619008</v>
      </c>
    </row>
    <row r="249" spans="2:11" x14ac:dyDescent="0.3">
      <c r="B249" s="90">
        <v>2039</v>
      </c>
      <c r="C249" s="92">
        <v>969.05023982449711</v>
      </c>
      <c r="D249" s="93">
        <v>0.84314966916710932</v>
      </c>
      <c r="E249" s="92">
        <v>1102.6897609671039</v>
      </c>
      <c r="F249" s="151">
        <v>1.3621130254546212</v>
      </c>
      <c r="G249" s="128">
        <v>879.47073764461607</v>
      </c>
      <c r="H249" s="136">
        <v>2.6835879085264311</v>
      </c>
      <c r="I249" s="92">
        <v>172.27906110780117</v>
      </c>
      <c r="J249" s="100">
        <v>0.98538595417247676</v>
      </c>
      <c r="K249" s="86">
        <v>5.8742365573206392</v>
      </c>
    </row>
    <row r="250" spans="2:11" x14ac:dyDescent="0.3">
      <c r="B250" s="90">
        <v>2040</v>
      </c>
      <c r="C250" s="92">
        <v>733.27160136714735</v>
      </c>
      <c r="D250" s="93">
        <v>0.62933382141259953</v>
      </c>
      <c r="E250" s="92">
        <v>1044.8918773884795</v>
      </c>
      <c r="F250" s="151">
        <v>1.275326160273093</v>
      </c>
      <c r="G250" s="128">
        <v>883.33616808571821</v>
      </c>
      <c r="H250" s="136">
        <v>2.6658579208415842</v>
      </c>
      <c r="I250" s="92">
        <v>170.16961572218878</v>
      </c>
      <c r="J250" s="100">
        <v>0.96292902340623376</v>
      </c>
      <c r="K250" s="86">
        <v>5.53344692593351</v>
      </c>
    </row>
    <row r="251" spans="2:11" x14ac:dyDescent="0.3">
      <c r="B251" s="90">
        <v>2041</v>
      </c>
      <c r="C251" s="92">
        <v>527.08367708390961</v>
      </c>
      <c r="D251" s="93">
        <v>0.44492903151801005</v>
      </c>
      <c r="E251" s="92">
        <v>989.76376201718438</v>
      </c>
      <c r="F251" s="151">
        <v>1.1943484668869839</v>
      </c>
      <c r="G251" s="128">
        <v>886.39912402720972</v>
      </c>
      <c r="H251" s="136">
        <v>2.6467872428921231</v>
      </c>
      <c r="I251" s="92">
        <v>167.58004661331151</v>
      </c>
      <c r="J251" s="100">
        <v>0.93823859404085863</v>
      </c>
      <c r="K251" s="86">
        <v>5.2243033353379751</v>
      </c>
    </row>
    <row r="252" spans="2:11" x14ac:dyDescent="0.3">
      <c r="B252" s="90">
        <v>2042</v>
      </c>
      <c r="C252" s="88">
        <v>349.78746747459468</v>
      </c>
      <c r="D252" s="93">
        <v>0.29053547458745677</v>
      </c>
      <c r="E252" s="88">
        <v>937.87607285281183</v>
      </c>
      <c r="F252" s="151">
        <v>1.1192852811499003</v>
      </c>
      <c r="G252" s="96">
        <v>888.61441677056848</v>
      </c>
      <c r="H252" s="136">
        <v>2.6262029439813093</v>
      </c>
      <c r="I252" s="88">
        <v>164.547868051535</v>
      </c>
      <c r="J252" s="100">
        <v>0.91181862884060072</v>
      </c>
      <c r="K252" s="86">
        <v>4.9478423285592674</v>
      </c>
    </row>
    <row r="253" spans="2:11" x14ac:dyDescent="0.3">
      <c r="B253" s="90">
        <v>2043</v>
      </c>
      <c r="C253" s="88">
        <v>216.28458600039383</v>
      </c>
      <c r="D253" s="93">
        <v>0.17686323108844532</v>
      </c>
      <c r="E253" s="88">
        <v>889.65015497321178</v>
      </c>
      <c r="F253" s="151">
        <v>1.05048590098808</v>
      </c>
      <c r="G253" s="96">
        <v>889.95552867213542</v>
      </c>
      <c r="H253" s="136">
        <v>2.6042849568178004</v>
      </c>
      <c r="I253" s="88">
        <v>161.12439996459091</v>
      </c>
      <c r="J253" s="100">
        <v>0.88406211915618105</v>
      </c>
      <c r="K253" s="86">
        <v>4.7156962080505069</v>
      </c>
    </row>
    <row r="254" spans="2:11" x14ac:dyDescent="0.3">
      <c r="B254" s="90">
        <v>2044</v>
      </c>
      <c r="C254" s="88">
        <v>105.86087454044453</v>
      </c>
      <c r="D254" s="93">
        <v>8.5331378975624414E-2</v>
      </c>
      <c r="E254" s="88">
        <v>845.3858666599931</v>
      </c>
      <c r="F254" s="151">
        <v>0.98829433863826022</v>
      </c>
      <c r="G254" s="96">
        <v>890.4185300010937</v>
      </c>
      <c r="H254" s="136">
        <v>2.5816931791672388</v>
      </c>
      <c r="I254" s="88">
        <v>157.37178852819204</v>
      </c>
      <c r="J254" s="100">
        <v>0.85553659461989917</v>
      </c>
      <c r="K254" s="86">
        <v>4.5108554914010224</v>
      </c>
    </row>
    <row r="255" spans="2:11" x14ac:dyDescent="0.3">
      <c r="B255" s="90">
        <v>2045</v>
      </c>
      <c r="C255" s="88">
        <v>17.527680370572376</v>
      </c>
      <c r="D255" s="93">
        <v>1.4051231797752466E-2</v>
      </c>
      <c r="E255" s="88">
        <v>805.28599277075307</v>
      </c>
      <c r="F255" s="151">
        <v>0.93259961837442895</v>
      </c>
      <c r="G255" s="96">
        <v>890.02485688364266</v>
      </c>
      <c r="H255" s="136">
        <v>2.5583294736957449</v>
      </c>
      <c r="I255" s="88">
        <v>153.35933338053778</v>
      </c>
      <c r="J255" s="100">
        <v>0.82654370469113458</v>
      </c>
      <c r="K255" s="86">
        <v>4.3315240285590608</v>
      </c>
    </row>
    <row r="256" spans="2:11" x14ac:dyDescent="0.3">
      <c r="B256" s="90">
        <v>2046</v>
      </c>
      <c r="C256" s="88">
        <v>1.0670599082678862</v>
      </c>
      <c r="D256" s="93">
        <v>9.3113756697809605E-4</v>
      </c>
      <c r="E256" s="88">
        <v>769.47677996948175</v>
      </c>
      <c r="F256" s="151">
        <v>0.88451056701096697</v>
      </c>
      <c r="G256" s="96">
        <v>888.82251745892779</v>
      </c>
      <c r="H256" s="136">
        <v>2.5378280472493691</v>
      </c>
      <c r="I256" s="88">
        <v>149.15961329832041</v>
      </c>
      <c r="J256" s="100">
        <v>0.79854549708268885</v>
      </c>
      <c r="K256" s="86">
        <v>4.2218152489100023</v>
      </c>
    </row>
    <row r="257" spans="2:11" x14ac:dyDescent="0.3">
      <c r="B257" s="90">
        <v>2047</v>
      </c>
      <c r="C257" s="88">
        <v>0.23569472890245052</v>
      </c>
      <c r="D257" s="93">
        <v>2.0425368820637809E-4</v>
      </c>
      <c r="E257" s="88">
        <v>738.02474775725352</v>
      </c>
      <c r="F257" s="151">
        <v>0.84357327724247466</v>
      </c>
      <c r="G257" s="96">
        <v>886.88547672580216</v>
      </c>
      <c r="H257" s="136">
        <v>2.5199371459175821</v>
      </c>
      <c r="I257" s="88">
        <v>144.84485664967934</v>
      </c>
      <c r="J257" s="100">
        <v>0.7716609364565421</v>
      </c>
      <c r="K257" s="86">
        <v>4.135375613304805</v>
      </c>
    </row>
    <row r="258" spans="2:11" x14ac:dyDescent="0.3">
      <c r="B258" s="90">
        <v>2048</v>
      </c>
      <c r="C258" s="88">
        <v>0</v>
      </c>
      <c r="D258" s="93">
        <v>0</v>
      </c>
      <c r="E258" s="88">
        <v>710.95021021430148</v>
      </c>
      <c r="F258" s="151">
        <v>0.80914169448469742</v>
      </c>
      <c r="G258" s="96">
        <v>884.31121540158142</v>
      </c>
      <c r="H258" s="136">
        <v>2.5037542206187124</v>
      </c>
      <c r="I258" s="88">
        <v>140.48388123696594</v>
      </c>
      <c r="J258" s="100">
        <v>0.7457861789420086</v>
      </c>
      <c r="K258" s="86">
        <v>4.0586820940454187</v>
      </c>
    </row>
    <row r="259" spans="2:11" x14ac:dyDescent="0.3">
      <c r="B259" s="90">
        <v>2049</v>
      </c>
      <c r="C259" s="88">
        <v>0</v>
      </c>
      <c r="D259" s="93">
        <v>0</v>
      </c>
      <c r="E259" s="88">
        <v>688.23803064868548</v>
      </c>
      <c r="F259" s="151">
        <v>0.78005434489830283</v>
      </c>
      <c r="G259" s="96">
        <v>881.21670994196825</v>
      </c>
      <c r="H259" s="136">
        <v>2.48657308147911</v>
      </c>
      <c r="I259" s="88">
        <v>136.13977756593766</v>
      </c>
      <c r="J259" s="100">
        <v>0.72028573333916468</v>
      </c>
      <c r="K259" s="86">
        <v>3.9869131597165772</v>
      </c>
    </row>
    <row r="260" spans="2:11" x14ac:dyDescent="0.3">
      <c r="B260" s="90">
        <v>2050</v>
      </c>
      <c r="C260" s="96">
        <v>9.2203879641601823E-4</v>
      </c>
      <c r="D260" s="93">
        <v>6.9208561899617897E-7</v>
      </c>
      <c r="E260" s="96">
        <v>669.84611841283458</v>
      </c>
      <c r="F260" s="153">
        <v>0.7560793645842433</v>
      </c>
      <c r="G260" s="96">
        <v>877.7332821965955</v>
      </c>
      <c r="H260" s="136">
        <v>2.4684174820412181</v>
      </c>
      <c r="I260" s="96">
        <v>131.86837140059214</v>
      </c>
      <c r="J260" s="152">
        <v>0.69534119852214971</v>
      </c>
      <c r="K260" s="94">
        <v>3.9198387372332304</v>
      </c>
    </row>
    <row r="261" spans="2:11" x14ac:dyDescent="0.3">
      <c r="B261" s="90">
        <v>2051</v>
      </c>
      <c r="C261" s="92">
        <v>1.4126003415731248E-3</v>
      </c>
      <c r="D261" s="93">
        <v>1.050154978558538E-6</v>
      </c>
      <c r="E261" s="92">
        <v>652.09901696680811</v>
      </c>
      <c r="F261" s="151">
        <v>0.73316126252544178</v>
      </c>
      <c r="G261" s="128">
        <v>871.21616676935014</v>
      </c>
      <c r="H261" s="136">
        <v>2.4423463245620995</v>
      </c>
      <c r="I261" s="92">
        <v>127.45922369679633</v>
      </c>
      <c r="J261" s="100">
        <v>0.66996769516264021</v>
      </c>
      <c r="K261" s="86">
        <v>3.84547633240516</v>
      </c>
    </row>
    <row r="262" spans="2:11" x14ac:dyDescent="0.3">
      <c r="B262" s="90">
        <v>2052</v>
      </c>
      <c r="C262" s="88">
        <v>1.6479914600495251E-3</v>
      </c>
      <c r="D262" s="93">
        <v>1.2134992848718886E-6</v>
      </c>
      <c r="E262" s="88">
        <v>636.06551860418244</v>
      </c>
      <c r="F262" s="151">
        <v>0.71240408766563657</v>
      </c>
      <c r="G262" s="96">
        <v>863.10450165436282</v>
      </c>
      <c r="H262" s="136">
        <v>2.4122104262836492</v>
      </c>
      <c r="I262" s="88">
        <v>123.17105047473997</v>
      </c>
      <c r="J262" s="100">
        <v>0.6454486933548762</v>
      </c>
      <c r="K262" s="86">
        <v>3.7700644208034468</v>
      </c>
    </row>
    <row r="263" spans="2:11" x14ac:dyDescent="0.3">
      <c r="B263" s="90">
        <v>2053</v>
      </c>
      <c r="C263" s="88">
        <v>1.7341702777775936E-3</v>
      </c>
      <c r="D263" s="93">
        <v>1.2648455497714394E-6</v>
      </c>
      <c r="E263" s="88">
        <v>621.66282405351149</v>
      </c>
      <c r="F263" s="151">
        <v>0.69366042906373848</v>
      </c>
      <c r="G263" s="96">
        <v>853.33900031914118</v>
      </c>
      <c r="H263" s="136">
        <v>2.3777874641794887</v>
      </c>
      <c r="I263" s="88">
        <v>119.02863446354655</v>
      </c>
      <c r="J263" s="100">
        <v>0.6218765229878781</v>
      </c>
      <c r="K263" s="86">
        <v>3.6933256810766548</v>
      </c>
    </row>
    <row r="264" spans="2:11" x14ac:dyDescent="0.3">
      <c r="B264" s="90">
        <v>2054</v>
      </c>
      <c r="C264" s="88">
        <v>1.7345428987755439E-3</v>
      </c>
      <c r="D264" s="93">
        <v>1.2531623638180759E-6</v>
      </c>
      <c r="E264" s="88">
        <v>608.80779265988065</v>
      </c>
      <c r="F264" s="151">
        <v>0.67682044210922276</v>
      </c>
      <c r="G264" s="96">
        <v>841.82925357528086</v>
      </c>
      <c r="H264" s="136">
        <v>2.3388862663999523</v>
      </c>
      <c r="I264" s="88">
        <v>115.05069356692351</v>
      </c>
      <c r="J264" s="100">
        <v>0.59934322929938544</v>
      </c>
      <c r="K264" s="86">
        <v>3.6150511909709242</v>
      </c>
    </row>
    <row r="265" spans="2:11" x14ac:dyDescent="0.3">
      <c r="B265" s="90">
        <v>2055</v>
      </c>
      <c r="C265" s="88">
        <v>1.6867009032284839E-3</v>
      </c>
      <c r="D265" s="93">
        <v>1.207102571341059E-6</v>
      </c>
      <c r="E265" s="88">
        <v>597.41854543805903</v>
      </c>
      <c r="F265" s="151">
        <v>0.6617578966776626</v>
      </c>
      <c r="G265" s="96">
        <v>828.44975274070225</v>
      </c>
      <c r="H265" s="136">
        <v>2.2951501150803013</v>
      </c>
      <c r="I265" s="88">
        <v>111.25058944823583</v>
      </c>
      <c r="J265" s="100">
        <v>0.57789444002975954</v>
      </c>
      <c r="K265" s="86">
        <v>3.5348036588902945</v>
      </c>
    </row>
    <row r="266" spans="2:11" x14ac:dyDescent="0.3">
      <c r="B266" s="90">
        <v>2056</v>
      </c>
      <c r="C266" s="88">
        <v>1.6129775399167556E-3</v>
      </c>
      <c r="D266" s="93">
        <v>1.1435858544154035E-6</v>
      </c>
      <c r="E266" s="88">
        <v>587.41556896555528</v>
      </c>
      <c r="F266" s="151">
        <v>0.6484291473374959</v>
      </c>
      <c r="G266" s="96">
        <v>813.03570728436603</v>
      </c>
      <c r="H266" s="136">
        <v>2.2463845649033192</v>
      </c>
      <c r="I266" s="88">
        <v>107.63707630933258</v>
      </c>
      <c r="J266" s="100">
        <v>0.55761911346480053</v>
      </c>
      <c r="K266" s="86">
        <v>3.4524339692914703</v>
      </c>
    </row>
    <row r="267" spans="2:11" x14ac:dyDescent="0.3">
      <c r="B267" s="90">
        <v>2057</v>
      </c>
      <c r="C267" s="88">
        <v>1.5267724025761708E-3</v>
      </c>
      <c r="D267" s="93">
        <v>1.0722131753704536E-6</v>
      </c>
      <c r="E267" s="88">
        <v>578.7224491442737</v>
      </c>
      <c r="F267" s="151">
        <v>0.636553997211314</v>
      </c>
      <c r="G267" s="96">
        <v>795.37848114545068</v>
      </c>
      <c r="H267" s="136">
        <v>2.1914387880610224</v>
      </c>
      <c r="I267" s="88">
        <v>104.21503540957205</v>
      </c>
      <c r="J267" s="100">
        <v>0.53837782022054681</v>
      </c>
      <c r="K267" s="86">
        <v>3.3663716777060588</v>
      </c>
    </row>
    <row r="268" spans="2:11" x14ac:dyDescent="0.3">
      <c r="B268" s="90">
        <v>2058</v>
      </c>
      <c r="C268" s="88">
        <v>1.4359748842252885E-3</v>
      </c>
      <c r="D268" s="93">
        <v>9.9895233442423685E-7</v>
      </c>
      <c r="E268" s="88">
        <v>571.26633243031699</v>
      </c>
      <c r="F268" s="151">
        <v>0.62617472246366912</v>
      </c>
      <c r="G268" s="96">
        <v>775.22039878179203</v>
      </c>
      <c r="H268" s="136">
        <v>2.1301300192058674</v>
      </c>
      <c r="I268" s="88">
        <v>100.98616086579622</v>
      </c>
      <c r="J268" s="100">
        <v>0.52028829427723611</v>
      </c>
      <c r="K268" s="86">
        <v>3.2765940348991074</v>
      </c>
    </row>
    <row r="269" spans="2:11" x14ac:dyDescent="0.3">
      <c r="B269" s="90">
        <v>2059</v>
      </c>
      <c r="C269" s="88">
        <v>1.3451563892886041E-3</v>
      </c>
      <c r="D269" s="93">
        <v>9.2690331170766386E-7</v>
      </c>
      <c r="E269" s="88">
        <v>564.9781880180426</v>
      </c>
      <c r="F269" s="151">
        <v>0.61712468640647633</v>
      </c>
      <c r="G269" s="96">
        <v>752.24862005330772</v>
      </c>
      <c r="H269" s="136">
        <v>2.0613908500351239</v>
      </c>
      <c r="I269" s="88">
        <v>97.949577642689121</v>
      </c>
      <c r="J269" s="100">
        <v>0.50327201772517682</v>
      </c>
      <c r="K269" s="86">
        <v>3.1817884810700892</v>
      </c>
    </row>
    <row r="270" spans="2:11" ht="14.4" thickBot="1" x14ac:dyDescent="0.35">
      <c r="B270" s="85">
        <v>2060</v>
      </c>
      <c r="C270" s="83">
        <v>1.2568474518775475E-3</v>
      </c>
      <c r="D270" s="127">
        <v>8.5800738892679877E-7</v>
      </c>
      <c r="E270" s="83">
        <v>559.79292608647165</v>
      </c>
      <c r="F270" s="150">
        <v>0.60947518622155439</v>
      </c>
      <c r="G270" s="83">
        <v>726.08774139698062</v>
      </c>
      <c r="H270" s="149">
        <v>1.9847663013915877</v>
      </c>
      <c r="I270" s="83">
        <v>95.102383655405788</v>
      </c>
      <c r="J270" s="148">
        <v>0.48743077669778268</v>
      </c>
      <c r="K270" s="81">
        <v>3.081673122318314</v>
      </c>
    </row>
    <row r="274" spans="1:11" ht="16.2" thickBot="1" x14ac:dyDescent="0.35">
      <c r="B274" s="121" t="s">
        <v>194</v>
      </c>
    </row>
    <row r="275" spans="1:11" ht="14.4" thickBot="1" x14ac:dyDescent="0.35">
      <c r="B275" s="120" t="s">
        <v>3</v>
      </c>
      <c r="C275" s="119" t="s">
        <v>187</v>
      </c>
      <c r="D275" s="118"/>
      <c r="E275" s="119" t="s">
        <v>186</v>
      </c>
      <c r="F275" s="118"/>
      <c r="G275" s="119" t="s">
        <v>185</v>
      </c>
      <c r="H275" s="118"/>
      <c r="I275" s="119" t="s">
        <v>184</v>
      </c>
      <c r="J275" s="118"/>
      <c r="K275" s="117" t="s">
        <v>183</v>
      </c>
    </row>
    <row r="276" spans="1:11" ht="27.6" x14ac:dyDescent="0.3">
      <c r="B276" s="116"/>
      <c r="C276" s="115" t="s">
        <v>182</v>
      </c>
      <c r="D276" s="114" t="s">
        <v>181</v>
      </c>
      <c r="E276" s="115" t="s">
        <v>182</v>
      </c>
      <c r="F276" s="114" t="s">
        <v>181</v>
      </c>
      <c r="G276" s="115" t="s">
        <v>182</v>
      </c>
      <c r="H276" s="114" t="s">
        <v>181</v>
      </c>
      <c r="I276" s="115" t="s">
        <v>182</v>
      </c>
      <c r="J276" s="114" t="s">
        <v>181</v>
      </c>
      <c r="K276" s="113" t="s">
        <v>181</v>
      </c>
    </row>
    <row r="277" spans="1:11" ht="14.4" thickBot="1" x14ac:dyDescent="0.35">
      <c r="B277" s="112"/>
      <c r="C277" s="111"/>
      <c r="D277" s="110" t="s">
        <v>180</v>
      </c>
      <c r="E277" s="111"/>
      <c r="F277" s="110" t="s">
        <v>180</v>
      </c>
      <c r="G277" s="111"/>
      <c r="H277" s="110" t="s">
        <v>180</v>
      </c>
      <c r="I277" s="111"/>
      <c r="J277" s="110" t="s">
        <v>180</v>
      </c>
      <c r="K277" s="110" t="s">
        <v>180</v>
      </c>
    </row>
    <row r="278" spans="1:11" x14ac:dyDescent="0.3">
      <c r="A278" s="79" t="s">
        <v>178</v>
      </c>
      <c r="B278" s="109">
        <v>2000</v>
      </c>
      <c r="C278" s="144">
        <v>6</v>
      </c>
      <c r="D278" s="147"/>
      <c r="E278" s="144">
        <v>0</v>
      </c>
      <c r="F278" s="146"/>
      <c r="G278" s="144">
        <v>0</v>
      </c>
      <c r="H278" s="145"/>
      <c r="I278" s="144">
        <v>0</v>
      </c>
      <c r="J278" s="143"/>
      <c r="K278" s="142"/>
    </row>
    <row r="279" spans="1:11" x14ac:dyDescent="0.3">
      <c r="A279" s="79" t="s">
        <v>178</v>
      </c>
      <c r="B279" s="90">
        <v>2001</v>
      </c>
      <c r="C279" s="92">
        <v>7</v>
      </c>
      <c r="D279" s="103"/>
      <c r="E279" s="92">
        <v>0</v>
      </c>
      <c r="F279" s="107"/>
      <c r="G279" s="128">
        <v>0</v>
      </c>
      <c r="H279" s="141"/>
      <c r="I279" s="92">
        <v>0</v>
      </c>
      <c r="J279" s="106"/>
      <c r="K279" s="105"/>
    </row>
    <row r="280" spans="1:11" x14ac:dyDescent="0.3">
      <c r="A280" s="79" t="s">
        <v>178</v>
      </c>
      <c r="B280" s="90">
        <v>2002</v>
      </c>
      <c r="C280" s="92">
        <v>8</v>
      </c>
      <c r="D280" s="103"/>
      <c r="E280" s="92">
        <v>0</v>
      </c>
      <c r="F280" s="107"/>
      <c r="G280" s="128">
        <v>0</v>
      </c>
      <c r="H280" s="141"/>
      <c r="I280" s="92">
        <v>0</v>
      </c>
      <c r="J280" s="106"/>
      <c r="K280" s="105"/>
    </row>
    <row r="281" spans="1:11" x14ac:dyDescent="0.3">
      <c r="A281" s="79" t="s">
        <v>178</v>
      </c>
      <c r="B281" s="90">
        <v>2003</v>
      </c>
      <c r="C281" s="92">
        <v>7</v>
      </c>
      <c r="D281" s="103"/>
      <c r="E281" s="92">
        <v>0</v>
      </c>
      <c r="F281" s="107"/>
      <c r="G281" s="128">
        <v>0</v>
      </c>
      <c r="H281" s="141"/>
      <c r="I281" s="92">
        <v>0</v>
      </c>
      <c r="J281" s="106"/>
      <c r="K281" s="105"/>
    </row>
    <row r="282" spans="1:11" x14ac:dyDescent="0.3">
      <c r="A282" s="79" t="s">
        <v>178</v>
      </c>
      <c r="B282" s="90">
        <v>2004</v>
      </c>
      <c r="C282" s="92">
        <v>7</v>
      </c>
      <c r="D282" s="103"/>
      <c r="E282" s="92">
        <v>0</v>
      </c>
      <c r="F282" s="107"/>
      <c r="G282" s="128">
        <v>0</v>
      </c>
      <c r="H282" s="141"/>
      <c r="I282" s="92">
        <v>0</v>
      </c>
      <c r="J282" s="106"/>
      <c r="K282" s="105"/>
    </row>
    <row r="283" spans="1:11" x14ac:dyDescent="0.3">
      <c r="A283" s="79" t="s">
        <v>178</v>
      </c>
      <c r="B283" s="90">
        <v>2005</v>
      </c>
      <c r="C283" s="92">
        <v>8</v>
      </c>
      <c r="D283" s="103"/>
      <c r="E283" s="92">
        <v>0</v>
      </c>
      <c r="F283" s="107"/>
      <c r="G283" s="128">
        <v>0</v>
      </c>
      <c r="H283" s="141"/>
      <c r="I283" s="92">
        <v>0</v>
      </c>
      <c r="J283" s="106"/>
      <c r="K283" s="105"/>
    </row>
    <row r="284" spans="1:11" x14ac:dyDescent="0.3">
      <c r="A284" s="79" t="s">
        <v>178</v>
      </c>
      <c r="B284" s="90">
        <v>2006</v>
      </c>
      <c r="C284" s="92">
        <v>8</v>
      </c>
      <c r="D284" s="103"/>
      <c r="E284" s="92">
        <v>0</v>
      </c>
      <c r="F284" s="107"/>
      <c r="G284" s="128">
        <v>0</v>
      </c>
      <c r="H284" s="141"/>
      <c r="I284" s="92">
        <v>0</v>
      </c>
      <c r="J284" s="106"/>
      <c r="K284" s="105"/>
    </row>
    <row r="285" spans="1:11" x14ac:dyDescent="0.3">
      <c r="A285" s="79" t="s">
        <v>178</v>
      </c>
      <c r="B285" s="90">
        <v>2007</v>
      </c>
      <c r="C285" s="92">
        <v>8</v>
      </c>
      <c r="D285" s="103"/>
      <c r="E285" s="92">
        <v>0</v>
      </c>
      <c r="F285" s="107"/>
      <c r="G285" s="128">
        <v>0</v>
      </c>
      <c r="H285" s="141"/>
      <c r="I285" s="92">
        <v>0</v>
      </c>
      <c r="J285" s="106"/>
      <c r="K285" s="105"/>
    </row>
    <row r="286" spans="1:11" x14ac:dyDescent="0.3">
      <c r="A286" s="79" t="s">
        <v>178</v>
      </c>
      <c r="B286" s="90">
        <v>2008</v>
      </c>
      <c r="C286" s="92">
        <v>8</v>
      </c>
      <c r="D286" s="103"/>
      <c r="E286" s="92">
        <v>2</v>
      </c>
      <c r="F286" s="104"/>
      <c r="G286" s="128">
        <v>0</v>
      </c>
      <c r="H286" s="140"/>
      <c r="I286" s="92">
        <v>0</v>
      </c>
      <c r="J286" s="103"/>
      <c r="K286" s="99"/>
    </row>
    <row r="287" spans="1:11" x14ac:dyDescent="0.3">
      <c r="A287" s="79" t="s">
        <v>178</v>
      </c>
      <c r="B287" s="90">
        <v>2009</v>
      </c>
      <c r="C287" s="92">
        <v>9</v>
      </c>
      <c r="D287" s="103"/>
      <c r="E287" s="92">
        <v>2</v>
      </c>
      <c r="F287" s="104"/>
      <c r="G287" s="128">
        <v>0</v>
      </c>
      <c r="H287" s="140"/>
      <c r="I287" s="92">
        <v>0</v>
      </c>
      <c r="J287" s="103"/>
      <c r="K287" s="99"/>
    </row>
    <row r="288" spans="1:11" x14ac:dyDescent="0.3">
      <c r="A288" s="79" t="s">
        <v>178</v>
      </c>
      <c r="B288" s="90">
        <v>2010</v>
      </c>
      <c r="C288" s="92">
        <v>50</v>
      </c>
      <c r="D288" s="103"/>
      <c r="E288" s="92">
        <v>2</v>
      </c>
      <c r="F288" s="104"/>
      <c r="G288" s="128">
        <v>0</v>
      </c>
      <c r="H288" s="140"/>
      <c r="I288" s="92">
        <v>0</v>
      </c>
      <c r="J288" s="103"/>
      <c r="K288" s="99"/>
    </row>
    <row r="289" spans="1:22" x14ac:dyDescent="0.3">
      <c r="A289" s="79" t="s">
        <v>178</v>
      </c>
      <c r="B289" s="90">
        <v>2011</v>
      </c>
      <c r="C289" s="92">
        <v>150</v>
      </c>
      <c r="D289" s="103"/>
      <c r="E289" s="92">
        <v>2</v>
      </c>
      <c r="F289" s="104"/>
      <c r="G289" s="128">
        <v>0</v>
      </c>
      <c r="H289" s="140"/>
      <c r="I289" s="92">
        <v>0</v>
      </c>
      <c r="J289" s="103"/>
      <c r="K289" s="99"/>
    </row>
    <row r="290" spans="1:22" x14ac:dyDescent="0.3">
      <c r="A290" s="79" t="s">
        <v>178</v>
      </c>
      <c r="B290" s="90">
        <v>2012</v>
      </c>
      <c r="C290" s="92">
        <v>216</v>
      </c>
      <c r="D290" s="103"/>
      <c r="E290" s="92">
        <v>2</v>
      </c>
      <c r="F290" s="104"/>
      <c r="G290" s="128">
        <v>0</v>
      </c>
      <c r="H290" s="140"/>
      <c r="I290" s="92">
        <v>0</v>
      </c>
      <c r="J290" s="103"/>
      <c r="K290" s="99"/>
    </row>
    <row r="291" spans="1:22" x14ac:dyDescent="0.3">
      <c r="A291" s="79" t="s">
        <v>178</v>
      </c>
      <c r="B291" s="90">
        <v>2013</v>
      </c>
      <c r="C291" s="92">
        <v>421</v>
      </c>
      <c r="D291" s="103"/>
      <c r="E291" s="92">
        <v>2</v>
      </c>
      <c r="F291" s="104"/>
      <c r="G291" s="128">
        <v>0</v>
      </c>
      <c r="H291" s="140"/>
      <c r="I291" s="92">
        <v>0</v>
      </c>
      <c r="J291" s="103"/>
      <c r="K291" s="99"/>
    </row>
    <row r="292" spans="1:22" x14ac:dyDescent="0.3">
      <c r="A292" s="79" t="s">
        <v>178</v>
      </c>
      <c r="B292" s="90">
        <v>2014</v>
      </c>
      <c r="C292" s="92">
        <v>611</v>
      </c>
      <c r="D292" s="103"/>
      <c r="E292" s="92">
        <v>2</v>
      </c>
      <c r="F292" s="104"/>
      <c r="G292" s="128">
        <v>0</v>
      </c>
      <c r="H292" s="140"/>
      <c r="I292" s="92">
        <v>0</v>
      </c>
      <c r="J292" s="103"/>
      <c r="K292" s="99"/>
    </row>
    <row r="293" spans="1:22" x14ac:dyDescent="0.3">
      <c r="A293" s="79" t="s">
        <v>178</v>
      </c>
      <c r="B293" s="90">
        <v>2015</v>
      </c>
      <c r="C293" s="92">
        <v>961</v>
      </c>
      <c r="D293" s="103"/>
      <c r="E293" s="92">
        <v>2</v>
      </c>
      <c r="F293" s="104"/>
      <c r="G293" s="128">
        <v>0</v>
      </c>
      <c r="H293" s="140"/>
      <c r="I293" s="92">
        <v>0</v>
      </c>
      <c r="J293" s="100"/>
      <c r="K293" s="99"/>
    </row>
    <row r="294" spans="1:22" x14ac:dyDescent="0.3">
      <c r="A294" s="79" t="s">
        <v>178</v>
      </c>
      <c r="B294" s="90">
        <v>2016</v>
      </c>
      <c r="C294" s="92">
        <v>1999</v>
      </c>
      <c r="D294" s="103"/>
      <c r="E294" s="92">
        <v>2</v>
      </c>
      <c r="F294" s="102"/>
      <c r="G294" s="128">
        <v>0</v>
      </c>
      <c r="H294" s="136"/>
      <c r="I294" s="92">
        <v>0</v>
      </c>
      <c r="J294" s="100"/>
      <c r="K294" s="99"/>
    </row>
    <row r="295" spans="1:22" ht="14.4" thickBot="1" x14ac:dyDescent="0.35">
      <c r="A295" s="79" t="s">
        <v>178</v>
      </c>
      <c r="B295" s="90">
        <v>2017</v>
      </c>
      <c r="C295" s="92">
        <v>3680</v>
      </c>
      <c r="D295" s="103"/>
      <c r="E295" s="92">
        <v>69</v>
      </c>
      <c r="F295" s="102"/>
      <c r="G295" s="128">
        <v>0</v>
      </c>
      <c r="H295" s="136"/>
      <c r="I295" s="92">
        <v>1</v>
      </c>
      <c r="J295" s="100"/>
      <c r="K295" s="99"/>
      <c r="L295" s="79" t="s">
        <v>193</v>
      </c>
    </row>
    <row r="296" spans="1:22" x14ac:dyDescent="0.3">
      <c r="A296" s="79" t="s">
        <v>178</v>
      </c>
      <c r="B296" s="90">
        <v>2018</v>
      </c>
      <c r="C296" s="92">
        <v>5709.5</v>
      </c>
      <c r="D296" s="103"/>
      <c r="E296" s="92">
        <v>114</v>
      </c>
      <c r="F296" s="102"/>
      <c r="G296" s="128">
        <v>0</v>
      </c>
      <c r="H296" s="136"/>
      <c r="I296" s="92">
        <v>15</v>
      </c>
      <c r="J296" s="100"/>
      <c r="K296" s="99"/>
      <c r="L296" s="139" t="s">
        <v>192</v>
      </c>
      <c r="M296" s="137"/>
      <c r="N296" s="138" t="s">
        <v>191</v>
      </c>
      <c r="O296" s="137"/>
      <c r="P296" s="138" t="s">
        <v>185</v>
      </c>
      <c r="Q296" s="137"/>
      <c r="R296" s="138" t="s">
        <v>184</v>
      </c>
      <c r="S296" s="137"/>
    </row>
    <row r="297" spans="1:22" ht="14.4" thickBot="1" x14ac:dyDescent="0.35">
      <c r="A297" s="79" t="s">
        <v>178</v>
      </c>
      <c r="B297" s="90">
        <v>2019</v>
      </c>
      <c r="C297" s="92">
        <v>7750.5</v>
      </c>
      <c r="D297" s="103"/>
      <c r="E297" s="92">
        <v>176</v>
      </c>
      <c r="F297" s="102"/>
      <c r="G297" s="128">
        <v>0</v>
      </c>
      <c r="H297" s="136"/>
      <c r="I297" s="92">
        <v>15</v>
      </c>
      <c r="J297" s="100"/>
      <c r="K297" s="99"/>
      <c r="L297" s="135" t="s">
        <v>190</v>
      </c>
      <c r="M297" s="133" t="s">
        <v>189</v>
      </c>
      <c r="N297" s="134" t="s">
        <v>190</v>
      </c>
      <c r="O297" s="133" t="s">
        <v>189</v>
      </c>
      <c r="P297" s="134" t="s">
        <v>190</v>
      </c>
      <c r="Q297" s="133" t="s">
        <v>189</v>
      </c>
      <c r="R297" s="134" t="s">
        <v>190</v>
      </c>
      <c r="S297" s="133" t="s">
        <v>189</v>
      </c>
      <c r="U297" s="80"/>
      <c r="V297" s="80"/>
    </row>
    <row r="298" spans="1:22" ht="14.4" thickBot="1" x14ac:dyDescent="0.35">
      <c r="B298" s="90">
        <v>2020</v>
      </c>
      <c r="C298" s="92">
        <v>13593.912646203</v>
      </c>
      <c r="D298" s="93">
        <v>2.9777480970208416</v>
      </c>
      <c r="E298" s="92">
        <v>174.52899674616259</v>
      </c>
      <c r="F298" s="91">
        <v>4.6896103389807785E-2</v>
      </c>
      <c r="G298" s="128">
        <v>-2.3016691636363653</v>
      </c>
      <c r="H298" s="91">
        <v>-5.7139592997030022E-3</v>
      </c>
      <c r="I298" s="92">
        <v>16.120336585148543</v>
      </c>
      <c r="J298" s="91">
        <v>6.2210401584813661E-2</v>
      </c>
      <c r="K298" s="132">
        <v>3.0811406426957602</v>
      </c>
      <c r="L298" s="131">
        <v>6271</v>
      </c>
      <c r="M298" s="130">
        <f>9658+689</f>
        <v>10347</v>
      </c>
      <c r="N298" s="131">
        <v>221</v>
      </c>
      <c r="O298" s="130">
        <v>8</v>
      </c>
      <c r="P298" s="131">
        <v>0</v>
      </c>
      <c r="Q298" s="130">
        <v>0</v>
      </c>
      <c r="R298" s="131">
        <v>15</v>
      </c>
      <c r="S298" s="130">
        <v>0</v>
      </c>
      <c r="T298" s="122"/>
      <c r="V298" s="122"/>
    </row>
    <row r="299" spans="1:22" x14ac:dyDescent="0.3">
      <c r="B299" s="90">
        <v>2021</v>
      </c>
      <c r="C299" s="92">
        <v>22014.874937639281</v>
      </c>
      <c r="D299" s="93">
        <v>4.3390925617329916</v>
      </c>
      <c r="E299" s="92">
        <v>322.28417676128788</v>
      </c>
      <c r="F299" s="91">
        <v>8.8309632916519554E-2</v>
      </c>
      <c r="G299" s="128">
        <v>2.5778333042826378</v>
      </c>
      <c r="H299" s="91">
        <v>6.3721626924884023E-3</v>
      </c>
      <c r="I299" s="92">
        <v>20.75297953450907</v>
      </c>
      <c r="J299" s="91">
        <v>5.8195650115101125E-2</v>
      </c>
      <c r="K299" s="99">
        <v>4.491970007457101</v>
      </c>
      <c r="L299" s="122"/>
      <c r="M299" s="129"/>
    </row>
    <row r="300" spans="1:22" x14ac:dyDescent="0.3">
      <c r="B300" s="90">
        <v>2022</v>
      </c>
      <c r="C300" s="92">
        <v>33316.727243491259</v>
      </c>
      <c r="D300" s="93">
        <v>6.7683939796530881</v>
      </c>
      <c r="E300" s="92">
        <v>523.63258793174555</v>
      </c>
      <c r="F300" s="91">
        <v>0.14625706498142316</v>
      </c>
      <c r="G300" s="128">
        <v>8.4140830520012422</v>
      </c>
      <c r="H300" s="91">
        <v>2.0709470414690744E-2</v>
      </c>
      <c r="I300" s="92">
        <v>27.804146817081364</v>
      </c>
      <c r="J300" s="91">
        <v>9.1818681864543519E-2</v>
      </c>
      <c r="K300" s="99">
        <v>7.0271791969137452</v>
      </c>
      <c r="L300" s="122"/>
    </row>
    <row r="301" spans="1:22" x14ac:dyDescent="0.3">
      <c r="B301" s="90">
        <v>2023</v>
      </c>
      <c r="C301" s="92">
        <v>47672.652314587889</v>
      </c>
      <c r="D301" s="93">
        <v>9.9889805800991258</v>
      </c>
      <c r="E301" s="92">
        <v>772.25531818214711</v>
      </c>
      <c r="F301" s="91">
        <v>0.21978617438045814</v>
      </c>
      <c r="G301" s="128">
        <v>14.510118034414308</v>
      </c>
      <c r="H301" s="91">
        <v>3.5559499922458909E-2</v>
      </c>
      <c r="I301" s="92">
        <v>35.24111737177892</v>
      </c>
      <c r="J301" s="91">
        <v>0.13378110781219407</v>
      </c>
      <c r="K301" s="99">
        <v>10.378107362214237</v>
      </c>
      <c r="L301" s="122"/>
    </row>
    <row r="302" spans="1:22" x14ac:dyDescent="0.3">
      <c r="B302" s="90">
        <v>2024</v>
      </c>
      <c r="C302" s="92">
        <v>63727.79432090147</v>
      </c>
      <c r="D302" s="93">
        <v>13.742449436101154</v>
      </c>
      <c r="E302" s="92">
        <v>1102.9358713577708</v>
      </c>
      <c r="F302" s="91">
        <v>0.31972293992525103</v>
      </c>
      <c r="G302" s="128">
        <v>21.809026472580651</v>
      </c>
      <c r="H302" s="91">
        <v>5.3215205361037264E-2</v>
      </c>
      <c r="I302" s="92">
        <v>43.695573549482383</v>
      </c>
      <c r="J302" s="91">
        <v>0.16519246294620996</v>
      </c>
      <c r="K302" s="99">
        <v>14.280580044333652</v>
      </c>
      <c r="L302" s="122"/>
    </row>
    <row r="303" spans="1:22" x14ac:dyDescent="0.3">
      <c r="B303" s="90">
        <v>2025</v>
      </c>
      <c r="C303" s="92">
        <v>80525.614808828395</v>
      </c>
      <c r="D303" s="93">
        <v>17.861685542201027</v>
      </c>
      <c r="E303" s="92">
        <v>1537.4937828333473</v>
      </c>
      <c r="F303" s="91">
        <v>0.45379741508920984</v>
      </c>
      <c r="G303" s="128">
        <v>30.502583183837853</v>
      </c>
      <c r="H303" s="91">
        <v>7.4104237526218919E-2</v>
      </c>
      <c r="I303" s="92">
        <v>49.726831201266236</v>
      </c>
      <c r="J303" s="91">
        <v>0.18721617366920601</v>
      </c>
      <c r="K303" s="99">
        <v>18.576803368485663</v>
      </c>
      <c r="L303" s="122"/>
    </row>
    <row r="304" spans="1:22" x14ac:dyDescent="0.3">
      <c r="B304" s="90">
        <v>2026</v>
      </c>
      <c r="C304" s="92">
        <v>94973.500458791415</v>
      </c>
      <c r="D304" s="93">
        <v>21.697119111560461</v>
      </c>
      <c r="E304" s="92">
        <v>2100.4227491932988</v>
      </c>
      <c r="F304" s="91">
        <v>0.63099716465484179</v>
      </c>
      <c r="G304" s="128">
        <v>40.839343785086392</v>
      </c>
      <c r="H304" s="91">
        <v>9.8783467908849149E-2</v>
      </c>
      <c r="I304" s="92">
        <v>57.182878918176193</v>
      </c>
      <c r="J304" s="91">
        <v>0.21439292737625859</v>
      </c>
      <c r="K304" s="99">
        <v>22.641292671500409</v>
      </c>
      <c r="L304" s="122"/>
    </row>
    <row r="305" spans="2:12" x14ac:dyDescent="0.3">
      <c r="B305" s="90">
        <v>2027</v>
      </c>
      <c r="C305" s="92">
        <v>114029.82879009652</v>
      </c>
      <c r="D305" s="93">
        <v>26.811290268124644</v>
      </c>
      <c r="E305" s="92">
        <v>2817.169741304182</v>
      </c>
      <c r="F305" s="91">
        <v>0.86110925243028313</v>
      </c>
      <c r="G305" s="128">
        <v>53.109613749945439</v>
      </c>
      <c r="H305" s="91">
        <v>0.12789978361430893</v>
      </c>
      <c r="I305" s="92">
        <v>66.262033956295767</v>
      </c>
      <c r="J305" s="91">
        <v>0.24739621595290898</v>
      </c>
      <c r="K305" s="99">
        <v>28.047695520122144</v>
      </c>
      <c r="L305" s="122"/>
    </row>
    <row r="306" spans="2:12" x14ac:dyDescent="0.3">
      <c r="B306" s="90">
        <v>2028</v>
      </c>
      <c r="C306" s="92">
        <v>133669.7221718037</v>
      </c>
      <c r="D306" s="93">
        <v>32.326194884439104</v>
      </c>
      <c r="E306" s="92">
        <v>3711.5709642331121</v>
      </c>
      <c r="F306" s="91">
        <v>1.1539455772901088</v>
      </c>
      <c r="G306" s="128">
        <v>67.650799134327059</v>
      </c>
      <c r="H306" s="91">
        <v>0.16220070818994758</v>
      </c>
      <c r="I306" s="92">
        <v>77.290847942937773</v>
      </c>
      <c r="J306" s="91">
        <v>0.28736385349018817</v>
      </c>
      <c r="K306" s="99">
        <v>33.929705023409348</v>
      </c>
      <c r="L306" s="122"/>
    </row>
    <row r="307" spans="2:12" x14ac:dyDescent="0.3">
      <c r="B307" s="90">
        <v>2029</v>
      </c>
      <c r="C307" s="92">
        <v>154513.11270522649</v>
      </c>
      <c r="D307" s="93">
        <v>38.403652588597311</v>
      </c>
      <c r="E307" s="92">
        <v>4802.6349453064267</v>
      </c>
      <c r="F307" s="91">
        <v>1.5182812075729399</v>
      </c>
      <c r="G307" s="128">
        <v>84.852702844957008</v>
      </c>
      <c r="H307" s="91">
        <v>0.20254455350365275</v>
      </c>
      <c r="I307" s="92">
        <v>90.645860839359528</v>
      </c>
      <c r="J307" s="91">
        <v>0.33559824160597335</v>
      </c>
      <c r="K307" s="99">
        <v>40.460076591279879</v>
      </c>
      <c r="L307" s="122"/>
    </row>
    <row r="308" spans="2:12" x14ac:dyDescent="0.3">
      <c r="B308" s="90">
        <v>2030</v>
      </c>
      <c r="C308" s="92">
        <v>176111.84279185493</v>
      </c>
      <c r="D308" s="93">
        <v>44.950748498226375</v>
      </c>
      <c r="E308" s="92">
        <v>6101.3496408529945</v>
      </c>
      <c r="F308" s="91">
        <v>1.9606999223970798</v>
      </c>
      <c r="G308" s="128">
        <v>105.16238362248619</v>
      </c>
      <c r="H308" s="91">
        <v>0.24990919721823274</v>
      </c>
      <c r="I308" s="92">
        <v>106.75453616802788</v>
      </c>
      <c r="J308" s="91">
        <v>0.39528451964045841</v>
      </c>
      <c r="K308" s="99">
        <v>47.556642137482143</v>
      </c>
      <c r="L308" s="122"/>
    </row>
    <row r="309" spans="2:12" x14ac:dyDescent="0.3">
      <c r="B309" s="90">
        <v>2031</v>
      </c>
      <c r="C309" s="92">
        <v>196530.77799971466</v>
      </c>
      <c r="D309" s="93">
        <v>49.844616550013193</v>
      </c>
      <c r="E309" s="92">
        <v>7587.8768170547455</v>
      </c>
      <c r="F309" s="91">
        <v>2.4217862323540311</v>
      </c>
      <c r="G309" s="128">
        <v>129.33928197535684</v>
      </c>
      <c r="H309" s="91">
        <v>0.30598539761617766</v>
      </c>
      <c r="I309" s="92">
        <v>126.09495700669817</v>
      </c>
      <c r="J309" s="91">
        <v>0.4649341704839261</v>
      </c>
      <c r="K309" s="99">
        <v>53.037322350467328</v>
      </c>
      <c r="L309" s="122"/>
    </row>
    <row r="310" spans="2:12" x14ac:dyDescent="0.3">
      <c r="B310" s="90">
        <v>2032</v>
      </c>
      <c r="C310" s="92">
        <v>215400.37077338152</v>
      </c>
      <c r="D310" s="93">
        <v>54.273057607223983</v>
      </c>
      <c r="E310" s="92">
        <v>9241.1888090112243</v>
      </c>
      <c r="F310" s="91">
        <v>2.9292660310718865</v>
      </c>
      <c r="G310" s="128">
        <v>157.64908964990491</v>
      </c>
      <c r="H310" s="91">
        <v>0.37128026966068034</v>
      </c>
      <c r="I310" s="92">
        <v>148.93233944508347</v>
      </c>
      <c r="J310" s="91">
        <v>0.54682045040627925</v>
      </c>
      <c r="K310" s="99">
        <v>58.120424358362826</v>
      </c>
      <c r="L310" s="122"/>
    </row>
    <row r="311" spans="2:12" x14ac:dyDescent="0.3">
      <c r="B311" s="90">
        <v>2033</v>
      </c>
      <c r="C311" s="92">
        <v>232720.23902383889</v>
      </c>
      <c r="D311" s="93">
        <v>58.245389724479359</v>
      </c>
      <c r="E311" s="92">
        <v>11030.907663666476</v>
      </c>
      <c r="F311" s="91">
        <v>3.4725028719304736</v>
      </c>
      <c r="G311" s="128">
        <v>190.63723656713728</v>
      </c>
      <c r="H311" s="91">
        <v>0.44694071855099299</v>
      </c>
      <c r="I311" s="92">
        <v>175.70023413680352</v>
      </c>
      <c r="J311" s="91">
        <v>0.64236475202432897</v>
      </c>
      <c r="K311" s="99">
        <v>62.807198066985151</v>
      </c>
      <c r="L311" s="122"/>
    </row>
    <row r="312" spans="2:12" x14ac:dyDescent="0.3">
      <c r="B312" s="90">
        <v>2034</v>
      </c>
      <c r="C312" s="92">
        <v>248510.23599567352</v>
      </c>
      <c r="D312" s="93">
        <v>61.775909693362877</v>
      </c>
      <c r="E312" s="92">
        <v>12919.249673771095</v>
      </c>
      <c r="F312" s="91">
        <v>4.0388138087457701</v>
      </c>
      <c r="G312" s="128">
        <v>228.87134164204832</v>
      </c>
      <c r="H312" s="91">
        <v>0.53414227693567851</v>
      </c>
      <c r="I312" s="92">
        <v>206.80268914757198</v>
      </c>
      <c r="J312" s="91">
        <v>0.75285394718183285</v>
      </c>
      <c r="K312" s="99">
        <v>67.101719726226165</v>
      </c>
      <c r="L312" s="122"/>
    </row>
    <row r="313" spans="2:12" x14ac:dyDescent="0.3">
      <c r="B313" s="90">
        <v>2035</v>
      </c>
      <c r="C313" s="92">
        <v>262724.5582971921</v>
      </c>
      <c r="D313" s="93">
        <v>64.863047006741212</v>
      </c>
      <c r="E313" s="92">
        <v>14864.793716220151</v>
      </c>
      <c r="F313" s="91">
        <v>4.6147185152214689</v>
      </c>
      <c r="G313" s="128">
        <v>272.92139417337</v>
      </c>
      <c r="H313" s="91">
        <v>0.63404189749788942</v>
      </c>
      <c r="I313" s="92">
        <v>242.57826690974611</v>
      </c>
      <c r="J313" s="91">
        <v>0.87931223241524015</v>
      </c>
      <c r="K313" s="99">
        <v>70.991119651875806</v>
      </c>
      <c r="L313" s="122"/>
    </row>
    <row r="314" spans="2:12" x14ac:dyDescent="0.3">
      <c r="B314" s="90">
        <v>2036</v>
      </c>
      <c r="C314" s="92">
        <v>275304.98573597748</v>
      </c>
      <c r="D314" s="93">
        <v>67.50230471226844</v>
      </c>
      <c r="E314" s="92">
        <v>16825.957310906266</v>
      </c>
      <c r="F314" s="91">
        <v>5.1870487954201607</v>
      </c>
      <c r="G314" s="128">
        <v>323.33165111513341</v>
      </c>
      <c r="H314" s="91">
        <v>0.74771285454226299</v>
      </c>
      <c r="I314" s="92">
        <v>283.25753738716645</v>
      </c>
      <c r="J314" s="91">
        <v>1.0223527962951178</v>
      </c>
      <c r="K314" s="99">
        <v>74.459419158525975</v>
      </c>
      <c r="L314" s="122"/>
    </row>
    <row r="315" spans="2:12" x14ac:dyDescent="0.3">
      <c r="B315" s="90">
        <v>2037</v>
      </c>
      <c r="C315" s="92">
        <v>286265.2354575108</v>
      </c>
      <c r="D315" s="93">
        <v>69.706572758593353</v>
      </c>
      <c r="E315" s="92">
        <v>18763.660435062469</v>
      </c>
      <c r="F315" s="91">
        <v>5.7437640704176767</v>
      </c>
      <c r="G315" s="128">
        <v>380.58332689408371</v>
      </c>
      <c r="H315" s="91">
        <v>0.8760602448730237</v>
      </c>
      <c r="I315" s="92">
        <v>328.91756794880098</v>
      </c>
      <c r="J315" s="91">
        <v>1.1820226758486228</v>
      </c>
      <c r="K315" s="99">
        <v>77.508419749732681</v>
      </c>
      <c r="L315" s="122"/>
    </row>
    <row r="316" spans="2:12" x14ac:dyDescent="0.3">
      <c r="B316" s="90">
        <v>2038</v>
      </c>
      <c r="C316" s="92">
        <v>295691.51868579257</v>
      </c>
      <c r="D316" s="93">
        <v>71.505666537933863</v>
      </c>
      <c r="E316" s="92">
        <v>20643.038376277109</v>
      </c>
      <c r="F316" s="91">
        <v>6.2744432643687373</v>
      </c>
      <c r="G316" s="128">
        <v>445.04798779376046</v>
      </c>
      <c r="H316" s="91">
        <v>1.0197175701711003</v>
      </c>
      <c r="I316" s="92">
        <v>379.43895240348667</v>
      </c>
      <c r="J316" s="91">
        <v>1.3576609654697647</v>
      </c>
      <c r="K316" s="99">
        <v>80.157488337943462</v>
      </c>
      <c r="L316" s="122"/>
    </row>
    <row r="317" spans="2:12" x14ac:dyDescent="0.3">
      <c r="B317" s="90">
        <v>2039</v>
      </c>
      <c r="C317" s="92">
        <v>303726.70314741705</v>
      </c>
      <c r="D317" s="93">
        <v>72.942021560729671</v>
      </c>
      <c r="E317" s="92">
        <v>22434.321453751014</v>
      </c>
      <c r="F317" s="91">
        <v>6.7705032386168185</v>
      </c>
      <c r="G317" s="128">
        <v>516.93289279179464</v>
      </c>
      <c r="H317" s="91">
        <v>1.1789279227546441</v>
      </c>
      <c r="I317" s="92">
        <v>434.47234580544131</v>
      </c>
      <c r="J317" s="91">
        <v>1.5477949237441937</v>
      </c>
      <c r="K317" s="99">
        <v>82.439247645845327</v>
      </c>
      <c r="L317" s="122"/>
    </row>
    <row r="318" spans="2:12" x14ac:dyDescent="0.3">
      <c r="B318" s="90">
        <v>2040</v>
      </c>
      <c r="C318" s="92">
        <v>310348.56017063634</v>
      </c>
      <c r="D318" s="93">
        <v>74.017776807659956</v>
      </c>
      <c r="E318" s="92">
        <v>24113.103359875182</v>
      </c>
      <c r="F318" s="91">
        <v>7.2252229236692909</v>
      </c>
      <c r="G318" s="128">
        <v>596.22132382396944</v>
      </c>
      <c r="H318" s="91">
        <v>1.3534172787217704</v>
      </c>
      <c r="I318" s="92">
        <v>493.42157770738794</v>
      </c>
      <c r="J318" s="91">
        <v>1.7500980295587059</v>
      </c>
      <c r="K318" s="99">
        <v>84.346515039609727</v>
      </c>
      <c r="L318" s="122"/>
    </row>
    <row r="319" spans="2:12" x14ac:dyDescent="0.3">
      <c r="B319" s="90">
        <v>2041</v>
      </c>
      <c r="C319" s="92">
        <v>316483.48941266234</v>
      </c>
      <c r="D319" s="93">
        <v>74.743801229323182</v>
      </c>
      <c r="E319" s="92">
        <v>25753.147496657893</v>
      </c>
      <c r="F319" s="91">
        <v>7.6732253296717907</v>
      </c>
      <c r="G319" s="128">
        <v>682.56811070196034</v>
      </c>
      <c r="H319" s="91">
        <v>1.5494237425182289</v>
      </c>
      <c r="I319" s="92">
        <v>555.75540267070653</v>
      </c>
      <c r="J319" s="91">
        <v>1.9711874775517053</v>
      </c>
      <c r="K319" s="99">
        <v>85.937637779064914</v>
      </c>
      <c r="L319" s="122"/>
    </row>
    <row r="320" spans="2:12" x14ac:dyDescent="0.3">
      <c r="B320" s="90">
        <v>2042</v>
      </c>
      <c r="C320" s="88">
        <v>321989.1077944779</v>
      </c>
      <c r="D320" s="93">
        <v>75.29767358248138</v>
      </c>
      <c r="E320" s="92">
        <v>27336.487996583339</v>
      </c>
      <c r="F320" s="91">
        <v>8.0989587257311175</v>
      </c>
      <c r="G320" s="128">
        <v>774.08204176000072</v>
      </c>
      <c r="H320" s="91">
        <v>1.7571595791758798</v>
      </c>
      <c r="I320" s="92">
        <v>618.85420090349032</v>
      </c>
      <c r="J320" s="91">
        <v>2.1949901798328049</v>
      </c>
      <c r="K320" s="99">
        <v>87.34878206722118</v>
      </c>
      <c r="L320" s="122"/>
    </row>
    <row r="321" spans="2:12" x14ac:dyDescent="0.3">
      <c r="B321" s="90">
        <v>2043</v>
      </c>
      <c r="C321" s="88">
        <v>326689.33428539033</v>
      </c>
      <c r="D321" s="93">
        <v>75.64357695356955</v>
      </c>
      <c r="E321" s="92">
        <v>28857.460282411797</v>
      </c>
      <c r="F321" s="91">
        <v>8.501051327834821</v>
      </c>
      <c r="G321" s="128">
        <v>869.71680113274738</v>
      </c>
      <c r="H321" s="91">
        <v>1.974249660676703</v>
      </c>
      <c r="I321" s="92">
        <v>681.44263073549018</v>
      </c>
      <c r="J321" s="91">
        <v>2.4169826760489195</v>
      </c>
      <c r="K321" s="99">
        <v>88.535860618129988</v>
      </c>
      <c r="L321" s="122"/>
    </row>
    <row r="322" spans="2:12" x14ac:dyDescent="0.3">
      <c r="B322" s="90">
        <v>2044</v>
      </c>
      <c r="C322" s="88">
        <v>331028.95642406074</v>
      </c>
      <c r="D322" s="93">
        <v>75.888498563801122</v>
      </c>
      <c r="E322" s="92">
        <v>30312.427063875515</v>
      </c>
      <c r="F322" s="91">
        <v>8.8787624590097298</v>
      </c>
      <c r="G322" s="128">
        <v>968.09753316401566</v>
      </c>
      <c r="H322" s="91">
        <v>2.1975730765022776</v>
      </c>
      <c r="I322" s="92">
        <v>742.2089892415504</v>
      </c>
      <c r="J322" s="91">
        <v>2.632512537509458</v>
      </c>
      <c r="K322" s="99">
        <v>89.597346636822593</v>
      </c>
      <c r="L322" s="122"/>
    </row>
    <row r="323" spans="2:12" x14ac:dyDescent="0.3">
      <c r="B323" s="90">
        <v>2045</v>
      </c>
      <c r="C323" s="88">
        <v>334959.61968366831</v>
      </c>
      <c r="D323" s="93">
        <v>76.024190112811411</v>
      </c>
      <c r="E323" s="92">
        <v>31699.346797298709</v>
      </c>
      <c r="F323" s="91">
        <v>9.2318397461321862</v>
      </c>
      <c r="G323" s="128">
        <v>1067.545970985339</v>
      </c>
      <c r="H323" s="91">
        <v>2.4233201752910576</v>
      </c>
      <c r="I323" s="92">
        <v>799.8776092234375</v>
      </c>
      <c r="J323" s="91">
        <v>2.8370551492586387</v>
      </c>
      <c r="K323" s="99">
        <v>90.516405183493291</v>
      </c>
      <c r="L323" s="122"/>
    </row>
    <row r="324" spans="2:12" x14ac:dyDescent="0.3">
      <c r="B324" s="90">
        <v>2046</v>
      </c>
      <c r="C324" s="88">
        <v>337545.81456542027</v>
      </c>
      <c r="D324" s="93">
        <v>75.845141255138387</v>
      </c>
      <c r="E324" s="92">
        <v>33017.417086371424</v>
      </c>
      <c r="F324" s="91">
        <v>9.5604024203934141</v>
      </c>
      <c r="G324" s="128">
        <v>1166.1325378491879</v>
      </c>
      <c r="H324" s="91">
        <v>2.6471108344168055</v>
      </c>
      <c r="I324" s="92">
        <v>853.27244680151045</v>
      </c>
      <c r="J324" s="91">
        <v>3.0264392464604213</v>
      </c>
      <c r="K324" s="99">
        <v>91.079093756409023</v>
      </c>
      <c r="L324" s="122"/>
    </row>
    <row r="325" spans="2:12" x14ac:dyDescent="0.3">
      <c r="B325" s="90">
        <v>2047</v>
      </c>
      <c r="C325" s="88">
        <v>339750.61951800936</v>
      </c>
      <c r="D325" s="93">
        <v>75.573101017169193</v>
      </c>
      <c r="E325" s="92">
        <v>34266.787079136011</v>
      </c>
      <c r="F325" s="91">
        <v>9.864848112453636</v>
      </c>
      <c r="G325" s="128">
        <v>1261.7520733687111</v>
      </c>
      <c r="H325" s="91">
        <v>2.8641663579017069</v>
      </c>
      <c r="I325" s="92">
        <v>901.36585013841125</v>
      </c>
      <c r="J325" s="91">
        <v>3.1970198903101639</v>
      </c>
      <c r="K325" s="99">
        <v>91.499135377834705</v>
      </c>
      <c r="L325" s="122"/>
    </row>
    <row r="326" spans="2:12" x14ac:dyDescent="0.3">
      <c r="B326" s="90">
        <v>2048</v>
      </c>
      <c r="C326" s="88">
        <v>341829.91921150743</v>
      </c>
      <c r="D326" s="93">
        <v>75.266302838123309</v>
      </c>
      <c r="E326" s="92">
        <v>35448.329139558635</v>
      </c>
      <c r="F326" s="91">
        <v>10.145779536469774</v>
      </c>
      <c r="G326" s="128">
        <v>1352.215982454871</v>
      </c>
      <c r="H326" s="91">
        <v>3.0695186537113632</v>
      </c>
      <c r="I326" s="92">
        <v>943.30989695947756</v>
      </c>
      <c r="J326" s="91">
        <v>3.3457896178813358</v>
      </c>
      <c r="K326" s="99">
        <v>91.827390646185791</v>
      </c>
      <c r="L326" s="122"/>
    </row>
    <row r="327" spans="2:12" x14ac:dyDescent="0.3">
      <c r="B327" s="90">
        <v>2049</v>
      </c>
      <c r="C327" s="88">
        <v>343817.52146965743</v>
      </c>
      <c r="D327" s="93">
        <v>74.933069971895094</v>
      </c>
      <c r="E327" s="92">
        <v>36563.45936761699</v>
      </c>
      <c r="F327" s="91">
        <v>10.403947390755185</v>
      </c>
      <c r="G327" s="128">
        <v>1435.3510103453239</v>
      </c>
      <c r="H327" s="91">
        <v>3.2582344522210702</v>
      </c>
      <c r="I327" s="92">
        <v>978.45076053121181</v>
      </c>
      <c r="J327" s="91">
        <v>3.4704293962623995</v>
      </c>
      <c r="K327" s="99">
        <v>92.06568121113375</v>
      </c>
      <c r="L327" s="122"/>
    </row>
    <row r="328" spans="2:12" x14ac:dyDescent="0.3">
      <c r="B328" s="90">
        <v>2050</v>
      </c>
      <c r="C328" s="96">
        <v>345720.63589717337</v>
      </c>
      <c r="D328" s="93">
        <v>74.575687874628997</v>
      </c>
      <c r="E328" s="92">
        <v>37613.997326848723</v>
      </c>
      <c r="F328" s="91">
        <v>10.640206167527349</v>
      </c>
      <c r="G328" s="128">
        <v>1509.0941606253432</v>
      </c>
      <c r="H328" s="91">
        <v>3.4256307693072086</v>
      </c>
      <c r="I328" s="92">
        <v>1006.3286942064774</v>
      </c>
      <c r="J328" s="91">
        <v>3.569308567740757</v>
      </c>
      <c r="K328" s="99">
        <v>92.210833379204303</v>
      </c>
      <c r="L328" s="122"/>
    </row>
    <row r="329" spans="2:12" x14ac:dyDescent="0.3">
      <c r="B329" s="90">
        <v>2051</v>
      </c>
      <c r="C329" s="92">
        <v>347741.1600055896</v>
      </c>
      <c r="D329" s="93">
        <v>74.256009725609871</v>
      </c>
      <c r="E329" s="92">
        <v>38646.538488375161</v>
      </c>
      <c r="F329" s="91">
        <v>10.880249235118523</v>
      </c>
      <c r="G329" s="128">
        <v>1594.0465762131289</v>
      </c>
      <c r="H329" s="91">
        <v>3.6184720222638171</v>
      </c>
      <c r="I329" s="92">
        <v>1028.2571122955935</v>
      </c>
      <c r="J329" s="91">
        <v>3.6470856310532573</v>
      </c>
      <c r="K329" s="99">
        <v>92.401816614045472</v>
      </c>
      <c r="L329" s="122"/>
    </row>
    <row r="330" spans="2:12" x14ac:dyDescent="0.3">
      <c r="B330" s="90">
        <v>2052</v>
      </c>
      <c r="C330" s="88">
        <v>349818.9327050944</v>
      </c>
      <c r="D330" s="93">
        <v>73.94655123625175</v>
      </c>
      <c r="E330" s="92">
        <v>39638.609174016623</v>
      </c>
      <c r="F330" s="91">
        <v>11.106240710112827</v>
      </c>
      <c r="G330" s="128">
        <v>1694.8009299531254</v>
      </c>
      <c r="H330" s="91">
        <v>3.847183538959615</v>
      </c>
      <c r="I330" s="92">
        <v>1045.0851563931765</v>
      </c>
      <c r="J330" s="91">
        <v>3.7067723738855149</v>
      </c>
      <c r="K330" s="99">
        <v>92.606747859209705</v>
      </c>
      <c r="L330" s="122"/>
    </row>
    <row r="331" spans="2:12" x14ac:dyDescent="0.3">
      <c r="B331" s="90">
        <v>2053</v>
      </c>
      <c r="C331" s="88">
        <v>351879.10582787119</v>
      </c>
      <c r="D331" s="93">
        <v>73.628348285789954</v>
      </c>
      <c r="E331" s="92">
        <v>40592.403279081489</v>
      </c>
      <c r="F331" s="91">
        <v>11.318960770826717</v>
      </c>
      <c r="G331" s="128">
        <v>1813.220417352866</v>
      </c>
      <c r="H331" s="91">
        <v>4.1159947571767992</v>
      </c>
      <c r="I331" s="92">
        <v>1056.7246810400168</v>
      </c>
      <c r="J331" s="91">
        <v>3.7480561564960824</v>
      </c>
      <c r="K331" s="99">
        <v>92.811359970289544</v>
      </c>
      <c r="L331" s="122"/>
    </row>
    <row r="332" spans="2:12" x14ac:dyDescent="0.3">
      <c r="B332" s="90">
        <v>2054</v>
      </c>
      <c r="C332" s="88">
        <v>353975.307345209</v>
      </c>
      <c r="D332" s="93">
        <v>73.312571778808021</v>
      </c>
      <c r="E332" s="92">
        <v>41510.038344887493</v>
      </c>
      <c r="F332" s="91">
        <v>11.519156216015006</v>
      </c>
      <c r="G332" s="128">
        <v>1951.7836844527646</v>
      </c>
      <c r="H332" s="91">
        <v>4.4305321821155141</v>
      </c>
      <c r="I332" s="92">
        <v>1063.1645976017455</v>
      </c>
      <c r="J332" s="91">
        <v>3.7708976490339055</v>
      </c>
      <c r="K332" s="99">
        <v>93.033157825972438</v>
      </c>
      <c r="L332" s="122"/>
    </row>
    <row r="333" spans="2:12" x14ac:dyDescent="0.3">
      <c r="B333" s="90">
        <v>2055</v>
      </c>
      <c r="C333" s="88">
        <v>356109.24397991941</v>
      </c>
      <c r="D333" s="93">
        <v>72.999401175300648</v>
      </c>
      <c r="E333" s="92">
        <v>42393.534410725202</v>
      </c>
      <c r="F333" s="91">
        <v>11.707535173910118</v>
      </c>
      <c r="G333" s="128">
        <v>2113.6029987155816</v>
      </c>
      <c r="H333" s="91">
        <v>4.7978606341566996</v>
      </c>
      <c r="I333" s="92">
        <v>1064.4546838897425</v>
      </c>
      <c r="J333" s="91">
        <v>3.7754734065049798</v>
      </c>
      <c r="K333" s="99">
        <v>93.280270389872442</v>
      </c>
      <c r="L333" s="122"/>
    </row>
    <row r="334" spans="2:12" x14ac:dyDescent="0.3">
      <c r="B334" s="90">
        <v>2056</v>
      </c>
      <c r="C334" s="88">
        <v>358216.00182178919</v>
      </c>
      <c r="D334" s="93">
        <v>72.675646160587647</v>
      </c>
      <c r="E334" s="92">
        <v>43244.800913962506</v>
      </c>
      <c r="F334" s="91">
        <v>11.884764190885701</v>
      </c>
      <c r="G334" s="128">
        <v>2302.4512394063399</v>
      </c>
      <c r="H334" s="91">
        <v>5.2265445167924387</v>
      </c>
      <c r="I334" s="92">
        <v>1060.6911214845527</v>
      </c>
      <c r="J334" s="91">
        <v>3.7621245716606513</v>
      </c>
      <c r="K334" s="99">
        <v>93.54907943992643</v>
      </c>
      <c r="L334" s="122"/>
    </row>
    <row r="335" spans="2:12" x14ac:dyDescent="0.3">
      <c r="B335" s="90">
        <v>2057</v>
      </c>
      <c r="C335" s="88">
        <v>360274.78615737817</v>
      </c>
      <c r="D335" s="93">
        <v>72.337429558843056</v>
      </c>
      <c r="E335" s="92">
        <v>44065.629402272512</v>
      </c>
      <c r="F335" s="91">
        <v>12.051467012172287</v>
      </c>
      <c r="G335" s="128">
        <v>2522.802637837186</v>
      </c>
      <c r="H335" s="91">
        <v>5.7267402966315082</v>
      </c>
      <c r="I335" s="92">
        <v>1052.0040623805439</v>
      </c>
      <c r="J335" s="91">
        <v>3.7313127756074156</v>
      </c>
      <c r="K335" s="99">
        <v>93.846949643254263</v>
      </c>
      <c r="L335" s="122"/>
    </row>
    <row r="336" spans="2:12" x14ac:dyDescent="0.3">
      <c r="B336" s="90">
        <v>2058</v>
      </c>
      <c r="C336" s="88">
        <v>362284.42086782528</v>
      </c>
      <c r="D336" s="93">
        <v>71.984899902999004</v>
      </c>
      <c r="E336" s="92">
        <v>44857.690394999721</v>
      </c>
      <c r="F336" s="91">
        <v>12.208224547266871</v>
      </c>
      <c r="G336" s="128">
        <v>2779.8922044325172</v>
      </c>
      <c r="H336" s="91">
        <v>6.3103314023262493</v>
      </c>
      <c r="I336" s="92">
        <v>1038.5472616860666</v>
      </c>
      <c r="J336" s="91">
        <v>3.6835833664295814</v>
      </c>
      <c r="K336" s="99">
        <v>94.187039219021699</v>
      </c>
      <c r="L336" s="122"/>
    </row>
    <row r="337" spans="1:12" x14ac:dyDescent="0.3">
      <c r="B337" s="90">
        <v>2059</v>
      </c>
      <c r="C337" s="88">
        <v>364303.5275920438</v>
      </c>
      <c r="D337" s="93">
        <v>71.62981679316232</v>
      </c>
      <c r="E337" s="92">
        <v>45622.533163271619</v>
      </c>
      <c r="F337" s="91">
        <v>12.35557564784601</v>
      </c>
      <c r="G337" s="128">
        <v>3079.7986946592423</v>
      </c>
      <c r="H337" s="91">
        <v>6.9911165565209208</v>
      </c>
      <c r="I337" s="92">
        <v>1020.4896519117597</v>
      </c>
      <c r="J337" s="91">
        <v>3.6195355243562943</v>
      </c>
      <c r="K337" s="99">
        <v>94.596044521885545</v>
      </c>
      <c r="L337" s="122"/>
    </row>
    <row r="338" spans="1:12" ht="14.4" thickBot="1" x14ac:dyDescent="0.35">
      <c r="B338" s="85">
        <v>2060</v>
      </c>
      <c r="C338" s="83">
        <v>366330.96478369931</v>
      </c>
      <c r="D338" s="127">
        <v>71.271967858182222</v>
      </c>
      <c r="E338" s="125">
        <v>46361.58752302621</v>
      </c>
      <c r="F338" s="124">
        <v>12.49401842676099</v>
      </c>
      <c r="G338" s="126">
        <v>3429.5560221189476</v>
      </c>
      <c r="H338" s="124">
        <v>7.7850626826129696</v>
      </c>
      <c r="I338" s="125">
        <v>998.00864953203791</v>
      </c>
      <c r="J338" s="124">
        <v>3.5397985210617451</v>
      </c>
      <c r="K338" s="123">
        <v>95.090847488617925</v>
      </c>
      <c r="L338" s="122"/>
    </row>
    <row r="342" spans="1:12" ht="16.2" thickBot="1" x14ac:dyDescent="0.35">
      <c r="B342" s="121" t="s">
        <v>188</v>
      </c>
    </row>
    <row r="343" spans="1:12" ht="14.4" thickBot="1" x14ac:dyDescent="0.35">
      <c r="B343" s="120" t="s">
        <v>3</v>
      </c>
      <c r="C343" s="119" t="s">
        <v>187</v>
      </c>
      <c r="D343" s="118"/>
      <c r="E343" s="119" t="s">
        <v>186</v>
      </c>
      <c r="F343" s="118"/>
      <c r="G343" s="119" t="s">
        <v>185</v>
      </c>
      <c r="H343" s="118"/>
      <c r="I343" s="119" t="s">
        <v>184</v>
      </c>
      <c r="J343" s="118"/>
      <c r="K343" s="117" t="s">
        <v>183</v>
      </c>
    </row>
    <row r="344" spans="1:12" ht="27.6" x14ac:dyDescent="0.3">
      <c r="B344" s="116"/>
      <c r="C344" s="115" t="s">
        <v>182</v>
      </c>
      <c r="D344" s="114" t="s">
        <v>181</v>
      </c>
      <c r="E344" s="115" t="s">
        <v>182</v>
      </c>
      <c r="F344" s="114" t="s">
        <v>181</v>
      </c>
      <c r="G344" s="115" t="s">
        <v>182</v>
      </c>
      <c r="H344" s="114" t="s">
        <v>181</v>
      </c>
      <c r="I344" s="115" t="s">
        <v>182</v>
      </c>
      <c r="J344" s="114" t="s">
        <v>181</v>
      </c>
      <c r="K344" s="113" t="s">
        <v>181</v>
      </c>
    </row>
    <row r="345" spans="1:12" ht="14.4" thickBot="1" x14ac:dyDescent="0.35">
      <c r="B345" s="112"/>
      <c r="C345" s="111"/>
      <c r="D345" s="110" t="s">
        <v>180</v>
      </c>
      <c r="E345" s="111"/>
      <c r="F345" s="110" t="s">
        <v>180</v>
      </c>
      <c r="G345" s="111"/>
      <c r="H345" s="110" t="s">
        <v>180</v>
      </c>
      <c r="I345" s="111"/>
      <c r="J345" s="110" t="s">
        <v>180</v>
      </c>
      <c r="K345" s="110" t="s">
        <v>180</v>
      </c>
    </row>
    <row r="346" spans="1:12" x14ac:dyDescent="0.3">
      <c r="A346" s="79" t="s">
        <v>178</v>
      </c>
      <c r="B346" s="109">
        <v>2000</v>
      </c>
      <c r="C346" s="92"/>
      <c r="D346" s="103"/>
      <c r="E346" s="92" t="s">
        <v>179</v>
      </c>
      <c r="F346" s="107"/>
      <c r="G346" s="92" t="s">
        <v>179</v>
      </c>
      <c r="H346" s="106"/>
      <c r="I346" s="92" t="s">
        <v>179</v>
      </c>
      <c r="J346" s="106"/>
      <c r="K346" s="108"/>
    </row>
    <row r="347" spans="1:12" x14ac:dyDescent="0.3">
      <c r="A347" s="79" t="s">
        <v>178</v>
      </c>
      <c r="B347" s="90">
        <v>2001</v>
      </c>
      <c r="C347" s="92"/>
      <c r="D347" s="103"/>
      <c r="E347" s="92" t="s">
        <v>179</v>
      </c>
      <c r="F347" s="107"/>
      <c r="G347" s="92" t="s">
        <v>179</v>
      </c>
      <c r="H347" s="106"/>
      <c r="I347" s="92" t="s">
        <v>179</v>
      </c>
      <c r="J347" s="106"/>
      <c r="K347" s="105"/>
    </row>
    <row r="348" spans="1:12" x14ac:dyDescent="0.3">
      <c r="A348" s="79" t="s">
        <v>178</v>
      </c>
      <c r="B348" s="90">
        <v>2002</v>
      </c>
      <c r="C348" s="92"/>
      <c r="D348" s="103"/>
      <c r="E348" s="92" t="s">
        <v>179</v>
      </c>
      <c r="F348" s="107"/>
      <c r="G348" s="92" t="s">
        <v>179</v>
      </c>
      <c r="H348" s="106"/>
      <c r="I348" s="92" t="s">
        <v>179</v>
      </c>
      <c r="J348" s="106"/>
      <c r="K348" s="105"/>
    </row>
    <row r="349" spans="1:12" x14ac:dyDescent="0.3">
      <c r="A349" s="79" t="s">
        <v>178</v>
      </c>
      <c r="B349" s="90">
        <v>2003</v>
      </c>
      <c r="C349" s="92"/>
      <c r="D349" s="103"/>
      <c r="E349" s="92" t="s">
        <v>179</v>
      </c>
      <c r="F349" s="107"/>
      <c r="G349" s="92" t="s">
        <v>179</v>
      </c>
      <c r="H349" s="106"/>
      <c r="I349" s="92" t="s">
        <v>179</v>
      </c>
      <c r="J349" s="106"/>
      <c r="K349" s="105"/>
    </row>
    <row r="350" spans="1:12" x14ac:dyDescent="0.3">
      <c r="A350" s="79" t="s">
        <v>178</v>
      </c>
      <c r="B350" s="90">
        <v>2004</v>
      </c>
      <c r="C350" s="92"/>
      <c r="D350" s="103"/>
      <c r="E350" s="92" t="s">
        <v>179</v>
      </c>
      <c r="F350" s="107"/>
      <c r="G350" s="92" t="s">
        <v>179</v>
      </c>
      <c r="H350" s="106"/>
      <c r="I350" s="92" t="s">
        <v>179</v>
      </c>
      <c r="J350" s="106"/>
      <c r="K350" s="105"/>
    </row>
    <row r="351" spans="1:12" x14ac:dyDescent="0.3">
      <c r="A351" s="79" t="s">
        <v>178</v>
      </c>
      <c r="B351" s="90">
        <v>2005</v>
      </c>
      <c r="C351" s="92"/>
      <c r="D351" s="103"/>
      <c r="E351" s="92" t="s">
        <v>179</v>
      </c>
      <c r="F351" s="107"/>
      <c r="G351" s="92" t="s">
        <v>179</v>
      </c>
      <c r="H351" s="106"/>
      <c r="I351" s="92" t="s">
        <v>179</v>
      </c>
      <c r="J351" s="106"/>
      <c r="K351" s="105"/>
    </row>
    <row r="352" spans="1:12" x14ac:dyDescent="0.3">
      <c r="A352" s="79" t="s">
        <v>178</v>
      </c>
      <c r="B352" s="90">
        <v>2006</v>
      </c>
      <c r="C352" s="92"/>
      <c r="D352" s="103"/>
      <c r="E352" s="92" t="s">
        <v>179</v>
      </c>
      <c r="F352" s="107"/>
      <c r="G352" s="92" t="s">
        <v>179</v>
      </c>
      <c r="H352" s="106"/>
      <c r="I352" s="92" t="s">
        <v>179</v>
      </c>
      <c r="J352" s="106"/>
      <c r="K352" s="105"/>
    </row>
    <row r="353" spans="1:11" x14ac:dyDescent="0.3">
      <c r="A353" s="79" t="s">
        <v>178</v>
      </c>
      <c r="B353" s="90">
        <v>2007</v>
      </c>
      <c r="C353" s="92"/>
      <c r="D353" s="103"/>
      <c r="E353" s="92" t="s">
        <v>179</v>
      </c>
      <c r="F353" s="107"/>
      <c r="G353" s="92" t="s">
        <v>179</v>
      </c>
      <c r="H353" s="106"/>
      <c r="I353" s="92" t="s">
        <v>179</v>
      </c>
      <c r="J353" s="106"/>
      <c r="K353" s="105"/>
    </row>
    <row r="354" spans="1:11" x14ac:dyDescent="0.3">
      <c r="A354" s="79" t="s">
        <v>178</v>
      </c>
      <c r="B354" s="90">
        <v>2008</v>
      </c>
      <c r="C354" s="92"/>
      <c r="D354" s="103"/>
      <c r="E354" s="92" t="s">
        <v>179</v>
      </c>
      <c r="F354" s="104"/>
      <c r="G354" s="92" t="s">
        <v>179</v>
      </c>
      <c r="H354" s="103"/>
      <c r="I354" s="92" t="s">
        <v>179</v>
      </c>
      <c r="J354" s="103"/>
      <c r="K354" s="99"/>
    </row>
    <row r="355" spans="1:11" x14ac:dyDescent="0.3">
      <c r="A355" s="79" t="s">
        <v>178</v>
      </c>
      <c r="B355" s="90">
        <v>2009</v>
      </c>
      <c r="C355" s="92"/>
      <c r="D355" s="103"/>
      <c r="E355" s="92" t="s">
        <v>179</v>
      </c>
      <c r="F355" s="104"/>
      <c r="G355" s="92" t="s">
        <v>179</v>
      </c>
      <c r="H355" s="103"/>
      <c r="I355" s="92" t="s">
        <v>179</v>
      </c>
      <c r="J355" s="103"/>
      <c r="K355" s="99"/>
    </row>
    <row r="356" spans="1:11" x14ac:dyDescent="0.3">
      <c r="A356" s="79" t="s">
        <v>178</v>
      </c>
      <c r="B356" s="90">
        <v>2010</v>
      </c>
      <c r="C356" s="92"/>
      <c r="D356" s="103"/>
      <c r="E356" s="92" t="s">
        <v>179</v>
      </c>
      <c r="F356" s="104"/>
      <c r="G356" s="92" t="s">
        <v>179</v>
      </c>
      <c r="H356" s="103"/>
      <c r="I356" s="92" t="s">
        <v>179</v>
      </c>
      <c r="J356" s="103"/>
      <c r="K356" s="99"/>
    </row>
    <row r="357" spans="1:11" x14ac:dyDescent="0.3">
      <c r="A357" s="79" t="s">
        <v>178</v>
      </c>
      <c r="B357" s="90">
        <v>2011</v>
      </c>
      <c r="C357" s="92"/>
      <c r="D357" s="103"/>
      <c r="E357" s="92" t="s">
        <v>179</v>
      </c>
      <c r="F357" s="104"/>
      <c r="G357" s="92" t="s">
        <v>179</v>
      </c>
      <c r="H357" s="103"/>
      <c r="I357" s="92" t="s">
        <v>179</v>
      </c>
      <c r="J357" s="103"/>
      <c r="K357" s="99"/>
    </row>
    <row r="358" spans="1:11" x14ac:dyDescent="0.3">
      <c r="A358" s="79" t="s">
        <v>178</v>
      </c>
      <c r="B358" s="90">
        <v>2012</v>
      </c>
      <c r="C358" s="92"/>
      <c r="D358" s="103"/>
      <c r="E358" s="92" t="s">
        <v>179</v>
      </c>
      <c r="F358" s="104"/>
      <c r="G358" s="92" t="s">
        <v>179</v>
      </c>
      <c r="H358" s="103"/>
      <c r="I358" s="92" t="s">
        <v>179</v>
      </c>
      <c r="J358" s="103"/>
      <c r="K358" s="99"/>
    </row>
    <row r="359" spans="1:11" x14ac:dyDescent="0.3">
      <c r="A359" s="79" t="s">
        <v>178</v>
      </c>
      <c r="B359" s="90">
        <v>2013</v>
      </c>
      <c r="C359" s="92"/>
      <c r="D359" s="103"/>
      <c r="E359" s="92" t="s">
        <v>179</v>
      </c>
      <c r="F359" s="104"/>
      <c r="G359" s="92" t="s">
        <v>179</v>
      </c>
      <c r="H359" s="103"/>
      <c r="I359" s="92" t="s">
        <v>179</v>
      </c>
      <c r="J359" s="103"/>
      <c r="K359" s="99"/>
    </row>
    <row r="360" spans="1:11" x14ac:dyDescent="0.3">
      <c r="A360" s="79" t="s">
        <v>178</v>
      </c>
      <c r="B360" s="90">
        <v>2014</v>
      </c>
      <c r="C360" s="92"/>
      <c r="D360" s="103"/>
      <c r="E360" s="92" t="s">
        <v>179</v>
      </c>
      <c r="F360" s="104"/>
      <c r="G360" s="92" t="s">
        <v>179</v>
      </c>
      <c r="H360" s="103"/>
      <c r="I360" s="92" t="s">
        <v>179</v>
      </c>
      <c r="J360" s="103"/>
      <c r="K360" s="99"/>
    </row>
    <row r="361" spans="1:11" x14ac:dyDescent="0.3">
      <c r="A361" s="79" t="s">
        <v>178</v>
      </c>
      <c r="B361" s="90">
        <v>2015</v>
      </c>
      <c r="C361" s="92"/>
      <c r="D361" s="103"/>
      <c r="E361" s="92" t="s">
        <v>179</v>
      </c>
      <c r="F361" s="104"/>
      <c r="G361" s="92" t="s">
        <v>179</v>
      </c>
      <c r="H361" s="103"/>
      <c r="I361" s="92" t="s">
        <v>179</v>
      </c>
      <c r="J361" s="100"/>
      <c r="K361" s="99"/>
    </row>
    <row r="362" spans="1:11" x14ac:dyDescent="0.3">
      <c r="A362" s="79" t="s">
        <v>178</v>
      </c>
      <c r="B362" s="90">
        <v>2016</v>
      </c>
      <c r="C362" s="92"/>
      <c r="D362" s="103"/>
      <c r="E362" s="92" t="s">
        <v>179</v>
      </c>
      <c r="F362" s="102"/>
      <c r="G362" s="92" t="s">
        <v>179</v>
      </c>
      <c r="H362" s="101"/>
      <c r="I362" s="92" t="s">
        <v>179</v>
      </c>
      <c r="J362" s="100"/>
      <c r="K362" s="99"/>
    </row>
    <row r="363" spans="1:11" x14ac:dyDescent="0.3">
      <c r="A363" s="79" t="s">
        <v>178</v>
      </c>
      <c r="B363" s="90">
        <v>2017</v>
      </c>
      <c r="C363" s="92"/>
      <c r="D363" s="103"/>
      <c r="E363" s="92">
        <v>0</v>
      </c>
      <c r="F363" s="102"/>
      <c r="G363" s="92">
        <v>0</v>
      </c>
      <c r="H363" s="101"/>
      <c r="I363" s="92">
        <v>0</v>
      </c>
      <c r="J363" s="100"/>
      <c r="K363" s="99"/>
    </row>
    <row r="364" spans="1:11" x14ac:dyDescent="0.3">
      <c r="A364" s="79" t="s">
        <v>178</v>
      </c>
      <c r="B364" s="90">
        <v>2018</v>
      </c>
      <c r="C364" s="92"/>
      <c r="D364" s="103"/>
      <c r="E364" s="92">
        <v>0</v>
      </c>
      <c r="F364" s="102"/>
      <c r="G364" s="92">
        <v>0</v>
      </c>
      <c r="H364" s="101"/>
      <c r="I364" s="92">
        <v>0</v>
      </c>
      <c r="J364" s="100"/>
      <c r="K364" s="99"/>
    </row>
    <row r="365" spans="1:11" x14ac:dyDescent="0.3">
      <c r="A365" s="79" t="s">
        <v>178</v>
      </c>
      <c r="B365" s="90">
        <v>2019</v>
      </c>
      <c r="C365" s="92">
        <v>24</v>
      </c>
      <c r="D365" s="103"/>
      <c r="E365" s="92">
        <v>0</v>
      </c>
      <c r="F365" s="102"/>
      <c r="G365" s="92">
        <v>0</v>
      </c>
      <c r="H365" s="101"/>
      <c r="I365" s="92">
        <v>0</v>
      </c>
      <c r="J365" s="100"/>
      <c r="K365" s="99"/>
    </row>
    <row r="366" spans="1:11" x14ac:dyDescent="0.3">
      <c r="B366" s="90">
        <v>2020</v>
      </c>
      <c r="C366" s="92">
        <v>24.683036539643098</v>
      </c>
      <c r="D366" s="93">
        <v>1.9224054346602078E-2</v>
      </c>
      <c r="E366" s="92">
        <v>-2.1140052634086607E-3</v>
      </c>
      <c r="F366" s="91">
        <v>-2.1763799846598792E-6</v>
      </c>
      <c r="G366" s="92">
        <v>-2.1024000000000011E-2</v>
      </c>
      <c r="H366" s="91">
        <v>-7.2489832231303487E-5</v>
      </c>
      <c r="I366" s="92">
        <v>5.2429702682548433E-3</v>
      </c>
      <c r="J366" s="91">
        <v>3.3722133541179105E-5</v>
      </c>
      <c r="K366" s="98">
        <v>1.9183110267927295E-2</v>
      </c>
    </row>
    <row r="367" spans="1:11" x14ac:dyDescent="0.3">
      <c r="B367" s="90">
        <v>2021</v>
      </c>
      <c r="C367" s="92">
        <v>25.951498062157114</v>
      </c>
      <c r="D367" s="93">
        <v>1.7762971466418004E-2</v>
      </c>
      <c r="E367" s="92">
        <v>0.54407019644306565</v>
      </c>
      <c r="F367" s="91">
        <v>5.5961559924609932E-4</v>
      </c>
      <c r="G367" s="92">
        <v>6.7881990468500145E-2</v>
      </c>
      <c r="H367" s="91">
        <v>2.3402779352825812E-4</v>
      </c>
      <c r="I367" s="92">
        <v>4.8288036252832692E-2</v>
      </c>
      <c r="J367" s="91">
        <v>2.2757924101115973E-4</v>
      </c>
      <c r="K367" s="98">
        <v>1.878419410020352E-2</v>
      </c>
    </row>
    <row r="368" spans="1:11" x14ac:dyDescent="0.3">
      <c r="B368" s="90">
        <v>2022</v>
      </c>
      <c r="C368" s="92">
        <v>28.053855431495066</v>
      </c>
      <c r="D368" s="93">
        <v>1.9299108670111299E-2</v>
      </c>
      <c r="E368" s="92">
        <v>1.6677638934903229</v>
      </c>
      <c r="F368" s="91">
        <v>1.7138598388723697E-3</v>
      </c>
      <c r="G368" s="92">
        <v>0.23108949175095408</v>
      </c>
      <c r="H368" s="91">
        <v>7.9660712099633563E-4</v>
      </c>
      <c r="I368" s="92">
        <v>0.14750699901961398</v>
      </c>
      <c r="J368" s="91">
        <v>8.2213995231980813E-4</v>
      </c>
      <c r="K368" s="98">
        <v>2.2631715582299813E-2</v>
      </c>
    </row>
    <row r="369" spans="2:11" x14ac:dyDescent="0.3">
      <c r="B369" s="90">
        <v>2023</v>
      </c>
      <c r="C369" s="92">
        <v>31.223878311915886</v>
      </c>
      <c r="D369" s="93">
        <v>2.1587982184408085E-2</v>
      </c>
      <c r="E369" s="92">
        <v>3.5297653968334894</v>
      </c>
      <c r="F369" s="91">
        <v>3.6240324455971656E-3</v>
      </c>
      <c r="G369" s="92">
        <v>0.46212808699668856</v>
      </c>
      <c r="H369" s="91">
        <v>1.5928594755768158E-3</v>
      </c>
      <c r="I369" s="92">
        <v>0.28936084610163848</v>
      </c>
      <c r="J369" s="91">
        <v>1.8617993397621463E-3</v>
      </c>
      <c r="K369" s="86">
        <v>2.8666673445344213E-2</v>
      </c>
    </row>
    <row r="370" spans="2:11" x14ac:dyDescent="0.3">
      <c r="B370" s="90">
        <v>2024</v>
      </c>
      <c r="C370" s="92">
        <v>35.284377676387933</v>
      </c>
      <c r="D370" s="93">
        <v>2.4517562010751365E-2</v>
      </c>
      <c r="E370" s="92">
        <v>6.6414571890280749</v>
      </c>
      <c r="F370" s="91">
        <v>6.8126292672875521E-3</v>
      </c>
      <c r="G370" s="92">
        <v>0.81153847887540365</v>
      </c>
      <c r="H370" s="91">
        <v>2.7968895845174855E-3</v>
      </c>
      <c r="I370" s="92">
        <v>0.49334664809748791</v>
      </c>
      <c r="J370" s="91">
        <v>3.1746590856043767E-3</v>
      </c>
      <c r="K370" s="86">
        <v>3.7301739948160779E-2</v>
      </c>
    </row>
    <row r="371" spans="2:11" x14ac:dyDescent="0.3">
      <c r="B371" s="90">
        <v>2025</v>
      </c>
      <c r="C371" s="92">
        <v>40.045978198728108</v>
      </c>
      <c r="D371" s="93">
        <v>2.7964854054657096E-2</v>
      </c>
      <c r="E371" s="92">
        <v>11.575548171037088</v>
      </c>
      <c r="F371" s="91">
        <v>1.1863087350441745E-2</v>
      </c>
      <c r="G371" s="92">
        <v>1.318144866680298</v>
      </c>
      <c r="H371" s="91">
        <v>4.5423484713408993E-3</v>
      </c>
      <c r="I371" s="92">
        <v>0.67532505793517272</v>
      </c>
      <c r="J371" s="91">
        <v>4.3461987059269574E-3</v>
      </c>
      <c r="K371" s="86">
        <v>4.8716488582366699E-2</v>
      </c>
    </row>
    <row r="372" spans="2:11" x14ac:dyDescent="0.3">
      <c r="B372" s="90">
        <v>2026</v>
      </c>
      <c r="C372" s="92">
        <v>44.441043050764833</v>
      </c>
      <c r="D372" s="93">
        <v>3.1242240295392878E-2</v>
      </c>
      <c r="E372" s="92">
        <v>19.074095595133461</v>
      </c>
      <c r="F372" s="91">
        <v>1.9530103268906134E-2</v>
      </c>
      <c r="G372" s="92">
        <v>2.0312863452102228</v>
      </c>
      <c r="H372" s="91">
        <v>6.9990573200913843E-3</v>
      </c>
      <c r="I372" s="92">
        <v>0.93713289669333177</v>
      </c>
      <c r="J372" s="91">
        <v>6.0318383125289388E-3</v>
      </c>
      <c r="K372" s="86">
        <v>6.380323919691934E-2</v>
      </c>
    </row>
    <row r="373" spans="2:11" x14ac:dyDescent="0.3">
      <c r="B373" s="90">
        <v>2027</v>
      </c>
      <c r="C373" s="92">
        <v>50.945766342839967</v>
      </c>
      <c r="D373" s="93">
        <v>3.605379672410583E-2</v>
      </c>
      <c r="E373" s="92">
        <v>30.048219143476285</v>
      </c>
      <c r="F373" s="91">
        <v>3.0738550581309271E-2</v>
      </c>
      <c r="G373" s="92">
        <v>3.0132664268574048</v>
      </c>
      <c r="H373" s="91">
        <v>1.038142626682753E-2</v>
      </c>
      <c r="I373" s="92">
        <v>1.3050389080181282</v>
      </c>
      <c r="J373" s="91">
        <v>8.4008601697659526E-3</v>
      </c>
      <c r="K373" s="86">
        <v>8.5574633742008577E-2</v>
      </c>
    </row>
    <row r="374" spans="2:11" x14ac:dyDescent="0.3">
      <c r="B374" s="90">
        <v>2028</v>
      </c>
      <c r="C374" s="92">
        <v>58.19372920158844</v>
      </c>
      <c r="D374" s="93">
        <v>4.1455774979484279E-2</v>
      </c>
      <c r="E374" s="92">
        <v>45.54716751767144</v>
      </c>
      <c r="F374" s="91">
        <v>4.6551075896655268E-2</v>
      </c>
      <c r="G374" s="92">
        <v>4.3422472243958534</v>
      </c>
      <c r="H374" s="91">
        <v>1.4958399278597082E-2</v>
      </c>
      <c r="I374" s="92">
        <v>1.8123508075663635</v>
      </c>
      <c r="J374" s="91">
        <v>1.1667944212173797E-2</v>
      </c>
      <c r="K374" s="86">
        <v>0.11463319436691041</v>
      </c>
    </row>
    <row r="375" spans="2:11" x14ac:dyDescent="0.3">
      <c r="B375" s="90">
        <v>2029</v>
      </c>
      <c r="C375" s="92">
        <v>66.6078242550998</v>
      </c>
      <c r="D375" s="93">
        <v>4.7761862246471942E-2</v>
      </c>
      <c r="E375" s="92">
        <v>66.690603154335705</v>
      </c>
      <c r="F375" s="91">
        <v>6.8098309847830274E-2</v>
      </c>
      <c r="G375" s="92">
        <v>6.1156145264479473</v>
      </c>
      <c r="H375" s="91">
        <v>2.1065014267222678E-2</v>
      </c>
      <c r="I375" s="92">
        <v>2.5007957148616855</v>
      </c>
      <c r="J375" s="91">
        <v>1.6102083361687562E-2</v>
      </c>
      <c r="K375" s="86">
        <v>0.15302726972321246</v>
      </c>
    </row>
    <row r="376" spans="2:11" x14ac:dyDescent="0.3">
      <c r="B376" s="90">
        <v>2030</v>
      </c>
      <c r="C376" s="92">
        <v>76.214318550648954</v>
      </c>
      <c r="D376" s="93">
        <v>5.500740855901453E-2</v>
      </c>
      <c r="E376" s="92">
        <v>94.569611162170943</v>
      </c>
      <c r="F376" s="91">
        <v>9.6477550389128058E-2</v>
      </c>
      <c r="G376" s="92">
        <v>8.4538122442662402</v>
      </c>
      <c r="H376" s="91">
        <v>2.911557191918366E-2</v>
      </c>
      <c r="I376" s="92">
        <v>3.4219404499864412</v>
      </c>
      <c r="J376" s="91">
        <v>2.2035761914038565E-2</v>
      </c>
      <c r="K376" s="86">
        <v>0.2026362927813648</v>
      </c>
    </row>
    <row r="377" spans="2:11" x14ac:dyDescent="0.3">
      <c r="B377" s="90">
        <v>2031</v>
      </c>
      <c r="C377" s="92">
        <v>94.222047086570626</v>
      </c>
      <c r="D377" s="93">
        <v>6.7817316199410199E-2</v>
      </c>
      <c r="E377" s="92">
        <v>131.75928048551981</v>
      </c>
      <c r="F377" s="91">
        <v>0.13426876527078963</v>
      </c>
      <c r="G377" s="92">
        <v>11.868991166882777</v>
      </c>
      <c r="H377" s="91">
        <v>4.0872135101671411E-2</v>
      </c>
      <c r="I377" s="92">
        <v>4.8924653197232857</v>
      </c>
      <c r="J377" s="91">
        <v>3.1509826568984253E-2</v>
      </c>
      <c r="K377" s="86">
        <v>0.27446804314085549</v>
      </c>
    </row>
    <row r="378" spans="2:11" x14ac:dyDescent="0.3">
      <c r="B378" s="90">
        <v>2032</v>
      </c>
      <c r="C378" s="92">
        <v>120.39634555358623</v>
      </c>
      <c r="D378" s="93">
        <v>8.641746277910442E-2</v>
      </c>
      <c r="E378" s="92">
        <v>179.25376463297633</v>
      </c>
      <c r="F378" s="91">
        <v>0.1824654526874003</v>
      </c>
      <c r="G378" s="92">
        <v>16.693643941067162</v>
      </c>
      <c r="H378" s="91">
        <v>5.7478502917724036E-2</v>
      </c>
      <c r="I378" s="92">
        <v>7.0930813482529871</v>
      </c>
      <c r="J378" s="91">
        <v>4.5689438590159136E-2</v>
      </c>
      <c r="K378" s="86">
        <v>0.37205085697438789</v>
      </c>
    </row>
    <row r="379" spans="2:11" x14ac:dyDescent="0.3">
      <c r="B379" s="90">
        <v>2033</v>
      </c>
      <c r="C379" s="92">
        <v>154.5001352613981</v>
      </c>
      <c r="D379" s="93">
        <v>0.11058949868480472</v>
      </c>
      <c r="E379" s="92">
        <v>237.60997369143416</v>
      </c>
      <c r="F379" s="91">
        <v>0.24159897002056946</v>
      </c>
      <c r="G379" s="92">
        <v>23.335775679775246</v>
      </c>
      <c r="H379" s="91">
        <v>8.0337316016362278E-2</v>
      </c>
      <c r="I379" s="92">
        <v>10.240983169541527</v>
      </c>
      <c r="J379" s="91">
        <v>6.5975873439867105E-2</v>
      </c>
      <c r="K379" s="86">
        <v>0.49850165816160358</v>
      </c>
    </row>
    <row r="380" spans="2:11" x14ac:dyDescent="0.3">
      <c r="B380" s="90">
        <v>2034</v>
      </c>
      <c r="C380" s="92">
        <v>196.2636054176343</v>
      </c>
      <c r="D380" s="93">
        <v>0.14009359317792203</v>
      </c>
      <c r="E380" s="92">
        <v>306.91155188349023</v>
      </c>
      <c r="F380" s="91">
        <v>0.31171748292809254</v>
      </c>
      <c r="G380" s="92">
        <v>32.289062736742643</v>
      </c>
      <c r="H380" s="91">
        <v>0.11114534616838943</v>
      </c>
      <c r="I380" s="92">
        <v>14.590165738512711</v>
      </c>
      <c r="J380" s="91">
        <v>9.4008327751960302E-2</v>
      </c>
      <c r="K380" s="86">
        <v>0.65696475002636434</v>
      </c>
    </row>
    <row r="381" spans="2:11" x14ac:dyDescent="0.3">
      <c r="B381" s="90">
        <v>2035</v>
      </c>
      <c r="C381" s="92">
        <v>245.10821933913468</v>
      </c>
      <c r="D381" s="93">
        <v>0.17447230220132115</v>
      </c>
      <c r="E381" s="92">
        <v>386.80006413860281</v>
      </c>
      <c r="F381" s="91">
        <v>0.3924202766197607</v>
      </c>
      <c r="G381" s="92">
        <v>44.141588619181711</v>
      </c>
      <c r="H381" s="91">
        <v>0.15192336178840185</v>
      </c>
      <c r="I381" s="92">
        <v>20.428467954212973</v>
      </c>
      <c r="J381" s="91">
        <v>0.13164503875639796</v>
      </c>
      <c r="K381" s="86">
        <v>0.85046097936588161</v>
      </c>
    </row>
    <row r="382" spans="2:11" x14ac:dyDescent="0.3">
      <c r="B382" s="90">
        <v>2036</v>
      </c>
      <c r="C382" s="92">
        <v>300.24162281466948</v>
      </c>
      <c r="D382" s="93">
        <v>0.21312100266261327</v>
      </c>
      <c r="E382" s="92">
        <v>476.55168213811845</v>
      </c>
      <c r="F382" s="91">
        <v>0.48293796509076936</v>
      </c>
      <c r="G382" s="92">
        <v>59.581665029138577</v>
      </c>
      <c r="H382" s="91">
        <v>0.20503593802014594</v>
      </c>
      <c r="I382" s="92">
        <v>28.070351358056886</v>
      </c>
      <c r="J382" s="91">
        <v>0.18091689925853777</v>
      </c>
      <c r="K382" s="86">
        <v>1.0820118050320664</v>
      </c>
    </row>
    <row r="383" spans="2:11" x14ac:dyDescent="0.3">
      <c r="B383" s="90">
        <v>2037</v>
      </c>
      <c r="C383" s="92">
        <v>360.97762266027576</v>
      </c>
      <c r="D383" s="93">
        <v>0.25551651090969602</v>
      </c>
      <c r="E383" s="92">
        <v>575.17289292453631</v>
      </c>
      <c r="F383" s="91">
        <v>0.58223143689814094</v>
      </c>
      <c r="G383" s="92">
        <v>79.398849968699153</v>
      </c>
      <c r="H383" s="91">
        <v>0.2731947245316777</v>
      </c>
      <c r="I383" s="92">
        <v>37.844772108503378</v>
      </c>
      <c r="J383" s="91">
        <v>0.24394940337727358</v>
      </c>
      <c r="K383" s="86">
        <v>1.3548920757167882</v>
      </c>
    </row>
    <row r="384" spans="2:11" x14ac:dyDescent="0.3">
      <c r="B384" s="90">
        <v>2038</v>
      </c>
      <c r="C384" s="92">
        <v>426.87918069349877</v>
      </c>
      <c r="D384" s="93">
        <v>0.30131696239759004</v>
      </c>
      <c r="E384" s="92">
        <v>681.49422267146394</v>
      </c>
      <c r="F384" s="91">
        <v>0.68908814565605347</v>
      </c>
      <c r="G384" s="92">
        <v>104.47798252609583</v>
      </c>
      <c r="H384" s="91">
        <v>0.35943768559058165</v>
      </c>
      <c r="I384" s="92">
        <v>50.078178801599641</v>
      </c>
      <c r="J384" s="91">
        <v>0.32285310111618565</v>
      </c>
      <c r="K384" s="86">
        <v>1.6726958947604107</v>
      </c>
    </row>
    <row r="385" spans="2:11" x14ac:dyDescent="0.3">
      <c r="B385" s="90">
        <v>2039</v>
      </c>
      <c r="C385" s="92">
        <v>497.81287178436673</v>
      </c>
      <c r="D385" s="93">
        <v>0.35039766946081113</v>
      </c>
      <c r="E385" s="92">
        <v>794.25014994787432</v>
      </c>
      <c r="F385" s="91">
        <v>0.80220381684683251</v>
      </c>
      <c r="G385" s="92">
        <v>135.78399799584875</v>
      </c>
      <c r="H385" s="91">
        <v>0.46707664267168825</v>
      </c>
      <c r="I385" s="92">
        <v>65.073606949568486</v>
      </c>
      <c r="J385" s="91">
        <v>0.41958878978901831</v>
      </c>
      <c r="K385" s="86">
        <v>2.0392669187683503</v>
      </c>
    </row>
    <row r="386" spans="2:11" x14ac:dyDescent="0.3">
      <c r="B386" s="90">
        <v>2040</v>
      </c>
      <c r="C386" s="92">
        <v>572.91666433108992</v>
      </c>
      <c r="D386" s="93">
        <v>0.40212360376603373</v>
      </c>
      <c r="E386" s="92">
        <v>912.14132709610226</v>
      </c>
      <c r="F386" s="91">
        <v>0.92024576422421323</v>
      </c>
      <c r="G386" s="92">
        <v>174.33562096483502</v>
      </c>
      <c r="H386" s="91">
        <v>0.59960660692978518</v>
      </c>
      <c r="I386" s="92">
        <v>83.087848304155642</v>
      </c>
      <c r="J386" s="91">
        <v>0.53582017393049641</v>
      </c>
      <c r="K386" s="86">
        <v>2.4577961488505284</v>
      </c>
    </row>
    <row r="387" spans="2:11" x14ac:dyDescent="0.3">
      <c r="B387" s="90">
        <v>2041</v>
      </c>
      <c r="C387" s="92">
        <v>654.42798725254283</v>
      </c>
      <c r="D387" s="93">
        <v>0.45656010868569791</v>
      </c>
      <c r="E387" s="92">
        <v>1044.457550034437</v>
      </c>
      <c r="F387" s="91">
        <v>1.0529393396353663</v>
      </c>
      <c r="G387" s="92">
        <v>222.6597807284831</v>
      </c>
      <c r="H387" s="91">
        <v>0.76581179958205703</v>
      </c>
      <c r="I387" s="92">
        <v>106.01496050851215</v>
      </c>
      <c r="J387" s="91">
        <v>0.68367343406177228</v>
      </c>
      <c r="K387" s="86">
        <v>2.9589846819648935</v>
      </c>
    </row>
    <row r="388" spans="2:11" x14ac:dyDescent="0.3">
      <c r="B388" s="90">
        <v>2042</v>
      </c>
      <c r="C388" s="88">
        <v>741.07013372110009</v>
      </c>
      <c r="D388" s="89">
        <v>0.51386300092603132</v>
      </c>
      <c r="E388" s="88">
        <v>1190.6972965421053</v>
      </c>
      <c r="F388" s="87">
        <v>1.1994566059749652</v>
      </c>
      <c r="G388" s="88">
        <v>282.13314857079689</v>
      </c>
      <c r="H388" s="87">
        <v>0.9703633656777193</v>
      </c>
      <c r="I388" s="88">
        <v>134.19191584993254</v>
      </c>
      <c r="J388" s="87">
        <v>0.86538208845614273</v>
      </c>
      <c r="K388" s="86">
        <v>3.5490650610348586</v>
      </c>
    </row>
    <row r="389" spans="2:11" x14ac:dyDescent="0.3">
      <c r="B389" s="90">
        <v>2043</v>
      </c>
      <c r="C389" s="88">
        <v>832.83683858890106</v>
      </c>
      <c r="D389" s="89">
        <v>0.57396268507804704</v>
      </c>
      <c r="E389" s="88">
        <v>1350.3633607107861</v>
      </c>
      <c r="F389" s="87">
        <v>1.3592651541462542</v>
      </c>
      <c r="G389" s="88">
        <v>354.09700328624916</v>
      </c>
      <c r="H389" s="87">
        <v>1.2178744738993952</v>
      </c>
      <c r="I389" s="88">
        <v>167.82859246977952</v>
      </c>
      <c r="J389" s="87">
        <v>1.0822996075007278</v>
      </c>
      <c r="K389" s="86">
        <v>4.2334019206244244</v>
      </c>
    </row>
    <row r="390" spans="2:11" x14ac:dyDescent="0.3">
      <c r="B390" s="90">
        <v>2044</v>
      </c>
      <c r="C390" s="88">
        <v>929.98297425509531</v>
      </c>
      <c r="D390" s="89">
        <v>0.63696853163019951</v>
      </c>
      <c r="E390" s="88">
        <v>1522.9778097549836</v>
      </c>
      <c r="F390" s="87">
        <v>1.5318534805675426</v>
      </c>
      <c r="G390" s="88">
        <v>439.79256788951682</v>
      </c>
      <c r="H390" s="87">
        <v>1.5126141629905998</v>
      </c>
      <c r="I390" s="88">
        <v>206.99518675847938</v>
      </c>
      <c r="J390" s="87">
        <v>1.3348786764304346</v>
      </c>
      <c r="K390" s="86">
        <v>5.0163148516187768</v>
      </c>
    </row>
    <row r="391" spans="2:11" x14ac:dyDescent="0.3">
      <c r="B391" s="90">
        <v>2045</v>
      </c>
      <c r="C391" s="88">
        <v>1031.7033871535555</v>
      </c>
      <c r="D391" s="89">
        <v>0.7022640447616969</v>
      </c>
      <c r="E391" s="88">
        <v>1708.0901861574673</v>
      </c>
      <c r="F391" s="87">
        <v>1.7167391571965758</v>
      </c>
      <c r="G391" s="88">
        <v>540.29493064044004</v>
      </c>
      <c r="H391" s="87">
        <v>1.858280070990336</v>
      </c>
      <c r="I391" s="88">
        <v>251.62101023475074</v>
      </c>
      <c r="J391" s="87">
        <v>1.622663436595555</v>
      </c>
      <c r="K391" s="86">
        <v>5.8999467095441638</v>
      </c>
    </row>
    <row r="392" spans="2:11" x14ac:dyDescent="0.3">
      <c r="B392" s="90">
        <v>2046</v>
      </c>
      <c r="C392" s="88">
        <v>1136.808198811184</v>
      </c>
      <c r="D392" s="89">
        <v>0.76898614236752871</v>
      </c>
      <c r="E392" s="88">
        <v>1905.2812728262727</v>
      </c>
      <c r="F392" s="87">
        <v>1.9134725078771164</v>
      </c>
      <c r="G392" s="88">
        <v>656.45238378453348</v>
      </c>
      <c r="H392" s="87">
        <v>2.2577897980551458</v>
      </c>
      <c r="I392" s="88">
        <v>301.50362028678626</v>
      </c>
      <c r="J392" s="87">
        <v>1.9443483681435056</v>
      </c>
      <c r="K392" s="86">
        <v>6.8845968164432962</v>
      </c>
    </row>
    <row r="393" spans="2:11" x14ac:dyDescent="0.3">
      <c r="B393" s="90">
        <v>2047</v>
      </c>
      <c r="C393" s="88">
        <v>1244.9663214726472</v>
      </c>
      <c r="D393" s="89">
        <v>0.83686920797337849</v>
      </c>
      <c r="E393" s="88">
        <v>2114.1641071575004</v>
      </c>
      <c r="F393" s="87">
        <v>2.1216375066000182</v>
      </c>
      <c r="G393" s="88">
        <v>788.83793283739055</v>
      </c>
      <c r="H393" s="87">
        <v>2.7131141284175091</v>
      </c>
      <c r="I393" s="88">
        <v>356.32584448741204</v>
      </c>
      <c r="J393" s="87">
        <v>2.2978880770899313</v>
      </c>
      <c r="K393" s="86">
        <v>7.9695089200808367</v>
      </c>
    </row>
    <row r="394" spans="2:11" x14ac:dyDescent="0.3">
      <c r="B394" s="90">
        <v>2048</v>
      </c>
      <c r="C394" s="88">
        <v>1355.7712115926099</v>
      </c>
      <c r="D394" s="89">
        <v>0.90560283996873359</v>
      </c>
      <c r="E394" s="88">
        <v>2334.3834046374459</v>
      </c>
      <c r="F394" s="87">
        <v>2.3408510762467407</v>
      </c>
      <c r="G394" s="88">
        <v>937.71837066743751</v>
      </c>
      <c r="H394" s="87">
        <v>3.2251706643763969</v>
      </c>
      <c r="I394" s="88">
        <v>415.67761664170041</v>
      </c>
      <c r="J394" s="87">
        <v>2.6806381124787215</v>
      </c>
      <c r="K394" s="86">
        <v>9.1522626930705915</v>
      </c>
    </row>
    <row r="395" spans="2:11" x14ac:dyDescent="0.3">
      <c r="B395" s="90">
        <v>2049</v>
      </c>
      <c r="C395" s="88">
        <v>1469.0690008390945</v>
      </c>
      <c r="D395" s="89">
        <v>0.9750512388828374</v>
      </c>
      <c r="E395" s="88">
        <v>2565.6141549313043</v>
      </c>
      <c r="F395" s="87">
        <v>2.5707615608024765</v>
      </c>
      <c r="G395" s="88">
        <v>1103.0439284358367</v>
      </c>
      <c r="H395" s="87">
        <v>3.7937882319375302</v>
      </c>
      <c r="I395" s="88">
        <v>479.07961203635199</v>
      </c>
      <c r="J395" s="87">
        <v>3.0895073863049349</v>
      </c>
      <c r="K395" s="86">
        <v>10.429108417927779</v>
      </c>
    </row>
    <row r="396" spans="2:11" x14ac:dyDescent="0.3">
      <c r="B396" s="90">
        <v>2050</v>
      </c>
      <c r="C396" s="96">
        <v>1584.510343210414</v>
      </c>
      <c r="D396" s="97">
        <v>1.0449523018537969</v>
      </c>
      <c r="E396" s="96">
        <v>2807.5598697264704</v>
      </c>
      <c r="F396" s="95">
        <v>2.8110468553294559</v>
      </c>
      <c r="G396" s="96">
        <v>1284.4586607129741</v>
      </c>
      <c r="H396" s="95">
        <v>4.4177425991847779</v>
      </c>
      <c r="I396" s="96">
        <v>546.00622827466964</v>
      </c>
      <c r="J396" s="95">
        <v>3.521106373224439</v>
      </c>
      <c r="K396" s="94">
        <v>11.79484812959247</v>
      </c>
    </row>
    <row r="397" spans="2:11" x14ac:dyDescent="0.3">
      <c r="B397" s="90">
        <v>2051</v>
      </c>
      <c r="C397" s="92">
        <v>1692.4805352438325</v>
      </c>
      <c r="D397" s="93">
        <v>1.1089788309188626</v>
      </c>
      <c r="E397" s="92">
        <v>3084.2691681141255</v>
      </c>
      <c r="F397" s="91">
        <v>3.0857424981839232</v>
      </c>
      <c r="G397" s="92">
        <v>1478.0410192804379</v>
      </c>
      <c r="H397" s="91">
        <v>5.0835460680324607</v>
      </c>
      <c r="I397" s="92">
        <v>615.14497880240708</v>
      </c>
      <c r="J397" s="91">
        <v>3.9669710584849986</v>
      </c>
      <c r="K397" s="86">
        <v>13.245238455620244</v>
      </c>
    </row>
    <row r="398" spans="2:11" x14ac:dyDescent="0.3">
      <c r="B398" s="90">
        <v>2052</v>
      </c>
      <c r="C398" s="88">
        <v>1793.5630824823691</v>
      </c>
      <c r="D398" s="89">
        <v>1.167605739788391</v>
      </c>
      <c r="E398" s="88">
        <v>3395.1787729688176</v>
      </c>
      <c r="F398" s="87">
        <v>3.3942056635469298</v>
      </c>
      <c r="G398" s="88">
        <v>1683.0513876111143</v>
      </c>
      <c r="H398" s="87">
        <v>5.7886548155154403</v>
      </c>
      <c r="I398" s="88">
        <v>686.23270029833839</v>
      </c>
      <c r="J398" s="87">
        <v>4.4254043441423381</v>
      </c>
      <c r="K398" s="86">
        <v>14.7758705629931</v>
      </c>
    </row>
    <row r="399" spans="2:11" x14ac:dyDescent="0.3">
      <c r="B399" s="90">
        <v>2053</v>
      </c>
      <c r="C399" s="88">
        <v>1888.548397125877</v>
      </c>
      <c r="D399" s="89">
        <v>1.2214318621803244</v>
      </c>
      <c r="E399" s="88">
        <v>3739.8211801272441</v>
      </c>
      <c r="F399" s="87">
        <v>3.7358909199780705</v>
      </c>
      <c r="G399" s="88">
        <v>1898.6473297749758</v>
      </c>
      <c r="H399" s="87">
        <v>6.5301713835768727</v>
      </c>
      <c r="I399" s="88">
        <v>759.02968583235611</v>
      </c>
      <c r="J399" s="87">
        <v>4.894860398746923</v>
      </c>
      <c r="K399" s="86">
        <v>16.382354564482192</v>
      </c>
    </row>
    <row r="400" spans="2:11" x14ac:dyDescent="0.3">
      <c r="B400" s="90">
        <v>2054</v>
      </c>
      <c r="C400" s="88">
        <v>1978.3961117800873</v>
      </c>
      <c r="D400" s="89">
        <v>1.2711513504615679</v>
      </c>
      <c r="E400" s="88">
        <v>4117.8201715447713</v>
      </c>
      <c r="F400" s="87">
        <v>4.1103453857169931</v>
      </c>
      <c r="G400" s="88">
        <v>2123.9287623412365</v>
      </c>
      <c r="H400" s="87">
        <v>7.3050000424462125</v>
      </c>
      <c r="I400" s="88">
        <v>833.32279657722461</v>
      </c>
      <c r="J400" s="87">
        <v>5.3739647242727298</v>
      </c>
      <c r="K400" s="86">
        <v>18.060461502897503</v>
      </c>
    </row>
    <row r="401" spans="2:11" x14ac:dyDescent="0.3">
      <c r="B401" s="90">
        <v>2055</v>
      </c>
      <c r="C401" s="88">
        <v>2063.5072325863944</v>
      </c>
      <c r="D401" s="89">
        <v>1.3170855208104251</v>
      </c>
      <c r="E401" s="88">
        <v>4528.8862159586815</v>
      </c>
      <c r="F401" s="87">
        <v>4.5172037923577566</v>
      </c>
      <c r="G401" s="88">
        <v>2357.9787106553163</v>
      </c>
      <c r="H401" s="87">
        <v>8.1099869670002285</v>
      </c>
      <c r="I401" s="88">
        <v>908.92655040357863</v>
      </c>
      <c r="J401" s="87">
        <v>5.8615211762913511</v>
      </c>
      <c r="K401" s="86">
        <v>19.805797456459761</v>
      </c>
    </row>
    <row r="402" spans="2:11" x14ac:dyDescent="0.3">
      <c r="B402" s="90">
        <v>2056</v>
      </c>
      <c r="C402" s="88">
        <v>2143.5761423642716</v>
      </c>
      <c r="D402" s="89">
        <v>1.3591008634784467</v>
      </c>
      <c r="E402" s="88">
        <v>4972.811948152751</v>
      </c>
      <c r="F402" s="87">
        <v>4.9561836479535213</v>
      </c>
      <c r="G402" s="88">
        <v>2599.8975676587361</v>
      </c>
      <c r="H402" s="87">
        <v>8.9420380658941916</v>
      </c>
      <c r="I402" s="88">
        <v>985.68273317332398</v>
      </c>
      <c r="J402" s="87">
        <v>6.3565094572656324</v>
      </c>
      <c r="K402" s="86">
        <v>21.613832034591791</v>
      </c>
    </row>
    <row r="403" spans="2:11" x14ac:dyDescent="0.3">
      <c r="B403" s="90">
        <v>2057</v>
      </c>
      <c r="C403" s="88">
        <v>2218.7224640563818</v>
      </c>
      <c r="D403" s="89">
        <v>1.3973368665078763</v>
      </c>
      <c r="E403" s="88">
        <v>5449.4678426575911</v>
      </c>
      <c r="F403" s="87">
        <v>5.4270806144896078</v>
      </c>
      <c r="G403" s="88">
        <v>2848.8299259754031</v>
      </c>
      <c r="H403" s="87">
        <v>9.7982112673272681</v>
      </c>
      <c r="I403" s="88">
        <v>1063.4590073819932</v>
      </c>
      <c r="J403" s="87">
        <v>6.8580761439079536</v>
      </c>
      <c r="K403" s="86">
        <v>23.480704892232708</v>
      </c>
    </row>
    <row r="404" spans="2:11" x14ac:dyDescent="0.3">
      <c r="B404" s="90">
        <v>2058</v>
      </c>
      <c r="C404" s="88">
        <v>2289.2427941093138</v>
      </c>
      <c r="D404" s="89">
        <v>1.4320416949416319</v>
      </c>
      <c r="E404" s="88">
        <v>5958.798147058008</v>
      </c>
      <c r="F404" s="87">
        <v>5.9297641635383807</v>
      </c>
      <c r="G404" s="88">
        <v>3103.9839796082319</v>
      </c>
      <c r="H404" s="87">
        <v>10.675783248867521</v>
      </c>
      <c r="I404" s="88">
        <v>1142.1469020602703</v>
      </c>
      <c r="J404" s="87">
        <v>7.3655217243783557</v>
      </c>
      <c r="K404" s="86">
        <v>25.40311083172589</v>
      </c>
    </row>
    <row r="405" spans="2:11" x14ac:dyDescent="0.3">
      <c r="B405" s="90">
        <v>2059</v>
      </c>
      <c r="C405" s="88">
        <v>2356.0223146659891</v>
      </c>
      <c r="D405" s="89">
        <v>1.463824177664693</v>
      </c>
      <c r="E405" s="88">
        <v>6500.8171066256118</v>
      </c>
      <c r="F405" s="87">
        <v>6.4641735402464278</v>
      </c>
      <c r="G405" s="88">
        <v>3364.6441303807292</v>
      </c>
      <c r="H405" s="87">
        <v>11.572292795806462</v>
      </c>
      <c r="I405" s="88">
        <v>1221.6594768645164</v>
      </c>
      <c r="J405" s="87">
        <v>7.8782855343799447</v>
      </c>
      <c r="K405" s="86">
        <v>27.378576048097528</v>
      </c>
    </row>
    <row r="406" spans="2:11" ht="14.4" thickBot="1" x14ac:dyDescent="0.35">
      <c r="B406" s="85">
        <v>2060</v>
      </c>
      <c r="C406" s="83">
        <v>2419.3162930242934</v>
      </c>
      <c r="D406" s="84">
        <v>1.4928894256891891</v>
      </c>
      <c r="E406" s="83">
        <v>7075.6054904345092</v>
      </c>
      <c r="F406" s="82">
        <v>7.0303140441882963</v>
      </c>
      <c r="G406" s="83">
        <v>3630.1777984730134</v>
      </c>
      <c r="H406" s="82">
        <v>12.485564225186632</v>
      </c>
      <c r="I406" s="83">
        <v>1301.9288723951327</v>
      </c>
      <c r="J406" s="82">
        <v>8.3959299595558843</v>
      </c>
      <c r="K406" s="81">
        <v>29.404697654619998</v>
      </c>
    </row>
    <row r="409" spans="2:11" x14ac:dyDescent="0.3">
      <c r="E409" s="80"/>
      <c r="F409" s="80"/>
      <c r="G409" s="80"/>
    </row>
    <row r="410" spans="2:11" x14ac:dyDescent="0.3">
      <c r="E410" s="80"/>
      <c r="F410" s="80"/>
      <c r="G410" s="80"/>
    </row>
  </sheetData>
  <mergeCells count="4">
    <mergeCell ref="R296:S296"/>
    <mergeCell ref="P296:Q296"/>
    <mergeCell ref="N296:O296"/>
    <mergeCell ref="L296:M2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39B-7130-4F63-968B-168DBF292761}">
  <dimension ref="A2:AM143"/>
  <sheetViews>
    <sheetView zoomScale="85" zoomScaleNormal="85" workbookViewId="0">
      <selection activeCell="R32" sqref="R32"/>
    </sheetView>
  </sheetViews>
  <sheetFormatPr defaultRowHeight="14.4" x14ac:dyDescent="0.3"/>
  <cols>
    <col min="3" max="3" width="35.5546875" customWidth="1"/>
    <col min="4" max="5" width="15" customWidth="1"/>
    <col min="6" max="6" width="16.44140625" customWidth="1"/>
    <col min="7" max="7" width="11.33203125" customWidth="1"/>
    <col min="8" max="8" width="10.44140625" bestFit="1" customWidth="1"/>
    <col min="9" max="9" width="19.109375" bestFit="1" customWidth="1"/>
    <col min="10" max="10" width="10.6640625" bestFit="1" customWidth="1"/>
    <col min="11" max="11" width="16.33203125" customWidth="1"/>
    <col min="12" max="13" width="10.5546875" customWidth="1"/>
    <col min="14" max="14" width="13" customWidth="1"/>
    <col min="15" max="15" width="10.5546875" customWidth="1"/>
    <col min="16" max="16" width="12.44140625" bestFit="1" customWidth="1"/>
    <col min="17" max="17" width="14" bestFit="1" customWidth="1"/>
    <col min="18" max="18" width="15.44140625" customWidth="1"/>
    <col min="19" max="19" width="14.33203125" bestFit="1" customWidth="1"/>
    <col min="20" max="20" width="35.109375" bestFit="1" customWidth="1"/>
  </cols>
  <sheetData>
    <row r="2" spans="1:19" x14ac:dyDescent="0.3">
      <c r="J2" s="16"/>
      <c r="K2" s="16"/>
      <c r="L2" s="16"/>
      <c r="M2" s="16"/>
      <c r="N2" s="16"/>
      <c r="O2" s="16"/>
      <c r="P2" s="16"/>
      <c r="Q2" s="16"/>
      <c r="S2" s="2"/>
    </row>
    <row r="3" spans="1:19" x14ac:dyDescent="0.3">
      <c r="J3" s="16"/>
      <c r="K3" s="16"/>
      <c r="L3" s="16"/>
      <c r="M3" s="16"/>
      <c r="N3" s="16"/>
      <c r="O3" s="16"/>
      <c r="P3" s="16"/>
      <c r="Q3" s="16"/>
      <c r="S3" s="2"/>
    </row>
    <row r="4" spans="1:19" x14ac:dyDescent="0.3">
      <c r="C4" s="19" t="s">
        <v>104</v>
      </c>
    </row>
    <row r="5" spans="1:19" x14ac:dyDescent="0.3">
      <c r="C5" s="3" t="s">
        <v>105</v>
      </c>
      <c r="H5" s="8" t="s">
        <v>6</v>
      </c>
    </row>
    <row r="6" spans="1:19" x14ac:dyDescent="0.3">
      <c r="C6" s="3"/>
    </row>
    <row r="7" spans="1:19" x14ac:dyDescent="0.3">
      <c r="G7" t="s">
        <v>106</v>
      </c>
    </row>
    <row r="8" spans="1:19" x14ac:dyDescent="0.3">
      <c r="C8" s="4" t="s">
        <v>0</v>
      </c>
      <c r="D8" s="5" t="s">
        <v>2</v>
      </c>
      <c r="E8" s="5" t="s">
        <v>1</v>
      </c>
      <c r="F8" s="6" t="s">
        <v>3</v>
      </c>
      <c r="G8" s="6" t="s">
        <v>4</v>
      </c>
      <c r="H8" t="s">
        <v>75</v>
      </c>
      <c r="I8" s="20" t="s">
        <v>77</v>
      </c>
      <c r="J8" s="20" t="s">
        <v>78</v>
      </c>
      <c r="K8" s="4" t="s">
        <v>76</v>
      </c>
      <c r="M8" s="4" t="s">
        <v>0</v>
      </c>
    </row>
    <row r="9" spans="1:19" x14ac:dyDescent="0.3">
      <c r="A9" t="s">
        <v>48</v>
      </c>
      <c r="C9" t="str">
        <f>M9&amp;"_DK"</f>
        <v>UC_FCEVCAR_MaxProdShare_DK</v>
      </c>
      <c r="D9" s="7"/>
      <c r="E9" t="s">
        <v>5</v>
      </c>
      <c r="F9">
        <v>2025</v>
      </c>
      <c r="G9" t="s">
        <v>14</v>
      </c>
      <c r="H9" s="18" cm="1">
        <f t="array" ref="H9">IF(INDEX($E$84:$L$107,MATCH($A9&amp;$F9,$C$84:$C$107&amp;$D$84:$D$107,0),MATCH(H$5,$E$83:$L$83,0))=1,-99,-INDEX($E$84:$L$107,MATCH($A9&amp;$F9,$C$84:$C$107&amp;$D$84:$D$107,0),MATCH(H$5,$E$83:$L$83,0))/(1-INDEX($E$84:$L$107,MATCH($A9&amp;$F9,$C$84:$C$107&amp;$D$84:$D$107,0),MATCH(H$5,$E$83:$L$83,0))))</f>
        <v>-5.2633208604083805E-2</v>
      </c>
      <c r="I9">
        <v>0</v>
      </c>
      <c r="J9">
        <v>14</v>
      </c>
      <c r="K9" t="s">
        <v>25</v>
      </c>
      <c r="M9" t="s">
        <v>26</v>
      </c>
    </row>
    <row r="10" spans="1:19" x14ac:dyDescent="0.3">
      <c r="A10" t="s">
        <v>48</v>
      </c>
      <c r="E10" t="s">
        <v>74</v>
      </c>
      <c r="F10">
        <v>2025</v>
      </c>
      <c r="G10" t="s">
        <v>14</v>
      </c>
      <c r="H10" s="18">
        <v>1</v>
      </c>
    </row>
    <row r="11" spans="1:19" x14ac:dyDescent="0.3">
      <c r="A11" t="s">
        <v>48</v>
      </c>
      <c r="E11" t="s">
        <v>5</v>
      </c>
      <c r="F11">
        <v>2030</v>
      </c>
      <c r="G11" t="s">
        <v>14</v>
      </c>
      <c r="H11" s="18" cm="1">
        <f t="array" ref="H11">IF(INDEX($E$84:$L$107,MATCH($A11&amp;$F11,$C$84:$C$107&amp;$D$84:$D$107,0),MATCH(H$5,$E$83:$L$83,0))=1,-99,-INDEX($E$84:$L$107,MATCH($A11&amp;$F11,$C$84:$C$107&amp;$D$84:$D$107,0),MATCH(H$5,$E$83:$L$83,0))/(1-INDEX($E$84:$L$107,MATCH($A11&amp;$F11,$C$84:$C$107&amp;$D$84:$D$107,0),MATCH(H$5,$E$83:$L$83,0))))</f>
        <v>-0.111112344302174</v>
      </c>
    </row>
    <row r="12" spans="1:19" x14ac:dyDescent="0.3">
      <c r="A12" t="s">
        <v>48</v>
      </c>
      <c r="E12" t="s">
        <v>74</v>
      </c>
      <c r="F12">
        <v>2030</v>
      </c>
      <c r="G12" t="s">
        <v>14</v>
      </c>
      <c r="H12" s="18">
        <v>1</v>
      </c>
    </row>
    <row r="13" spans="1:19" x14ac:dyDescent="0.3">
      <c r="A13" t="s">
        <v>48</v>
      </c>
      <c r="E13" t="s">
        <v>5</v>
      </c>
      <c r="F13">
        <v>2035</v>
      </c>
      <c r="G13" t="s">
        <v>14</v>
      </c>
      <c r="H13" s="18" cm="1">
        <f t="array" ref="H13">IF(INDEX($E$84:$L$107,MATCH($A13&amp;$F13,$C$84:$C$107&amp;$D$84:$D$107,0),MATCH(H$5,$E$83:$L$83,0))=1,-99,-INDEX($E$84:$L$107,MATCH($A13&amp;$F13,$C$84:$C$107&amp;$D$84:$D$107,0),MATCH(H$5,$E$83:$L$83,0))/(1-INDEX($E$84:$L$107,MATCH($A13&amp;$F13,$C$84:$C$107&amp;$D$84:$D$107,0),MATCH(H$5,$E$83:$L$83,0))))</f>
        <v>-99</v>
      </c>
    </row>
    <row r="14" spans="1:19" x14ac:dyDescent="0.3">
      <c r="A14" t="s">
        <v>48</v>
      </c>
      <c r="E14" t="s">
        <v>74</v>
      </c>
      <c r="F14">
        <v>2035</v>
      </c>
      <c r="G14" t="s">
        <v>14</v>
      </c>
      <c r="H14" s="18">
        <v>1</v>
      </c>
    </row>
    <row r="15" spans="1:19" x14ac:dyDescent="0.3">
      <c r="A15" t="s">
        <v>49</v>
      </c>
      <c r="C15" t="str">
        <f>M15&amp;"_DK"</f>
        <v>UC_GSLCAR_MaxProdShare_DK</v>
      </c>
      <c r="E15" t="s">
        <v>5</v>
      </c>
      <c r="F15">
        <v>2020</v>
      </c>
      <c r="G15" t="s">
        <v>14</v>
      </c>
      <c r="H15" s="18" cm="1">
        <f t="array" ref="H15">IF(INDEX($E$84:$L$107,MATCH($A15&amp;$F15,$C$84:$C$107&amp;$D$84:$D$107,0),MATCH(H$5,$E$83:$L$83,0))=1,-99,-INDEX($E$84:$L$107,MATCH($A15&amp;$F15,$C$84:$C$107&amp;$D$84:$D$107,0),MATCH(H$5,$E$83:$L$83,0))/(1-INDEX($E$84:$L$107,MATCH($A15&amp;$F15,$C$84:$C$107&amp;$D$84:$D$107,0),MATCH(H$5,$E$83:$L$83,0))))</f>
        <v>-1.7826081839340202</v>
      </c>
      <c r="I15">
        <v>0</v>
      </c>
      <c r="J15">
        <v>11</v>
      </c>
      <c r="K15" t="s">
        <v>41</v>
      </c>
      <c r="M15" t="s">
        <v>39</v>
      </c>
    </row>
    <row r="16" spans="1:19" x14ac:dyDescent="0.3">
      <c r="A16" t="str">
        <f>A15</f>
        <v>Gasoline</v>
      </c>
      <c r="D16" t="s">
        <v>37</v>
      </c>
      <c r="E16" t="s">
        <v>5</v>
      </c>
      <c r="F16">
        <f>F15</f>
        <v>2020</v>
      </c>
      <c r="G16" t="s">
        <v>14</v>
      </c>
      <c r="H16" s="18">
        <v>1</v>
      </c>
    </row>
    <row r="17" spans="1:13" x14ac:dyDescent="0.3">
      <c r="A17" t="str">
        <f t="shared" ref="A17:A18" si="0">A16</f>
        <v>Gasoline</v>
      </c>
      <c r="E17" t="s">
        <v>5</v>
      </c>
      <c r="F17">
        <v>2025</v>
      </c>
      <c r="G17" t="s">
        <v>14</v>
      </c>
      <c r="H17" s="18" cm="1">
        <f t="array" ref="H17">IF(INDEX($E$84:$L$107,MATCH($A17&amp;$F17,$C$84:$C$107&amp;$D$84:$D$107,0),MATCH(H$5,$E$83:$L$83,0))=1,-99,-INDEX($E$84:$L$107,MATCH($A17&amp;$F17,$C$84:$C$107&amp;$D$84:$D$107,0),MATCH(H$5,$E$83:$L$83,0))/(1-INDEX($E$84:$L$107,MATCH($A17&amp;$F17,$C$84:$C$107&amp;$D$84:$D$107,0),MATCH(H$5,$E$83:$L$83,0))))</f>
        <v>-0.51656057284999912</v>
      </c>
    </row>
    <row r="18" spans="1:13" x14ac:dyDescent="0.3">
      <c r="A18" t="str">
        <f t="shared" si="0"/>
        <v>Gasoline</v>
      </c>
      <c r="D18" t="s">
        <v>37</v>
      </c>
      <c r="E18" t="s">
        <v>5</v>
      </c>
      <c r="F18">
        <v>2025</v>
      </c>
      <c r="G18" t="s">
        <v>14</v>
      </c>
      <c r="H18" s="18">
        <v>1</v>
      </c>
    </row>
    <row r="19" spans="1:13" x14ac:dyDescent="0.3">
      <c r="A19" t="str">
        <f>A16</f>
        <v>Gasoline</v>
      </c>
      <c r="E19" t="s">
        <v>5</v>
      </c>
      <c r="F19">
        <v>2030</v>
      </c>
      <c r="G19" t="s">
        <v>14</v>
      </c>
      <c r="H19" s="18" cm="1">
        <f t="array" ref="H19">IF(INDEX($E$84:$L$107,MATCH($A19&amp;$F19,$C$84:$C$107&amp;$D$84:$D$107,0),MATCH(H$5,$E$83:$L$83,0))=1,-99,-INDEX($E$84:$L$107,MATCH($A19&amp;$F19,$C$84:$C$107&amp;$D$84:$D$107,0),MATCH(H$5,$E$83:$L$83,0))/(1-INDEX($E$84:$L$107,MATCH($A19&amp;$F19,$C$84:$C$107&amp;$D$84:$D$107,0),MATCH(H$5,$E$83:$L$83,0))))</f>
        <v>-0.11111111111111112</v>
      </c>
    </row>
    <row r="20" spans="1:13" x14ac:dyDescent="0.3">
      <c r="A20" t="str">
        <f t="shared" ref="A20:A22" si="1">A19</f>
        <v>Gasoline</v>
      </c>
      <c r="D20" t="s">
        <v>37</v>
      </c>
      <c r="E20" t="s">
        <v>5</v>
      </c>
      <c r="F20">
        <f>F19</f>
        <v>2030</v>
      </c>
      <c r="G20" t="s">
        <v>14</v>
      </c>
      <c r="H20" s="18">
        <v>1</v>
      </c>
    </row>
    <row r="21" spans="1:13" x14ac:dyDescent="0.3">
      <c r="A21" t="str">
        <f t="shared" si="1"/>
        <v>Gasoline</v>
      </c>
      <c r="E21" t="s">
        <v>5</v>
      </c>
      <c r="F21">
        <v>2035</v>
      </c>
      <c r="G21" t="s">
        <v>14</v>
      </c>
      <c r="H21" s="18" cm="1">
        <f t="array" ref="H21">IF(INDEX($E$84:$L$107,MATCH($A21&amp;$F21,$C$84:$C$107&amp;$D$84:$D$107,0),MATCH(H$5,$E$83:$L$83,0))=1,-99,-INDEX($E$84:$L$107,MATCH($A21&amp;$F21,$C$84:$C$107&amp;$D$84:$D$107,0),MATCH(H$5,$E$83:$L$83,0))/(1-INDEX($E$84:$L$107,MATCH($A21&amp;$F21,$C$84:$C$107&amp;$D$84:$D$107,0),MATCH(H$5,$E$83:$L$83,0))))</f>
        <v>-99</v>
      </c>
    </row>
    <row r="22" spans="1:13" x14ac:dyDescent="0.3">
      <c r="A22" t="str">
        <f t="shared" si="1"/>
        <v>Gasoline</v>
      </c>
      <c r="D22" t="s">
        <v>37</v>
      </c>
      <c r="E22" t="s">
        <v>5</v>
      </c>
      <c r="F22">
        <f>F21</f>
        <v>2035</v>
      </c>
      <c r="G22" t="s">
        <v>14</v>
      </c>
      <c r="H22" s="18">
        <v>1</v>
      </c>
    </row>
    <row r="23" spans="1:13" x14ac:dyDescent="0.3">
      <c r="A23" t="s">
        <v>50</v>
      </c>
      <c r="C23" t="str">
        <f>M23&amp;"_DK"</f>
        <v>UC_DSLCAR_MaxProdShare_DK</v>
      </c>
      <c r="E23" t="s">
        <v>5</v>
      </c>
      <c r="F23">
        <v>2020</v>
      </c>
      <c r="G23" t="s">
        <v>14</v>
      </c>
      <c r="H23" s="18" cm="1">
        <f t="array" ref="H23">IF(INDEX($E$84:$L$107,MATCH($A23&amp;$F23,$C$84:$C$107&amp;$D$84:$D$107,0),MATCH(H$5,$E$83:$L$83,0))=1,-99,-INDEX($E$84:$L$107,MATCH($A23&amp;$F23,$C$84:$C$107&amp;$D$84:$D$107,0),MATCH(H$5,$E$83:$L$83,0))/(1-INDEX($E$84:$L$107,MATCH($A23&amp;$F23,$C$84:$C$107&amp;$D$84:$D$107,0),MATCH(H$5,$E$83:$L$83,0))))</f>
        <v>-0.50342590973403467</v>
      </c>
      <c r="I23">
        <v>0</v>
      </c>
      <c r="J23">
        <v>11</v>
      </c>
      <c r="K23" t="s">
        <v>42</v>
      </c>
      <c r="M23" t="s">
        <v>38</v>
      </c>
    </row>
    <row r="24" spans="1:13" x14ac:dyDescent="0.3">
      <c r="A24" t="str">
        <f>A23</f>
        <v>Diesel</v>
      </c>
      <c r="D24" t="s">
        <v>40</v>
      </c>
      <c r="E24" t="s">
        <v>5</v>
      </c>
      <c r="F24">
        <f>F23</f>
        <v>2020</v>
      </c>
      <c r="G24" t="s">
        <v>14</v>
      </c>
      <c r="H24" s="18">
        <v>1</v>
      </c>
    </row>
    <row r="25" spans="1:13" x14ac:dyDescent="0.3">
      <c r="A25" t="str">
        <f t="shared" ref="A25:A26" si="2">A24</f>
        <v>Diesel</v>
      </c>
      <c r="E25" t="s">
        <v>5</v>
      </c>
      <c r="F25">
        <v>2025</v>
      </c>
      <c r="G25" t="s">
        <v>14</v>
      </c>
      <c r="H25" s="18" cm="1">
        <f t="array" ref="H25">IF(INDEX($E$84:$L$107,MATCH($A25&amp;$F25,$C$84:$C$107&amp;$D$84:$D$107,0),MATCH(H$5,$E$83:$L$83,0))=1,-99,-INDEX($E$84:$L$107,MATCH($A25&amp;$F25,$C$84:$C$107&amp;$D$84:$D$107,0),MATCH(H$5,$E$83:$L$83,0))/(1-INDEX($E$84:$L$107,MATCH($A25&amp;$F25,$C$84:$C$107&amp;$D$84:$D$107,0),MATCH(H$5,$E$83:$L$83,0))))</f>
        <v>-5.4314763295221259E-2</v>
      </c>
    </row>
    <row r="26" spans="1:13" x14ac:dyDescent="0.3">
      <c r="A26" t="str">
        <f t="shared" si="2"/>
        <v>Diesel</v>
      </c>
      <c r="D26" t="s">
        <v>40</v>
      </c>
      <c r="E26" t="s">
        <v>5</v>
      </c>
      <c r="F26">
        <v>2025</v>
      </c>
      <c r="G26" t="s">
        <v>14</v>
      </c>
      <c r="H26" s="18">
        <v>1</v>
      </c>
    </row>
    <row r="27" spans="1:13" x14ac:dyDescent="0.3">
      <c r="A27" t="str">
        <f>A24</f>
        <v>Diesel</v>
      </c>
      <c r="E27" t="s">
        <v>5</v>
      </c>
      <c r="F27">
        <v>2030</v>
      </c>
      <c r="G27" t="s">
        <v>14</v>
      </c>
      <c r="H27" s="18" cm="1">
        <f t="array" ref="H27">IF(INDEX($E$84:$L$107,MATCH($A27&amp;$F27,$C$84:$C$107&amp;$D$84:$D$107,0),MATCH(H$5,$E$83:$L$83,0))=1,-99,-INDEX($E$84:$L$107,MATCH($A27&amp;$F27,$C$84:$C$107&amp;$D$84:$D$107,0),MATCH(H$5,$E$83:$L$83,0))/(1-INDEX($E$84:$L$107,MATCH($A27&amp;$F27,$C$84:$C$107&amp;$D$84:$D$107,0),MATCH(H$5,$E$83:$L$83,0))))</f>
        <v>-0.11111111111111112</v>
      </c>
    </row>
    <row r="28" spans="1:13" x14ac:dyDescent="0.3">
      <c r="A28" t="str">
        <f t="shared" ref="A28:A30" si="3">A27</f>
        <v>Diesel</v>
      </c>
      <c r="D28" t="s">
        <v>40</v>
      </c>
      <c r="E28" t="s">
        <v>5</v>
      </c>
      <c r="F28">
        <f>F27</f>
        <v>2030</v>
      </c>
      <c r="G28" t="s">
        <v>14</v>
      </c>
      <c r="H28" s="18">
        <v>1</v>
      </c>
    </row>
    <row r="29" spans="1:13" x14ac:dyDescent="0.3">
      <c r="A29" t="str">
        <f t="shared" si="3"/>
        <v>Diesel</v>
      </c>
      <c r="E29" t="s">
        <v>5</v>
      </c>
      <c r="F29">
        <v>2035</v>
      </c>
      <c r="G29" t="s">
        <v>14</v>
      </c>
      <c r="H29" s="18" cm="1">
        <f t="array" ref="H29">IF(INDEX($E$84:$L$107,MATCH($A29&amp;$F29,$C$84:$C$107&amp;$D$84:$D$107,0),MATCH(H$5,$E$83:$L$83,0))=1,-99,-INDEX($E$84:$L$107,MATCH($A29&amp;$F29,$C$84:$C$107&amp;$D$84:$D$107,0),MATCH(H$5,$E$83:$L$83,0))/(1-INDEX($E$84:$L$107,MATCH($A29&amp;$F29,$C$84:$C$107&amp;$D$84:$D$107,0),MATCH(H$5,$E$83:$L$83,0))))</f>
        <v>-99</v>
      </c>
    </row>
    <row r="30" spans="1:13" x14ac:dyDescent="0.3">
      <c r="A30" t="str">
        <f t="shared" si="3"/>
        <v>Diesel</v>
      </c>
      <c r="D30" t="s">
        <v>40</v>
      </c>
      <c r="E30" t="s">
        <v>5</v>
      </c>
      <c r="F30">
        <f>F29</f>
        <v>2035</v>
      </c>
      <c r="G30" t="s">
        <v>14</v>
      </c>
      <c r="H30" s="18">
        <v>1</v>
      </c>
    </row>
    <row r="31" spans="1:13" x14ac:dyDescent="0.3">
      <c r="A31" t="s">
        <v>52</v>
      </c>
      <c r="C31" t="str">
        <f>M31&amp;"_DK"</f>
        <v>UC_NGACAR_MaxProdShare_DK</v>
      </c>
      <c r="E31" t="s">
        <v>5</v>
      </c>
      <c r="F31">
        <v>2020</v>
      </c>
      <c r="G31" t="s">
        <v>14</v>
      </c>
      <c r="H31" s="18" cm="1">
        <f t="array" ref="H31">IF(INDEX($E$84:$L$107,MATCH($A31&amp;$F31,$C$84:$C$107&amp;$D$84:$D$107,0),MATCH(H$5,$E$83:$L$83,0))=1,-99,-INDEX($E$84:$L$107,MATCH($A31&amp;$F31,$C$84:$C$107&amp;$D$84:$D$107,0),MATCH(H$5,$E$83:$L$83,0))/(1-INDEX($E$84:$L$107,MATCH($A31&amp;$F31,$C$84:$C$107&amp;$D$84:$D$107,0),MATCH(H$5,$E$83:$L$83,0))))</f>
        <v>0</v>
      </c>
      <c r="I31">
        <v>0</v>
      </c>
      <c r="J31">
        <v>14</v>
      </c>
      <c r="K31" t="s">
        <v>43</v>
      </c>
      <c r="M31" t="s">
        <v>32</v>
      </c>
    </row>
    <row r="32" spans="1:13" x14ac:dyDescent="0.3">
      <c r="A32" t="str">
        <f>A31</f>
        <v>Gas</v>
      </c>
      <c r="D32" t="s">
        <v>24</v>
      </c>
      <c r="E32" t="s">
        <v>5</v>
      </c>
      <c r="F32">
        <f>F31</f>
        <v>2020</v>
      </c>
      <c r="G32" t="s">
        <v>14</v>
      </c>
      <c r="H32" s="18">
        <v>1</v>
      </c>
    </row>
    <row r="33" spans="1:13" x14ac:dyDescent="0.3">
      <c r="A33" t="str">
        <f t="shared" ref="A33:A34" si="4">A32</f>
        <v>Gas</v>
      </c>
      <c r="E33" t="s">
        <v>5</v>
      </c>
      <c r="F33">
        <v>2025</v>
      </c>
      <c r="G33" t="s">
        <v>14</v>
      </c>
      <c r="H33" s="18" cm="1">
        <f t="array" ref="H33">IF(INDEX($E$84:$L$107,MATCH($A33&amp;$F33,$C$84:$C$107&amp;$D$84:$D$107,0),MATCH(H$5,$E$83:$L$83,0))=1,-99,-INDEX($E$84:$L$107,MATCH($A33&amp;$F33,$C$84:$C$107&amp;$D$84:$D$107,0),MATCH(H$5,$E$83:$L$83,0))/(1-INDEX($E$84:$L$107,MATCH($A33&amp;$F33,$C$84:$C$107&amp;$D$84:$D$107,0),MATCH(H$5,$E$83:$L$83,0))))</f>
        <v>-5.2633208604083805E-2</v>
      </c>
    </row>
    <row r="34" spans="1:13" x14ac:dyDescent="0.3">
      <c r="A34" t="str">
        <f t="shared" si="4"/>
        <v>Gas</v>
      </c>
      <c r="D34" t="s">
        <v>24</v>
      </c>
      <c r="E34" t="s">
        <v>5</v>
      </c>
      <c r="F34">
        <f>F33</f>
        <v>2025</v>
      </c>
      <c r="G34" t="s">
        <v>14</v>
      </c>
      <c r="H34" s="18">
        <v>1</v>
      </c>
    </row>
    <row r="35" spans="1:13" x14ac:dyDescent="0.3">
      <c r="A35" t="str">
        <f>A32</f>
        <v>Gas</v>
      </c>
      <c r="E35" t="s">
        <v>5</v>
      </c>
      <c r="F35">
        <v>2030</v>
      </c>
      <c r="G35" t="s">
        <v>14</v>
      </c>
      <c r="H35" s="18" cm="1">
        <f t="array" ref="H35">IF(INDEX($E$84:$L$107,MATCH($A35&amp;$F35,$C$84:$C$107&amp;$D$84:$D$107,0),MATCH(H$5,$E$83:$L$83,0))=1,-99,-INDEX($E$84:$L$107,MATCH($A35&amp;$F35,$C$84:$C$107&amp;$D$84:$D$107,0),MATCH(H$5,$E$83:$L$83,0))/(1-INDEX($E$84:$L$107,MATCH($A35&amp;$F35,$C$84:$C$107&amp;$D$84:$D$107,0),MATCH(H$5,$E$83:$L$83,0))))</f>
        <v>-0.111112344302174</v>
      </c>
    </row>
    <row r="36" spans="1:13" x14ac:dyDescent="0.3">
      <c r="A36" t="str">
        <f t="shared" ref="A36:A38" si="5">A35</f>
        <v>Gas</v>
      </c>
      <c r="D36" t="s">
        <v>24</v>
      </c>
      <c r="E36" t="s">
        <v>5</v>
      </c>
      <c r="F36">
        <f>F35</f>
        <v>2030</v>
      </c>
      <c r="G36" t="s">
        <v>14</v>
      </c>
      <c r="H36" s="18">
        <v>1</v>
      </c>
    </row>
    <row r="37" spans="1:13" x14ac:dyDescent="0.3">
      <c r="A37" t="str">
        <f t="shared" si="5"/>
        <v>Gas</v>
      </c>
      <c r="E37" t="s">
        <v>5</v>
      </c>
      <c r="F37">
        <v>2035</v>
      </c>
      <c r="G37" t="s">
        <v>14</v>
      </c>
      <c r="H37" s="18" cm="1">
        <f t="array" ref="H37">IF(INDEX($E$84:$L$107,MATCH($A37&amp;$F37,$C$84:$C$107&amp;$D$84:$D$107,0),MATCH(H$5,$E$83:$L$83,0))=1,-99,-INDEX($E$84:$L$107,MATCH($A37&amp;$F37,$C$84:$C$107&amp;$D$84:$D$107,0),MATCH(H$5,$E$83:$L$83,0))/(1-INDEX($E$84:$L$107,MATCH($A37&amp;$F37,$C$84:$C$107&amp;$D$84:$D$107,0),MATCH(H$5,$E$83:$L$83,0))))</f>
        <v>-99</v>
      </c>
    </row>
    <row r="38" spans="1:13" x14ac:dyDescent="0.3">
      <c r="A38" t="str">
        <f t="shared" si="5"/>
        <v>Gas</v>
      </c>
      <c r="D38" t="s">
        <v>24</v>
      </c>
      <c r="E38" t="s">
        <v>5</v>
      </c>
      <c r="F38">
        <f>F37</f>
        <v>2035</v>
      </c>
      <c r="G38" t="s">
        <v>14</v>
      </c>
      <c r="H38" s="18">
        <v>1</v>
      </c>
    </row>
    <row r="39" spans="1:13" x14ac:dyDescent="0.3">
      <c r="A39" t="s">
        <v>47</v>
      </c>
      <c r="C39" t="str">
        <f>M39&amp;"_DK"</f>
        <v>UC_HEVCAR_MaxProdShare_DK</v>
      </c>
      <c r="E39" t="s">
        <v>5</v>
      </c>
      <c r="F39">
        <v>2020</v>
      </c>
      <c r="G39" t="s">
        <v>14</v>
      </c>
      <c r="H39" s="18" cm="1">
        <f t="array" ref="H39">IF(INDEX($E$84:$L$107,MATCH($A39&amp;$F39,$C$84:$C$107&amp;$D$84:$D$107,0),MATCH(H$5,$E$83:$L$83,0))=1,-99,-INDEX($E$84:$L$107,MATCH($A39&amp;$F39,$C$84:$C$107&amp;$D$84:$D$107,0),MATCH(H$5,$E$83:$L$83,0))/(1-INDEX($E$84:$L$107,MATCH($A39&amp;$F39,$C$84:$C$107&amp;$D$84:$D$107,0),MATCH(H$5,$E$83:$L$83,0))))</f>
        <v>-4.1666666666666671E-2</v>
      </c>
      <c r="I39">
        <v>0</v>
      </c>
      <c r="J39">
        <v>14</v>
      </c>
      <c r="K39" t="s">
        <v>44</v>
      </c>
      <c r="M39" t="s">
        <v>34</v>
      </c>
    </row>
    <row r="40" spans="1:13" x14ac:dyDescent="0.3">
      <c r="A40" t="str">
        <f>A39</f>
        <v>PHEV</v>
      </c>
      <c r="E40" t="s">
        <v>33</v>
      </c>
      <c r="F40">
        <f>F39</f>
        <v>2020</v>
      </c>
      <c r="G40" t="s">
        <v>14</v>
      </c>
      <c r="H40" s="18">
        <v>1</v>
      </c>
    </row>
    <row r="41" spans="1:13" x14ac:dyDescent="0.3">
      <c r="A41" t="str">
        <f t="shared" ref="A41:A42" si="6">A40</f>
        <v>PHEV</v>
      </c>
      <c r="E41" t="s">
        <v>5</v>
      </c>
      <c r="F41">
        <v>2025</v>
      </c>
      <c r="G41" t="s">
        <v>14</v>
      </c>
      <c r="H41" s="18" cm="1">
        <f t="array" ref="H41">IF(INDEX($E$84:$L$107,MATCH($A41&amp;$F41,$C$84:$C$107&amp;$D$84:$D$107,0),MATCH(H$5,$E$83:$L$83,0))=1,-99,-INDEX($E$84:$L$107,MATCH($A41&amp;$F41,$C$84:$C$107&amp;$D$84:$D$107,0),MATCH(H$5,$E$83:$L$83,0))/(1-INDEX($E$84:$L$107,MATCH($A41&amp;$F41,$C$84:$C$107&amp;$D$84:$D$107,0),MATCH(H$5,$E$83:$L$83,0))))</f>
        <v>-1.5978321576944676</v>
      </c>
    </row>
    <row r="42" spans="1:13" x14ac:dyDescent="0.3">
      <c r="A42" t="str">
        <f t="shared" si="6"/>
        <v>PHEV</v>
      </c>
      <c r="E42" t="s">
        <v>33</v>
      </c>
      <c r="F42">
        <f>F41</f>
        <v>2025</v>
      </c>
      <c r="G42" t="s">
        <v>14</v>
      </c>
      <c r="H42" s="18">
        <v>1</v>
      </c>
    </row>
    <row r="43" spans="1:13" x14ac:dyDescent="0.3">
      <c r="A43" t="str">
        <f>A40</f>
        <v>PHEV</v>
      </c>
      <c r="E43" t="s">
        <v>5</v>
      </c>
      <c r="F43">
        <v>2030</v>
      </c>
      <c r="G43" t="s">
        <v>14</v>
      </c>
      <c r="H43" s="18" cm="1">
        <f t="array" ref="H43">IF(INDEX($E$84:$L$107,MATCH($A43&amp;$F43,$C$84:$C$107&amp;$D$84:$D$107,0),MATCH(H$5,$E$83:$L$83,0))=1,-99,-INDEX($E$84:$L$107,MATCH($A43&amp;$F43,$C$84:$C$107&amp;$D$84:$D$107,0),MATCH(H$5,$E$83:$L$83,0))/(1-INDEX($E$84:$L$107,MATCH($A43&amp;$F43,$C$84:$C$107&amp;$D$84:$D$107,0),MATCH(H$5,$E$83:$L$83,0))))</f>
        <v>-2.7751866718356104</v>
      </c>
    </row>
    <row r="44" spans="1:13" x14ac:dyDescent="0.3">
      <c r="A44" t="str">
        <f t="shared" ref="A44:A46" si="7">A43</f>
        <v>PHEV</v>
      </c>
      <c r="E44" t="s">
        <v>33</v>
      </c>
      <c r="F44">
        <f>F43</f>
        <v>2030</v>
      </c>
      <c r="G44" t="s">
        <v>14</v>
      </c>
      <c r="H44" s="18">
        <v>1</v>
      </c>
    </row>
    <row r="45" spans="1:13" x14ac:dyDescent="0.3">
      <c r="A45" t="str">
        <f t="shared" si="7"/>
        <v>PHEV</v>
      </c>
      <c r="E45" t="s">
        <v>5</v>
      </c>
      <c r="F45">
        <v>2035</v>
      </c>
      <c r="G45" t="s">
        <v>14</v>
      </c>
      <c r="H45" s="18" cm="1">
        <f t="array" ref="H45">IF(INDEX($E$84:$L$107,MATCH($A45&amp;$F45,$C$84:$C$107&amp;$D$84:$D$107,0),MATCH(H$5,$E$83:$L$83,0))=1,-99,-INDEX($E$84:$L$107,MATCH($A45&amp;$F45,$C$84:$C$107&amp;$D$84:$D$107,0),MATCH(H$5,$E$83:$L$83,0))/(1-INDEX($E$84:$L$107,MATCH($A45&amp;$F45,$C$84:$C$107&amp;$D$84:$D$107,0),MATCH(H$5,$E$83:$L$83,0))))</f>
        <v>-99</v>
      </c>
    </row>
    <row r="46" spans="1:13" x14ac:dyDescent="0.3">
      <c r="A46" t="str">
        <f t="shared" si="7"/>
        <v>PHEV</v>
      </c>
      <c r="E46" t="s">
        <v>33</v>
      </c>
      <c r="F46">
        <f>F45</f>
        <v>2035</v>
      </c>
      <c r="G46" t="s">
        <v>14</v>
      </c>
      <c r="H46" s="18">
        <v>1</v>
      </c>
    </row>
    <row r="47" spans="1:13" x14ac:dyDescent="0.3">
      <c r="A47" t="s">
        <v>46</v>
      </c>
      <c r="C47" t="str">
        <f>M47&amp;"_DK"</f>
        <v>UC_BEVCAR_MaxProdShare_DK</v>
      </c>
      <c r="E47" t="s">
        <v>5</v>
      </c>
      <c r="F47">
        <v>2020</v>
      </c>
      <c r="G47" t="s">
        <v>14</v>
      </c>
      <c r="H47" s="18" cm="1">
        <f t="array" ref="H47">IF(INDEX($E$84:$L$107,MATCH($A47&amp;$F47,$C$84:$C$107&amp;$D$84:$D$107,0),MATCH(H$5,$E$83:$L$83,0))=1,-99,-INDEX($E$84:$L$107,MATCH($A47&amp;$F47,$C$84:$C$107&amp;$D$84:$D$107,0),MATCH(H$5,$E$83:$L$83,0))/(1-INDEX($E$84:$L$107,MATCH($A47&amp;$F47,$C$84:$C$107&amp;$D$84:$D$107,0),MATCH(H$5,$E$83:$L$83,0))))</f>
        <v>-3.0927835051546393E-2</v>
      </c>
      <c r="I47">
        <v>0</v>
      </c>
      <c r="J47">
        <v>14</v>
      </c>
      <c r="K47" t="s">
        <v>45</v>
      </c>
      <c r="M47" t="s">
        <v>36</v>
      </c>
    </row>
    <row r="48" spans="1:13" x14ac:dyDescent="0.3">
      <c r="A48" t="str">
        <f>A47</f>
        <v>BEV</v>
      </c>
      <c r="E48" t="s">
        <v>35</v>
      </c>
      <c r="F48">
        <f>F47</f>
        <v>2020</v>
      </c>
      <c r="G48" t="s">
        <v>14</v>
      </c>
      <c r="H48" s="18">
        <v>1</v>
      </c>
    </row>
    <row r="49" spans="1:13" x14ac:dyDescent="0.3">
      <c r="A49" t="str">
        <f t="shared" ref="A49:A50" si="8">A48</f>
        <v>BEV</v>
      </c>
      <c r="E49" t="s">
        <v>5</v>
      </c>
      <c r="F49">
        <v>2025</v>
      </c>
      <c r="G49" t="s">
        <v>14</v>
      </c>
      <c r="H49" s="18" cm="1">
        <f t="array" ref="H49">IF(INDEX($E$84:$L$107,MATCH($A49&amp;$F49,$C$84:$C$107&amp;$D$84:$D$107,0),MATCH(H$5,$E$83:$L$83,0))=1,-99,-INDEX($E$84:$L$107,MATCH($A49&amp;$F49,$C$84:$C$107&amp;$D$84:$D$107,0),MATCH(H$5,$E$83:$L$83,0))/(1-INDEX($E$84:$L$107,MATCH($A49&amp;$F49,$C$84:$C$107&amp;$D$84:$D$107,0),MATCH(H$5,$E$83:$L$83,0))))</f>
        <v>-0.23885802715310928</v>
      </c>
    </row>
    <row r="50" spans="1:13" x14ac:dyDescent="0.3">
      <c r="A50" t="str">
        <f t="shared" si="8"/>
        <v>BEV</v>
      </c>
      <c r="E50" t="s">
        <v>35</v>
      </c>
      <c r="F50">
        <f>F49</f>
        <v>2025</v>
      </c>
      <c r="G50" t="s">
        <v>14</v>
      </c>
      <c r="H50" s="18">
        <v>1</v>
      </c>
    </row>
    <row r="51" spans="1:13" x14ac:dyDescent="0.3">
      <c r="A51" t="str">
        <f>A48</f>
        <v>BEV</v>
      </c>
      <c r="E51" t="s">
        <v>5</v>
      </c>
      <c r="F51">
        <v>2030</v>
      </c>
      <c r="G51" t="s">
        <v>14</v>
      </c>
      <c r="H51" s="18" cm="1">
        <f t="array" ref="H51">IF(INDEX($E$84:$L$107,MATCH($A51&amp;$F51,$C$84:$C$107&amp;$D$84:$D$107,0),MATCH(H$5,$E$83:$L$83,0))=1,-99,-INDEX($E$84:$L$107,MATCH($A51&amp;$F51,$C$84:$C$107&amp;$D$84:$D$107,0),MATCH(H$5,$E$83:$L$83,0))/(1-INDEX($E$84:$L$107,MATCH($A51&amp;$F51,$C$84:$C$107&amp;$D$84:$D$107,0),MATCH(H$5,$E$83:$L$83,0))))</f>
        <v>-0.86876264777252432</v>
      </c>
    </row>
    <row r="52" spans="1:13" x14ac:dyDescent="0.3">
      <c r="A52" t="str">
        <f t="shared" ref="A52:A54" si="9">A51</f>
        <v>BEV</v>
      </c>
      <c r="E52" t="s">
        <v>35</v>
      </c>
      <c r="F52">
        <f>F51</f>
        <v>2030</v>
      </c>
      <c r="G52" t="s">
        <v>14</v>
      </c>
      <c r="H52" s="18">
        <v>1</v>
      </c>
    </row>
    <row r="53" spans="1:13" x14ac:dyDescent="0.3">
      <c r="A53" t="str">
        <f t="shared" si="9"/>
        <v>BEV</v>
      </c>
      <c r="E53" t="s">
        <v>5</v>
      </c>
      <c r="F53">
        <v>2035</v>
      </c>
      <c r="G53" t="s">
        <v>14</v>
      </c>
      <c r="H53" s="18" cm="1">
        <f t="array" ref="H53">IF(INDEX($E$84:$L$107,MATCH($A53&amp;$F53,$C$84:$C$107&amp;$D$84:$D$107,0),MATCH(H$5,$E$83:$L$83,0))=1,-99,-INDEX($E$84:$L$107,MATCH($A53&amp;$F53,$C$84:$C$107&amp;$D$84:$D$107,0),MATCH(H$5,$E$83:$L$83,0))/(1-INDEX($E$84:$L$107,MATCH($A53&amp;$F53,$C$84:$C$107&amp;$D$84:$D$107,0),MATCH(H$5,$E$83:$L$83,0))))</f>
        <v>-99</v>
      </c>
    </row>
    <row r="54" spans="1:13" x14ac:dyDescent="0.3">
      <c r="A54" t="str">
        <f t="shared" si="9"/>
        <v>BEV</v>
      </c>
      <c r="E54" t="s">
        <v>35</v>
      </c>
      <c r="F54">
        <f>F53</f>
        <v>2035</v>
      </c>
      <c r="G54" t="s">
        <v>14</v>
      </c>
      <c r="H54" s="18">
        <v>1</v>
      </c>
    </row>
    <row r="55" spans="1:13" x14ac:dyDescent="0.3">
      <c r="A55" t="s">
        <v>53</v>
      </c>
      <c r="C55" t="str">
        <f>M55&amp;"_DK"</f>
        <v>UC_FCEVTRUCK_MaxProdShare_DK</v>
      </c>
      <c r="E55" t="s">
        <v>15</v>
      </c>
      <c r="F55">
        <v>2020</v>
      </c>
      <c r="G55" t="s">
        <v>14</v>
      </c>
      <c r="H55" s="18" cm="1">
        <f t="array" ref="H55">IF(INDEX($E$84:$L$120,MATCH($A55&amp;$F55,$C$84:$C$120&amp;$D$84:$D$120,0),MATCH(H$5,$E$83:$L$83,0))=1,-99,-INDEX($E$84:$L$120,MATCH($A55&amp;$F55,$C$84:$C$120&amp;$D$84:$D$120,0),MATCH(H$5,$E$83:$L$83,0))/(1-INDEX($E$84:$L$120,MATCH($A55&amp;$F55,$C$84:$C$120&amp;$D$84:$D$120,0),MATCH(H$5,$E$83:$L$83,0))))</f>
        <v>-1.0101010101010102E-2</v>
      </c>
      <c r="I55">
        <v>0</v>
      </c>
      <c r="J55">
        <v>14</v>
      </c>
      <c r="K55" t="s">
        <v>27</v>
      </c>
      <c r="M55" t="s">
        <v>28</v>
      </c>
    </row>
    <row r="56" spans="1:13" x14ac:dyDescent="0.3">
      <c r="A56" t="s">
        <v>53</v>
      </c>
      <c r="D56" t="s">
        <v>23</v>
      </c>
      <c r="E56" t="s">
        <v>15</v>
      </c>
      <c r="F56">
        <f>F55</f>
        <v>2020</v>
      </c>
      <c r="G56" t="s">
        <v>14</v>
      </c>
      <c r="H56" s="18">
        <v>1</v>
      </c>
    </row>
    <row r="57" spans="1:13" x14ac:dyDescent="0.3">
      <c r="A57" t="s">
        <v>53</v>
      </c>
      <c r="E57" t="s">
        <v>15</v>
      </c>
      <c r="F57">
        <v>2030</v>
      </c>
      <c r="G57" t="s">
        <v>14</v>
      </c>
      <c r="H57" s="18" cm="1">
        <f t="array" ref="H57">IF(INDEX($E$84:$L$120,MATCH($A57&amp;$F57,$C$84:$C$120&amp;$D$84:$D$120,0),MATCH(H$5,$E$83:$L$83,0))=1,-99,-INDEX($E$84:$L$120,MATCH($A57&amp;$F57,$C$84:$C$120&amp;$D$84:$D$120,0),MATCH(H$5,$E$83:$L$83,0))/(1-INDEX($E$84:$L$120,MATCH($A57&amp;$F57,$C$84:$C$120&amp;$D$84:$D$120,0),MATCH(H$5,$E$83:$L$83,0))))</f>
        <v>-1</v>
      </c>
      <c r="I57" s="9"/>
      <c r="J57" s="9"/>
      <c r="K57" s="9"/>
    </row>
    <row r="58" spans="1:13" x14ac:dyDescent="0.3">
      <c r="A58" t="s">
        <v>53</v>
      </c>
      <c r="D58" t="s">
        <v>23</v>
      </c>
      <c r="E58" t="s">
        <v>15</v>
      </c>
      <c r="F58">
        <f>F57</f>
        <v>2030</v>
      </c>
      <c r="G58" t="s">
        <v>14</v>
      </c>
      <c r="H58" s="18">
        <v>1</v>
      </c>
    </row>
    <row r="59" spans="1:13" x14ac:dyDescent="0.3">
      <c r="A59" t="s">
        <v>53</v>
      </c>
      <c r="E59" t="s">
        <v>15</v>
      </c>
      <c r="F59">
        <v>2035</v>
      </c>
      <c r="G59" t="s">
        <v>14</v>
      </c>
      <c r="H59" s="18" cm="1">
        <f t="array" ref="H59">IF(INDEX($E$84:$L$120,MATCH($A59&amp;$F59,$C$84:$C$120&amp;$D$84:$D$120,0),MATCH(H$5,$E$83:$L$83,0))=1,-99,-INDEX($E$84:$L$120,MATCH($A59&amp;$F59,$C$84:$C$120&amp;$D$84:$D$120,0),MATCH(H$5,$E$83:$L$83,0))/(1-INDEX($E$84:$L$120,MATCH($A59&amp;$F59,$C$84:$C$120&amp;$D$84:$D$120,0),MATCH(H$5,$E$83:$L$83,0))))</f>
        <v>-99</v>
      </c>
      <c r="I59" s="9"/>
      <c r="J59" s="9"/>
      <c r="K59" s="9"/>
    </row>
    <row r="60" spans="1:13" x14ac:dyDescent="0.3">
      <c r="A60" t="s">
        <v>53</v>
      </c>
      <c r="D60" t="s">
        <v>23</v>
      </c>
      <c r="E60" t="s">
        <v>15</v>
      </c>
      <c r="F60">
        <f>F59</f>
        <v>2035</v>
      </c>
      <c r="G60" t="s">
        <v>14</v>
      </c>
      <c r="H60" s="18">
        <v>1</v>
      </c>
    </row>
    <row r="61" spans="1:13" x14ac:dyDescent="0.3">
      <c r="A61" t="s">
        <v>54</v>
      </c>
      <c r="C61" t="str">
        <f>M61&amp;"_DK"</f>
        <v>UC_GASTRUCK_MaxProdShare_DK</v>
      </c>
      <c r="E61" t="s">
        <v>15</v>
      </c>
      <c r="F61">
        <v>2015</v>
      </c>
      <c r="G61" t="s">
        <v>14</v>
      </c>
      <c r="H61" s="18" cm="1">
        <f t="array" ref="H61">IF(INDEX($E$84:$L$120,MATCH($A61&amp;$F61,$C$84:$C$120&amp;$D$84:$D$120,0),MATCH(H$5,$E$83:$L$83,0))=1,-99,-INDEX($E$84:$L$120,MATCH($A61&amp;$F61,$C$84:$C$120&amp;$D$84:$D$120,0),MATCH(H$5,$E$83:$L$83,0))/(1-INDEX($E$84:$L$120,MATCH($A61&amp;$F61,$C$84:$C$120&amp;$D$84:$D$120,0),MATCH(H$5,$E$83:$L$83,0))))</f>
        <v>-1.0101010101010102E-2</v>
      </c>
      <c r="I61">
        <v>0</v>
      </c>
      <c r="J61">
        <v>14</v>
      </c>
      <c r="K61" t="s">
        <v>29</v>
      </c>
      <c r="M61" t="s">
        <v>30</v>
      </c>
    </row>
    <row r="62" spans="1:13" x14ac:dyDescent="0.3">
      <c r="A62" t="s">
        <v>54</v>
      </c>
      <c r="D62" t="s">
        <v>24</v>
      </c>
      <c r="E62" t="s">
        <v>15</v>
      </c>
      <c r="F62">
        <f>F61</f>
        <v>2015</v>
      </c>
      <c r="G62" t="s">
        <v>14</v>
      </c>
      <c r="H62" s="18">
        <v>1</v>
      </c>
    </row>
    <row r="63" spans="1:13" x14ac:dyDescent="0.3">
      <c r="A63" t="s">
        <v>54</v>
      </c>
      <c r="E63" s="13" t="s">
        <v>15</v>
      </c>
      <c r="F63" s="13">
        <v>2020</v>
      </c>
      <c r="G63" s="13" t="s">
        <v>14</v>
      </c>
      <c r="H63" s="18" cm="1">
        <f t="array" ref="H63">IF(INDEX($E$84:$L$120,MATCH($A63&amp;$F63,$C$84:$C$120&amp;$D$84:$D$120,0),MATCH(H$5,$E$83:$L$83,0))=1,-99,-INDEX($E$84:$L$120,MATCH($A63&amp;$F63,$C$84:$C$120&amp;$D$84:$D$120,0),MATCH(H$5,$E$83:$L$83,0))/(1-INDEX($E$84:$L$120,MATCH($A63&amp;$F63,$C$84:$C$120&amp;$D$84:$D$120,0),MATCH(H$5,$E$83:$L$83,0))))</f>
        <v>-1.0101010101010102E-2</v>
      </c>
      <c r="I63" s="13"/>
      <c r="J63" s="13"/>
      <c r="K63" s="13"/>
    </row>
    <row r="64" spans="1:13" x14ac:dyDescent="0.3">
      <c r="A64" t="s">
        <v>54</v>
      </c>
      <c r="D64" t="s">
        <v>24</v>
      </c>
      <c r="E64" t="s">
        <v>15</v>
      </c>
      <c r="F64">
        <f>F63</f>
        <v>2020</v>
      </c>
      <c r="G64" t="s">
        <v>14</v>
      </c>
      <c r="H64" s="18">
        <v>1</v>
      </c>
    </row>
    <row r="65" spans="1:20" x14ac:dyDescent="0.3">
      <c r="A65" t="s">
        <v>54</v>
      </c>
      <c r="E65" s="13" t="s">
        <v>15</v>
      </c>
      <c r="F65" s="13">
        <v>2030</v>
      </c>
      <c r="G65" s="13" t="s">
        <v>14</v>
      </c>
      <c r="H65" s="18" cm="1">
        <f t="array" ref="H65">IF(INDEX($E$84:$L$120,MATCH($A65&amp;$F65,$C$84:$C$120&amp;$D$84:$D$120,0),MATCH(H$5,$E$83:$L$83,0))=1,-99,-INDEX($E$84:$L$120,MATCH($A65&amp;$F65,$C$84:$C$120&amp;$D$84:$D$120,0),MATCH(H$5,$E$83:$L$83,0))/(1-INDEX($E$84:$L$120,MATCH($A65&amp;$F65,$C$84:$C$120&amp;$D$84:$D$120,0),MATCH(H$5,$E$83:$L$83,0))))</f>
        <v>-1</v>
      </c>
      <c r="I65" s="13"/>
      <c r="J65" s="13"/>
      <c r="K65" s="13"/>
    </row>
    <row r="66" spans="1:20" x14ac:dyDescent="0.3">
      <c r="A66" t="s">
        <v>54</v>
      </c>
      <c r="D66" t="s">
        <v>24</v>
      </c>
      <c r="E66" t="s">
        <v>15</v>
      </c>
      <c r="F66">
        <f>F65</f>
        <v>2030</v>
      </c>
      <c r="G66" t="s">
        <v>14</v>
      </c>
      <c r="H66" s="18">
        <v>1</v>
      </c>
    </row>
    <row r="67" spans="1:20" x14ac:dyDescent="0.3">
      <c r="A67" t="s">
        <v>54</v>
      </c>
      <c r="E67" s="13" t="s">
        <v>15</v>
      </c>
      <c r="F67" s="13">
        <v>2035</v>
      </c>
      <c r="G67" s="13" t="s">
        <v>14</v>
      </c>
      <c r="H67" s="18" cm="1">
        <f t="array" ref="H67">IF(INDEX($E$84:$L$120,MATCH($A67&amp;$F67,$C$84:$C$120&amp;$D$84:$D$120,0),MATCH(H$5,$E$83:$L$83,0))=1,-99,-INDEX($E$84:$L$120,MATCH($A67&amp;$F67,$C$84:$C$120&amp;$D$84:$D$120,0),MATCH(H$5,$E$83:$L$83,0))/(1-INDEX($E$84:$L$120,MATCH($A67&amp;$F67,$C$84:$C$120&amp;$D$84:$D$120,0),MATCH(H$5,$E$83:$L$83,0))))</f>
        <v>-99</v>
      </c>
    </row>
    <row r="68" spans="1:20" x14ac:dyDescent="0.3">
      <c r="A68" t="s">
        <v>54</v>
      </c>
      <c r="D68" t="s">
        <v>24</v>
      </c>
      <c r="E68" t="s">
        <v>15</v>
      </c>
      <c r="F68">
        <f>F67</f>
        <v>2035</v>
      </c>
      <c r="G68" t="s">
        <v>14</v>
      </c>
      <c r="H68" s="18">
        <v>1</v>
      </c>
    </row>
    <row r="69" spans="1:20" x14ac:dyDescent="0.3">
      <c r="A69" t="s">
        <v>93</v>
      </c>
      <c r="C69" t="str">
        <f>M69&amp;"_DK"</f>
        <v>UC_EVTRUCK_MaxProdShare_DK</v>
      </c>
      <c r="E69" s="13" t="s">
        <v>15</v>
      </c>
      <c r="F69" s="13">
        <v>2020</v>
      </c>
      <c r="G69" s="13" t="s">
        <v>14</v>
      </c>
      <c r="H69" s="18" cm="1">
        <f t="array" ref="H69">IF(INDEX($E$84:$L$120,MATCH($A71&amp;$F69,$C$84:$C$120&amp;$D$84:$D$120,0),MATCH(H$5,$E$83:$L$83,0))=1,-99,-INDEX($E$84:$L$120,MATCH($A71&amp;$F69,$C$84:$C$120&amp;$D$84:$D$120,0),MATCH(H$5,$E$83:$L$83,0))/(1-INDEX($E$84:$L$120,MATCH($A71&amp;$F69,$C$84:$C$120&amp;$D$84:$D$120,0),MATCH(H$5,$E$83:$L$83,0))))</f>
        <v>-1.0101010101010102E-2</v>
      </c>
      <c r="I69">
        <v>0</v>
      </c>
      <c r="J69">
        <v>14</v>
      </c>
      <c r="K69" t="s">
        <v>95</v>
      </c>
      <c r="M69" t="s">
        <v>94</v>
      </c>
    </row>
    <row r="70" spans="1:20" x14ac:dyDescent="0.3">
      <c r="A70" t="s">
        <v>93</v>
      </c>
      <c r="D70" t="s">
        <v>24</v>
      </c>
      <c r="E70" t="s">
        <v>15</v>
      </c>
      <c r="F70">
        <f>F69</f>
        <v>2020</v>
      </c>
      <c r="G70" t="s">
        <v>14</v>
      </c>
      <c r="H70" s="18">
        <v>1</v>
      </c>
    </row>
    <row r="71" spans="1:20" x14ac:dyDescent="0.3">
      <c r="A71" t="s">
        <v>93</v>
      </c>
      <c r="E71" s="13" t="s">
        <v>15</v>
      </c>
      <c r="F71" s="13">
        <v>2030</v>
      </c>
      <c r="G71" s="13" t="s">
        <v>14</v>
      </c>
      <c r="H71" s="18" cm="1">
        <f t="array" ref="H71">IF(INDEX($E$84:$L$120,MATCH($A73&amp;$F71,$C$84:$C$120&amp;$D$84:$D$120,0),MATCH(H$5,$E$83:$L$83,0))=1,-99,-INDEX($E$84:$L$120,MATCH($A73&amp;$F71,$C$84:$C$120&amp;$D$84:$D$120,0),MATCH(H$5,$E$83:$L$83,0))/(1-INDEX($E$84:$L$120,MATCH($A73&amp;$F71,$C$84:$C$120&amp;$D$84:$D$120,0),MATCH(H$5,$E$83:$L$83,0))))</f>
        <v>-1</v>
      </c>
      <c r="I71" s="13"/>
      <c r="J71" s="13"/>
      <c r="K71" s="13"/>
    </row>
    <row r="72" spans="1:20" x14ac:dyDescent="0.3">
      <c r="A72" t="s">
        <v>93</v>
      </c>
      <c r="D72" t="s">
        <v>24</v>
      </c>
      <c r="E72" t="s">
        <v>15</v>
      </c>
      <c r="F72">
        <f>F71</f>
        <v>2030</v>
      </c>
      <c r="G72" t="s">
        <v>14</v>
      </c>
      <c r="H72" s="18">
        <v>1</v>
      </c>
    </row>
    <row r="73" spans="1:20" x14ac:dyDescent="0.3">
      <c r="A73" t="s">
        <v>93</v>
      </c>
      <c r="E73" s="13" t="s">
        <v>15</v>
      </c>
      <c r="F73" s="13">
        <v>2035</v>
      </c>
      <c r="G73" s="13" t="s">
        <v>14</v>
      </c>
      <c r="H73" s="18" cm="1">
        <f t="array" ref="H73">IF(INDEX($E$84:$L$120,MATCH($A73&amp;$F73,$C$84:$C$120&amp;$D$84:$D$120,0),MATCH(H$5,$E$83:$L$83,0))=1,-99,-INDEX($E$84:$L$120,MATCH($A73&amp;$F73,$C$84:$C$120&amp;$D$84:$D$120,0),MATCH(H$5,$E$83:$L$83,0))/(1-INDEX($E$84:$L$120,MATCH($A73&amp;$F73,$C$84:$C$120&amp;$D$84:$D$120,0),MATCH(H$5,$E$83:$L$83,0))))</f>
        <v>-99</v>
      </c>
      <c r="I73" s="13"/>
      <c r="J73" s="13"/>
      <c r="K73" s="13"/>
    </row>
    <row r="74" spans="1:20" x14ac:dyDescent="0.3">
      <c r="A74" t="s">
        <v>93</v>
      </c>
      <c r="D74" t="s">
        <v>24</v>
      </c>
      <c r="E74" t="s">
        <v>15</v>
      </c>
      <c r="F74">
        <f>F73</f>
        <v>2035</v>
      </c>
      <c r="G74" t="s">
        <v>14</v>
      </c>
      <c r="H74" s="18">
        <v>1</v>
      </c>
    </row>
    <row r="78" spans="1:20" x14ac:dyDescent="0.3"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3">
      <c r="G79" s="9"/>
    </row>
    <row r="80" spans="1:20" x14ac:dyDescent="0.3">
      <c r="J80" s="17"/>
      <c r="K80" s="17"/>
      <c r="L80" s="17"/>
      <c r="M80" s="17"/>
      <c r="N80" s="17"/>
      <c r="O80" s="17"/>
      <c r="P80" s="17"/>
      <c r="Q80" s="17"/>
    </row>
    <row r="81" spans="3:17" x14ac:dyDescent="0.3">
      <c r="J81" s="17"/>
      <c r="K81" s="17"/>
      <c r="L81" s="17"/>
      <c r="M81" s="17"/>
      <c r="N81" s="17"/>
      <c r="O81" s="17"/>
      <c r="P81" s="17"/>
      <c r="Q81" s="17"/>
    </row>
    <row r="82" spans="3:17" x14ac:dyDescent="0.3">
      <c r="C82" t="s">
        <v>51</v>
      </c>
      <c r="J82" s="17"/>
      <c r="K82" s="17"/>
      <c r="L82" s="17"/>
      <c r="M82" s="17"/>
      <c r="N82" s="17"/>
      <c r="O82" s="17"/>
      <c r="P82" s="17"/>
      <c r="Q82" s="17"/>
    </row>
    <row r="83" spans="3:17" x14ac:dyDescent="0.3">
      <c r="E83" s="8" t="s">
        <v>8</v>
      </c>
      <c r="F83" s="8" t="s">
        <v>9</v>
      </c>
      <c r="G83" s="8" t="s">
        <v>6</v>
      </c>
      <c r="H83" s="8" t="s">
        <v>7</v>
      </c>
      <c r="I83" s="8" t="s">
        <v>10</v>
      </c>
      <c r="J83" s="8" t="s">
        <v>11</v>
      </c>
      <c r="K83" s="8" t="s">
        <v>12</v>
      </c>
      <c r="L83" s="8" t="s">
        <v>13</v>
      </c>
    </row>
    <row r="84" spans="3:17" x14ac:dyDescent="0.3">
      <c r="C84" t="s">
        <v>46</v>
      </c>
      <c r="D84">
        <v>2020</v>
      </c>
      <c r="E84" s="16">
        <v>0.4</v>
      </c>
      <c r="F84" s="16">
        <f>E84</f>
        <v>0.4</v>
      </c>
      <c r="G84" s="16">
        <f>I139</f>
        <v>0.03</v>
      </c>
      <c r="H84" s="16">
        <f>G84</f>
        <v>0.03</v>
      </c>
      <c r="I84" s="16">
        <v>7.0000000000000007E-2</v>
      </c>
      <c r="J84" s="16">
        <f>I84</f>
        <v>7.0000000000000007E-2</v>
      </c>
      <c r="K84" s="16">
        <f>J84</f>
        <v>7.0000000000000007E-2</v>
      </c>
      <c r="L84" s="16">
        <f>K84</f>
        <v>7.0000000000000007E-2</v>
      </c>
      <c r="M84" s="17"/>
      <c r="N84" s="17"/>
      <c r="O84" s="17"/>
      <c r="P84" s="17"/>
      <c r="Q84" s="17"/>
    </row>
    <row r="85" spans="3:17" x14ac:dyDescent="0.3">
      <c r="C85" t="s">
        <v>46</v>
      </c>
      <c r="D85">
        <v>2025</v>
      </c>
      <c r="E85" s="16">
        <f>E86/2+E84/2</f>
        <v>0.7</v>
      </c>
      <c r="F85" s="16">
        <f t="shared" ref="F85:F120" si="10">E85</f>
        <v>0.7</v>
      </c>
      <c r="G85" s="16">
        <f>SUM(N138:N140)+0.05</f>
        <v>0.1928050042198976</v>
      </c>
      <c r="H85" s="16">
        <f t="shared" ref="H85:H120" si="11">G85</f>
        <v>0.1928050042198976</v>
      </c>
      <c r="I85" s="16">
        <f>I86/2+I84/2</f>
        <v>0.3024432824061547</v>
      </c>
      <c r="J85" s="16">
        <f t="shared" ref="J85:L85" si="12">I85</f>
        <v>0.3024432824061547</v>
      </c>
      <c r="K85" s="16">
        <f t="shared" si="12"/>
        <v>0.3024432824061547</v>
      </c>
      <c r="L85" s="16">
        <f t="shared" si="12"/>
        <v>0.3024432824061547</v>
      </c>
      <c r="M85" s="17"/>
      <c r="N85" s="17"/>
      <c r="O85" s="17"/>
      <c r="P85" s="17"/>
      <c r="Q85" s="17"/>
    </row>
    <row r="86" spans="3:17" x14ac:dyDescent="0.3">
      <c r="C86" t="s">
        <v>46</v>
      </c>
      <c r="D86">
        <v>2030</v>
      </c>
      <c r="E86" s="16">
        <v>1</v>
      </c>
      <c r="F86" s="16">
        <f t="shared" si="10"/>
        <v>1</v>
      </c>
      <c r="G86" s="16">
        <f>SUM(S138:S140)+0.1</f>
        <v>0.46488656481230928</v>
      </c>
      <c r="H86" s="16">
        <f t="shared" si="11"/>
        <v>0.46488656481230928</v>
      </c>
      <c r="I86" s="16">
        <f>G86+I84</f>
        <v>0.53488656481230934</v>
      </c>
      <c r="J86" s="16">
        <f t="shared" ref="J86:L86" si="13">I86</f>
        <v>0.53488656481230934</v>
      </c>
      <c r="K86" s="16">
        <f t="shared" si="13"/>
        <v>0.53488656481230934</v>
      </c>
      <c r="L86" s="16">
        <f t="shared" si="13"/>
        <v>0.53488656481230934</v>
      </c>
      <c r="M86" s="17"/>
      <c r="N86" s="17"/>
      <c r="O86" s="17"/>
      <c r="P86" s="17"/>
      <c r="Q86" s="17"/>
    </row>
    <row r="87" spans="3:17" x14ac:dyDescent="0.3">
      <c r="C87" t="s">
        <v>46</v>
      </c>
      <c r="D87">
        <v>2035</v>
      </c>
      <c r="E87" s="16">
        <v>1</v>
      </c>
      <c r="F87" s="16">
        <f t="shared" si="10"/>
        <v>1</v>
      </c>
      <c r="G87" s="16">
        <v>1</v>
      </c>
      <c r="H87" s="16">
        <f t="shared" si="11"/>
        <v>1</v>
      </c>
      <c r="I87" s="16">
        <v>1</v>
      </c>
      <c r="J87" s="16">
        <f t="shared" ref="J87:L87" si="14">I87</f>
        <v>1</v>
      </c>
      <c r="K87" s="16">
        <f t="shared" si="14"/>
        <v>1</v>
      </c>
      <c r="L87" s="16">
        <f t="shared" si="14"/>
        <v>1</v>
      </c>
      <c r="M87" s="17"/>
      <c r="N87" s="17"/>
      <c r="O87" s="17"/>
      <c r="P87" s="17"/>
      <c r="Q87" s="17"/>
    </row>
    <row r="88" spans="3:17" x14ac:dyDescent="0.3">
      <c r="C88" t="s">
        <v>47</v>
      </c>
      <c r="D88">
        <v>2020</v>
      </c>
      <c r="E88" s="16">
        <v>0.25</v>
      </c>
      <c r="F88" s="16">
        <f t="shared" si="10"/>
        <v>0.25</v>
      </c>
      <c r="G88" s="16">
        <f>I142</f>
        <v>0.04</v>
      </c>
      <c r="H88" s="16">
        <f t="shared" si="11"/>
        <v>0.04</v>
      </c>
      <c r="I88" s="16">
        <v>7.0000000000000007E-2</v>
      </c>
      <c r="J88" s="16">
        <f t="shared" ref="J88:L88" si="15">I88</f>
        <v>7.0000000000000007E-2</v>
      </c>
      <c r="K88" s="16">
        <f t="shared" si="15"/>
        <v>7.0000000000000007E-2</v>
      </c>
      <c r="L88" s="16">
        <f t="shared" si="15"/>
        <v>7.0000000000000007E-2</v>
      </c>
      <c r="M88" s="17"/>
      <c r="N88" s="17"/>
      <c r="O88" s="17"/>
      <c r="P88" s="17"/>
      <c r="Q88" s="17"/>
    </row>
    <row r="89" spans="3:17" x14ac:dyDescent="0.3">
      <c r="C89" t="str">
        <f>C88</f>
        <v>PHEV</v>
      </c>
      <c r="D89">
        <v>2025</v>
      </c>
      <c r="E89" s="16">
        <f>E90/2+E88/2</f>
        <v>0.625</v>
      </c>
      <c r="F89" s="16">
        <f t="shared" si="10"/>
        <v>0.625</v>
      </c>
      <c r="G89" s="16">
        <f>SUM(N141:N143)+0.05</f>
        <v>0.61506366104595334</v>
      </c>
      <c r="H89" s="16">
        <f t="shared" si="11"/>
        <v>0.61506366104595334</v>
      </c>
      <c r="I89" s="16">
        <f>I90/2+I88/2</f>
        <v>0.53500000000000003</v>
      </c>
      <c r="J89" s="16">
        <f t="shared" ref="J89:L89" si="16">I89</f>
        <v>0.53500000000000003</v>
      </c>
      <c r="K89" s="16">
        <f t="shared" si="16"/>
        <v>0.53500000000000003</v>
      </c>
      <c r="L89" s="16">
        <f t="shared" si="16"/>
        <v>0.53500000000000003</v>
      </c>
      <c r="M89" s="17"/>
      <c r="N89" s="17"/>
      <c r="O89" s="17"/>
      <c r="P89" s="17"/>
      <c r="Q89" s="17"/>
    </row>
    <row r="90" spans="3:17" x14ac:dyDescent="0.3">
      <c r="C90" t="str">
        <f>C89</f>
        <v>PHEV</v>
      </c>
      <c r="D90">
        <v>2030</v>
      </c>
      <c r="E90" s="16">
        <v>1</v>
      </c>
      <c r="F90" s="16">
        <f t="shared" si="10"/>
        <v>1</v>
      </c>
      <c r="G90" s="16">
        <f>SUM(S141:S143)+0.1</f>
        <v>0.73511243630403855</v>
      </c>
      <c r="H90" s="16">
        <f t="shared" si="11"/>
        <v>0.73511243630403855</v>
      </c>
      <c r="I90" s="16">
        <v>1</v>
      </c>
      <c r="J90" s="16">
        <f t="shared" ref="J90:L90" si="17">I90</f>
        <v>1</v>
      </c>
      <c r="K90" s="16">
        <f t="shared" si="17"/>
        <v>1</v>
      </c>
      <c r="L90" s="16">
        <f t="shared" si="17"/>
        <v>1</v>
      </c>
      <c r="M90" s="17"/>
      <c r="N90" s="17"/>
      <c r="O90" s="17"/>
      <c r="P90" s="17"/>
      <c r="Q90" s="17"/>
    </row>
    <row r="91" spans="3:17" x14ac:dyDescent="0.3">
      <c r="C91" t="str">
        <f>C90</f>
        <v>PHEV</v>
      </c>
      <c r="D91">
        <v>2035</v>
      </c>
      <c r="E91" s="16">
        <v>1</v>
      </c>
      <c r="F91" s="16">
        <f t="shared" si="10"/>
        <v>1</v>
      </c>
      <c r="G91" s="16">
        <v>1</v>
      </c>
      <c r="H91" s="16">
        <f t="shared" si="11"/>
        <v>1</v>
      </c>
      <c r="I91" s="16">
        <v>1</v>
      </c>
      <c r="J91" s="16">
        <f t="shared" ref="J91:L91" si="18">I91</f>
        <v>1</v>
      </c>
      <c r="K91" s="16">
        <f t="shared" si="18"/>
        <v>1</v>
      </c>
      <c r="L91" s="16">
        <f t="shared" si="18"/>
        <v>1</v>
      </c>
      <c r="M91" s="17"/>
      <c r="N91" s="17"/>
      <c r="O91" s="17"/>
      <c r="P91" s="17"/>
      <c r="Q91" s="17"/>
    </row>
    <row r="92" spans="3:17" x14ac:dyDescent="0.3">
      <c r="C92" t="s">
        <v>48</v>
      </c>
      <c r="D92">
        <v>2020</v>
      </c>
      <c r="E92" s="16">
        <v>0.01</v>
      </c>
      <c r="F92" s="16">
        <f t="shared" si="10"/>
        <v>0.01</v>
      </c>
      <c r="G92" s="16">
        <f>I136</f>
        <v>8.0363751718303886E-5</v>
      </c>
      <c r="H92" s="16">
        <f t="shared" si="11"/>
        <v>8.0363751718303886E-5</v>
      </c>
      <c r="I92" s="16">
        <v>0.01</v>
      </c>
      <c r="J92" s="16">
        <f t="shared" ref="J92:L92" si="19">I92</f>
        <v>0.01</v>
      </c>
      <c r="K92" s="16">
        <f t="shared" si="19"/>
        <v>0.01</v>
      </c>
      <c r="L92" s="16">
        <f t="shared" si="19"/>
        <v>0.01</v>
      </c>
      <c r="M92" s="17"/>
      <c r="N92" s="17"/>
      <c r="O92" s="17"/>
      <c r="P92" s="17"/>
      <c r="Q92" s="17"/>
    </row>
    <row r="93" spans="3:17" x14ac:dyDescent="0.3">
      <c r="C93" t="str">
        <f>C92</f>
        <v>FC EV</v>
      </c>
      <c r="D93">
        <v>2025</v>
      </c>
      <c r="E93" s="16">
        <v>0.05</v>
      </c>
      <c r="F93" s="16">
        <f t="shared" si="10"/>
        <v>0.05</v>
      </c>
      <c r="G93" s="16">
        <f>SUM(N135:N137)+0.05</f>
        <v>5.0001470762908638E-2</v>
      </c>
      <c r="H93" s="16">
        <f t="shared" si="11"/>
        <v>5.0001470762908638E-2</v>
      </c>
      <c r="I93" s="16">
        <v>0.05</v>
      </c>
      <c r="J93" s="16">
        <f t="shared" ref="J93:L93" si="20">I93</f>
        <v>0.05</v>
      </c>
      <c r="K93" s="16">
        <f t="shared" si="20"/>
        <v>0.05</v>
      </c>
      <c r="L93" s="16">
        <f t="shared" si="20"/>
        <v>0.05</v>
      </c>
      <c r="M93" s="17"/>
      <c r="N93" s="17"/>
      <c r="O93" s="17"/>
      <c r="P93" s="17"/>
      <c r="Q93" s="17"/>
    </row>
    <row r="94" spans="3:17" x14ac:dyDescent="0.3">
      <c r="C94" t="str">
        <f>C93</f>
        <v>FC EV</v>
      </c>
      <c r="D94">
        <v>2030</v>
      </c>
      <c r="E94" s="16">
        <v>0.5</v>
      </c>
      <c r="F94" s="16">
        <f t="shared" si="10"/>
        <v>0.5</v>
      </c>
      <c r="G94" s="16">
        <f>SUM(S135:S137)+0.1</f>
        <v>0.1000009988836523</v>
      </c>
      <c r="H94" s="16">
        <f t="shared" si="11"/>
        <v>0.1000009988836523</v>
      </c>
      <c r="I94" s="16">
        <v>0.5</v>
      </c>
      <c r="J94" s="16">
        <f t="shared" ref="J94:L94" si="21">I94</f>
        <v>0.5</v>
      </c>
      <c r="K94" s="16">
        <f t="shared" si="21"/>
        <v>0.5</v>
      </c>
      <c r="L94" s="16">
        <f t="shared" si="21"/>
        <v>0.5</v>
      </c>
      <c r="M94" s="17"/>
      <c r="N94" s="17"/>
      <c r="O94" s="17"/>
      <c r="P94" s="17"/>
      <c r="Q94" s="17"/>
    </row>
    <row r="95" spans="3:17" x14ac:dyDescent="0.3">
      <c r="C95" t="str">
        <f>C94</f>
        <v>FC EV</v>
      </c>
      <c r="D95">
        <v>2035</v>
      </c>
      <c r="E95" s="16">
        <v>1</v>
      </c>
      <c r="F95" s="16">
        <f t="shared" si="10"/>
        <v>1</v>
      </c>
      <c r="G95" s="16">
        <v>1</v>
      </c>
      <c r="H95" s="16">
        <f t="shared" si="11"/>
        <v>1</v>
      </c>
      <c r="I95" s="16">
        <v>1</v>
      </c>
      <c r="J95" s="16">
        <f t="shared" ref="J95:L95" si="22">I95</f>
        <v>1</v>
      </c>
      <c r="K95" s="16">
        <f t="shared" si="22"/>
        <v>1</v>
      </c>
      <c r="L95" s="16">
        <f t="shared" si="22"/>
        <v>1</v>
      </c>
      <c r="M95" s="17"/>
      <c r="N95" s="17"/>
      <c r="O95" s="17"/>
      <c r="P95" s="17"/>
      <c r="Q95" s="17"/>
    </row>
    <row r="96" spans="3:17" x14ac:dyDescent="0.3">
      <c r="C96" t="s">
        <v>52</v>
      </c>
      <c r="D96">
        <v>2020</v>
      </c>
      <c r="E96" s="16">
        <v>0.01</v>
      </c>
      <c r="F96" s="16">
        <f t="shared" si="10"/>
        <v>0.01</v>
      </c>
      <c r="G96" s="16">
        <v>0</v>
      </c>
      <c r="H96" s="16">
        <f t="shared" si="11"/>
        <v>0</v>
      </c>
      <c r="I96" s="16">
        <v>0.01</v>
      </c>
      <c r="J96" s="16">
        <f t="shared" ref="J96:L96" si="23">I96</f>
        <v>0.01</v>
      </c>
      <c r="K96" s="16">
        <f t="shared" si="23"/>
        <v>0.01</v>
      </c>
      <c r="L96" s="16">
        <f t="shared" si="23"/>
        <v>0.01</v>
      </c>
      <c r="M96" s="17"/>
      <c r="N96" s="17"/>
      <c r="O96" s="17"/>
      <c r="P96" s="17"/>
      <c r="Q96" s="17"/>
    </row>
    <row r="97" spans="3:17" x14ac:dyDescent="0.3">
      <c r="C97" t="str">
        <f>C96</f>
        <v>Gas</v>
      </c>
      <c r="D97">
        <v>2025</v>
      </c>
      <c r="E97" s="16">
        <v>0.05</v>
      </c>
      <c r="F97" s="16">
        <f t="shared" si="10"/>
        <v>0.05</v>
      </c>
      <c r="G97" s="16">
        <f>G93</f>
        <v>5.0001470762908638E-2</v>
      </c>
      <c r="H97" s="16">
        <f t="shared" si="11"/>
        <v>5.0001470762908638E-2</v>
      </c>
      <c r="I97" s="16">
        <v>0.05</v>
      </c>
      <c r="J97" s="16">
        <f t="shared" ref="J97:L97" si="24">I97</f>
        <v>0.05</v>
      </c>
      <c r="K97" s="16">
        <f t="shared" si="24"/>
        <v>0.05</v>
      </c>
      <c r="L97" s="16">
        <f t="shared" si="24"/>
        <v>0.05</v>
      </c>
      <c r="M97" s="17"/>
      <c r="N97" s="17"/>
      <c r="O97" s="17"/>
      <c r="P97" s="17"/>
      <c r="Q97" s="17"/>
    </row>
    <row r="98" spans="3:17" x14ac:dyDescent="0.3">
      <c r="C98" t="str">
        <f>C97</f>
        <v>Gas</v>
      </c>
      <c r="D98">
        <v>2030</v>
      </c>
      <c r="E98" s="16">
        <v>0.5</v>
      </c>
      <c r="F98" s="16">
        <f t="shared" si="10"/>
        <v>0.5</v>
      </c>
      <c r="G98" s="16">
        <f>G94</f>
        <v>0.1000009988836523</v>
      </c>
      <c r="H98" s="16">
        <f t="shared" si="11"/>
        <v>0.1000009988836523</v>
      </c>
      <c r="I98" s="16">
        <v>0.5</v>
      </c>
      <c r="J98" s="16">
        <f t="shared" ref="J98:L98" si="25">I98</f>
        <v>0.5</v>
      </c>
      <c r="K98" s="16">
        <f t="shared" si="25"/>
        <v>0.5</v>
      </c>
      <c r="L98" s="16">
        <f t="shared" si="25"/>
        <v>0.5</v>
      </c>
      <c r="M98" s="17"/>
      <c r="N98" s="17"/>
      <c r="O98" s="17"/>
      <c r="P98" s="17"/>
      <c r="Q98" s="17"/>
    </row>
    <row r="99" spans="3:17" x14ac:dyDescent="0.3">
      <c r="C99" t="str">
        <f>C98</f>
        <v>Gas</v>
      </c>
      <c r="D99">
        <v>2035</v>
      </c>
      <c r="E99" s="16">
        <v>1</v>
      </c>
      <c r="F99" s="16">
        <f t="shared" si="10"/>
        <v>1</v>
      </c>
      <c r="G99" s="16">
        <v>1</v>
      </c>
      <c r="H99" s="16">
        <f t="shared" si="11"/>
        <v>1</v>
      </c>
      <c r="I99" s="16">
        <v>1</v>
      </c>
      <c r="J99" s="16">
        <f t="shared" ref="J99:L99" si="26">I99</f>
        <v>1</v>
      </c>
      <c r="K99" s="16">
        <f t="shared" si="26"/>
        <v>1</v>
      </c>
      <c r="L99" s="16">
        <f t="shared" si="26"/>
        <v>1</v>
      </c>
      <c r="M99" s="17"/>
      <c r="N99" s="17"/>
      <c r="O99" s="17"/>
      <c r="P99" s="17"/>
      <c r="Q99" s="17"/>
    </row>
    <row r="100" spans="3:17" x14ac:dyDescent="0.3">
      <c r="C100" t="s">
        <v>50</v>
      </c>
      <c r="D100">
        <v>2020</v>
      </c>
      <c r="E100" s="16">
        <f>(1-(E84+E88))*0.3</f>
        <v>0.105</v>
      </c>
      <c r="F100" s="16">
        <f t="shared" si="10"/>
        <v>0.105</v>
      </c>
      <c r="G100" s="16">
        <f>I133</f>
        <v>0.33485249021888536</v>
      </c>
      <c r="H100" s="16">
        <f t="shared" si="11"/>
        <v>0.33485249021888536</v>
      </c>
      <c r="I100" s="16">
        <f>(1-(I84+I88))*0.3</f>
        <v>0.25800000000000001</v>
      </c>
      <c r="J100" s="16">
        <f t="shared" ref="J100:L100" si="27">I100</f>
        <v>0.25800000000000001</v>
      </c>
      <c r="K100" s="16">
        <f t="shared" si="27"/>
        <v>0.25800000000000001</v>
      </c>
      <c r="L100" s="16">
        <f t="shared" si="27"/>
        <v>0.25800000000000001</v>
      </c>
      <c r="M100" s="17"/>
      <c r="N100" s="17"/>
      <c r="O100" s="17"/>
      <c r="P100" s="17"/>
      <c r="Q100" s="17"/>
    </row>
    <row r="101" spans="3:17" x14ac:dyDescent="0.3">
      <c r="C101" t="str">
        <f>C100</f>
        <v>Diesel</v>
      </c>
      <c r="D101">
        <v>2025</v>
      </c>
      <c r="E101" s="16">
        <f>E100</f>
        <v>0.105</v>
      </c>
      <c r="F101" s="16">
        <f t="shared" si="10"/>
        <v>0.105</v>
      </c>
      <c r="G101" s="16">
        <f>SUM(N132:N134)+0.05</f>
        <v>5.1516648714528573E-2</v>
      </c>
      <c r="H101" s="16">
        <f t="shared" si="11"/>
        <v>5.1516648714528573E-2</v>
      </c>
      <c r="I101" s="16">
        <f>I100</f>
        <v>0.25800000000000001</v>
      </c>
      <c r="J101" s="16">
        <f t="shared" ref="J101:L101" si="28">I101</f>
        <v>0.25800000000000001</v>
      </c>
      <c r="K101" s="16">
        <f t="shared" si="28"/>
        <v>0.25800000000000001</v>
      </c>
      <c r="L101" s="16">
        <f t="shared" si="28"/>
        <v>0.25800000000000001</v>
      </c>
      <c r="M101" s="17"/>
      <c r="N101" s="17"/>
      <c r="O101" s="17"/>
      <c r="P101" s="17"/>
      <c r="Q101" s="17"/>
    </row>
    <row r="102" spans="3:17" x14ac:dyDescent="0.3">
      <c r="C102" t="str">
        <f>C101</f>
        <v>Diesel</v>
      </c>
      <c r="D102">
        <v>2030</v>
      </c>
      <c r="E102" s="16">
        <f>E103/2+E101/2</f>
        <v>0.55249999999999999</v>
      </c>
      <c r="F102" s="16">
        <f t="shared" si="10"/>
        <v>0.55249999999999999</v>
      </c>
      <c r="G102" s="16">
        <f>SUM(S132:S134)+0.1</f>
        <v>0.1</v>
      </c>
      <c r="H102" s="16">
        <f t="shared" si="11"/>
        <v>0.1</v>
      </c>
      <c r="I102" s="16">
        <f>I103/2+I101/2</f>
        <v>0.629</v>
      </c>
      <c r="J102" s="16">
        <f t="shared" ref="J102:L102" si="29">I102</f>
        <v>0.629</v>
      </c>
      <c r="K102" s="16">
        <f t="shared" si="29"/>
        <v>0.629</v>
      </c>
      <c r="L102" s="16">
        <f t="shared" si="29"/>
        <v>0.629</v>
      </c>
      <c r="M102" s="17"/>
      <c r="N102" s="17"/>
      <c r="O102" s="17"/>
      <c r="P102" s="17"/>
      <c r="Q102" s="17"/>
    </row>
    <row r="103" spans="3:17" x14ac:dyDescent="0.3">
      <c r="C103" t="str">
        <f>C102</f>
        <v>Diesel</v>
      </c>
      <c r="D103">
        <v>2035</v>
      </c>
      <c r="E103" s="16">
        <v>1</v>
      </c>
      <c r="F103" s="16">
        <f t="shared" si="10"/>
        <v>1</v>
      </c>
      <c r="G103" s="16">
        <v>1</v>
      </c>
      <c r="H103" s="16">
        <f t="shared" si="11"/>
        <v>1</v>
      </c>
      <c r="I103" s="16">
        <v>1</v>
      </c>
      <c r="J103" s="16">
        <f t="shared" ref="J103:L103" si="30">I103</f>
        <v>1</v>
      </c>
      <c r="K103" s="16">
        <f t="shared" si="30"/>
        <v>1</v>
      </c>
      <c r="L103" s="16">
        <f t="shared" si="30"/>
        <v>1</v>
      </c>
      <c r="M103" s="17"/>
      <c r="N103" s="17"/>
      <c r="O103" s="17"/>
      <c r="P103" s="17"/>
      <c r="Q103" s="17"/>
    </row>
    <row r="104" spans="3:17" x14ac:dyDescent="0.3">
      <c r="C104" t="s">
        <v>49</v>
      </c>
      <c r="D104">
        <v>2020</v>
      </c>
      <c r="E104" s="16">
        <f>(1-(E84+E88))*0.7</f>
        <v>0.24499999999999997</v>
      </c>
      <c r="F104" s="16">
        <f t="shared" si="10"/>
        <v>0.24499999999999997</v>
      </c>
      <c r="G104" s="16">
        <f>I130</f>
        <v>0.64062493391138842</v>
      </c>
      <c r="H104" s="16">
        <f t="shared" si="11"/>
        <v>0.64062493391138842</v>
      </c>
      <c r="I104" s="16">
        <f>(1-(I84+I88))*0.7</f>
        <v>0.60199999999999998</v>
      </c>
      <c r="J104" s="16">
        <f t="shared" ref="J104:L104" si="31">I104</f>
        <v>0.60199999999999998</v>
      </c>
      <c r="K104" s="16">
        <f t="shared" si="31"/>
        <v>0.60199999999999998</v>
      </c>
      <c r="L104" s="16">
        <f t="shared" si="31"/>
        <v>0.60199999999999998</v>
      </c>
      <c r="M104" s="17"/>
      <c r="N104" s="17"/>
      <c r="O104" s="17"/>
      <c r="P104" s="17"/>
      <c r="Q104" s="17"/>
    </row>
    <row r="105" spans="3:17" x14ac:dyDescent="0.3">
      <c r="C105" t="str">
        <f>C104</f>
        <v>Gasoline</v>
      </c>
      <c r="D105">
        <v>2025</v>
      </c>
      <c r="E105" s="16">
        <f>E104</f>
        <v>0.24499999999999997</v>
      </c>
      <c r="F105" s="16">
        <f t="shared" si="10"/>
        <v>0.24499999999999997</v>
      </c>
      <c r="G105" s="16">
        <f>SUM(N129:N131)+0.05</f>
        <v>0.34061321525671195</v>
      </c>
      <c r="H105" s="16">
        <f t="shared" si="11"/>
        <v>0.34061321525671195</v>
      </c>
      <c r="I105" s="16">
        <f>I104</f>
        <v>0.60199999999999998</v>
      </c>
      <c r="J105" s="16">
        <f t="shared" ref="J105:L105" si="32">I105</f>
        <v>0.60199999999999998</v>
      </c>
      <c r="K105" s="16">
        <f t="shared" si="32"/>
        <v>0.60199999999999998</v>
      </c>
      <c r="L105" s="16">
        <f t="shared" si="32"/>
        <v>0.60199999999999998</v>
      </c>
      <c r="M105" s="17"/>
      <c r="N105" s="17"/>
      <c r="O105" s="17"/>
      <c r="P105" s="17"/>
      <c r="Q105" s="17"/>
    </row>
    <row r="106" spans="3:17" x14ac:dyDescent="0.3">
      <c r="C106" t="str">
        <f>C105</f>
        <v>Gasoline</v>
      </c>
      <c r="D106">
        <v>2030</v>
      </c>
      <c r="E106" s="16">
        <f>E107/2+E105/2</f>
        <v>0.62249999999999994</v>
      </c>
      <c r="F106" s="16">
        <f t="shared" si="10"/>
        <v>0.62249999999999994</v>
      </c>
      <c r="G106" s="16">
        <f>SUM(S129:S131)+0.1</f>
        <v>0.1</v>
      </c>
      <c r="H106" s="16">
        <f t="shared" si="11"/>
        <v>0.1</v>
      </c>
      <c r="I106" s="16">
        <f>I107/2+I105/2</f>
        <v>0.80099999999999993</v>
      </c>
      <c r="J106" s="16">
        <f t="shared" ref="J106:L107" si="33">I106</f>
        <v>0.80099999999999993</v>
      </c>
      <c r="K106" s="16">
        <f t="shared" si="33"/>
        <v>0.80099999999999993</v>
      </c>
      <c r="L106" s="16">
        <f t="shared" si="33"/>
        <v>0.80099999999999993</v>
      </c>
      <c r="M106" s="17"/>
      <c r="N106" s="17"/>
      <c r="O106" s="17"/>
      <c r="P106" s="17"/>
      <c r="Q106" s="17"/>
    </row>
    <row r="107" spans="3:17" x14ac:dyDescent="0.3">
      <c r="C107" t="str">
        <f>C106</f>
        <v>Gasoline</v>
      </c>
      <c r="D107">
        <v>2035</v>
      </c>
      <c r="E107" s="16">
        <v>1</v>
      </c>
      <c r="F107" s="16">
        <f t="shared" si="10"/>
        <v>1</v>
      </c>
      <c r="G107" s="16">
        <v>1</v>
      </c>
      <c r="H107" s="16">
        <f t="shared" si="11"/>
        <v>1</v>
      </c>
      <c r="I107" s="16">
        <v>1</v>
      </c>
      <c r="J107" s="16">
        <f t="shared" si="33"/>
        <v>1</v>
      </c>
      <c r="K107" s="16">
        <f t="shared" si="33"/>
        <v>1</v>
      </c>
      <c r="L107" s="16">
        <f t="shared" si="33"/>
        <v>1</v>
      </c>
      <c r="M107" s="17"/>
      <c r="N107" s="17"/>
      <c r="O107" s="17"/>
      <c r="P107" s="17"/>
      <c r="Q107" s="17"/>
    </row>
    <row r="108" spans="3:17" x14ac:dyDescent="0.3">
      <c r="C108" t="s">
        <v>53</v>
      </c>
      <c r="D108">
        <v>2020</v>
      </c>
      <c r="E108" s="16">
        <v>0.01</v>
      </c>
      <c r="F108" s="16">
        <f t="shared" si="10"/>
        <v>0.01</v>
      </c>
      <c r="G108" s="16">
        <v>0.01</v>
      </c>
      <c r="H108" s="16">
        <f t="shared" si="11"/>
        <v>0.01</v>
      </c>
      <c r="I108" s="16">
        <v>0.01</v>
      </c>
      <c r="J108" s="16">
        <f t="shared" ref="J108:L108" si="34">I108</f>
        <v>0.01</v>
      </c>
      <c r="K108" s="16">
        <f t="shared" si="34"/>
        <v>0.01</v>
      </c>
      <c r="L108" s="16">
        <f t="shared" si="34"/>
        <v>0.01</v>
      </c>
      <c r="M108" s="17"/>
      <c r="N108" s="17"/>
      <c r="O108" s="17"/>
      <c r="P108" s="17"/>
      <c r="Q108" s="17"/>
    </row>
    <row r="109" spans="3:17" x14ac:dyDescent="0.3">
      <c r="C109" t="s">
        <v>53</v>
      </c>
      <c r="D109">
        <v>2025</v>
      </c>
      <c r="E109" s="16">
        <f>E110/2+E108/2</f>
        <v>0.255</v>
      </c>
      <c r="F109" s="16">
        <f t="shared" si="10"/>
        <v>0.255</v>
      </c>
      <c r="G109" s="16">
        <f>G110/2+G108/2</f>
        <v>0.255</v>
      </c>
      <c r="H109" s="16">
        <f t="shared" si="11"/>
        <v>0.255</v>
      </c>
      <c r="I109" s="16">
        <f>I110/2+I108/2</f>
        <v>0.255</v>
      </c>
      <c r="J109" s="16">
        <f t="shared" ref="J109:L109" si="35">I109</f>
        <v>0.255</v>
      </c>
      <c r="K109" s="16">
        <f t="shared" si="35"/>
        <v>0.255</v>
      </c>
      <c r="L109" s="16">
        <f t="shared" si="35"/>
        <v>0.255</v>
      </c>
      <c r="M109" s="17"/>
      <c r="N109" s="17"/>
      <c r="O109" s="17"/>
      <c r="P109" s="17"/>
      <c r="Q109" s="17"/>
    </row>
    <row r="110" spans="3:17" x14ac:dyDescent="0.3">
      <c r="C110" t="s">
        <v>53</v>
      </c>
      <c r="D110">
        <v>2030</v>
      </c>
      <c r="E110" s="16">
        <v>0.5</v>
      </c>
      <c r="F110" s="16">
        <f t="shared" si="10"/>
        <v>0.5</v>
      </c>
      <c r="G110" s="16">
        <v>0.5</v>
      </c>
      <c r="H110" s="16">
        <f t="shared" si="11"/>
        <v>0.5</v>
      </c>
      <c r="I110" s="16">
        <v>0.5</v>
      </c>
      <c r="J110" s="16">
        <f t="shared" ref="J110:L110" si="36">I110</f>
        <v>0.5</v>
      </c>
      <c r="K110" s="16">
        <f t="shared" si="36"/>
        <v>0.5</v>
      </c>
      <c r="L110" s="16">
        <f t="shared" si="36"/>
        <v>0.5</v>
      </c>
      <c r="M110" s="17"/>
      <c r="N110" s="17"/>
      <c r="O110" s="17"/>
      <c r="P110" s="17"/>
      <c r="Q110" s="17"/>
    </row>
    <row r="111" spans="3:17" x14ac:dyDescent="0.3">
      <c r="C111" t="s">
        <v>53</v>
      </c>
      <c r="D111">
        <v>2035</v>
      </c>
      <c r="E111" s="16">
        <v>1</v>
      </c>
      <c r="F111" s="16">
        <f t="shared" si="10"/>
        <v>1</v>
      </c>
      <c r="G111" s="16">
        <v>1</v>
      </c>
      <c r="H111" s="16">
        <f t="shared" si="11"/>
        <v>1</v>
      </c>
      <c r="I111" s="16">
        <v>1</v>
      </c>
      <c r="J111" s="16">
        <f t="shared" ref="J111:L114" si="37">I111</f>
        <v>1</v>
      </c>
      <c r="K111" s="16">
        <f t="shared" si="37"/>
        <v>1</v>
      </c>
      <c r="L111" s="16">
        <f t="shared" si="37"/>
        <v>1</v>
      </c>
      <c r="M111" s="17"/>
      <c r="N111" s="17"/>
      <c r="O111" s="17"/>
      <c r="P111" s="17"/>
      <c r="Q111" s="17"/>
    </row>
    <row r="112" spans="3:17" x14ac:dyDescent="0.3">
      <c r="C112" t="s">
        <v>93</v>
      </c>
      <c r="D112">
        <v>2020</v>
      </c>
      <c r="E112" s="16">
        <v>0.01</v>
      </c>
      <c r="F112" s="16">
        <f t="shared" ref="F112:F115" si="38">E112</f>
        <v>0.01</v>
      </c>
      <c r="G112" s="16">
        <v>0.01</v>
      </c>
      <c r="H112" s="16">
        <f t="shared" ref="H112:H115" si="39">G112</f>
        <v>0.01</v>
      </c>
      <c r="I112" s="16">
        <v>0.01</v>
      </c>
      <c r="J112" s="16">
        <f t="shared" si="37"/>
        <v>0.01</v>
      </c>
      <c r="K112" s="16">
        <f t="shared" si="37"/>
        <v>0.01</v>
      </c>
      <c r="L112" s="16">
        <f t="shared" si="37"/>
        <v>0.01</v>
      </c>
      <c r="M112" s="17"/>
      <c r="N112" s="17"/>
      <c r="O112" s="17"/>
      <c r="P112" s="17"/>
      <c r="Q112" s="17"/>
    </row>
    <row r="113" spans="3:39" x14ac:dyDescent="0.3">
      <c r="C113" t="s">
        <v>93</v>
      </c>
      <c r="D113">
        <v>2025</v>
      </c>
      <c r="E113" s="16">
        <f>E114/2+E112/2</f>
        <v>0.255</v>
      </c>
      <c r="F113" s="16">
        <f t="shared" si="38"/>
        <v>0.255</v>
      </c>
      <c r="G113" s="16">
        <f>G114/2+G112/2</f>
        <v>0.255</v>
      </c>
      <c r="H113" s="16">
        <f t="shared" si="39"/>
        <v>0.255</v>
      </c>
      <c r="I113" s="16">
        <f>I114/2+I112/2</f>
        <v>0.255</v>
      </c>
      <c r="J113" s="16">
        <f t="shared" si="37"/>
        <v>0.255</v>
      </c>
      <c r="K113" s="16">
        <f t="shared" si="37"/>
        <v>0.255</v>
      </c>
      <c r="L113" s="16">
        <f t="shared" si="37"/>
        <v>0.255</v>
      </c>
      <c r="M113" s="17"/>
      <c r="N113" s="17"/>
      <c r="O113" s="17"/>
      <c r="P113" s="17"/>
      <c r="Q113" s="17"/>
    </row>
    <row r="114" spans="3:39" x14ac:dyDescent="0.3">
      <c r="C114" t="s">
        <v>93</v>
      </c>
      <c r="D114">
        <v>2030</v>
      </c>
      <c r="E114" s="16">
        <v>0.5</v>
      </c>
      <c r="F114" s="16">
        <f t="shared" si="38"/>
        <v>0.5</v>
      </c>
      <c r="G114" s="16">
        <v>0.5</v>
      </c>
      <c r="H114" s="16">
        <f t="shared" si="39"/>
        <v>0.5</v>
      </c>
      <c r="I114" s="16">
        <v>0.5</v>
      </c>
      <c r="J114" s="16">
        <f t="shared" si="37"/>
        <v>0.5</v>
      </c>
      <c r="K114" s="16">
        <f t="shared" si="37"/>
        <v>0.5</v>
      </c>
      <c r="L114" s="16">
        <f t="shared" si="37"/>
        <v>0.5</v>
      </c>
      <c r="M114" s="17"/>
      <c r="N114" s="17"/>
      <c r="O114" s="17"/>
      <c r="P114" s="17"/>
      <c r="Q114" s="17"/>
    </row>
    <row r="115" spans="3:39" x14ac:dyDescent="0.3">
      <c r="C115" t="s">
        <v>93</v>
      </c>
      <c r="D115">
        <v>2035</v>
      </c>
      <c r="E115" s="16">
        <v>1</v>
      </c>
      <c r="F115" s="16">
        <f t="shared" si="38"/>
        <v>1</v>
      </c>
      <c r="G115" s="16">
        <v>1</v>
      </c>
      <c r="H115" s="16">
        <f t="shared" si="39"/>
        <v>1</v>
      </c>
      <c r="I115" s="16">
        <v>1</v>
      </c>
      <c r="J115" s="16">
        <f t="shared" ref="J115" si="40">I115</f>
        <v>1</v>
      </c>
      <c r="K115" s="16">
        <f t="shared" ref="K115" si="41">J115</f>
        <v>1</v>
      </c>
      <c r="L115" s="16">
        <f t="shared" ref="L115" si="42">K115</f>
        <v>1</v>
      </c>
      <c r="M115" s="17"/>
      <c r="N115" s="17"/>
      <c r="O115" s="17"/>
      <c r="P115" s="17"/>
      <c r="Q115" s="17"/>
    </row>
    <row r="116" spans="3:39" x14ac:dyDescent="0.3">
      <c r="C116" t="s">
        <v>54</v>
      </c>
      <c r="D116">
        <v>2015</v>
      </c>
      <c r="E116" s="16">
        <v>0.01</v>
      </c>
      <c r="F116" s="16">
        <v>0.01</v>
      </c>
      <c r="G116" s="16">
        <v>0.01</v>
      </c>
      <c r="H116" s="16">
        <f t="shared" si="11"/>
        <v>0.01</v>
      </c>
      <c r="I116" s="16">
        <v>0.01</v>
      </c>
      <c r="J116" s="16">
        <f t="shared" ref="J116:L117" si="43">I116</f>
        <v>0.01</v>
      </c>
      <c r="K116" s="16">
        <f t="shared" si="43"/>
        <v>0.01</v>
      </c>
      <c r="L116" s="16">
        <f t="shared" si="43"/>
        <v>0.01</v>
      </c>
      <c r="M116" s="17"/>
      <c r="N116" s="17"/>
      <c r="O116" s="17"/>
      <c r="P116" s="17"/>
      <c r="Q116" s="17"/>
    </row>
    <row r="117" spans="3:39" x14ac:dyDescent="0.3">
      <c r="C117" t="s">
        <v>54</v>
      </c>
      <c r="D117">
        <v>2020</v>
      </c>
      <c r="E117" s="16">
        <v>0.01</v>
      </c>
      <c r="F117" s="16">
        <f t="shared" si="10"/>
        <v>0.01</v>
      </c>
      <c r="G117" s="16">
        <v>0.01</v>
      </c>
      <c r="H117" s="16">
        <f t="shared" si="11"/>
        <v>0.01</v>
      </c>
      <c r="I117" s="16">
        <v>0.01</v>
      </c>
      <c r="J117" s="16">
        <f t="shared" si="43"/>
        <v>0.01</v>
      </c>
      <c r="K117" s="16">
        <f t="shared" si="43"/>
        <v>0.01</v>
      </c>
      <c r="L117" s="16">
        <f t="shared" si="43"/>
        <v>0.01</v>
      </c>
      <c r="M117" s="17"/>
      <c r="N117" s="17"/>
      <c r="O117" s="17"/>
      <c r="P117" s="17"/>
      <c r="Q117" s="17"/>
    </row>
    <row r="118" spans="3:39" x14ac:dyDescent="0.3">
      <c r="C118" t="s">
        <v>54</v>
      </c>
      <c r="D118">
        <v>2025</v>
      </c>
      <c r="E118" s="16">
        <f>E119/2+E117/2</f>
        <v>0.255</v>
      </c>
      <c r="F118" s="16">
        <f t="shared" si="10"/>
        <v>0.255</v>
      </c>
      <c r="G118" s="16">
        <f>G119/2+G117/2</f>
        <v>0.255</v>
      </c>
      <c r="H118" s="16">
        <f t="shared" si="11"/>
        <v>0.255</v>
      </c>
      <c r="I118" s="16">
        <f>I119/2+I117/2</f>
        <v>0.255</v>
      </c>
      <c r="J118" s="16">
        <f t="shared" ref="J118:L118" si="44">I118</f>
        <v>0.255</v>
      </c>
      <c r="K118" s="16">
        <f t="shared" si="44"/>
        <v>0.255</v>
      </c>
      <c r="L118" s="16">
        <f t="shared" si="44"/>
        <v>0.255</v>
      </c>
      <c r="M118" s="17"/>
      <c r="N118" s="17"/>
      <c r="O118" s="17"/>
      <c r="P118" s="17"/>
      <c r="Q118" s="17"/>
    </row>
    <row r="119" spans="3:39" x14ac:dyDescent="0.3">
      <c r="C119" t="s">
        <v>54</v>
      </c>
      <c r="D119">
        <v>2030</v>
      </c>
      <c r="E119" s="16">
        <v>0.5</v>
      </c>
      <c r="F119" s="16">
        <f t="shared" si="10"/>
        <v>0.5</v>
      </c>
      <c r="G119" s="16">
        <v>0.5</v>
      </c>
      <c r="H119" s="16">
        <f t="shared" si="11"/>
        <v>0.5</v>
      </c>
      <c r="I119" s="16">
        <v>0.5</v>
      </c>
      <c r="J119" s="16">
        <f t="shared" ref="J119:L119" si="45">I119</f>
        <v>0.5</v>
      </c>
      <c r="K119" s="16">
        <f t="shared" si="45"/>
        <v>0.5</v>
      </c>
      <c r="L119" s="16">
        <f t="shared" si="45"/>
        <v>0.5</v>
      </c>
      <c r="M119" s="17"/>
      <c r="N119" s="17"/>
      <c r="O119" s="17"/>
      <c r="P119" s="17"/>
      <c r="Q119" s="17"/>
    </row>
    <row r="120" spans="3:39" x14ac:dyDescent="0.3">
      <c r="C120" t="s">
        <v>54</v>
      </c>
      <c r="D120">
        <v>2035</v>
      </c>
      <c r="E120" s="16">
        <v>1</v>
      </c>
      <c r="F120" s="16">
        <f t="shared" si="10"/>
        <v>1</v>
      </c>
      <c r="G120" s="16">
        <v>1</v>
      </c>
      <c r="H120" s="16">
        <f t="shared" si="11"/>
        <v>1</v>
      </c>
      <c r="I120" s="16">
        <v>1</v>
      </c>
      <c r="J120" s="16">
        <f t="shared" ref="J120:L120" si="46">I120</f>
        <v>1</v>
      </c>
      <c r="K120" s="16">
        <f t="shared" si="46"/>
        <v>1</v>
      </c>
      <c r="L120" s="16">
        <f t="shared" si="46"/>
        <v>1</v>
      </c>
      <c r="M120" s="17"/>
      <c r="N120" s="17"/>
      <c r="O120" s="17"/>
      <c r="P120" s="17"/>
      <c r="Q120" s="17"/>
    </row>
    <row r="121" spans="3:39" x14ac:dyDescent="0.3">
      <c r="J121" s="17"/>
      <c r="K121" s="17"/>
      <c r="L121" s="17"/>
      <c r="M121" s="17"/>
      <c r="N121" s="17"/>
      <c r="O121" s="17"/>
      <c r="P121" s="17"/>
      <c r="Q121" s="17"/>
    </row>
    <row r="122" spans="3:39" x14ac:dyDescent="0.3">
      <c r="J122" s="17"/>
      <c r="K122" s="17"/>
      <c r="L122" s="17"/>
      <c r="M122" s="17"/>
      <c r="N122" s="17"/>
      <c r="O122" s="17"/>
      <c r="P122" s="17"/>
      <c r="Q122" s="17"/>
    </row>
    <row r="123" spans="3:39" x14ac:dyDescent="0.3">
      <c r="J123" s="17"/>
      <c r="K123" s="17"/>
      <c r="L123" s="17"/>
      <c r="M123" s="17"/>
      <c r="N123" s="17"/>
      <c r="O123" s="17"/>
      <c r="P123" s="17"/>
      <c r="Q123" s="17"/>
    </row>
    <row r="124" spans="3:39" x14ac:dyDescent="0.3">
      <c r="I124" t="s">
        <v>73</v>
      </c>
      <c r="J124" s="17"/>
      <c r="K124" s="17"/>
      <c r="L124" s="17"/>
      <c r="M124" s="17"/>
      <c r="N124" s="17"/>
      <c r="O124" s="17"/>
      <c r="P124" s="17"/>
      <c r="Q124" s="17"/>
    </row>
    <row r="125" spans="3:39" x14ac:dyDescent="0.3">
      <c r="I125" t="s">
        <v>72</v>
      </c>
      <c r="J125" s="17"/>
      <c r="K125" s="17"/>
      <c r="L125" s="17"/>
      <c r="M125" s="17"/>
      <c r="N125" s="17"/>
      <c r="O125" s="17"/>
      <c r="P125" s="17"/>
      <c r="Q125" s="17"/>
    </row>
    <row r="126" spans="3:39" x14ac:dyDescent="0.3">
      <c r="J126" s="17"/>
      <c r="K126" s="17"/>
      <c r="L126" s="17"/>
      <c r="M126" s="17"/>
      <c r="N126" s="17"/>
      <c r="O126" s="17"/>
      <c r="P126" s="17"/>
      <c r="Q126" s="17"/>
    </row>
    <row r="127" spans="3:39" x14ac:dyDescent="0.3">
      <c r="C127" t="s">
        <v>68</v>
      </c>
      <c r="K127" s="17"/>
      <c r="L127" s="17"/>
      <c r="M127" s="17"/>
      <c r="N127" s="17"/>
      <c r="O127" s="17"/>
      <c r="P127" s="17"/>
      <c r="Q127" s="17"/>
      <c r="R127" s="17"/>
    </row>
    <row r="128" spans="3:39" x14ac:dyDescent="0.3">
      <c r="C128" t="s">
        <v>55</v>
      </c>
      <c r="D128">
        <v>2015</v>
      </c>
      <c r="E128">
        <v>2016</v>
      </c>
      <c r="F128">
        <v>2017</v>
      </c>
      <c r="G128">
        <v>2018</v>
      </c>
      <c r="H128">
        <v>2019</v>
      </c>
      <c r="I128">
        <v>2020</v>
      </c>
      <c r="J128">
        <v>2021</v>
      </c>
      <c r="K128" s="17">
        <v>2022</v>
      </c>
      <c r="L128" s="17">
        <v>2023</v>
      </c>
      <c r="M128" s="17">
        <v>2024</v>
      </c>
      <c r="N128" s="17">
        <v>2025</v>
      </c>
      <c r="O128" s="17">
        <v>2026</v>
      </c>
      <c r="P128" s="17">
        <v>2027</v>
      </c>
      <c r="Q128" s="17">
        <v>2028</v>
      </c>
      <c r="R128" s="17">
        <v>2029</v>
      </c>
      <c r="S128">
        <v>2030</v>
      </c>
      <c r="T128">
        <v>2031</v>
      </c>
      <c r="U128">
        <v>2032</v>
      </c>
      <c r="V128">
        <v>2033</v>
      </c>
      <c r="W128">
        <v>2034</v>
      </c>
      <c r="X128">
        <v>2035</v>
      </c>
      <c r="Y128">
        <v>2036</v>
      </c>
      <c r="Z128">
        <v>2037</v>
      </c>
      <c r="AA128">
        <v>2038</v>
      </c>
      <c r="AB128">
        <v>2039</v>
      </c>
      <c r="AC128">
        <v>2040</v>
      </c>
      <c r="AD128">
        <v>2041</v>
      </c>
      <c r="AE128">
        <v>2042</v>
      </c>
      <c r="AF128">
        <v>2043</v>
      </c>
      <c r="AG128">
        <v>2044</v>
      </c>
      <c r="AH128">
        <v>2045</v>
      </c>
      <c r="AI128">
        <v>2046</v>
      </c>
      <c r="AJ128">
        <v>2047</v>
      </c>
      <c r="AK128">
        <v>2048</v>
      </c>
      <c r="AL128">
        <v>2049</v>
      </c>
      <c r="AM128">
        <v>2050</v>
      </c>
    </row>
    <row r="129" spans="3:39" x14ac:dyDescent="0.3">
      <c r="C129" t="s">
        <v>56</v>
      </c>
      <c r="J129">
        <v>0.57896535333010968</v>
      </c>
      <c r="K129" s="17">
        <v>0.56292939396605712</v>
      </c>
      <c r="L129" s="17">
        <v>0.52635030759368573</v>
      </c>
      <c r="M129" s="17">
        <v>0.46800300455175253</v>
      </c>
      <c r="N129" s="17">
        <v>0.27046973590105639</v>
      </c>
      <c r="O129" s="17">
        <v>0.24723075031911307</v>
      </c>
      <c r="P129" s="17">
        <v>0.22992698688376006</v>
      </c>
      <c r="Q129" s="17">
        <v>0.2173059272281013</v>
      </c>
      <c r="R129" s="17">
        <v>0.2325236118849239</v>
      </c>
      <c r="S129">
        <v>1.5059325649346581E-96</v>
      </c>
      <c r="T129">
        <v>1.4951941746578408E-96</v>
      </c>
      <c r="U129">
        <v>1.4845224724158595E-96</v>
      </c>
      <c r="V129">
        <v>1.4739170651976914E-96</v>
      </c>
      <c r="W129">
        <v>1.4633775674679947E-96</v>
      </c>
      <c r="X129">
        <v>1.8047193636699757E-91</v>
      </c>
      <c r="Y129">
        <v>1.7893809565904844E-91</v>
      </c>
      <c r="Z129">
        <v>1.7739154942057421E-91</v>
      </c>
      <c r="AA129">
        <v>1.7583197550585782E-91</v>
      </c>
      <c r="AB129">
        <v>1.7425903991174367E-91</v>
      </c>
      <c r="AC129">
        <v>1.7267239588040403E-91</v>
      </c>
      <c r="AD129">
        <v>1.7056348080229398E-91</v>
      </c>
      <c r="AE129">
        <v>1.6845172264870258E-91</v>
      </c>
      <c r="AF129">
        <v>1.6633679280782561E-91</v>
      </c>
      <c r="AG129">
        <v>1.6421834960148078E-91</v>
      </c>
      <c r="AH129">
        <v>1.4852752136931918E-91</v>
      </c>
      <c r="AI129">
        <v>1.4788717924683955E-91</v>
      </c>
      <c r="AJ129">
        <v>1.4724154046243482E-91</v>
      </c>
      <c r="AK129">
        <v>1.4658991495780054E-91</v>
      </c>
      <c r="AL129">
        <v>1.4593154129057479E-91</v>
      </c>
      <c r="AM129">
        <v>0.21365052626434902</v>
      </c>
    </row>
    <row r="130" spans="3:39" x14ac:dyDescent="0.3">
      <c r="C130" t="s">
        <v>57</v>
      </c>
      <c r="D130">
        <v>0.64871837549933353</v>
      </c>
      <c r="I130">
        <v>0.64062493391138842</v>
      </c>
      <c r="J130">
        <v>0.14314254805530838</v>
      </c>
      <c r="K130" s="17">
        <v>0.13087770071220395</v>
      </c>
      <c r="L130" s="17">
        <v>0.11335708865403865</v>
      </c>
      <c r="M130" s="17">
        <v>7.1075025794265626E-2</v>
      </c>
      <c r="N130" s="17">
        <v>1.61749143666251E-2</v>
      </c>
      <c r="O130" s="17">
        <v>1.2439423811330097E-2</v>
      </c>
      <c r="P130" s="17">
        <v>9.9025114293994892E-3</v>
      </c>
      <c r="Q130" s="17">
        <v>8.1215982866521316E-3</v>
      </c>
      <c r="R130" s="17">
        <v>7.5892326367588648E-3</v>
      </c>
      <c r="S130">
        <v>2.5522003204275129E-95</v>
      </c>
      <c r="T130">
        <v>2.5005634514287877E-95</v>
      </c>
      <c r="U130">
        <v>2.4495846630275387E-95</v>
      </c>
      <c r="V130">
        <v>2.3992654243807313E-95</v>
      </c>
      <c r="W130">
        <v>2.3496069653310886E-95</v>
      </c>
      <c r="X130">
        <v>1.0219442561827164E-89</v>
      </c>
      <c r="Y130">
        <v>1.0085584684242542E-89</v>
      </c>
      <c r="Z130">
        <v>9.9520208058492173E-90</v>
      </c>
      <c r="AA130">
        <v>9.8187751876423271E-90</v>
      </c>
      <c r="AB130">
        <v>9.6858719705710806E-90</v>
      </c>
      <c r="AC130">
        <v>9.5533316703534031E-90</v>
      </c>
      <c r="AD130">
        <v>9.3548963126815543E-90</v>
      </c>
      <c r="AE130">
        <v>9.1596396995216139E-90</v>
      </c>
      <c r="AF130">
        <v>8.967515503903241E-90</v>
      </c>
      <c r="AG130">
        <v>8.6911958023478129E-90</v>
      </c>
      <c r="AH130">
        <v>7.8113187406418677E-90</v>
      </c>
      <c r="AI130">
        <v>7.7580300711465681E-90</v>
      </c>
      <c r="AJ130">
        <v>7.7049346825078679E-90</v>
      </c>
      <c r="AK130">
        <v>7.6520269103595819E-90</v>
      </c>
      <c r="AL130">
        <v>7.5993003190152601E-90</v>
      </c>
      <c r="AM130">
        <v>9.7418243012995953E-2</v>
      </c>
    </row>
    <row r="131" spans="3:39" x14ac:dyDescent="0.3">
      <c r="C131" t="s">
        <v>58</v>
      </c>
      <c r="J131">
        <v>7.9199833207578944E-3</v>
      </c>
      <c r="K131" s="17">
        <v>7.9515085351300231E-3</v>
      </c>
      <c r="L131" s="17">
        <v>7.7522315773135026E-3</v>
      </c>
      <c r="M131" s="17">
        <v>7.1181238502625952E-3</v>
      </c>
      <c r="N131" s="17">
        <v>3.9685649890304842E-3</v>
      </c>
      <c r="O131" s="17">
        <v>2.7432670477099182E-3</v>
      </c>
      <c r="P131" s="17">
        <v>1.6442073110181019E-3</v>
      </c>
      <c r="Q131" s="17">
        <v>7.8285256613711311E-4</v>
      </c>
      <c r="R131" s="17">
        <v>2.9078209877341258E-4</v>
      </c>
      <c r="S131">
        <v>6.3495131847300351E-92</v>
      </c>
      <c r="T131">
        <v>6.0989897368490617E-92</v>
      </c>
      <c r="U131">
        <v>5.8560203804396472E-92</v>
      </c>
      <c r="V131">
        <v>5.6204989810507449E-92</v>
      </c>
      <c r="W131">
        <v>5.3923142815700193E-92</v>
      </c>
      <c r="X131">
        <v>1.3820256924955562E-86</v>
      </c>
      <c r="Y131">
        <v>1.3639071102077883E-86</v>
      </c>
      <c r="Z131">
        <v>1.3457538607975607E-86</v>
      </c>
      <c r="AA131">
        <v>1.3277370187969388E-86</v>
      </c>
      <c r="AB131">
        <v>1.3097779789068242E-86</v>
      </c>
      <c r="AC131">
        <v>1.2918815400810372E-86</v>
      </c>
      <c r="AD131">
        <v>1.2634954548042484E-86</v>
      </c>
      <c r="AE131">
        <v>1.2356154571625671E-86</v>
      </c>
      <c r="AF131">
        <v>1.208216584788365E-86</v>
      </c>
      <c r="AG131">
        <v>1.1812578059674485E-86</v>
      </c>
      <c r="AH131">
        <v>1.1247963426410319E-86</v>
      </c>
      <c r="AI131">
        <v>1.1028713334375971E-86</v>
      </c>
      <c r="AJ131">
        <v>1.0812481163177812E-86</v>
      </c>
      <c r="AK131">
        <v>1.0599245031054971E-86</v>
      </c>
      <c r="AL131">
        <v>1.0388981294898322E-86</v>
      </c>
      <c r="AM131">
        <v>4.6285645247227452E-3</v>
      </c>
    </row>
    <row r="132" spans="3:39" x14ac:dyDescent="0.3">
      <c r="C132" t="s">
        <v>59</v>
      </c>
      <c r="J132">
        <v>7.8057916811079503E-5</v>
      </c>
      <c r="K132" s="17">
        <v>8.584239866091054E-5</v>
      </c>
      <c r="L132" s="17">
        <v>7.8324922152789558E-5</v>
      </c>
      <c r="M132" s="17">
        <v>5.6346075834746068E-5</v>
      </c>
      <c r="N132" s="17">
        <v>2.9849795479451521E-5</v>
      </c>
      <c r="O132" s="17">
        <v>2.504111987336286E-5</v>
      </c>
      <c r="P132" s="17">
        <v>2.1308664770263861E-5</v>
      </c>
      <c r="Q132" s="17">
        <v>1.8367538106443721E-5</v>
      </c>
      <c r="R132" s="17">
        <v>1.4668576020567015E-5</v>
      </c>
      <c r="S132">
        <v>1.5059305991486819E-96</v>
      </c>
      <c r="T132">
        <v>1.4951922152831758E-96</v>
      </c>
      <c r="U132">
        <v>1.4845205193832055E-96</v>
      </c>
      <c r="V132">
        <v>1.4739153085718673E-96</v>
      </c>
      <c r="W132">
        <v>1.4633758156833989E-96</v>
      </c>
      <c r="X132">
        <v>1.8047171936312226E-91</v>
      </c>
      <c r="Y132">
        <v>1.789378795316118E-91</v>
      </c>
      <c r="Z132">
        <v>1.7739133418926221E-91</v>
      </c>
      <c r="AA132">
        <v>1.7583176119096255E-91</v>
      </c>
      <c r="AB132">
        <v>1.7425882653419176E-91</v>
      </c>
      <c r="AC132">
        <v>1.7267218346178901E-91</v>
      </c>
      <c r="AD132">
        <v>1.7056326999302531E-91</v>
      </c>
      <c r="AE132">
        <v>1.6845151346335166E-91</v>
      </c>
      <c r="AF132">
        <v>1.6633658526157673E-91</v>
      </c>
      <c r="AG132">
        <v>1.6421814371016376E-91</v>
      </c>
      <c r="AH132">
        <v>1.4852733464896176E-91</v>
      </c>
      <c r="AI132">
        <v>1.4788699333148381E-91</v>
      </c>
      <c r="AJ132">
        <v>1.4724135535873949E-91</v>
      </c>
      <c r="AK132">
        <v>1.4658973067329174E-91</v>
      </c>
      <c r="AL132">
        <v>1.4593135783373594E-91</v>
      </c>
      <c r="AM132">
        <v>1.1181378311739971E-5</v>
      </c>
    </row>
    <row r="133" spans="3:39" x14ac:dyDescent="0.3">
      <c r="C133" t="s">
        <v>60</v>
      </c>
      <c r="D133">
        <v>0.34615750428000813</v>
      </c>
      <c r="I133">
        <v>0.33485249021888536</v>
      </c>
      <c r="J133">
        <v>1.0245161346481929E-2</v>
      </c>
      <c r="K133" s="17">
        <v>9.3242609177514382E-3</v>
      </c>
      <c r="L133" s="17">
        <v>8.0388024824991529E-3</v>
      </c>
      <c r="M133" s="17">
        <v>5.8131466662028229E-3</v>
      </c>
      <c r="N133" s="17">
        <v>1.1031036159327096E-3</v>
      </c>
      <c r="O133" s="17">
        <v>8.1753796461721598E-4</v>
      </c>
      <c r="P133" s="17">
        <v>6.2688437627552134E-4</v>
      </c>
      <c r="Q133" s="17">
        <v>4.9061519749535689E-4</v>
      </c>
      <c r="R133" s="17">
        <v>3.7881465260398625E-4</v>
      </c>
      <c r="S133">
        <v>2.5521942017608479E-95</v>
      </c>
      <c r="T133">
        <v>2.5005574263121004E-95</v>
      </c>
      <c r="U133">
        <v>2.4495790468629128E-95</v>
      </c>
      <c r="V133">
        <v>2.3992598940715671E-95</v>
      </c>
      <c r="W133">
        <v>2.3496015203363345E-95</v>
      </c>
      <c r="X133">
        <v>1.0219418751346706E-89</v>
      </c>
      <c r="Y133">
        <v>1.0085561058334695E-89</v>
      </c>
      <c r="Z133">
        <v>9.951997366090647E-90</v>
      </c>
      <c r="AA133">
        <v>9.818751971183528E-90</v>
      </c>
      <c r="AB133">
        <v>9.6858481256463971E-90</v>
      </c>
      <c r="AC133">
        <v>9.5533080810350704E-90</v>
      </c>
      <c r="AD133">
        <v>9.3548731434593409E-90</v>
      </c>
      <c r="AE133">
        <v>9.1596169447930101E-90</v>
      </c>
      <c r="AF133">
        <v>8.9674931581361031E-90</v>
      </c>
      <c r="AG133">
        <v>8.6911740782461681E-90</v>
      </c>
      <c r="AH133">
        <v>7.8112991764088601E-90</v>
      </c>
      <c r="AI133">
        <v>7.7580106403803914E-90</v>
      </c>
      <c r="AJ133">
        <v>7.7049153847244293E-90</v>
      </c>
      <c r="AK133">
        <v>7.6520077450889758E-90</v>
      </c>
      <c r="AL133">
        <v>7.599281285803703E-90</v>
      </c>
      <c r="AM133">
        <v>4.0069165373064781E-3</v>
      </c>
    </row>
    <row r="134" spans="3:39" x14ac:dyDescent="0.3">
      <c r="C134" t="s">
        <v>61</v>
      </c>
      <c r="J134">
        <v>8.4047928353629577E-4</v>
      </c>
      <c r="K134" s="17">
        <v>8.4059529117891168E-4</v>
      </c>
      <c r="L134" s="17">
        <v>8.7455281922604986E-4</v>
      </c>
      <c r="M134" s="17">
        <v>7.5796160296609278E-4</v>
      </c>
      <c r="N134" s="17">
        <v>3.8369530311640923E-4</v>
      </c>
      <c r="O134" s="17">
        <v>2.6042402822001214E-4</v>
      </c>
      <c r="P134" s="17">
        <v>1.5324794030931681E-4</v>
      </c>
      <c r="Q134" s="17">
        <v>7.1632044770282175E-5</v>
      </c>
      <c r="R134" s="17">
        <v>2.4730803776966123E-5</v>
      </c>
      <c r="S134">
        <v>6.3494811546512901E-92</v>
      </c>
      <c r="T134">
        <v>6.0989597250409147E-92</v>
      </c>
      <c r="U134">
        <v>5.8559915507949752E-92</v>
      </c>
      <c r="V134">
        <v>5.620471297969305E-92</v>
      </c>
      <c r="W134">
        <v>5.3922877099511744E-92</v>
      </c>
      <c r="X134">
        <v>1.3820187588797917E-86</v>
      </c>
      <c r="Y134">
        <v>1.3639002643313382E-86</v>
      </c>
      <c r="Z134">
        <v>1.3457471029097656E-86</v>
      </c>
      <c r="AA134">
        <v>1.3277303482879175E-86</v>
      </c>
      <c r="AB134">
        <v>1.3097713955608371E-86</v>
      </c>
      <c r="AC134">
        <v>1.2918752103094498E-86</v>
      </c>
      <c r="AD134">
        <v>1.2634892567970001E-86</v>
      </c>
      <c r="AE134">
        <v>1.2356093796159489E-86</v>
      </c>
      <c r="AF134">
        <v>1.2082106258166238E-86</v>
      </c>
      <c r="AG134">
        <v>1.1812518611096971E-86</v>
      </c>
      <c r="AH134">
        <v>1.1247905933217379E-86</v>
      </c>
      <c r="AI134">
        <v>1.1028656961864828E-86</v>
      </c>
      <c r="AJ134">
        <v>1.0812425895922567E-86</v>
      </c>
      <c r="AK134">
        <v>1.0599190853741578E-86</v>
      </c>
      <c r="AL134">
        <v>1.0388928192333584E-86</v>
      </c>
      <c r="AM134">
        <v>3.8871433059070961E-4</v>
      </c>
    </row>
    <row r="135" spans="3:39" x14ac:dyDescent="0.3">
      <c r="C135" t="s">
        <v>69</v>
      </c>
      <c r="J135">
        <v>1.0686701079845273E-6</v>
      </c>
      <c r="K135" s="17">
        <v>1.0191920427421809E-6</v>
      </c>
      <c r="L135" s="17">
        <v>9.3414825039067149E-7</v>
      </c>
      <c r="M135" s="17">
        <v>6.7482732459106319E-7</v>
      </c>
      <c r="N135" s="17">
        <v>5.4043496882093634E-7</v>
      </c>
      <c r="O135" s="17">
        <v>4.7872546499599323E-7</v>
      </c>
      <c r="P135" s="17">
        <v>4.2875059339636595E-7</v>
      </c>
      <c r="Q135" s="17">
        <v>3.8939226821561334E-7</v>
      </c>
      <c r="R135" s="17">
        <v>3.2803129706160989E-7</v>
      </c>
      <c r="S135">
        <v>7.035279821056935E-7</v>
      </c>
      <c r="T135">
        <v>7.2337302860844211E-7</v>
      </c>
      <c r="U135">
        <v>7.4067110695773228E-7</v>
      </c>
      <c r="V135">
        <v>7.58534852031244E-7</v>
      </c>
      <c r="W135">
        <v>7.7698803753062236E-7</v>
      </c>
      <c r="X135">
        <v>9.0213812918373354E-2</v>
      </c>
      <c r="Y135">
        <v>9.2110432292696692E-2</v>
      </c>
      <c r="Z135">
        <v>9.4047631782745861E-2</v>
      </c>
      <c r="AA135">
        <v>9.6025991646900316E-2</v>
      </c>
      <c r="AB135">
        <v>9.8046066642245994E-2</v>
      </c>
      <c r="AC135">
        <v>0.1001083817964792</v>
      </c>
      <c r="AD135">
        <v>0.10190982553579991</v>
      </c>
      <c r="AE135">
        <v>0.10374292657257494</v>
      </c>
      <c r="AF135">
        <v>0.10560777329609508</v>
      </c>
      <c r="AG135">
        <v>0.10750440122416481</v>
      </c>
      <c r="AH135">
        <v>0.12082224011319</v>
      </c>
      <c r="AI135">
        <v>0.12036187105890417</v>
      </c>
      <c r="AJ135">
        <v>0.11989743203923611</v>
      </c>
      <c r="AK135">
        <v>0.11942843027465511</v>
      </c>
      <c r="AL135">
        <v>0.11895432089523303</v>
      </c>
      <c r="AM135">
        <v>0.10877119512918741</v>
      </c>
    </row>
    <row r="136" spans="3:39" x14ac:dyDescent="0.3">
      <c r="C136" t="s">
        <v>70</v>
      </c>
      <c r="D136">
        <v>5.9444550123644667E-6</v>
      </c>
      <c r="I136">
        <v>8.0363751718303886E-5</v>
      </c>
      <c r="J136">
        <v>5.9796556385541255E-6</v>
      </c>
      <c r="K136" s="17">
        <v>5.5393263581262593E-6</v>
      </c>
      <c r="L136" s="17">
        <v>4.8482369371684673E-6</v>
      </c>
      <c r="M136" s="17">
        <v>3.0718683068378488E-6</v>
      </c>
      <c r="N136" s="17">
        <v>8.2487052268214776E-7</v>
      </c>
      <c r="O136" s="17">
        <v>6.4594334343034793E-7</v>
      </c>
      <c r="P136" s="17">
        <v>5.2498929372152444E-7</v>
      </c>
      <c r="Q136" s="17">
        <v>4.3455121610883399E-7</v>
      </c>
      <c r="R136" s="17">
        <v>3.5504783450825955E-7</v>
      </c>
      <c r="S136">
        <v>2.7294591486915053E-7</v>
      </c>
      <c r="T136">
        <v>2.7620546927726002E-7</v>
      </c>
      <c r="U136">
        <v>2.8025275002389862E-7</v>
      </c>
      <c r="V136">
        <v>2.8359722781268737E-7</v>
      </c>
      <c r="W136">
        <v>2.8698236733237324E-7</v>
      </c>
      <c r="X136">
        <v>8.3163353825861833E-2</v>
      </c>
      <c r="Y136">
        <v>8.4319281080265693E-2</v>
      </c>
      <c r="Z136">
        <v>8.5486655394577976E-2</v>
      </c>
      <c r="AA136">
        <v>8.6665588541154331E-2</v>
      </c>
      <c r="AB136">
        <v>8.785619398001783E-2</v>
      </c>
      <c r="AC136">
        <v>8.9058586714594296E-2</v>
      </c>
      <c r="AD136">
        <v>8.9697251707365838E-2</v>
      </c>
      <c r="AE136">
        <v>9.0341828217516115E-2</v>
      </c>
      <c r="AF136">
        <v>9.099243687469194E-2</v>
      </c>
      <c r="AG136">
        <v>9.2215637111936699E-2</v>
      </c>
      <c r="AH136">
        <v>9.7007313431415276E-2</v>
      </c>
      <c r="AI136">
        <v>9.6521526684860193E-2</v>
      </c>
      <c r="AJ136">
        <v>9.6037199453866684E-2</v>
      </c>
      <c r="AK136">
        <v>9.5554284147789992E-2</v>
      </c>
      <c r="AL136">
        <v>9.5072727102214288E-2</v>
      </c>
      <c r="AM136">
        <v>8.1000138624798379E-2</v>
      </c>
    </row>
    <row r="137" spans="3:39" x14ac:dyDescent="0.3">
      <c r="C137" t="s">
        <v>71</v>
      </c>
      <c r="J137">
        <v>2.4737512182155453E-7</v>
      </c>
      <c r="K137">
        <v>2.2199292835547937E-7</v>
      </c>
      <c r="L137">
        <v>1.973919090141776E-7</v>
      </c>
      <c r="M137">
        <v>1.6874275467228338E-7</v>
      </c>
      <c r="N137">
        <v>1.0545741713084697E-7</v>
      </c>
      <c r="O137">
        <v>8.1837465326909666E-8</v>
      </c>
      <c r="P137">
        <v>6.1258901241075322E-8</v>
      </c>
      <c r="Q137">
        <v>4.4557959249331968E-8</v>
      </c>
      <c r="R137">
        <v>3.2666905915900323E-8</v>
      </c>
      <c r="S137">
        <v>2.2409755311832719E-8</v>
      </c>
      <c r="T137">
        <v>2.1351699150480368E-8</v>
      </c>
      <c r="U137">
        <v>2.0336119187249999E-8</v>
      </c>
      <c r="V137">
        <v>1.9361724621279714E-8</v>
      </c>
      <c r="W137">
        <v>1.8427240660426038E-8</v>
      </c>
      <c r="X137">
        <v>3.955136546245765E-4</v>
      </c>
      <c r="Y137">
        <v>3.9338146767306075E-4</v>
      </c>
      <c r="Z137">
        <v>3.9274909031965162E-4</v>
      </c>
      <c r="AA137">
        <v>3.9060665491647939E-4</v>
      </c>
      <c r="AB137">
        <v>3.8846427488843551E-4</v>
      </c>
      <c r="AC137">
        <v>3.863225044085653E-4</v>
      </c>
      <c r="AD137">
        <v>3.8305829839474487E-4</v>
      </c>
      <c r="AE137">
        <v>3.8043315862598302E-4</v>
      </c>
      <c r="AF137">
        <v>3.7898933641378652E-4</v>
      </c>
      <c r="AG137">
        <v>3.7906416500651488E-4</v>
      </c>
      <c r="AH137">
        <v>4.1051004203888328E-4</v>
      </c>
      <c r="AI137">
        <v>3.9814266214535714E-4</v>
      </c>
      <c r="AJ137">
        <v>3.8610701237157491E-4</v>
      </c>
      <c r="AK137">
        <v>3.7439651458542346E-4</v>
      </c>
      <c r="AL137">
        <v>3.63004547059223E-4</v>
      </c>
      <c r="AM137">
        <v>3.0752182412603971E-4</v>
      </c>
    </row>
    <row r="138" spans="3:39" x14ac:dyDescent="0.3">
      <c r="C138" t="s">
        <v>62</v>
      </c>
      <c r="J138">
        <v>1.1042112967353502E-6</v>
      </c>
      <c r="K138">
        <v>1.2101771638057163E-6</v>
      </c>
      <c r="L138">
        <v>1.2441715608403321E-6</v>
      </c>
      <c r="M138">
        <v>1.0026367436380777E-6</v>
      </c>
      <c r="N138">
        <v>1.0076198346750798E-6</v>
      </c>
      <c r="O138">
        <v>1.0762752646222516E-6</v>
      </c>
      <c r="P138">
        <v>1.1788009508192154E-6</v>
      </c>
      <c r="Q138">
        <v>1.3264003171073679E-6</v>
      </c>
      <c r="R138">
        <v>1.4293845677494626E-6</v>
      </c>
      <c r="S138">
        <v>3.8368797408441796E-6</v>
      </c>
      <c r="T138">
        <v>4.3284503392881916E-6</v>
      </c>
      <c r="U138">
        <v>4.88835752215687E-6</v>
      </c>
      <c r="V138">
        <v>5.5268563788438628E-6</v>
      </c>
      <c r="W138">
        <v>6.2558560520010748E-6</v>
      </c>
      <c r="X138">
        <v>1.3918078293081099E-3</v>
      </c>
      <c r="Y138">
        <v>1.5087409799605157E-3</v>
      </c>
      <c r="Z138">
        <v>1.6363180008141642E-3</v>
      </c>
      <c r="AA138">
        <v>1.7755909977292086E-3</v>
      </c>
      <c r="AB138">
        <v>1.9277236926756689E-3</v>
      </c>
      <c r="AC138">
        <v>2.0940065889209804E-3</v>
      </c>
      <c r="AD138">
        <v>2.2717859702897545E-3</v>
      </c>
      <c r="AE138">
        <v>2.4662908558529028E-3</v>
      </c>
      <c r="AF138">
        <v>2.6792784124472823E-3</v>
      </c>
      <c r="AG138">
        <v>2.9121696398120827E-3</v>
      </c>
      <c r="AH138">
        <v>3.0269529330823365E-3</v>
      </c>
      <c r="AI138">
        <v>3.3194900843005171E-3</v>
      </c>
      <c r="AJ138">
        <v>3.6433463912210712E-3</v>
      </c>
      <c r="AK138">
        <v>4.0022394716247118E-3</v>
      </c>
      <c r="AL138">
        <v>4.4003756080748697E-3</v>
      </c>
      <c r="AM138">
        <v>2.7054029433830995E-3</v>
      </c>
    </row>
    <row r="139" spans="3:39" x14ac:dyDescent="0.3">
      <c r="C139" t="s">
        <v>63</v>
      </c>
      <c r="D139">
        <v>2.8000000000000001E-2</v>
      </c>
      <c r="E139">
        <v>6.0000000000000001E-3</v>
      </c>
      <c r="F139">
        <v>4.0000000000000001E-3</v>
      </c>
      <c r="G139">
        <v>7.0000000000000001E-3</v>
      </c>
      <c r="H139">
        <v>2.1999999999999999E-2</v>
      </c>
      <c r="I139">
        <v>0.03</v>
      </c>
      <c r="J139">
        <v>5.5560836841995094E-2</v>
      </c>
      <c r="K139">
        <v>7.7269100737645799E-2</v>
      </c>
      <c r="L139">
        <v>9.8977364633296511E-2</v>
      </c>
      <c r="M139">
        <v>0.12068562852894722</v>
      </c>
      <c r="N139">
        <v>0.14239389242459791</v>
      </c>
      <c r="O139">
        <v>0.14539395286664181</v>
      </c>
      <c r="P139">
        <v>0.15376740395604158</v>
      </c>
      <c r="Q139">
        <v>0.16884078220386586</v>
      </c>
      <c r="R139">
        <v>0.19337122393356257</v>
      </c>
      <c r="S139">
        <v>0.36211443713047686</v>
      </c>
      <c r="T139">
        <v>0.36452403889896762</v>
      </c>
      <c r="U139">
        <v>0.36692771675515684</v>
      </c>
      <c r="V139">
        <v>0.36932495784280633</v>
      </c>
      <c r="W139">
        <v>0.37171525053633164</v>
      </c>
      <c r="X139">
        <v>0.81683150294017515</v>
      </c>
      <c r="Y139">
        <v>0.81369665695935067</v>
      </c>
      <c r="Z139">
        <v>0.81049727635655855</v>
      </c>
      <c r="AA139">
        <v>0.8072341668012385</v>
      </c>
      <c r="AB139">
        <v>0.80390423430957891</v>
      </c>
      <c r="AC139">
        <v>0.80050555956606761</v>
      </c>
      <c r="AD139">
        <v>0.79794932075031633</v>
      </c>
      <c r="AE139">
        <v>0.79533730944627745</v>
      </c>
      <c r="AF139">
        <v>0.79266710166241872</v>
      </c>
      <c r="AG139">
        <v>0.78938333821340678</v>
      </c>
      <c r="AH139">
        <v>0.77105742271945976</v>
      </c>
      <c r="AI139">
        <v>0.77183699700351227</v>
      </c>
      <c r="AJ139">
        <v>0.77258583926382096</v>
      </c>
      <c r="AK139">
        <v>0.77330080421865299</v>
      </c>
      <c r="AL139">
        <v>0.77397831788797067</v>
      </c>
      <c r="AM139">
        <v>0.48241226430855066</v>
      </c>
    </row>
    <row r="140" spans="3:39" x14ac:dyDescent="0.3">
      <c r="C140" t="s">
        <v>64</v>
      </c>
      <c r="J140">
        <v>1.0206930981224637E-4</v>
      </c>
      <c r="K140">
        <v>7.5250112176355091E-5</v>
      </c>
      <c r="L140">
        <v>1.1205482978197471E-4</v>
      </c>
      <c r="M140">
        <v>1.7466983318571955E-4</v>
      </c>
      <c r="N140">
        <v>4.1010417546503779E-4</v>
      </c>
      <c r="O140">
        <v>6.6177415993939957E-4</v>
      </c>
      <c r="P140">
        <v>1.0554956954342012E-3</v>
      </c>
      <c r="Q140">
        <v>1.5395749182251653E-3</v>
      </c>
      <c r="R140">
        <v>1.937000754254352E-3</v>
      </c>
      <c r="S140">
        <v>2.7682908020914884E-3</v>
      </c>
      <c r="T140">
        <v>2.70445481107462E-3</v>
      </c>
      <c r="U140">
        <v>2.6420843177909327E-3</v>
      </c>
      <c r="V140">
        <v>2.5811475765987221E-3</v>
      </c>
      <c r="W140">
        <v>2.5216135326243641E-3</v>
      </c>
      <c r="X140">
        <v>8.0040088316572673E-3</v>
      </c>
      <c r="Y140">
        <v>7.9715072200534243E-3</v>
      </c>
      <c r="Z140">
        <v>7.9393693749838876E-3</v>
      </c>
      <c r="AA140">
        <v>7.9080553580616643E-3</v>
      </c>
      <c r="AB140">
        <v>7.8773171005935838E-3</v>
      </c>
      <c r="AC140">
        <v>7.8471428295294066E-3</v>
      </c>
      <c r="AD140">
        <v>7.7887577378335446E-3</v>
      </c>
      <c r="AE140">
        <v>7.7312117491527737E-3</v>
      </c>
      <c r="AF140">
        <v>7.6744204179332344E-3</v>
      </c>
      <c r="AG140">
        <v>7.6053896456732299E-3</v>
      </c>
      <c r="AH140">
        <v>7.6755607608137814E-3</v>
      </c>
      <c r="AI140">
        <v>7.5619725062774489E-3</v>
      </c>
      <c r="AJ140">
        <v>7.450075839483589E-3</v>
      </c>
      <c r="AK140">
        <v>7.339845372691764E-3</v>
      </c>
      <c r="AL140">
        <v>7.2312539594477756E-3</v>
      </c>
      <c r="AM140">
        <v>4.4481246498244611E-3</v>
      </c>
    </row>
    <row r="141" spans="3:39" x14ac:dyDescent="0.3">
      <c r="C141" t="s">
        <v>65</v>
      </c>
      <c r="J141">
        <v>8.3057198079092009E-3</v>
      </c>
      <c r="K141">
        <v>2.2323406038463289E-2</v>
      </c>
      <c r="L141">
        <v>5.8626660564614325E-2</v>
      </c>
      <c r="M141">
        <v>0.12166483429012399</v>
      </c>
      <c r="N141">
        <v>0.31558298149962866</v>
      </c>
      <c r="O141">
        <v>0.33648263949895457</v>
      </c>
      <c r="P141">
        <v>0.35053267123824</v>
      </c>
      <c r="Q141">
        <v>0.35846149090365997</v>
      </c>
      <c r="R141">
        <v>0.33818144994993388</v>
      </c>
      <c r="S141">
        <v>0.48837461518593361</v>
      </c>
      <c r="T141">
        <v>0.48808129191223576</v>
      </c>
      <c r="U141">
        <v>0.48778716172437658</v>
      </c>
      <c r="V141">
        <v>0.48749221299936801</v>
      </c>
      <c r="W141">
        <v>0.48719643532444135</v>
      </c>
      <c r="X141">
        <v>1.8047195001371485E-91</v>
      </c>
      <c r="Y141">
        <v>1.7893810608958411E-91</v>
      </c>
      <c r="Z141">
        <v>1.7739155665884258E-91</v>
      </c>
      <c r="AA141">
        <v>1.7583197957665941E-91</v>
      </c>
      <c r="AB141">
        <v>1.742590408408047E-91</v>
      </c>
      <c r="AC141">
        <v>1.7267239369442029E-91</v>
      </c>
      <c r="AD141">
        <v>1.7056347554464251E-91</v>
      </c>
      <c r="AE141">
        <v>1.6845171436623126E-91</v>
      </c>
      <c r="AF141">
        <v>1.6633678154812427E-91</v>
      </c>
      <c r="AG141">
        <v>1.6421833541292477E-91</v>
      </c>
      <c r="AH141">
        <v>1.4852752290691671E-91</v>
      </c>
      <c r="AI141">
        <v>1.4788718077780804E-91</v>
      </c>
      <c r="AJ141">
        <v>1.4724154198671953E-91</v>
      </c>
      <c r="AK141">
        <v>1.4658991647533939E-91</v>
      </c>
      <c r="AL141">
        <v>1.4593154280129799E-91</v>
      </c>
      <c r="AM141">
        <v>3.8867933017185903E-5</v>
      </c>
    </row>
    <row r="142" spans="3:39" x14ac:dyDescent="0.3">
      <c r="C142" t="s">
        <v>66</v>
      </c>
      <c r="D142">
        <v>5.9444550123644667E-6</v>
      </c>
      <c r="G142">
        <v>0.01</v>
      </c>
      <c r="H142">
        <v>1.2999999999999999E-2</v>
      </c>
      <c r="I142">
        <v>0.04</v>
      </c>
      <c r="J142">
        <v>5.9262467171754984E-2</v>
      </c>
      <c r="K142">
        <v>8.2797510085173706E-2</v>
      </c>
      <c r="L142">
        <v>0.11955112248213022</v>
      </c>
      <c r="M142">
        <v>0.18586972445818423</v>
      </c>
      <c r="N142">
        <v>0.24542404785796626</v>
      </c>
      <c r="O142">
        <v>0.24940030668447252</v>
      </c>
      <c r="P142">
        <v>0.24820770622446828</v>
      </c>
      <c r="Q142">
        <v>0.24146263398004245</v>
      </c>
      <c r="R142">
        <v>0.22421714045320507</v>
      </c>
      <c r="S142">
        <v>0.14630688051823612</v>
      </c>
      <c r="T142">
        <v>0.14426211586746357</v>
      </c>
      <c r="U142">
        <v>0.14222235394870772</v>
      </c>
      <c r="V142">
        <v>0.14018814233388732</v>
      </c>
      <c r="W142">
        <v>0.13816002453801249</v>
      </c>
      <c r="X142">
        <v>1.0219464060533903E-89</v>
      </c>
      <c r="Y142">
        <v>1.0085605713424454E-89</v>
      </c>
      <c r="Z142">
        <v>9.9520413698376894E-90</v>
      </c>
      <c r="AA142">
        <v>9.8187952908298218E-90</v>
      </c>
      <c r="AB142">
        <v>9.6858907456797446E-90</v>
      </c>
      <c r="AC142">
        <v>9.5533500055441038E-90</v>
      </c>
      <c r="AD142">
        <v>9.3549140865459254E-90</v>
      </c>
      <c r="AE142">
        <v>9.1596569244178073E-90</v>
      </c>
      <c r="AF142">
        <v>8.9675321919757243E-90</v>
      </c>
      <c r="AG142">
        <v>8.6912118048244397E-90</v>
      </c>
      <c r="AH142">
        <v>7.8113338712559E-90</v>
      </c>
      <c r="AI142">
        <v>7.7580450985398369E-90</v>
      </c>
      <c r="AJ142">
        <v>7.7049496070547576E-90</v>
      </c>
      <c r="AK142">
        <v>7.6520417324235112E-90</v>
      </c>
      <c r="AL142">
        <v>7.5993150389471775E-90</v>
      </c>
      <c r="AM142">
        <v>2.119965086810909E-4</v>
      </c>
    </row>
    <row r="143" spans="3:39" x14ac:dyDescent="0.3">
      <c r="C143" t="s">
        <v>67</v>
      </c>
      <c r="J143">
        <v>1.445877477485305E-4</v>
      </c>
      <c r="K143">
        <v>1.1965947596516121E-4</v>
      </c>
      <c r="L143">
        <v>2.7505962263619631E-4</v>
      </c>
      <c r="M143">
        <v>8.9393236556812433E-4</v>
      </c>
      <c r="N143">
        <v>4.0566316883583128E-3</v>
      </c>
      <c r="O143">
        <v>4.5425997175896904E-3</v>
      </c>
      <c r="P143">
        <v>4.1593824805440235E-3</v>
      </c>
      <c r="Q143">
        <v>2.9023302311832052E-3</v>
      </c>
      <c r="R143">
        <v>1.4691991255812236E-3</v>
      </c>
      <c r="S143">
        <v>4.3094059986882013E-4</v>
      </c>
      <c r="T143">
        <v>4.2274912972208414E-4</v>
      </c>
      <c r="U143">
        <v>4.1475363646969928E-4</v>
      </c>
      <c r="V143">
        <v>4.0695089715642706E-4</v>
      </c>
      <c r="W143">
        <v>3.9933781489282449E-4</v>
      </c>
      <c r="X143">
        <v>1.3820295035198282E-86</v>
      </c>
      <c r="Y143">
        <v>1.3639108927705908E-86</v>
      </c>
      <c r="Z143">
        <v>1.3457576147876159E-86</v>
      </c>
      <c r="AA143">
        <v>1.327740744570112E-86</v>
      </c>
      <c r="AB143">
        <v>1.3097816765924822E-86</v>
      </c>
      <c r="AC143">
        <v>1.2918852098135185E-86</v>
      </c>
      <c r="AD143">
        <v>1.2634990622009849E-86</v>
      </c>
      <c r="AE143">
        <v>1.2356189942830248E-86</v>
      </c>
      <c r="AF143">
        <v>1.2082200529199261E-86</v>
      </c>
      <c r="AG143">
        <v>1.1812611035042091E-86</v>
      </c>
      <c r="AH143">
        <v>1.124799770578754E-86</v>
      </c>
      <c r="AI143">
        <v>1.1028746945564974E-86</v>
      </c>
      <c r="AJ143">
        <v>1.0812514115376038E-86</v>
      </c>
      <c r="AK143">
        <v>1.0599277333393171E-86</v>
      </c>
      <c r="AL143">
        <v>1.0389012956435191E-86</v>
      </c>
      <c r="AM143">
        <v>3.4203015508677464E-7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A159-AE1A-41F7-8D13-A2F09CD78494}">
  <dimension ref="A2:AM141"/>
  <sheetViews>
    <sheetView zoomScale="85" zoomScaleNormal="85" workbookViewId="0">
      <selection activeCell="G8" sqref="G8"/>
    </sheetView>
  </sheetViews>
  <sheetFormatPr defaultRowHeight="14.4" x14ac:dyDescent="0.3"/>
  <cols>
    <col min="3" max="3" width="35.5546875" customWidth="1"/>
    <col min="4" max="5" width="15" customWidth="1"/>
    <col min="6" max="6" width="16.44140625" customWidth="1"/>
    <col min="7" max="7" width="11.33203125" customWidth="1"/>
    <col min="8" max="8" width="10.44140625" bestFit="1" customWidth="1"/>
    <col min="9" max="9" width="19.109375" bestFit="1" customWidth="1"/>
    <col min="10" max="10" width="10.6640625" bestFit="1" customWidth="1"/>
    <col min="11" max="11" width="16.33203125" customWidth="1"/>
    <col min="12" max="13" width="10.5546875" customWidth="1"/>
    <col min="14" max="14" width="13" customWidth="1"/>
    <col min="15" max="15" width="10.5546875" customWidth="1"/>
    <col min="16" max="16" width="12.44140625" bestFit="1" customWidth="1"/>
    <col min="17" max="17" width="14" bestFit="1" customWidth="1"/>
    <col min="18" max="18" width="15.44140625" customWidth="1"/>
    <col min="19" max="19" width="14.33203125" bestFit="1" customWidth="1"/>
    <col min="20" max="20" width="35.109375" bestFit="1" customWidth="1"/>
  </cols>
  <sheetData>
    <row r="2" spans="1:19" x14ac:dyDescent="0.3">
      <c r="J2" s="16"/>
      <c r="K2" s="16"/>
      <c r="L2" s="16"/>
      <c r="M2" s="16"/>
      <c r="N2" s="16"/>
      <c r="O2" s="16"/>
      <c r="P2" s="16"/>
      <c r="Q2" s="16"/>
      <c r="S2" s="2"/>
    </row>
    <row r="3" spans="1:19" x14ac:dyDescent="0.3">
      <c r="J3" s="16"/>
      <c r="K3" s="16"/>
      <c r="L3" s="16"/>
      <c r="M3" s="16"/>
      <c r="N3" s="16"/>
      <c r="O3" s="16"/>
      <c r="P3" s="16"/>
      <c r="Q3" s="16"/>
      <c r="S3" s="2"/>
    </row>
    <row r="4" spans="1:19" x14ac:dyDescent="0.3">
      <c r="C4" s="19" t="s">
        <v>107</v>
      </c>
    </row>
    <row r="5" spans="1:19" x14ac:dyDescent="0.3">
      <c r="C5" s="3" t="s">
        <v>105</v>
      </c>
      <c r="H5" s="8" t="s">
        <v>8</v>
      </c>
    </row>
    <row r="6" spans="1:19" x14ac:dyDescent="0.3">
      <c r="C6" s="3"/>
    </row>
    <row r="7" spans="1:19" x14ac:dyDescent="0.3">
      <c r="G7" t="s">
        <v>106</v>
      </c>
    </row>
    <row r="8" spans="1:19" x14ac:dyDescent="0.3">
      <c r="C8" s="4" t="s">
        <v>0</v>
      </c>
      <c r="D8" s="5" t="s">
        <v>2</v>
      </c>
      <c r="E8" s="5" t="s">
        <v>1</v>
      </c>
      <c r="F8" s="6" t="s">
        <v>3</v>
      </c>
      <c r="G8" s="6" t="s">
        <v>4</v>
      </c>
      <c r="H8" t="s">
        <v>75</v>
      </c>
      <c r="I8" s="20" t="s">
        <v>77</v>
      </c>
      <c r="J8" s="20" t="s">
        <v>78</v>
      </c>
      <c r="K8" s="4" t="s">
        <v>76</v>
      </c>
      <c r="M8" s="4" t="s">
        <v>0</v>
      </c>
    </row>
    <row r="9" spans="1:19" x14ac:dyDescent="0.3">
      <c r="A9" t="s">
        <v>48</v>
      </c>
      <c r="C9" t="str">
        <f>M9&amp;"_NO"</f>
        <v>UC_FCEVCAR_MaxProdShare_NO</v>
      </c>
      <c r="D9" s="7"/>
      <c r="E9" t="s">
        <v>5</v>
      </c>
      <c r="F9">
        <v>2025</v>
      </c>
      <c r="G9" t="s">
        <v>14</v>
      </c>
      <c r="H9" s="18" cm="1">
        <f t="array" ref="H9">IF(INDEX($E$82:$L$105,MATCH($A9&amp;$F9,$C$82:$C$105&amp;$D$82:$D$105,0),MATCH(H$5,$E$81:$L$81,0))=1,-99,-INDEX($E$82:$L$105,MATCH($A9&amp;$F9,$C$82:$C$105&amp;$D$82:$D$105,0),MATCH(H$5,$E$81:$L$81,0))/(1-INDEX($E$82:$L$105,MATCH($A9&amp;$F9,$C$82:$C$105&amp;$D$82:$D$105,0),MATCH(H$5,$E$81:$L$81,0))))</f>
        <v>-5.2631578947368425E-2</v>
      </c>
      <c r="I9">
        <v>0</v>
      </c>
      <c r="J9">
        <v>14</v>
      </c>
      <c r="K9" t="s">
        <v>25</v>
      </c>
      <c r="M9" t="s">
        <v>26</v>
      </c>
    </row>
    <row r="10" spans="1:19" x14ac:dyDescent="0.3">
      <c r="A10" t="s">
        <v>48</v>
      </c>
      <c r="E10" t="s">
        <v>74</v>
      </c>
      <c r="F10">
        <v>2025</v>
      </c>
      <c r="G10" t="s">
        <v>14</v>
      </c>
      <c r="H10" s="18">
        <v>1</v>
      </c>
    </row>
    <row r="11" spans="1:19" x14ac:dyDescent="0.3">
      <c r="A11" t="s">
        <v>48</v>
      </c>
      <c r="E11" t="s">
        <v>5</v>
      </c>
      <c r="F11">
        <v>2030</v>
      </c>
      <c r="G11" t="s">
        <v>14</v>
      </c>
      <c r="H11" s="18" cm="1">
        <f t="array" ref="H11">IF(INDEX($E$82:$L$105,MATCH($A11&amp;$F11,$C$82:$C$105&amp;$D$82:$D$105,0),MATCH(H$5,$E$81:$L$81,0))=1,-99,-INDEX($E$82:$L$105,MATCH($A11&amp;$F11,$C$82:$C$105&amp;$D$82:$D$105,0),MATCH(H$5,$E$81:$L$81,0))/(1-INDEX($E$82:$L$105,MATCH($A11&amp;$F11,$C$82:$C$105&amp;$D$82:$D$105,0),MATCH(H$5,$E$81:$L$81,0))))</f>
        <v>-1</v>
      </c>
    </row>
    <row r="12" spans="1:19" x14ac:dyDescent="0.3">
      <c r="A12" t="s">
        <v>48</v>
      </c>
      <c r="E12" t="s">
        <v>74</v>
      </c>
      <c r="F12">
        <v>2030</v>
      </c>
      <c r="G12" t="s">
        <v>14</v>
      </c>
      <c r="H12" s="18">
        <v>1</v>
      </c>
    </row>
    <row r="13" spans="1:19" x14ac:dyDescent="0.3">
      <c r="A13" t="s">
        <v>48</v>
      </c>
      <c r="E13" t="s">
        <v>5</v>
      </c>
      <c r="F13">
        <v>2035</v>
      </c>
      <c r="G13" t="s">
        <v>14</v>
      </c>
      <c r="H13" s="18" cm="1">
        <f t="array" ref="H13">IF(INDEX($E$82:$L$105,MATCH($A13&amp;$F13,$C$82:$C$105&amp;$D$82:$D$105,0),MATCH(H$5,$E$81:$L$81,0))=1,-99,-INDEX($E$82:$L$105,MATCH($A13&amp;$F13,$C$82:$C$105&amp;$D$82:$D$105,0),MATCH(H$5,$E$81:$L$81,0))/(1-INDEX($E$82:$L$105,MATCH($A13&amp;$F13,$C$82:$C$105&amp;$D$82:$D$105,0),MATCH(H$5,$E$81:$L$81,0))))</f>
        <v>-99</v>
      </c>
    </row>
    <row r="14" spans="1:19" x14ac:dyDescent="0.3">
      <c r="A14" t="s">
        <v>48</v>
      </c>
      <c r="E14" t="s">
        <v>74</v>
      </c>
      <c r="F14">
        <v>2035</v>
      </c>
      <c r="G14" t="s">
        <v>14</v>
      </c>
      <c r="H14" s="18">
        <v>1</v>
      </c>
    </row>
    <row r="15" spans="1:19" x14ac:dyDescent="0.3">
      <c r="A15" t="s">
        <v>49</v>
      </c>
      <c r="C15" t="str">
        <f>M15&amp;"_NO"</f>
        <v>UC_GSLCAR_MaxProdShare_NO</v>
      </c>
      <c r="E15" t="s">
        <v>5</v>
      </c>
      <c r="F15">
        <v>2020</v>
      </c>
      <c r="G15" t="s">
        <v>14</v>
      </c>
      <c r="H15" s="18" cm="1">
        <f t="array" ref="H15">IF(INDEX($E$82:$L$105,MATCH($A15&amp;$F15,$C$82:$C$105&amp;$D$82:$D$105,0),MATCH(H$5,$E$81:$L$81,0))=1,-99,-INDEX($E$82:$L$105,MATCH($A15&amp;$F15,$C$82:$C$105&amp;$D$82:$D$105,0),MATCH(H$5,$E$81:$L$81,0))/(1-INDEX($E$82:$L$105,MATCH($A15&amp;$F15,$C$82:$C$105&amp;$D$82:$D$105,0),MATCH(H$5,$E$81:$L$81,0))))</f>
        <v>-0.32450331125827808</v>
      </c>
      <c r="I15">
        <v>0</v>
      </c>
      <c r="J15">
        <v>11</v>
      </c>
      <c r="K15" t="s">
        <v>41</v>
      </c>
      <c r="M15" t="s">
        <v>39</v>
      </c>
    </row>
    <row r="16" spans="1:19" x14ac:dyDescent="0.3">
      <c r="A16" t="str">
        <f>A15</f>
        <v>Gasoline</v>
      </c>
      <c r="D16" t="s">
        <v>37</v>
      </c>
      <c r="E16" t="s">
        <v>5</v>
      </c>
      <c r="F16">
        <f>F15</f>
        <v>2020</v>
      </c>
      <c r="G16" t="s">
        <v>14</v>
      </c>
      <c r="H16" s="18">
        <v>1</v>
      </c>
    </row>
    <row r="17" spans="1:13" x14ac:dyDescent="0.3">
      <c r="A17" t="str">
        <f t="shared" ref="A17:A18" si="0">A16</f>
        <v>Gasoline</v>
      </c>
      <c r="E17" t="s">
        <v>5</v>
      </c>
      <c r="F17">
        <v>2025</v>
      </c>
      <c r="G17" t="s">
        <v>14</v>
      </c>
      <c r="H17" s="18" cm="1">
        <f t="array" ref="H17">IF(INDEX($E$82:$L$105,MATCH($A17&amp;$F17,$C$82:$C$105&amp;$D$82:$D$105,0),MATCH(H$5,$E$81:$L$81,0))=1,-99,-INDEX($E$82:$L$105,MATCH($A17&amp;$F17,$C$82:$C$105&amp;$D$82:$D$105,0),MATCH(H$5,$E$81:$L$81,0))/(1-INDEX($E$82:$L$105,MATCH($A17&amp;$F17,$C$82:$C$105&amp;$D$82:$D$105,0),MATCH(H$5,$E$81:$L$81,0))))</f>
        <v>-0.32450331125827808</v>
      </c>
    </row>
    <row r="18" spans="1:13" x14ac:dyDescent="0.3">
      <c r="A18" t="str">
        <f t="shared" si="0"/>
        <v>Gasoline</v>
      </c>
      <c r="D18" t="s">
        <v>37</v>
      </c>
      <c r="E18" t="s">
        <v>5</v>
      </c>
      <c r="F18">
        <v>2025</v>
      </c>
      <c r="G18" t="s">
        <v>14</v>
      </c>
      <c r="H18" s="18">
        <v>1</v>
      </c>
    </row>
    <row r="19" spans="1:13" x14ac:dyDescent="0.3">
      <c r="A19" t="str">
        <f>A16</f>
        <v>Gasoline</v>
      </c>
      <c r="E19" t="s">
        <v>5</v>
      </c>
      <c r="F19">
        <v>2030</v>
      </c>
      <c r="G19" t="s">
        <v>14</v>
      </c>
      <c r="H19" s="18" cm="1">
        <f t="array" ref="H19">IF(INDEX($E$82:$L$105,MATCH($A19&amp;$F19,$C$82:$C$105&amp;$D$82:$D$105,0),MATCH(H$5,$E$81:$L$81,0))=1,-99,-INDEX($E$82:$L$105,MATCH($A19&amp;$F19,$C$82:$C$105&amp;$D$82:$D$105,0),MATCH(H$5,$E$81:$L$81,0))/(1-INDEX($E$82:$L$105,MATCH($A19&amp;$F19,$C$82:$C$105&amp;$D$82:$D$105,0),MATCH(H$5,$E$81:$L$81,0))))</f>
        <v>-1.6490066225165558</v>
      </c>
    </row>
    <row r="20" spans="1:13" x14ac:dyDescent="0.3">
      <c r="A20" t="str">
        <f t="shared" ref="A20:A22" si="1">A19</f>
        <v>Gasoline</v>
      </c>
      <c r="D20" t="s">
        <v>37</v>
      </c>
      <c r="E20" t="s">
        <v>5</v>
      </c>
      <c r="F20">
        <f>F19</f>
        <v>2030</v>
      </c>
      <c r="G20" t="s">
        <v>14</v>
      </c>
      <c r="H20" s="18">
        <v>1</v>
      </c>
    </row>
    <row r="21" spans="1:13" x14ac:dyDescent="0.3">
      <c r="A21" t="str">
        <f t="shared" si="1"/>
        <v>Gasoline</v>
      </c>
      <c r="E21" t="s">
        <v>5</v>
      </c>
      <c r="F21">
        <v>2035</v>
      </c>
      <c r="G21" t="s">
        <v>14</v>
      </c>
      <c r="H21" s="18" cm="1">
        <f t="array" ref="H21">IF(INDEX($E$82:$L$105,MATCH($A21&amp;$F21,$C$82:$C$105&amp;$D$82:$D$105,0),MATCH(H$5,$E$81:$L$81,0))=1,-99,-INDEX($E$82:$L$105,MATCH($A21&amp;$F21,$C$82:$C$105&amp;$D$82:$D$105,0),MATCH(H$5,$E$81:$L$81,0))/(1-INDEX($E$82:$L$105,MATCH($A21&amp;$F21,$C$82:$C$105&amp;$D$82:$D$105,0),MATCH(H$5,$E$81:$L$81,0))))</f>
        <v>-99</v>
      </c>
    </row>
    <row r="22" spans="1:13" x14ac:dyDescent="0.3">
      <c r="A22" t="str">
        <f t="shared" si="1"/>
        <v>Gasoline</v>
      </c>
      <c r="D22" t="s">
        <v>37</v>
      </c>
      <c r="E22" t="s">
        <v>5</v>
      </c>
      <c r="F22">
        <f>F21</f>
        <v>2035</v>
      </c>
      <c r="G22" t="s">
        <v>14</v>
      </c>
      <c r="H22" s="18">
        <v>1</v>
      </c>
    </row>
    <row r="23" spans="1:13" x14ac:dyDescent="0.3">
      <c r="A23" t="s">
        <v>50</v>
      </c>
      <c r="C23" t="str">
        <f>M23&amp;"_NO"</f>
        <v>UC_DSLCAR_MaxProdShare_NO</v>
      </c>
      <c r="E23" t="s">
        <v>5</v>
      </c>
      <c r="F23">
        <v>2020</v>
      </c>
      <c r="G23" t="s">
        <v>14</v>
      </c>
      <c r="H23" s="18" cm="1">
        <f t="array" ref="H23">IF(INDEX($E$82:$L$105,MATCH($A23&amp;$F23,$C$82:$C$105&amp;$D$82:$D$105,0),MATCH(H$5,$E$81:$L$81,0))=1,-99,-INDEX($E$82:$L$105,MATCH($A23&amp;$F23,$C$82:$C$105&amp;$D$82:$D$105,0),MATCH(H$5,$E$81:$L$81,0))/(1-INDEX($E$82:$L$105,MATCH($A23&amp;$F23,$C$82:$C$105&amp;$D$82:$D$105,0),MATCH(H$5,$E$81:$L$81,0))))</f>
        <v>-0.11731843575418993</v>
      </c>
      <c r="I23">
        <v>0</v>
      </c>
      <c r="J23">
        <v>11</v>
      </c>
      <c r="K23" t="s">
        <v>42</v>
      </c>
      <c r="M23" t="s">
        <v>38</v>
      </c>
    </row>
    <row r="24" spans="1:13" x14ac:dyDescent="0.3">
      <c r="A24" t="str">
        <f>A23</f>
        <v>Diesel</v>
      </c>
      <c r="D24" t="s">
        <v>40</v>
      </c>
      <c r="E24" t="s">
        <v>5</v>
      </c>
      <c r="F24">
        <f>F23</f>
        <v>2020</v>
      </c>
      <c r="G24" t="s">
        <v>14</v>
      </c>
      <c r="H24" s="18">
        <v>1</v>
      </c>
    </row>
    <row r="25" spans="1:13" x14ac:dyDescent="0.3">
      <c r="A25" t="str">
        <f t="shared" ref="A25:A26" si="2">A24</f>
        <v>Diesel</v>
      </c>
      <c r="E25" t="s">
        <v>5</v>
      </c>
      <c r="F25">
        <v>2025</v>
      </c>
      <c r="G25" t="s">
        <v>14</v>
      </c>
      <c r="H25" s="18" cm="1">
        <f t="array" ref="H25">IF(INDEX($E$82:$L$105,MATCH($A25&amp;$F25,$C$82:$C$105&amp;$D$82:$D$105,0),MATCH(H$5,$E$81:$L$81,0))=1,-99,-INDEX($E$82:$L$105,MATCH($A25&amp;$F25,$C$82:$C$105&amp;$D$82:$D$105,0),MATCH(H$5,$E$81:$L$81,0))/(1-INDEX($E$82:$L$105,MATCH($A25&amp;$F25,$C$82:$C$105&amp;$D$82:$D$105,0),MATCH(H$5,$E$81:$L$81,0))))</f>
        <v>-0.11731843575418993</v>
      </c>
    </row>
    <row r="26" spans="1:13" x14ac:dyDescent="0.3">
      <c r="A26" t="str">
        <f t="shared" si="2"/>
        <v>Diesel</v>
      </c>
      <c r="D26" t="s">
        <v>40</v>
      </c>
      <c r="E26" t="s">
        <v>5</v>
      </c>
      <c r="F26">
        <v>2025</v>
      </c>
      <c r="G26" t="s">
        <v>14</v>
      </c>
      <c r="H26" s="18">
        <v>1</v>
      </c>
    </row>
    <row r="27" spans="1:13" x14ac:dyDescent="0.3">
      <c r="A27" t="str">
        <f>A24</f>
        <v>Diesel</v>
      </c>
      <c r="E27" t="s">
        <v>5</v>
      </c>
      <c r="F27">
        <v>2030</v>
      </c>
      <c r="G27" t="s">
        <v>14</v>
      </c>
      <c r="H27" s="18" cm="1">
        <f t="array" ref="H27">IF(INDEX($E$82:$L$105,MATCH($A27&amp;$F27,$C$82:$C$105&amp;$D$82:$D$105,0),MATCH(H$5,$E$81:$L$81,0))=1,-99,-INDEX($E$82:$L$105,MATCH($A27&amp;$F27,$C$82:$C$105&amp;$D$82:$D$105,0),MATCH(H$5,$E$81:$L$81,0))/(1-INDEX($E$82:$L$105,MATCH($A27&amp;$F27,$C$82:$C$105&amp;$D$82:$D$105,0),MATCH(H$5,$E$81:$L$81,0))))</f>
        <v>-1.2346368715083798</v>
      </c>
    </row>
    <row r="28" spans="1:13" x14ac:dyDescent="0.3">
      <c r="A28" t="str">
        <f t="shared" ref="A28:A30" si="3">A27</f>
        <v>Diesel</v>
      </c>
      <c r="D28" t="s">
        <v>40</v>
      </c>
      <c r="E28" t="s">
        <v>5</v>
      </c>
      <c r="F28">
        <f>F27</f>
        <v>2030</v>
      </c>
      <c r="G28" t="s">
        <v>14</v>
      </c>
      <c r="H28" s="18">
        <v>1</v>
      </c>
    </row>
    <row r="29" spans="1:13" x14ac:dyDescent="0.3">
      <c r="A29" t="str">
        <f t="shared" si="3"/>
        <v>Diesel</v>
      </c>
      <c r="E29" t="s">
        <v>5</v>
      </c>
      <c r="F29">
        <v>2035</v>
      </c>
      <c r="G29" t="s">
        <v>14</v>
      </c>
      <c r="H29" s="18" cm="1">
        <f t="array" ref="H29">IF(INDEX($E$82:$L$105,MATCH($A29&amp;$F29,$C$82:$C$105&amp;$D$82:$D$105,0),MATCH(H$5,$E$81:$L$81,0))=1,-99,-INDEX($E$82:$L$105,MATCH($A29&amp;$F29,$C$82:$C$105&amp;$D$82:$D$105,0),MATCH(H$5,$E$81:$L$81,0))/(1-INDEX($E$82:$L$105,MATCH($A29&amp;$F29,$C$82:$C$105&amp;$D$82:$D$105,0),MATCH(H$5,$E$81:$L$81,0))))</f>
        <v>-99</v>
      </c>
    </row>
    <row r="30" spans="1:13" x14ac:dyDescent="0.3">
      <c r="A30" t="str">
        <f t="shared" si="3"/>
        <v>Diesel</v>
      </c>
      <c r="D30" t="s">
        <v>40</v>
      </c>
      <c r="E30" t="s">
        <v>5</v>
      </c>
      <c r="F30">
        <f>F29</f>
        <v>2035</v>
      </c>
      <c r="G30" t="s">
        <v>14</v>
      </c>
      <c r="H30" s="18">
        <v>1</v>
      </c>
    </row>
    <row r="31" spans="1:13" x14ac:dyDescent="0.3">
      <c r="A31" t="s">
        <v>52</v>
      </c>
      <c r="C31" t="str">
        <f>M31&amp;"_NO"</f>
        <v>UC_NGACAR_MaxProdShare_NO</v>
      </c>
      <c r="E31" t="s">
        <v>5</v>
      </c>
      <c r="F31">
        <v>2020</v>
      </c>
      <c r="G31" t="s">
        <v>14</v>
      </c>
      <c r="H31" s="18" cm="1">
        <f t="array" ref="H31">IF(INDEX($E$82:$L$105,MATCH($A31&amp;$F31,$C$82:$C$105&amp;$D$82:$D$105,0),MATCH(H$5,$E$81:$L$81,0))=1,-99,-INDEX($E$82:$L$105,MATCH($A31&amp;$F31,$C$82:$C$105&amp;$D$82:$D$105,0),MATCH(H$5,$E$81:$L$81,0))/(1-INDEX($E$82:$L$105,MATCH($A31&amp;$F31,$C$82:$C$105&amp;$D$82:$D$105,0),MATCH(H$5,$E$81:$L$81,0))))</f>
        <v>-1.0101010101010102E-2</v>
      </c>
      <c r="I31">
        <v>0</v>
      </c>
      <c r="J31">
        <v>14</v>
      </c>
      <c r="K31" t="s">
        <v>43</v>
      </c>
      <c r="M31" t="s">
        <v>32</v>
      </c>
    </row>
    <row r="32" spans="1:13" x14ac:dyDescent="0.3">
      <c r="A32" t="str">
        <f>A31</f>
        <v>Gas</v>
      </c>
      <c r="D32" t="s">
        <v>24</v>
      </c>
      <c r="E32" t="s">
        <v>5</v>
      </c>
      <c r="F32">
        <f>F31</f>
        <v>2020</v>
      </c>
      <c r="G32" t="s">
        <v>14</v>
      </c>
      <c r="H32" s="18">
        <v>1</v>
      </c>
    </row>
    <row r="33" spans="1:13" x14ac:dyDescent="0.3">
      <c r="A33" t="str">
        <f t="shared" ref="A33:A34" si="4">A32</f>
        <v>Gas</v>
      </c>
      <c r="E33" t="s">
        <v>5</v>
      </c>
      <c r="F33">
        <v>2025</v>
      </c>
      <c r="G33" t="s">
        <v>14</v>
      </c>
      <c r="H33" s="18" cm="1">
        <f t="array" ref="H33">IF(INDEX($E$82:$L$105,MATCH($A33&amp;$F33,$C$82:$C$105&amp;$D$82:$D$105,0),MATCH(H$5,$E$81:$L$81,0))=1,-99,-INDEX($E$82:$L$105,MATCH($A33&amp;$F33,$C$82:$C$105&amp;$D$82:$D$105,0),MATCH(H$5,$E$81:$L$81,0))/(1-INDEX($E$82:$L$105,MATCH($A33&amp;$F33,$C$82:$C$105&amp;$D$82:$D$105,0),MATCH(H$5,$E$81:$L$81,0))))</f>
        <v>-5.2631578947368425E-2</v>
      </c>
    </row>
    <row r="34" spans="1:13" x14ac:dyDescent="0.3">
      <c r="A34" t="str">
        <f t="shared" si="4"/>
        <v>Gas</v>
      </c>
      <c r="D34" t="s">
        <v>24</v>
      </c>
      <c r="E34" t="s">
        <v>5</v>
      </c>
      <c r="F34">
        <f>F33</f>
        <v>2025</v>
      </c>
      <c r="G34" t="s">
        <v>14</v>
      </c>
      <c r="H34" s="18">
        <v>1</v>
      </c>
    </row>
    <row r="35" spans="1:13" x14ac:dyDescent="0.3">
      <c r="A35" t="str">
        <f>A32</f>
        <v>Gas</v>
      </c>
      <c r="E35" t="s">
        <v>5</v>
      </c>
      <c r="F35">
        <v>2030</v>
      </c>
      <c r="G35" t="s">
        <v>14</v>
      </c>
      <c r="H35" s="18" cm="1">
        <f t="array" ref="H35">IF(INDEX($E$82:$L$105,MATCH($A35&amp;$F35,$C$82:$C$105&amp;$D$82:$D$105,0),MATCH(H$5,$E$81:$L$81,0))=1,-99,-INDEX($E$82:$L$105,MATCH($A35&amp;$F35,$C$82:$C$105&amp;$D$82:$D$105,0),MATCH(H$5,$E$81:$L$81,0))/(1-INDEX($E$82:$L$105,MATCH($A35&amp;$F35,$C$82:$C$105&amp;$D$82:$D$105,0),MATCH(H$5,$E$81:$L$81,0))))</f>
        <v>-1</v>
      </c>
    </row>
    <row r="36" spans="1:13" x14ac:dyDescent="0.3">
      <c r="A36" t="str">
        <f t="shared" ref="A36:A38" si="5">A35</f>
        <v>Gas</v>
      </c>
      <c r="D36" t="s">
        <v>24</v>
      </c>
      <c r="E36" t="s">
        <v>5</v>
      </c>
      <c r="F36">
        <f>F35</f>
        <v>2030</v>
      </c>
      <c r="G36" t="s">
        <v>14</v>
      </c>
      <c r="H36" s="18">
        <v>1</v>
      </c>
    </row>
    <row r="37" spans="1:13" x14ac:dyDescent="0.3">
      <c r="A37" t="str">
        <f t="shared" si="5"/>
        <v>Gas</v>
      </c>
      <c r="E37" t="s">
        <v>5</v>
      </c>
      <c r="F37">
        <v>2035</v>
      </c>
      <c r="G37" t="s">
        <v>14</v>
      </c>
      <c r="H37" s="18" cm="1">
        <f t="array" ref="H37">IF(INDEX($E$82:$L$105,MATCH($A37&amp;$F37,$C$82:$C$105&amp;$D$82:$D$105,0),MATCH(H$5,$E$81:$L$81,0))=1,-99,-INDEX($E$82:$L$105,MATCH($A37&amp;$F37,$C$82:$C$105&amp;$D$82:$D$105,0),MATCH(H$5,$E$81:$L$81,0))/(1-INDEX($E$82:$L$105,MATCH($A37&amp;$F37,$C$82:$C$105&amp;$D$82:$D$105,0),MATCH(H$5,$E$81:$L$81,0))))</f>
        <v>-99</v>
      </c>
    </row>
    <row r="38" spans="1:13" x14ac:dyDescent="0.3">
      <c r="A38" t="str">
        <f t="shared" si="5"/>
        <v>Gas</v>
      </c>
      <c r="D38" t="s">
        <v>24</v>
      </c>
      <c r="E38" t="s">
        <v>5</v>
      </c>
      <c r="F38">
        <f>F37</f>
        <v>2035</v>
      </c>
      <c r="G38" t="s">
        <v>14</v>
      </c>
      <c r="H38" s="18">
        <v>1</v>
      </c>
    </row>
    <row r="39" spans="1:13" x14ac:dyDescent="0.3">
      <c r="A39" t="s">
        <v>47</v>
      </c>
      <c r="C39" t="str">
        <f>M39&amp;"_NO"</f>
        <v>UC_HEVCAR_MaxProdShare_NO</v>
      </c>
      <c r="E39" t="s">
        <v>5</v>
      </c>
      <c r="F39">
        <v>2020</v>
      </c>
      <c r="G39" t="s">
        <v>14</v>
      </c>
      <c r="H39" s="18" cm="1">
        <f t="array" ref="H39">IF(INDEX($E$82:$L$105,MATCH($A39&amp;$F39,$C$82:$C$105&amp;$D$82:$D$105,0),MATCH(H$5,$E$81:$L$81,0))=1,-99,-INDEX($E$82:$L$105,MATCH($A39&amp;$F39,$C$82:$C$105&amp;$D$82:$D$105,0),MATCH(H$5,$E$81:$L$81,0))/(1-INDEX($E$82:$L$105,MATCH($A39&amp;$F39,$C$82:$C$105&amp;$D$82:$D$105,0),MATCH(H$5,$E$81:$L$81,0))))</f>
        <v>-0.33333333333333331</v>
      </c>
      <c r="I39">
        <v>0</v>
      </c>
      <c r="J39">
        <v>14</v>
      </c>
      <c r="K39" t="s">
        <v>44</v>
      </c>
      <c r="M39" t="s">
        <v>34</v>
      </c>
    </row>
    <row r="40" spans="1:13" x14ac:dyDescent="0.3">
      <c r="A40" t="str">
        <f>A39</f>
        <v>PHEV</v>
      </c>
      <c r="E40" t="s">
        <v>33</v>
      </c>
      <c r="F40">
        <f>F39</f>
        <v>2020</v>
      </c>
      <c r="G40" t="s">
        <v>14</v>
      </c>
      <c r="H40" s="18">
        <v>1</v>
      </c>
    </row>
    <row r="41" spans="1:13" x14ac:dyDescent="0.3">
      <c r="A41" t="str">
        <f t="shared" ref="A41:A42" si="6">A40</f>
        <v>PHEV</v>
      </c>
      <c r="E41" t="s">
        <v>5</v>
      </c>
      <c r="F41">
        <v>2025</v>
      </c>
      <c r="G41" t="s">
        <v>14</v>
      </c>
      <c r="H41" s="18" cm="1">
        <f t="array" ref="H41">IF(INDEX($E$82:$L$105,MATCH($A41&amp;$F41,$C$82:$C$105&amp;$D$82:$D$105,0),MATCH(H$5,$E$81:$L$81,0))=1,-99,-INDEX($E$82:$L$105,MATCH($A41&amp;$F41,$C$82:$C$105&amp;$D$82:$D$105,0),MATCH(H$5,$E$81:$L$81,0))/(1-INDEX($E$82:$L$105,MATCH($A41&amp;$F41,$C$82:$C$105&amp;$D$82:$D$105,0),MATCH(H$5,$E$81:$L$81,0))))</f>
        <v>-1.6666666666666667</v>
      </c>
    </row>
    <row r="42" spans="1:13" x14ac:dyDescent="0.3">
      <c r="A42" t="str">
        <f t="shared" si="6"/>
        <v>PHEV</v>
      </c>
      <c r="E42" t="s">
        <v>33</v>
      </c>
      <c r="F42">
        <f>F41</f>
        <v>2025</v>
      </c>
      <c r="G42" t="s">
        <v>14</v>
      </c>
      <c r="H42" s="18">
        <v>1</v>
      </c>
    </row>
    <row r="43" spans="1:13" x14ac:dyDescent="0.3">
      <c r="A43" t="str">
        <f>A40</f>
        <v>PHEV</v>
      </c>
      <c r="E43" t="s">
        <v>5</v>
      </c>
      <c r="F43">
        <v>2030</v>
      </c>
      <c r="G43" t="s">
        <v>14</v>
      </c>
      <c r="H43" s="18" cm="1">
        <f t="array" ref="H43">IF(INDEX($E$82:$L$105,MATCH($A43&amp;$F43,$C$82:$C$105&amp;$D$82:$D$105,0),MATCH(H$5,$E$81:$L$81,0))=1,-99,-INDEX($E$82:$L$105,MATCH($A43&amp;$F43,$C$82:$C$105&amp;$D$82:$D$105,0),MATCH(H$5,$E$81:$L$81,0))/(1-INDEX($E$82:$L$105,MATCH($A43&amp;$F43,$C$82:$C$105&amp;$D$82:$D$105,0),MATCH(H$5,$E$81:$L$81,0))))</f>
        <v>-99</v>
      </c>
    </row>
    <row r="44" spans="1:13" x14ac:dyDescent="0.3">
      <c r="A44" t="str">
        <f t="shared" ref="A44:A46" si="7">A43</f>
        <v>PHEV</v>
      </c>
      <c r="E44" t="s">
        <v>33</v>
      </c>
      <c r="F44">
        <f>F43</f>
        <v>2030</v>
      </c>
      <c r="G44" t="s">
        <v>14</v>
      </c>
      <c r="H44" s="18">
        <v>1</v>
      </c>
    </row>
    <row r="45" spans="1:13" x14ac:dyDescent="0.3">
      <c r="A45" t="str">
        <f t="shared" si="7"/>
        <v>PHEV</v>
      </c>
      <c r="E45" t="s">
        <v>5</v>
      </c>
      <c r="F45">
        <v>2035</v>
      </c>
      <c r="G45" t="s">
        <v>14</v>
      </c>
      <c r="H45" s="18" cm="1">
        <f t="array" ref="H45">IF(INDEX($E$82:$L$105,MATCH($A45&amp;$F45,$C$82:$C$105&amp;$D$82:$D$105,0),MATCH(H$5,$E$81:$L$81,0))=1,-99,-INDEX($E$82:$L$105,MATCH($A45&amp;$F45,$C$82:$C$105&amp;$D$82:$D$105,0),MATCH(H$5,$E$81:$L$81,0))/(1-INDEX($E$82:$L$105,MATCH($A45&amp;$F45,$C$82:$C$105&amp;$D$82:$D$105,0),MATCH(H$5,$E$81:$L$81,0))))</f>
        <v>-99</v>
      </c>
    </row>
    <row r="46" spans="1:13" x14ac:dyDescent="0.3">
      <c r="A46" t="str">
        <f t="shared" si="7"/>
        <v>PHEV</v>
      </c>
      <c r="E46" t="s">
        <v>33</v>
      </c>
      <c r="F46">
        <f>F45</f>
        <v>2035</v>
      </c>
      <c r="G46" t="s">
        <v>14</v>
      </c>
      <c r="H46" s="18">
        <v>1</v>
      </c>
    </row>
    <row r="47" spans="1:13" x14ac:dyDescent="0.3">
      <c r="A47" t="s">
        <v>46</v>
      </c>
      <c r="C47" t="str">
        <f>M47&amp;"_NO"</f>
        <v>UC_BEVCAR_MaxProdShare_NO</v>
      </c>
      <c r="E47" t="s">
        <v>5</v>
      </c>
      <c r="F47">
        <v>2020</v>
      </c>
      <c r="G47" t="s">
        <v>14</v>
      </c>
      <c r="H47" s="18" cm="1">
        <f t="array" ref="H47">IF(INDEX($E$82:$L$105,MATCH($A47&amp;$F47,$C$82:$C$105&amp;$D$82:$D$105,0),MATCH(H$5,$E$81:$L$81,0))=1,-99,-INDEX($E$82:$L$105,MATCH($A47&amp;$F47,$C$82:$C$105&amp;$D$82:$D$105,0),MATCH(H$5,$E$81:$L$81,0))/(1-INDEX($E$82:$L$105,MATCH($A47&amp;$F47,$C$82:$C$105&amp;$D$82:$D$105,0),MATCH(H$5,$E$81:$L$81,0))))</f>
        <v>-0.66666666666666674</v>
      </c>
      <c r="I47">
        <v>0</v>
      </c>
      <c r="J47">
        <v>14</v>
      </c>
      <c r="K47" t="s">
        <v>45</v>
      </c>
      <c r="M47" t="s">
        <v>36</v>
      </c>
    </row>
    <row r="48" spans="1:13" x14ac:dyDescent="0.3">
      <c r="A48" t="str">
        <f>A47</f>
        <v>BEV</v>
      </c>
      <c r="E48" t="s">
        <v>35</v>
      </c>
      <c r="F48">
        <f>F47</f>
        <v>2020</v>
      </c>
      <c r="G48" t="s">
        <v>14</v>
      </c>
      <c r="H48" s="18">
        <v>1</v>
      </c>
    </row>
    <row r="49" spans="1:13" x14ac:dyDescent="0.3">
      <c r="A49" t="str">
        <f t="shared" ref="A49:A50" si="8">A48</f>
        <v>BEV</v>
      </c>
      <c r="E49" t="s">
        <v>5</v>
      </c>
      <c r="F49">
        <v>2025</v>
      </c>
      <c r="G49" t="s">
        <v>14</v>
      </c>
      <c r="H49" s="18" cm="1">
        <f t="array" ref="H49">IF(INDEX($E$82:$L$105,MATCH($A49&amp;$F49,$C$82:$C$105&amp;$D$82:$D$105,0),MATCH(H$5,$E$81:$L$81,0))=1,-99,-INDEX($E$82:$L$105,MATCH($A49&amp;$F49,$C$82:$C$105&amp;$D$82:$D$105,0),MATCH(H$5,$E$81:$L$81,0))/(1-INDEX($E$82:$L$105,MATCH($A49&amp;$F49,$C$82:$C$105&amp;$D$82:$D$105,0),MATCH(H$5,$E$81:$L$81,0))))</f>
        <v>-2.333333333333333</v>
      </c>
    </row>
    <row r="50" spans="1:13" x14ac:dyDescent="0.3">
      <c r="A50" t="str">
        <f t="shared" si="8"/>
        <v>BEV</v>
      </c>
      <c r="E50" t="s">
        <v>35</v>
      </c>
      <c r="F50">
        <f>F49</f>
        <v>2025</v>
      </c>
      <c r="G50" t="s">
        <v>14</v>
      </c>
      <c r="H50" s="18">
        <v>1</v>
      </c>
    </row>
    <row r="51" spans="1:13" x14ac:dyDescent="0.3">
      <c r="A51" t="str">
        <f>A48</f>
        <v>BEV</v>
      </c>
      <c r="E51" t="s">
        <v>5</v>
      </c>
      <c r="F51">
        <v>2030</v>
      </c>
      <c r="G51" t="s">
        <v>14</v>
      </c>
      <c r="H51" s="18" cm="1">
        <f t="array" ref="H51">IF(INDEX($E$82:$L$105,MATCH($A51&amp;$F51,$C$82:$C$105&amp;$D$82:$D$105,0),MATCH(H$5,$E$81:$L$81,0))=1,-99,-INDEX($E$82:$L$105,MATCH($A51&amp;$F51,$C$82:$C$105&amp;$D$82:$D$105,0),MATCH(H$5,$E$81:$L$81,0))/(1-INDEX($E$82:$L$105,MATCH($A51&amp;$F51,$C$82:$C$105&amp;$D$82:$D$105,0),MATCH(H$5,$E$81:$L$81,0))))</f>
        <v>-99</v>
      </c>
    </row>
    <row r="52" spans="1:13" x14ac:dyDescent="0.3">
      <c r="A52" t="str">
        <f t="shared" ref="A52:A54" si="9">A51</f>
        <v>BEV</v>
      </c>
      <c r="E52" t="s">
        <v>35</v>
      </c>
      <c r="F52">
        <f>F51</f>
        <v>2030</v>
      </c>
      <c r="G52" t="s">
        <v>14</v>
      </c>
      <c r="H52" s="18">
        <v>1</v>
      </c>
    </row>
    <row r="53" spans="1:13" x14ac:dyDescent="0.3">
      <c r="A53" t="str">
        <f t="shared" si="9"/>
        <v>BEV</v>
      </c>
      <c r="E53" t="s">
        <v>5</v>
      </c>
      <c r="F53">
        <v>2035</v>
      </c>
      <c r="G53" t="s">
        <v>14</v>
      </c>
      <c r="H53" s="18" cm="1">
        <f t="array" ref="H53">IF(INDEX($E$82:$L$105,MATCH($A53&amp;$F53,$C$82:$C$105&amp;$D$82:$D$105,0),MATCH(H$5,$E$81:$L$81,0))=1,-99,-INDEX($E$82:$L$105,MATCH($A53&amp;$F53,$C$82:$C$105&amp;$D$82:$D$105,0),MATCH(H$5,$E$81:$L$81,0))/(1-INDEX($E$82:$L$105,MATCH($A53&amp;$F53,$C$82:$C$105&amp;$D$82:$D$105,0),MATCH(H$5,$E$81:$L$81,0))))</f>
        <v>-99</v>
      </c>
    </row>
    <row r="54" spans="1:13" x14ac:dyDescent="0.3">
      <c r="A54" t="str">
        <f t="shared" si="9"/>
        <v>BEV</v>
      </c>
      <c r="E54" t="s">
        <v>35</v>
      </c>
      <c r="F54">
        <f>F53</f>
        <v>2035</v>
      </c>
      <c r="G54" t="s">
        <v>14</v>
      </c>
      <c r="H54" s="18">
        <v>1</v>
      </c>
    </row>
    <row r="55" spans="1:13" x14ac:dyDescent="0.3">
      <c r="A55" t="s">
        <v>53</v>
      </c>
      <c r="C55" t="str">
        <f>M55&amp;"_NO"</f>
        <v>UC_FCEVTRUCK_MaxProdShare_NO</v>
      </c>
      <c r="E55" t="s">
        <v>15</v>
      </c>
      <c r="F55">
        <v>2020</v>
      </c>
      <c r="G55" t="s">
        <v>14</v>
      </c>
      <c r="H55" s="18" cm="1">
        <f t="array" ref="H55">IF(INDEX($E$82:$L$118,MATCH($A55&amp;$F55,$C$82:$C$118&amp;$D$82:$D$118,0),MATCH(H$5,$E$81:$L$81,0))=1,-99,-INDEX($E$82:$L$118,MATCH($A55&amp;$F55,$C$82:$C$118&amp;$D$82:$D$118,0),MATCH(H$5,$E$81:$L$81,0))/(1-INDEX($E$82:$L$118,MATCH($A55&amp;$F55,$C$82:$C$118&amp;$D$82:$D$118,0),MATCH(H$5,$E$81:$L$81,0))))</f>
        <v>-1.0101010101010102E-2</v>
      </c>
      <c r="I55">
        <v>0</v>
      </c>
      <c r="J55">
        <v>14</v>
      </c>
      <c r="K55" t="s">
        <v>27</v>
      </c>
      <c r="M55" t="s">
        <v>28</v>
      </c>
    </row>
    <row r="56" spans="1:13" x14ac:dyDescent="0.3">
      <c r="A56" t="s">
        <v>53</v>
      </c>
      <c r="D56" t="s">
        <v>23</v>
      </c>
      <c r="E56" t="s">
        <v>15</v>
      </c>
      <c r="F56">
        <f>F55</f>
        <v>2020</v>
      </c>
      <c r="G56" t="s">
        <v>14</v>
      </c>
      <c r="H56" s="18">
        <v>1</v>
      </c>
    </row>
    <row r="57" spans="1:13" x14ac:dyDescent="0.3">
      <c r="A57" t="s">
        <v>53</v>
      </c>
      <c r="E57" t="s">
        <v>15</v>
      </c>
      <c r="F57">
        <v>2030</v>
      </c>
      <c r="G57" t="s">
        <v>14</v>
      </c>
      <c r="H57" s="18" cm="1">
        <f t="array" ref="H57">IF(INDEX($E$82:$L$118,MATCH($A57&amp;$F57,$C$82:$C$118&amp;$D$82:$D$118,0),MATCH(H$5,$E$81:$L$81,0))=1,-99,-INDEX($E$82:$L$118,MATCH($A57&amp;$F57,$C$82:$C$118&amp;$D$82:$D$118,0),MATCH(H$5,$E$81:$L$81,0))/(1-INDEX($E$82:$L$118,MATCH($A57&amp;$F57,$C$82:$C$118&amp;$D$82:$D$118,0),MATCH(H$5,$E$81:$L$81,0))))</f>
        <v>-1</v>
      </c>
      <c r="I57" s="9"/>
      <c r="J57" s="9"/>
      <c r="K57" s="9"/>
    </row>
    <row r="58" spans="1:13" x14ac:dyDescent="0.3">
      <c r="A58" t="s">
        <v>53</v>
      </c>
      <c r="D58" t="s">
        <v>23</v>
      </c>
      <c r="E58" t="s">
        <v>15</v>
      </c>
      <c r="F58">
        <f>F57</f>
        <v>2030</v>
      </c>
      <c r="G58" t="s">
        <v>14</v>
      </c>
      <c r="H58" s="18">
        <v>1</v>
      </c>
    </row>
    <row r="59" spans="1:13" x14ac:dyDescent="0.3">
      <c r="A59" t="s">
        <v>53</v>
      </c>
      <c r="E59" t="s">
        <v>15</v>
      </c>
      <c r="F59">
        <v>2035</v>
      </c>
      <c r="G59" t="s">
        <v>14</v>
      </c>
      <c r="H59" s="18" cm="1">
        <f t="array" ref="H59">IF(INDEX($E$82:$L$118,MATCH($A59&amp;$F59,$C$82:$C$118&amp;$D$82:$D$118,0),MATCH(H$5,$E$81:$L$81,0))=1,-99,-INDEX($E$82:$L$118,MATCH($A59&amp;$F59,$C$82:$C$118&amp;$D$82:$D$118,0),MATCH(H$5,$E$81:$L$81,0))/(1-INDEX($E$82:$L$118,MATCH($A59&amp;$F59,$C$82:$C$118&amp;$D$82:$D$118,0),MATCH(H$5,$E$81:$L$81,0))))</f>
        <v>-99</v>
      </c>
      <c r="I59" s="9"/>
      <c r="J59" s="9"/>
      <c r="K59" s="9"/>
    </row>
    <row r="60" spans="1:13" x14ac:dyDescent="0.3">
      <c r="A60" t="s">
        <v>53</v>
      </c>
      <c r="D60" t="s">
        <v>23</v>
      </c>
      <c r="E60" t="s">
        <v>15</v>
      </c>
      <c r="F60">
        <f>F59</f>
        <v>2035</v>
      </c>
      <c r="G60" t="s">
        <v>14</v>
      </c>
      <c r="H60" s="18">
        <v>1</v>
      </c>
    </row>
    <row r="61" spans="1:13" x14ac:dyDescent="0.3">
      <c r="A61" t="s">
        <v>93</v>
      </c>
      <c r="C61" t="str">
        <f>M61&amp;"_NO"</f>
        <v>UC_EVTRUCK_MaxProdShare_NO</v>
      </c>
      <c r="E61" t="s">
        <v>15</v>
      </c>
      <c r="F61">
        <v>2020</v>
      </c>
      <c r="G61" t="s">
        <v>14</v>
      </c>
      <c r="H61" s="18" cm="1">
        <f t="array" ref="H61">IF(INDEX($E$82:$L$118,MATCH($A61&amp;$F61,$C$82:$C$118&amp;$D$82:$D$118,0),MATCH(H$5,$E$81:$L$81,0))=1,-99,-INDEX($E$82:$L$118,MATCH($A61&amp;$F61,$C$82:$C$118&amp;$D$82:$D$118,0),MATCH(H$5,$E$81:$L$81,0))/(1-INDEX($E$82:$L$118,MATCH($A61&amp;$F61,$C$82:$C$118&amp;$D$82:$D$118,0),MATCH(H$5,$E$81:$L$81,0))))</f>
        <v>-1.0101010101010102E-2</v>
      </c>
      <c r="I61">
        <v>0</v>
      </c>
      <c r="J61">
        <v>14</v>
      </c>
      <c r="K61" t="s">
        <v>95</v>
      </c>
      <c r="M61" t="s">
        <v>94</v>
      </c>
    </row>
    <row r="62" spans="1:13" x14ac:dyDescent="0.3">
      <c r="A62" t="s">
        <v>93</v>
      </c>
      <c r="D62" t="s">
        <v>23</v>
      </c>
      <c r="E62" t="s">
        <v>15</v>
      </c>
      <c r="F62">
        <f>F61</f>
        <v>2020</v>
      </c>
      <c r="G62" t="s">
        <v>14</v>
      </c>
      <c r="H62" s="18">
        <v>1</v>
      </c>
    </row>
    <row r="63" spans="1:13" x14ac:dyDescent="0.3">
      <c r="A63" t="s">
        <v>93</v>
      </c>
      <c r="E63" t="s">
        <v>15</v>
      </c>
      <c r="F63">
        <v>2030</v>
      </c>
      <c r="G63" t="s">
        <v>14</v>
      </c>
      <c r="H63" s="18" cm="1">
        <f t="array" ref="H63">IF(INDEX($E$82:$L$118,MATCH($A63&amp;$F63,$C$82:$C$118&amp;$D$82:$D$118,0),MATCH(H$5,$E$81:$L$81,0))=1,-99,-INDEX($E$82:$L$118,MATCH($A63&amp;$F63,$C$82:$C$118&amp;$D$82:$D$118,0),MATCH(H$5,$E$81:$L$81,0))/(1-INDEX($E$82:$L$118,MATCH($A63&amp;$F63,$C$82:$C$118&amp;$D$82:$D$118,0),MATCH(H$5,$E$81:$L$81,0))))</f>
        <v>-1</v>
      </c>
      <c r="I63" s="9"/>
      <c r="J63" s="13"/>
      <c r="K63" s="9"/>
    </row>
    <row r="64" spans="1:13" x14ac:dyDescent="0.3">
      <c r="A64" t="s">
        <v>93</v>
      </c>
      <c r="D64" t="s">
        <v>23</v>
      </c>
      <c r="E64" t="s">
        <v>15</v>
      </c>
      <c r="F64">
        <f>F63</f>
        <v>2030</v>
      </c>
      <c r="G64" t="s">
        <v>14</v>
      </c>
      <c r="H64" s="18">
        <v>1</v>
      </c>
    </row>
    <row r="65" spans="1:20" x14ac:dyDescent="0.3">
      <c r="A65" t="s">
        <v>93</v>
      </c>
      <c r="E65" t="s">
        <v>15</v>
      </c>
      <c r="F65">
        <v>2035</v>
      </c>
      <c r="G65" t="s">
        <v>14</v>
      </c>
      <c r="H65" s="18" cm="1">
        <f t="array" ref="H65">IF(INDEX($E$82:$L$118,MATCH($A65&amp;$F65,$C$82:$C$118&amp;$D$82:$D$118,0),MATCH(H$5,$E$81:$L$81,0))=1,-99,-INDEX($E$82:$L$118,MATCH($A65&amp;$F65,$C$82:$C$118&amp;$D$82:$D$118,0),MATCH(H$5,$E$81:$L$81,0))/(1-INDEX($E$82:$L$118,MATCH($A65&amp;$F65,$C$82:$C$118&amp;$D$82:$D$118,0),MATCH(H$5,$E$81:$L$81,0))))</f>
        <v>-99</v>
      </c>
      <c r="I65" s="9"/>
      <c r="J65" s="13"/>
      <c r="K65" s="9"/>
    </row>
    <row r="66" spans="1:20" x14ac:dyDescent="0.3">
      <c r="A66" t="s">
        <v>93</v>
      </c>
      <c r="D66" t="s">
        <v>23</v>
      </c>
      <c r="E66" t="s">
        <v>15</v>
      </c>
      <c r="F66">
        <f>F65</f>
        <v>2035</v>
      </c>
      <c r="G66" t="s">
        <v>14</v>
      </c>
      <c r="H66" s="18">
        <v>1</v>
      </c>
    </row>
    <row r="67" spans="1:20" x14ac:dyDescent="0.3">
      <c r="A67" t="s">
        <v>54</v>
      </c>
      <c r="C67" t="str">
        <f>M67&amp;"_NO"</f>
        <v>UC_GASTRUCK_MaxProdShare_NO</v>
      </c>
      <c r="E67" t="s">
        <v>15</v>
      </c>
      <c r="F67">
        <v>2015</v>
      </c>
      <c r="G67" t="s">
        <v>14</v>
      </c>
      <c r="H67" s="18" cm="1">
        <f t="array" ref="H67">IF(INDEX($E$82:$L$118,MATCH($A67&amp;$F67,$C$82:$C$118&amp;$D$82:$D$118,0),MATCH(H$5,$E$81:$L$81,0))=1,-99,-INDEX($E$82:$L$118,MATCH($A67&amp;$F67,$C$82:$C$118&amp;$D$82:$D$118,0),MATCH(H$5,$E$81:$L$81,0))/(1-INDEX($E$82:$L$118,MATCH($A67&amp;$F67,$C$82:$C$118&amp;$D$82:$D$118,0),MATCH(H$5,$E$81:$L$81,0))))</f>
        <v>-1.0101010101010102E-2</v>
      </c>
      <c r="I67">
        <v>0</v>
      </c>
      <c r="K67" t="s">
        <v>29</v>
      </c>
      <c r="M67" t="s">
        <v>30</v>
      </c>
    </row>
    <row r="68" spans="1:20" x14ac:dyDescent="0.3">
      <c r="A68" t="s">
        <v>54</v>
      </c>
      <c r="D68" t="s">
        <v>24</v>
      </c>
      <c r="E68" t="s">
        <v>15</v>
      </c>
      <c r="F68">
        <f>F67</f>
        <v>2015</v>
      </c>
      <c r="G68" t="s">
        <v>14</v>
      </c>
      <c r="H68" s="18">
        <v>1</v>
      </c>
    </row>
    <row r="69" spans="1:20" x14ac:dyDescent="0.3">
      <c r="A69" t="s">
        <v>54</v>
      </c>
      <c r="E69" s="13" t="s">
        <v>15</v>
      </c>
      <c r="F69" s="13">
        <v>2020</v>
      </c>
      <c r="G69" s="13" t="s">
        <v>14</v>
      </c>
      <c r="H69" s="18" cm="1">
        <f t="array" ref="H69">IF(INDEX($E$82:$L$118,MATCH($A69&amp;$F69,$C$82:$C$118&amp;$D$82:$D$118,0),MATCH(H$5,$E$81:$L$81,0))=1,-99,-INDEX($E$82:$L$118,MATCH($A69&amp;$F69,$C$82:$C$118&amp;$D$82:$D$118,0),MATCH(H$5,$E$81:$L$81,0))/(1-INDEX($E$82:$L$118,MATCH($A69&amp;$F69,$C$82:$C$118&amp;$D$82:$D$118,0),MATCH(H$5,$E$81:$L$81,0))))</f>
        <v>-1.0101010101010102E-2</v>
      </c>
      <c r="I69" s="13"/>
      <c r="J69">
        <v>14</v>
      </c>
      <c r="K69" s="13"/>
    </row>
    <row r="70" spans="1:20" x14ac:dyDescent="0.3">
      <c r="A70" t="s">
        <v>54</v>
      </c>
      <c r="D70" t="s">
        <v>24</v>
      </c>
      <c r="E70" t="s">
        <v>15</v>
      </c>
      <c r="F70">
        <f>F69</f>
        <v>2020</v>
      </c>
      <c r="G70" t="s">
        <v>14</v>
      </c>
      <c r="H70" s="18">
        <v>1</v>
      </c>
    </row>
    <row r="71" spans="1:20" x14ac:dyDescent="0.3">
      <c r="A71" t="s">
        <v>54</v>
      </c>
      <c r="E71" s="13" t="s">
        <v>15</v>
      </c>
      <c r="F71" s="13">
        <v>2030</v>
      </c>
      <c r="G71" s="13" t="s">
        <v>14</v>
      </c>
      <c r="H71" s="18" cm="1">
        <f t="array" ref="H71">IF(INDEX($E$82:$L$118,MATCH($A71&amp;$F71,$C$82:$C$118&amp;$D$82:$D$118,0),MATCH(H$5,$E$81:$L$81,0))=1,-99,-INDEX($E$82:$L$118,MATCH($A71&amp;$F71,$C$82:$C$118&amp;$D$82:$D$118,0),MATCH(H$5,$E$81:$L$81,0))/(1-INDEX($E$82:$L$118,MATCH($A71&amp;$F71,$C$82:$C$118&amp;$D$82:$D$118,0),MATCH(H$5,$E$81:$L$81,0))))</f>
        <v>-1</v>
      </c>
      <c r="I71" s="13"/>
      <c r="J71" s="13"/>
      <c r="K71" s="13"/>
    </row>
    <row r="72" spans="1:20" x14ac:dyDescent="0.3">
      <c r="A72" t="s">
        <v>54</v>
      </c>
      <c r="D72" t="s">
        <v>24</v>
      </c>
      <c r="E72" t="s">
        <v>15</v>
      </c>
      <c r="F72">
        <f>F71</f>
        <v>2030</v>
      </c>
      <c r="G72" t="s">
        <v>14</v>
      </c>
      <c r="H72" s="18">
        <v>1</v>
      </c>
    </row>
    <row r="73" spans="1:20" x14ac:dyDescent="0.3">
      <c r="A73" t="s">
        <v>54</v>
      </c>
      <c r="E73" s="13" t="s">
        <v>15</v>
      </c>
      <c r="F73" s="13">
        <v>2035</v>
      </c>
      <c r="G73" s="13" t="s">
        <v>14</v>
      </c>
      <c r="H73" s="18" cm="1">
        <f t="array" ref="H73">IF(INDEX($E$82:$L$118,MATCH($A73&amp;$F73,$C$82:$C$118&amp;$D$82:$D$118,0),MATCH(H$5,$E$81:$L$81,0))=1,-99,-INDEX($E$82:$L$118,MATCH($A73&amp;$F73,$C$82:$C$118&amp;$D$82:$D$118,0),MATCH(H$5,$E$81:$L$81,0))/(1-INDEX($E$82:$L$118,MATCH($A73&amp;$F73,$C$82:$C$118&amp;$D$82:$D$118,0),MATCH(H$5,$E$81:$L$81,0))))</f>
        <v>-99</v>
      </c>
    </row>
    <row r="74" spans="1:20" x14ac:dyDescent="0.3">
      <c r="A74" t="s">
        <v>54</v>
      </c>
      <c r="D74" t="s">
        <v>24</v>
      </c>
      <c r="E74" t="s">
        <v>15</v>
      </c>
      <c r="F74">
        <f>F73</f>
        <v>2035</v>
      </c>
      <c r="G74" t="s">
        <v>14</v>
      </c>
      <c r="H74" s="18">
        <v>1</v>
      </c>
    </row>
    <row r="76" spans="1:20" x14ac:dyDescent="0.3"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3">
      <c r="G77" s="9"/>
    </row>
    <row r="78" spans="1:20" x14ac:dyDescent="0.3">
      <c r="J78" s="17"/>
      <c r="K78" s="17"/>
      <c r="L78" s="17"/>
      <c r="M78" s="17"/>
      <c r="N78" s="17"/>
      <c r="O78" s="17"/>
      <c r="P78" s="17"/>
      <c r="Q78" s="17"/>
    </row>
    <row r="79" spans="1:20" x14ac:dyDescent="0.3">
      <c r="J79" s="17"/>
      <c r="K79" s="17"/>
      <c r="L79" s="17"/>
      <c r="M79" s="17"/>
      <c r="N79" s="17"/>
      <c r="O79" s="17"/>
      <c r="P79" s="17"/>
      <c r="Q79" s="17"/>
    </row>
    <row r="80" spans="1:20" x14ac:dyDescent="0.3">
      <c r="C80" t="s">
        <v>51</v>
      </c>
      <c r="J80" s="17"/>
      <c r="K80" s="17"/>
      <c r="L80" s="17"/>
      <c r="M80" s="17"/>
      <c r="N80" s="17"/>
      <c r="O80" s="17"/>
      <c r="P80" s="17"/>
      <c r="Q80" s="17"/>
    </row>
    <row r="81" spans="3:17" x14ac:dyDescent="0.3">
      <c r="E81" s="8" t="s">
        <v>8</v>
      </c>
      <c r="F81" s="8" t="s">
        <v>9</v>
      </c>
      <c r="G81" s="8" t="s">
        <v>6</v>
      </c>
      <c r="H81" s="8" t="s">
        <v>7</v>
      </c>
      <c r="I81" s="8" t="s">
        <v>10</v>
      </c>
      <c r="J81" s="8" t="s">
        <v>11</v>
      </c>
      <c r="K81" s="8" t="s">
        <v>12</v>
      </c>
      <c r="L81" s="8" t="s">
        <v>13</v>
      </c>
    </row>
    <row r="82" spans="3:17" x14ac:dyDescent="0.3">
      <c r="C82" t="s">
        <v>46</v>
      </c>
      <c r="D82">
        <v>2020</v>
      </c>
      <c r="E82" s="16">
        <v>0.4</v>
      </c>
      <c r="F82" s="16">
        <f>E82</f>
        <v>0.4</v>
      </c>
      <c r="G82" s="16">
        <f>I137</f>
        <v>0.03</v>
      </c>
      <c r="H82" s="16">
        <f>G82</f>
        <v>0.03</v>
      </c>
      <c r="I82" s="16">
        <v>7.0000000000000007E-2</v>
      </c>
      <c r="J82" s="16">
        <f>I82</f>
        <v>7.0000000000000007E-2</v>
      </c>
      <c r="K82" s="16">
        <f>J82</f>
        <v>7.0000000000000007E-2</v>
      </c>
      <c r="L82" s="16">
        <f>K82</f>
        <v>7.0000000000000007E-2</v>
      </c>
      <c r="M82" s="17"/>
      <c r="N82" s="17"/>
      <c r="O82" s="17"/>
      <c r="P82" s="17"/>
      <c r="Q82" s="17"/>
    </row>
    <row r="83" spans="3:17" x14ac:dyDescent="0.3">
      <c r="C83" t="s">
        <v>46</v>
      </c>
      <c r="D83">
        <v>2025</v>
      </c>
      <c r="E83" s="16">
        <f>E84/2+E82/2</f>
        <v>0.7</v>
      </c>
      <c r="F83" s="16">
        <f t="shared" ref="F83:F118" si="10">E83</f>
        <v>0.7</v>
      </c>
      <c r="G83" s="16">
        <f>SUM(N136:N138)+0.05</f>
        <v>0.1928050042198976</v>
      </c>
      <c r="H83" s="16">
        <f t="shared" ref="H83:H118" si="11">G83</f>
        <v>0.1928050042198976</v>
      </c>
      <c r="I83" s="16">
        <f>I84/2+I82/2</f>
        <v>0.3024432824061547</v>
      </c>
      <c r="J83" s="16">
        <f t="shared" ref="J83:L98" si="12">I83</f>
        <v>0.3024432824061547</v>
      </c>
      <c r="K83" s="16">
        <f t="shared" si="12"/>
        <v>0.3024432824061547</v>
      </c>
      <c r="L83" s="16">
        <f t="shared" si="12"/>
        <v>0.3024432824061547</v>
      </c>
      <c r="M83" s="17"/>
      <c r="N83" s="17"/>
      <c r="O83" s="17"/>
      <c r="P83" s="17"/>
      <c r="Q83" s="17"/>
    </row>
    <row r="84" spans="3:17" x14ac:dyDescent="0.3">
      <c r="C84" t="s">
        <v>46</v>
      </c>
      <c r="D84">
        <v>2030</v>
      </c>
      <c r="E84" s="16">
        <v>1</v>
      </c>
      <c r="F84" s="16">
        <f t="shared" si="10"/>
        <v>1</v>
      </c>
      <c r="G84" s="16">
        <f>SUM(S136:S138)+0.1</f>
        <v>0.46488656481230928</v>
      </c>
      <c r="H84" s="16">
        <f t="shared" si="11"/>
        <v>0.46488656481230928</v>
      </c>
      <c r="I84" s="16">
        <f>G84+I82</f>
        <v>0.53488656481230934</v>
      </c>
      <c r="J84" s="16">
        <f t="shared" si="12"/>
        <v>0.53488656481230934</v>
      </c>
      <c r="K84" s="16">
        <f t="shared" si="12"/>
        <v>0.53488656481230934</v>
      </c>
      <c r="L84" s="16">
        <f t="shared" si="12"/>
        <v>0.53488656481230934</v>
      </c>
      <c r="M84" s="17"/>
      <c r="N84" s="17"/>
      <c r="O84" s="17"/>
      <c r="P84" s="17"/>
      <c r="Q84" s="17"/>
    </row>
    <row r="85" spans="3:17" x14ac:dyDescent="0.3">
      <c r="C85" t="s">
        <v>46</v>
      </c>
      <c r="D85">
        <v>2035</v>
      </c>
      <c r="E85" s="16">
        <v>1</v>
      </c>
      <c r="F85" s="16">
        <f t="shared" si="10"/>
        <v>1</v>
      </c>
      <c r="G85" s="16">
        <v>1</v>
      </c>
      <c r="H85" s="16">
        <f t="shared" si="11"/>
        <v>1</v>
      </c>
      <c r="I85" s="16">
        <v>1</v>
      </c>
      <c r="J85" s="16">
        <f t="shared" si="12"/>
        <v>1</v>
      </c>
      <c r="K85" s="16">
        <f t="shared" si="12"/>
        <v>1</v>
      </c>
      <c r="L85" s="16">
        <f t="shared" si="12"/>
        <v>1</v>
      </c>
      <c r="M85" s="17"/>
      <c r="N85" s="17"/>
      <c r="O85" s="17"/>
      <c r="P85" s="17"/>
      <c r="Q85" s="17"/>
    </row>
    <row r="86" spans="3:17" x14ac:dyDescent="0.3">
      <c r="C86" t="s">
        <v>47</v>
      </c>
      <c r="D86">
        <v>2020</v>
      </c>
      <c r="E86" s="16">
        <v>0.25</v>
      </c>
      <c r="F86" s="16">
        <f t="shared" si="10"/>
        <v>0.25</v>
      </c>
      <c r="G86" s="16">
        <f>I140</f>
        <v>0.04</v>
      </c>
      <c r="H86" s="16">
        <f t="shared" si="11"/>
        <v>0.04</v>
      </c>
      <c r="I86" s="16">
        <v>7.0000000000000007E-2</v>
      </c>
      <c r="J86" s="16">
        <f t="shared" si="12"/>
        <v>7.0000000000000007E-2</v>
      </c>
      <c r="K86" s="16">
        <f t="shared" si="12"/>
        <v>7.0000000000000007E-2</v>
      </c>
      <c r="L86" s="16">
        <f t="shared" si="12"/>
        <v>7.0000000000000007E-2</v>
      </c>
      <c r="M86" s="17"/>
      <c r="N86" s="17"/>
      <c r="O86" s="17"/>
      <c r="P86" s="17"/>
      <c r="Q86" s="17"/>
    </row>
    <row r="87" spans="3:17" x14ac:dyDescent="0.3">
      <c r="C87" t="str">
        <f>C86</f>
        <v>PHEV</v>
      </c>
      <c r="D87">
        <v>2025</v>
      </c>
      <c r="E87" s="16">
        <f>E88/2+E86/2</f>
        <v>0.625</v>
      </c>
      <c r="F87" s="16">
        <f t="shared" si="10"/>
        <v>0.625</v>
      </c>
      <c r="G87" s="16">
        <f>SUM(N139:N141)+0.05</f>
        <v>0.61506366104595334</v>
      </c>
      <c r="H87" s="16">
        <f t="shared" si="11"/>
        <v>0.61506366104595334</v>
      </c>
      <c r="I87" s="16">
        <f>I88/2+I86/2</f>
        <v>0.53500000000000003</v>
      </c>
      <c r="J87" s="16">
        <f t="shared" si="12"/>
        <v>0.53500000000000003</v>
      </c>
      <c r="K87" s="16">
        <f t="shared" si="12"/>
        <v>0.53500000000000003</v>
      </c>
      <c r="L87" s="16">
        <f t="shared" si="12"/>
        <v>0.53500000000000003</v>
      </c>
      <c r="M87" s="17"/>
      <c r="N87" s="17"/>
      <c r="O87" s="17"/>
      <c r="P87" s="17"/>
      <c r="Q87" s="17"/>
    </row>
    <row r="88" spans="3:17" x14ac:dyDescent="0.3">
      <c r="C88" t="str">
        <f>C87</f>
        <v>PHEV</v>
      </c>
      <c r="D88">
        <v>2030</v>
      </c>
      <c r="E88" s="16">
        <v>1</v>
      </c>
      <c r="F88" s="16">
        <f t="shared" si="10"/>
        <v>1</v>
      </c>
      <c r="G88" s="16">
        <f>SUM(S139:S141)+0.1</f>
        <v>0.73511243630403855</v>
      </c>
      <c r="H88" s="16">
        <f t="shared" si="11"/>
        <v>0.73511243630403855</v>
      </c>
      <c r="I88" s="16">
        <v>1</v>
      </c>
      <c r="J88" s="16">
        <f t="shared" si="12"/>
        <v>1</v>
      </c>
      <c r="K88" s="16">
        <f t="shared" si="12"/>
        <v>1</v>
      </c>
      <c r="L88" s="16">
        <f t="shared" si="12"/>
        <v>1</v>
      </c>
      <c r="M88" s="17"/>
      <c r="N88" s="17"/>
      <c r="O88" s="17"/>
      <c r="P88" s="17"/>
      <c r="Q88" s="17"/>
    </row>
    <row r="89" spans="3:17" x14ac:dyDescent="0.3">
      <c r="C89" t="str">
        <f>C88</f>
        <v>PHEV</v>
      </c>
      <c r="D89">
        <v>2035</v>
      </c>
      <c r="E89" s="16">
        <v>1</v>
      </c>
      <c r="F89" s="16">
        <f t="shared" si="10"/>
        <v>1</v>
      </c>
      <c r="G89" s="16">
        <v>1</v>
      </c>
      <c r="H89" s="16">
        <f t="shared" si="11"/>
        <v>1</v>
      </c>
      <c r="I89" s="16">
        <v>1</v>
      </c>
      <c r="J89" s="16">
        <f t="shared" si="12"/>
        <v>1</v>
      </c>
      <c r="K89" s="16">
        <f t="shared" si="12"/>
        <v>1</v>
      </c>
      <c r="L89" s="16">
        <f t="shared" si="12"/>
        <v>1</v>
      </c>
      <c r="M89" s="17"/>
      <c r="N89" s="17"/>
      <c r="O89" s="17"/>
      <c r="P89" s="17"/>
      <c r="Q89" s="17"/>
    </row>
    <row r="90" spans="3:17" x14ac:dyDescent="0.3">
      <c r="C90" t="s">
        <v>48</v>
      </c>
      <c r="D90">
        <v>2020</v>
      </c>
      <c r="E90" s="16">
        <v>0.01</v>
      </c>
      <c r="F90" s="16">
        <f t="shared" si="10"/>
        <v>0.01</v>
      </c>
      <c r="G90" s="16">
        <f>I134</f>
        <v>8.0363751718303886E-5</v>
      </c>
      <c r="H90" s="16">
        <f t="shared" si="11"/>
        <v>8.0363751718303886E-5</v>
      </c>
      <c r="I90" s="16">
        <v>0.01</v>
      </c>
      <c r="J90" s="16">
        <f t="shared" si="12"/>
        <v>0.01</v>
      </c>
      <c r="K90" s="16">
        <f t="shared" si="12"/>
        <v>0.01</v>
      </c>
      <c r="L90" s="16">
        <f t="shared" si="12"/>
        <v>0.01</v>
      </c>
      <c r="M90" s="17"/>
      <c r="N90" s="17"/>
      <c r="O90" s="17"/>
      <c r="P90" s="17"/>
      <c r="Q90" s="17"/>
    </row>
    <row r="91" spans="3:17" x14ac:dyDescent="0.3">
      <c r="C91" t="str">
        <f>C90</f>
        <v>FC EV</v>
      </c>
      <c r="D91">
        <v>2025</v>
      </c>
      <c r="E91" s="16">
        <v>0.05</v>
      </c>
      <c r="F91" s="16">
        <f t="shared" si="10"/>
        <v>0.05</v>
      </c>
      <c r="G91" s="16">
        <f>SUM(N133:N135)+0.05</f>
        <v>5.0001470762908638E-2</v>
      </c>
      <c r="H91" s="16">
        <f t="shared" si="11"/>
        <v>5.0001470762908638E-2</v>
      </c>
      <c r="I91" s="16">
        <v>0.05</v>
      </c>
      <c r="J91" s="16">
        <f t="shared" si="12"/>
        <v>0.05</v>
      </c>
      <c r="K91" s="16">
        <f t="shared" si="12"/>
        <v>0.05</v>
      </c>
      <c r="L91" s="16">
        <f t="shared" si="12"/>
        <v>0.05</v>
      </c>
      <c r="M91" s="17"/>
      <c r="N91" s="17"/>
      <c r="O91" s="17"/>
      <c r="P91" s="17"/>
      <c r="Q91" s="17"/>
    </row>
    <row r="92" spans="3:17" x14ac:dyDescent="0.3">
      <c r="C92" t="str">
        <f>C91</f>
        <v>FC EV</v>
      </c>
      <c r="D92">
        <v>2030</v>
      </c>
      <c r="E92" s="16">
        <v>0.5</v>
      </c>
      <c r="F92" s="16">
        <f t="shared" si="10"/>
        <v>0.5</v>
      </c>
      <c r="G92" s="16">
        <f>SUM(S133:S135)+0.1</f>
        <v>0.1000009988836523</v>
      </c>
      <c r="H92" s="16">
        <f t="shared" si="11"/>
        <v>0.1000009988836523</v>
      </c>
      <c r="I92" s="16">
        <v>0.5</v>
      </c>
      <c r="J92" s="16">
        <f t="shared" si="12"/>
        <v>0.5</v>
      </c>
      <c r="K92" s="16">
        <f t="shared" si="12"/>
        <v>0.5</v>
      </c>
      <c r="L92" s="16">
        <f t="shared" si="12"/>
        <v>0.5</v>
      </c>
      <c r="M92" s="17"/>
      <c r="N92" s="17"/>
      <c r="O92" s="17"/>
      <c r="P92" s="17"/>
      <c r="Q92" s="17"/>
    </row>
    <row r="93" spans="3:17" x14ac:dyDescent="0.3">
      <c r="C93" t="str">
        <f>C92</f>
        <v>FC EV</v>
      </c>
      <c r="D93">
        <v>2035</v>
      </c>
      <c r="E93" s="16">
        <v>1</v>
      </c>
      <c r="F93" s="16">
        <f t="shared" si="10"/>
        <v>1</v>
      </c>
      <c r="G93" s="16">
        <v>1</v>
      </c>
      <c r="H93" s="16">
        <f t="shared" si="11"/>
        <v>1</v>
      </c>
      <c r="I93" s="16">
        <v>1</v>
      </c>
      <c r="J93" s="16">
        <f t="shared" si="12"/>
        <v>1</v>
      </c>
      <c r="K93" s="16">
        <f t="shared" si="12"/>
        <v>1</v>
      </c>
      <c r="L93" s="16">
        <f t="shared" si="12"/>
        <v>1</v>
      </c>
      <c r="M93" s="17"/>
      <c r="N93" s="17"/>
      <c r="O93" s="17"/>
      <c r="P93" s="17"/>
      <c r="Q93" s="17"/>
    </row>
    <row r="94" spans="3:17" x14ac:dyDescent="0.3">
      <c r="C94" t="s">
        <v>52</v>
      </c>
      <c r="D94">
        <v>2020</v>
      </c>
      <c r="E94" s="16">
        <v>0.01</v>
      </c>
      <c r="F94" s="16">
        <f t="shared" si="10"/>
        <v>0.01</v>
      </c>
      <c r="G94" s="16">
        <v>0</v>
      </c>
      <c r="H94" s="16">
        <f t="shared" si="11"/>
        <v>0</v>
      </c>
      <c r="I94" s="16">
        <v>0.01</v>
      </c>
      <c r="J94" s="16">
        <f t="shared" si="12"/>
        <v>0.01</v>
      </c>
      <c r="K94" s="16">
        <f t="shared" si="12"/>
        <v>0.01</v>
      </c>
      <c r="L94" s="16">
        <f t="shared" si="12"/>
        <v>0.01</v>
      </c>
      <c r="M94" s="17"/>
      <c r="N94" s="17"/>
      <c r="O94" s="17"/>
      <c r="P94" s="17"/>
      <c r="Q94" s="17"/>
    </row>
    <row r="95" spans="3:17" x14ac:dyDescent="0.3">
      <c r="C95" t="str">
        <f>C94</f>
        <v>Gas</v>
      </c>
      <c r="D95">
        <v>2025</v>
      </c>
      <c r="E95" s="16">
        <v>0.05</v>
      </c>
      <c r="F95" s="16">
        <f t="shared" si="10"/>
        <v>0.05</v>
      </c>
      <c r="G95" s="16">
        <f>G91</f>
        <v>5.0001470762908638E-2</v>
      </c>
      <c r="H95" s="16">
        <f t="shared" si="11"/>
        <v>5.0001470762908638E-2</v>
      </c>
      <c r="I95" s="16">
        <v>0.05</v>
      </c>
      <c r="J95" s="16">
        <f t="shared" si="12"/>
        <v>0.05</v>
      </c>
      <c r="K95" s="16">
        <f t="shared" si="12"/>
        <v>0.05</v>
      </c>
      <c r="L95" s="16">
        <f t="shared" si="12"/>
        <v>0.05</v>
      </c>
      <c r="M95" s="17"/>
      <c r="N95" s="17"/>
      <c r="O95" s="17"/>
      <c r="P95" s="17"/>
      <c r="Q95" s="17"/>
    </row>
    <row r="96" spans="3:17" x14ac:dyDescent="0.3">
      <c r="C96" t="str">
        <f>C95</f>
        <v>Gas</v>
      </c>
      <c r="D96">
        <v>2030</v>
      </c>
      <c r="E96" s="16">
        <v>0.5</v>
      </c>
      <c r="F96" s="16">
        <f t="shared" si="10"/>
        <v>0.5</v>
      </c>
      <c r="G96" s="16">
        <f>G92</f>
        <v>0.1000009988836523</v>
      </c>
      <c r="H96" s="16">
        <f t="shared" si="11"/>
        <v>0.1000009988836523</v>
      </c>
      <c r="I96" s="16">
        <v>0.5</v>
      </c>
      <c r="J96" s="16">
        <f t="shared" si="12"/>
        <v>0.5</v>
      </c>
      <c r="K96" s="16">
        <f t="shared" si="12"/>
        <v>0.5</v>
      </c>
      <c r="L96" s="16">
        <f t="shared" si="12"/>
        <v>0.5</v>
      </c>
      <c r="M96" s="17"/>
      <c r="N96" s="17"/>
      <c r="O96" s="17"/>
      <c r="P96" s="17"/>
      <c r="Q96" s="17"/>
    </row>
    <row r="97" spans="3:17" x14ac:dyDescent="0.3">
      <c r="C97" t="str">
        <f>C96</f>
        <v>Gas</v>
      </c>
      <c r="D97">
        <v>2035</v>
      </c>
      <c r="E97" s="16">
        <v>1</v>
      </c>
      <c r="F97" s="16">
        <f t="shared" si="10"/>
        <v>1</v>
      </c>
      <c r="G97" s="16">
        <v>1</v>
      </c>
      <c r="H97" s="16">
        <f t="shared" si="11"/>
        <v>1</v>
      </c>
      <c r="I97" s="16">
        <v>1</v>
      </c>
      <c r="J97" s="16">
        <f t="shared" si="12"/>
        <v>1</v>
      </c>
      <c r="K97" s="16">
        <f t="shared" si="12"/>
        <v>1</v>
      </c>
      <c r="L97" s="16">
        <f t="shared" si="12"/>
        <v>1</v>
      </c>
      <c r="M97" s="17"/>
      <c r="N97" s="17"/>
      <c r="O97" s="17"/>
      <c r="P97" s="17"/>
      <c r="Q97" s="17"/>
    </row>
    <row r="98" spans="3:17" x14ac:dyDescent="0.3">
      <c r="C98" t="s">
        <v>50</v>
      </c>
      <c r="D98">
        <v>2020</v>
      </c>
      <c r="E98" s="16">
        <f>(1-(E82+E86))*0.3</f>
        <v>0.105</v>
      </c>
      <c r="F98" s="16">
        <f t="shared" si="10"/>
        <v>0.105</v>
      </c>
      <c r="G98" s="16">
        <f>I131</f>
        <v>0.33485249021888536</v>
      </c>
      <c r="H98" s="16">
        <f t="shared" si="11"/>
        <v>0.33485249021888536</v>
      </c>
      <c r="I98" s="16">
        <f>(1-(I82+I86))*0.3</f>
        <v>0.25800000000000001</v>
      </c>
      <c r="J98" s="16">
        <f t="shared" si="12"/>
        <v>0.25800000000000001</v>
      </c>
      <c r="K98" s="16">
        <f t="shared" si="12"/>
        <v>0.25800000000000001</v>
      </c>
      <c r="L98" s="16">
        <f t="shared" si="12"/>
        <v>0.25800000000000001</v>
      </c>
      <c r="M98" s="17"/>
      <c r="N98" s="17"/>
      <c r="O98" s="17"/>
      <c r="P98" s="17"/>
      <c r="Q98" s="17"/>
    </row>
    <row r="99" spans="3:17" x14ac:dyDescent="0.3">
      <c r="C99" t="str">
        <f>C98</f>
        <v>Diesel</v>
      </c>
      <c r="D99">
        <v>2025</v>
      </c>
      <c r="E99" s="16">
        <f>E98</f>
        <v>0.105</v>
      </c>
      <c r="F99" s="16">
        <f t="shared" si="10"/>
        <v>0.105</v>
      </c>
      <c r="G99" s="16">
        <f>SUM(N130:N132)+0.05</f>
        <v>5.1516648714528573E-2</v>
      </c>
      <c r="H99" s="16">
        <f t="shared" si="11"/>
        <v>5.1516648714528573E-2</v>
      </c>
      <c r="I99" s="16">
        <f>I98</f>
        <v>0.25800000000000001</v>
      </c>
      <c r="J99" s="16">
        <f t="shared" ref="J99:L118" si="13">I99</f>
        <v>0.25800000000000001</v>
      </c>
      <c r="K99" s="16">
        <f t="shared" si="13"/>
        <v>0.25800000000000001</v>
      </c>
      <c r="L99" s="16">
        <f t="shared" si="13"/>
        <v>0.25800000000000001</v>
      </c>
      <c r="M99" s="17"/>
      <c r="N99" s="17"/>
      <c r="O99" s="17"/>
      <c r="P99" s="17"/>
      <c r="Q99" s="17"/>
    </row>
    <row r="100" spans="3:17" x14ac:dyDescent="0.3">
      <c r="C100" t="str">
        <f>C99</f>
        <v>Diesel</v>
      </c>
      <c r="D100">
        <v>2030</v>
      </c>
      <c r="E100" s="16">
        <f>E101/2+E99/2</f>
        <v>0.55249999999999999</v>
      </c>
      <c r="F100" s="16">
        <f t="shared" si="10"/>
        <v>0.55249999999999999</v>
      </c>
      <c r="G100" s="16">
        <f>SUM(S130:S132)+0.1</f>
        <v>0.1</v>
      </c>
      <c r="H100" s="16">
        <f t="shared" si="11"/>
        <v>0.1</v>
      </c>
      <c r="I100" s="16">
        <f>I101/2+I99/2</f>
        <v>0.629</v>
      </c>
      <c r="J100" s="16">
        <f t="shared" si="13"/>
        <v>0.629</v>
      </c>
      <c r="K100" s="16">
        <f t="shared" si="13"/>
        <v>0.629</v>
      </c>
      <c r="L100" s="16">
        <f t="shared" si="13"/>
        <v>0.629</v>
      </c>
      <c r="M100" s="17"/>
      <c r="N100" s="17"/>
      <c r="O100" s="17"/>
      <c r="P100" s="17"/>
      <c r="Q100" s="17"/>
    </row>
    <row r="101" spans="3:17" x14ac:dyDescent="0.3">
      <c r="C101" t="str">
        <f>C100</f>
        <v>Diesel</v>
      </c>
      <c r="D101">
        <v>2035</v>
      </c>
      <c r="E101" s="16">
        <v>1</v>
      </c>
      <c r="F101" s="16">
        <f t="shared" si="10"/>
        <v>1</v>
      </c>
      <c r="G101" s="16">
        <v>1</v>
      </c>
      <c r="H101" s="16">
        <f t="shared" si="11"/>
        <v>1</v>
      </c>
      <c r="I101" s="16">
        <v>1</v>
      </c>
      <c r="J101" s="16">
        <f t="shared" si="13"/>
        <v>1</v>
      </c>
      <c r="K101" s="16">
        <f t="shared" si="13"/>
        <v>1</v>
      </c>
      <c r="L101" s="16">
        <f t="shared" si="13"/>
        <v>1</v>
      </c>
      <c r="M101" s="17"/>
      <c r="N101" s="17"/>
      <c r="O101" s="17"/>
      <c r="P101" s="17"/>
      <c r="Q101" s="17"/>
    </row>
    <row r="102" spans="3:17" x14ac:dyDescent="0.3">
      <c r="C102" t="s">
        <v>49</v>
      </c>
      <c r="D102">
        <v>2020</v>
      </c>
      <c r="E102" s="16">
        <f>(1-(E82+E86))*0.7</f>
        <v>0.24499999999999997</v>
      </c>
      <c r="F102" s="16">
        <f t="shared" si="10"/>
        <v>0.24499999999999997</v>
      </c>
      <c r="G102" s="16">
        <f>I128</f>
        <v>0.64062493391138842</v>
      </c>
      <c r="H102" s="16">
        <f t="shared" si="11"/>
        <v>0.64062493391138842</v>
      </c>
      <c r="I102" s="16">
        <f>(1-(I82+I86))*0.7</f>
        <v>0.60199999999999998</v>
      </c>
      <c r="J102" s="16">
        <f t="shared" si="13"/>
        <v>0.60199999999999998</v>
      </c>
      <c r="K102" s="16">
        <f t="shared" si="13"/>
        <v>0.60199999999999998</v>
      </c>
      <c r="L102" s="16">
        <f t="shared" si="13"/>
        <v>0.60199999999999998</v>
      </c>
      <c r="M102" s="17"/>
      <c r="N102" s="17"/>
      <c r="O102" s="17"/>
      <c r="P102" s="17"/>
      <c r="Q102" s="17"/>
    </row>
    <row r="103" spans="3:17" x14ac:dyDescent="0.3">
      <c r="C103" t="str">
        <f>C102</f>
        <v>Gasoline</v>
      </c>
      <c r="D103">
        <v>2025</v>
      </c>
      <c r="E103" s="16">
        <f>E102</f>
        <v>0.24499999999999997</v>
      </c>
      <c r="F103" s="16">
        <f t="shared" si="10"/>
        <v>0.24499999999999997</v>
      </c>
      <c r="G103" s="16">
        <f>SUM(N127:N129)+0.05</f>
        <v>0.34061321525671195</v>
      </c>
      <c r="H103" s="16">
        <f t="shared" si="11"/>
        <v>0.34061321525671195</v>
      </c>
      <c r="I103" s="16">
        <f>I102</f>
        <v>0.60199999999999998</v>
      </c>
      <c r="J103" s="16">
        <f t="shared" si="13"/>
        <v>0.60199999999999998</v>
      </c>
      <c r="K103" s="16">
        <f t="shared" si="13"/>
        <v>0.60199999999999998</v>
      </c>
      <c r="L103" s="16">
        <f t="shared" si="13"/>
        <v>0.60199999999999998</v>
      </c>
      <c r="M103" s="17"/>
      <c r="N103" s="17"/>
      <c r="O103" s="17"/>
      <c r="P103" s="17"/>
      <c r="Q103" s="17"/>
    </row>
    <row r="104" spans="3:17" x14ac:dyDescent="0.3">
      <c r="C104" t="str">
        <f>C103</f>
        <v>Gasoline</v>
      </c>
      <c r="D104">
        <v>2030</v>
      </c>
      <c r="E104" s="16">
        <f>E105/2+E103/2</f>
        <v>0.62249999999999994</v>
      </c>
      <c r="F104" s="16">
        <f t="shared" si="10"/>
        <v>0.62249999999999994</v>
      </c>
      <c r="G104" s="16">
        <f>SUM(S127:S129)+0.1</f>
        <v>0.1</v>
      </c>
      <c r="H104" s="16">
        <f t="shared" si="11"/>
        <v>0.1</v>
      </c>
      <c r="I104" s="16">
        <f>I105/2+I103/2</f>
        <v>0.80099999999999993</v>
      </c>
      <c r="J104" s="16">
        <f t="shared" si="13"/>
        <v>0.80099999999999993</v>
      </c>
      <c r="K104" s="16">
        <f t="shared" si="13"/>
        <v>0.80099999999999993</v>
      </c>
      <c r="L104" s="16">
        <f t="shared" si="13"/>
        <v>0.80099999999999993</v>
      </c>
      <c r="M104" s="17"/>
      <c r="N104" s="17"/>
      <c r="O104" s="17"/>
      <c r="P104" s="17"/>
      <c r="Q104" s="17"/>
    </row>
    <row r="105" spans="3:17" x14ac:dyDescent="0.3">
      <c r="C105" t="str">
        <f>C104</f>
        <v>Gasoline</v>
      </c>
      <c r="D105">
        <v>2035</v>
      </c>
      <c r="E105" s="16">
        <v>1</v>
      </c>
      <c r="F105" s="16">
        <f t="shared" si="10"/>
        <v>1</v>
      </c>
      <c r="G105" s="16">
        <v>1</v>
      </c>
      <c r="H105" s="16">
        <f t="shared" si="11"/>
        <v>1</v>
      </c>
      <c r="I105" s="16">
        <v>1</v>
      </c>
      <c r="J105" s="16">
        <f t="shared" si="13"/>
        <v>1</v>
      </c>
      <c r="K105" s="16">
        <f t="shared" si="13"/>
        <v>1</v>
      </c>
      <c r="L105" s="16">
        <f t="shared" si="13"/>
        <v>1</v>
      </c>
      <c r="M105" s="17"/>
      <c r="N105" s="17"/>
      <c r="O105" s="17"/>
      <c r="P105" s="17"/>
      <c r="Q105" s="17"/>
    </row>
    <row r="106" spans="3:17" x14ac:dyDescent="0.3">
      <c r="C106" t="s">
        <v>53</v>
      </c>
      <c r="D106">
        <v>2020</v>
      </c>
      <c r="E106" s="16">
        <v>0.01</v>
      </c>
      <c r="F106" s="16">
        <f t="shared" si="10"/>
        <v>0.01</v>
      </c>
      <c r="G106" s="16">
        <v>0.01</v>
      </c>
      <c r="H106" s="16">
        <f t="shared" si="11"/>
        <v>0.01</v>
      </c>
      <c r="I106" s="16">
        <v>0.01</v>
      </c>
      <c r="J106" s="16">
        <f t="shared" si="13"/>
        <v>0.01</v>
      </c>
      <c r="K106" s="16">
        <f t="shared" si="13"/>
        <v>0.01</v>
      </c>
      <c r="L106" s="16">
        <f t="shared" si="13"/>
        <v>0.01</v>
      </c>
      <c r="M106" s="17"/>
      <c r="N106" s="17"/>
      <c r="O106" s="17"/>
      <c r="P106" s="17"/>
      <c r="Q106" s="17"/>
    </row>
    <row r="107" spans="3:17" x14ac:dyDescent="0.3">
      <c r="C107" t="s">
        <v>53</v>
      </c>
      <c r="D107">
        <v>2025</v>
      </c>
      <c r="E107" s="16">
        <f>E108/2+E106/2</f>
        <v>0.255</v>
      </c>
      <c r="F107" s="16">
        <f t="shared" si="10"/>
        <v>0.255</v>
      </c>
      <c r="G107" s="16">
        <f>G108/2+G106/2</f>
        <v>0.255</v>
      </c>
      <c r="H107" s="16">
        <f t="shared" si="11"/>
        <v>0.255</v>
      </c>
      <c r="I107" s="16">
        <f>I108/2+I106/2</f>
        <v>0.255</v>
      </c>
      <c r="J107" s="16">
        <f t="shared" si="13"/>
        <v>0.255</v>
      </c>
      <c r="K107" s="16">
        <f t="shared" si="13"/>
        <v>0.255</v>
      </c>
      <c r="L107" s="16">
        <f t="shared" si="13"/>
        <v>0.255</v>
      </c>
      <c r="M107" s="17"/>
      <c r="N107" s="17"/>
      <c r="O107" s="17"/>
      <c r="P107" s="17"/>
      <c r="Q107" s="17"/>
    </row>
    <row r="108" spans="3:17" x14ac:dyDescent="0.3">
      <c r="C108" t="s">
        <v>53</v>
      </c>
      <c r="D108">
        <v>2030</v>
      </c>
      <c r="E108" s="16">
        <v>0.5</v>
      </c>
      <c r="F108" s="16">
        <f t="shared" si="10"/>
        <v>0.5</v>
      </c>
      <c r="G108" s="16">
        <v>0.5</v>
      </c>
      <c r="H108" s="16">
        <f t="shared" si="11"/>
        <v>0.5</v>
      </c>
      <c r="I108" s="16">
        <v>0.5</v>
      </c>
      <c r="J108" s="16">
        <f t="shared" si="13"/>
        <v>0.5</v>
      </c>
      <c r="K108" s="16">
        <f t="shared" si="13"/>
        <v>0.5</v>
      </c>
      <c r="L108" s="16">
        <f t="shared" si="13"/>
        <v>0.5</v>
      </c>
      <c r="M108" s="17"/>
      <c r="N108" s="17"/>
      <c r="O108" s="17"/>
      <c r="P108" s="17"/>
      <c r="Q108" s="17"/>
    </row>
    <row r="109" spans="3:17" x14ac:dyDescent="0.3">
      <c r="C109" t="s">
        <v>53</v>
      </c>
      <c r="D109">
        <v>2035</v>
      </c>
      <c r="E109" s="16">
        <v>1</v>
      </c>
      <c r="F109" s="16">
        <f t="shared" si="10"/>
        <v>1</v>
      </c>
      <c r="G109" s="16">
        <v>1</v>
      </c>
      <c r="H109" s="16">
        <f t="shared" si="11"/>
        <v>1</v>
      </c>
      <c r="I109" s="16">
        <v>1</v>
      </c>
      <c r="J109" s="16">
        <f t="shared" si="13"/>
        <v>1</v>
      </c>
      <c r="K109" s="16">
        <f t="shared" si="13"/>
        <v>1</v>
      </c>
      <c r="L109" s="16">
        <f t="shared" si="13"/>
        <v>1</v>
      </c>
      <c r="M109" s="17"/>
      <c r="N109" s="17"/>
      <c r="O109" s="17"/>
      <c r="P109" s="17"/>
      <c r="Q109" s="17"/>
    </row>
    <row r="110" spans="3:17" x14ac:dyDescent="0.3">
      <c r="C110" t="s">
        <v>93</v>
      </c>
      <c r="D110">
        <v>2020</v>
      </c>
      <c r="E110" s="16">
        <v>0.01</v>
      </c>
      <c r="F110" s="16">
        <f t="shared" ref="F110:F113" si="14">E110</f>
        <v>0.01</v>
      </c>
      <c r="G110" s="16">
        <v>0.01</v>
      </c>
      <c r="H110" s="16">
        <f t="shared" ref="H110:H113" si="15">G110</f>
        <v>0.01</v>
      </c>
      <c r="I110" s="16">
        <v>0.01</v>
      </c>
      <c r="J110" s="16">
        <f t="shared" ref="J110:J113" si="16">I110</f>
        <v>0.01</v>
      </c>
      <c r="K110" s="16">
        <f t="shared" ref="K110:K113" si="17">J110</f>
        <v>0.01</v>
      </c>
      <c r="L110" s="16">
        <f t="shared" ref="L110:L113" si="18">K110</f>
        <v>0.01</v>
      </c>
      <c r="M110" s="17"/>
      <c r="N110" s="17"/>
      <c r="O110" s="17"/>
      <c r="P110" s="17"/>
      <c r="Q110" s="17"/>
    </row>
    <row r="111" spans="3:17" x14ac:dyDescent="0.3">
      <c r="C111" t="s">
        <v>93</v>
      </c>
      <c r="D111">
        <v>2025</v>
      </c>
      <c r="E111" s="16">
        <f>E112/2+E110/2</f>
        <v>0.255</v>
      </c>
      <c r="F111" s="16">
        <f t="shared" si="14"/>
        <v>0.255</v>
      </c>
      <c r="G111" s="16">
        <f>G112/2+G110/2</f>
        <v>0.255</v>
      </c>
      <c r="H111" s="16">
        <f t="shared" si="15"/>
        <v>0.255</v>
      </c>
      <c r="I111" s="16">
        <f>I112/2+I110/2</f>
        <v>0.255</v>
      </c>
      <c r="J111" s="16">
        <f t="shared" si="16"/>
        <v>0.255</v>
      </c>
      <c r="K111" s="16">
        <f t="shared" si="17"/>
        <v>0.255</v>
      </c>
      <c r="L111" s="16">
        <f t="shared" si="18"/>
        <v>0.255</v>
      </c>
      <c r="M111" s="17"/>
      <c r="N111" s="17"/>
      <c r="O111" s="17"/>
      <c r="P111" s="17"/>
      <c r="Q111" s="17"/>
    </row>
    <row r="112" spans="3:17" x14ac:dyDescent="0.3">
      <c r="C112" t="s">
        <v>93</v>
      </c>
      <c r="D112">
        <v>2030</v>
      </c>
      <c r="E112" s="16">
        <v>0.5</v>
      </c>
      <c r="F112" s="16">
        <f t="shared" si="14"/>
        <v>0.5</v>
      </c>
      <c r="G112" s="16">
        <v>0.5</v>
      </c>
      <c r="H112" s="16">
        <f t="shared" si="15"/>
        <v>0.5</v>
      </c>
      <c r="I112" s="16">
        <v>0.5</v>
      </c>
      <c r="J112" s="16">
        <f t="shared" si="16"/>
        <v>0.5</v>
      </c>
      <c r="K112" s="16">
        <f t="shared" si="17"/>
        <v>0.5</v>
      </c>
      <c r="L112" s="16">
        <f t="shared" si="18"/>
        <v>0.5</v>
      </c>
      <c r="M112" s="17"/>
      <c r="N112" s="17"/>
      <c r="O112" s="17"/>
      <c r="P112" s="17"/>
      <c r="Q112" s="17"/>
    </row>
    <row r="113" spans="3:39" x14ac:dyDescent="0.3">
      <c r="C113" t="s">
        <v>93</v>
      </c>
      <c r="D113">
        <v>2035</v>
      </c>
      <c r="E113" s="16">
        <v>1</v>
      </c>
      <c r="F113" s="16">
        <f t="shared" si="14"/>
        <v>1</v>
      </c>
      <c r="G113" s="16">
        <v>1</v>
      </c>
      <c r="H113" s="16">
        <f t="shared" si="15"/>
        <v>1</v>
      </c>
      <c r="I113" s="16">
        <v>1</v>
      </c>
      <c r="J113" s="16">
        <f t="shared" si="16"/>
        <v>1</v>
      </c>
      <c r="K113" s="16">
        <f t="shared" si="17"/>
        <v>1</v>
      </c>
      <c r="L113" s="16">
        <f t="shared" si="18"/>
        <v>1</v>
      </c>
      <c r="M113" s="17"/>
      <c r="N113" s="17"/>
      <c r="O113" s="17"/>
      <c r="P113" s="17"/>
      <c r="Q113" s="17"/>
    </row>
    <row r="114" spans="3:39" x14ac:dyDescent="0.3">
      <c r="C114" t="s">
        <v>54</v>
      </c>
      <c r="D114">
        <v>2015</v>
      </c>
      <c r="E114" s="16">
        <v>0.01</v>
      </c>
      <c r="F114" s="16">
        <v>0.01</v>
      </c>
      <c r="G114" s="16">
        <v>0.01</v>
      </c>
      <c r="H114" s="16">
        <f t="shared" si="11"/>
        <v>0.01</v>
      </c>
      <c r="I114" s="16">
        <v>0.01</v>
      </c>
      <c r="J114" s="16">
        <f t="shared" si="13"/>
        <v>0.01</v>
      </c>
      <c r="K114" s="16">
        <f t="shared" si="13"/>
        <v>0.01</v>
      </c>
      <c r="L114" s="16">
        <f t="shared" si="13"/>
        <v>0.01</v>
      </c>
      <c r="M114" s="17"/>
      <c r="N114" s="17"/>
      <c r="O114" s="17"/>
      <c r="P114" s="17"/>
      <c r="Q114" s="17"/>
    </row>
    <row r="115" spans="3:39" x14ac:dyDescent="0.3">
      <c r="C115" t="s">
        <v>54</v>
      </c>
      <c r="D115">
        <v>2020</v>
      </c>
      <c r="E115" s="16">
        <v>0.01</v>
      </c>
      <c r="F115" s="16">
        <f t="shared" si="10"/>
        <v>0.01</v>
      </c>
      <c r="G115" s="16">
        <v>0.01</v>
      </c>
      <c r="H115" s="16">
        <f t="shared" si="11"/>
        <v>0.01</v>
      </c>
      <c r="I115" s="16">
        <v>0.01</v>
      </c>
      <c r="J115" s="16">
        <f t="shared" si="13"/>
        <v>0.01</v>
      </c>
      <c r="K115" s="16">
        <f t="shared" si="13"/>
        <v>0.01</v>
      </c>
      <c r="L115" s="16">
        <f t="shared" si="13"/>
        <v>0.01</v>
      </c>
      <c r="M115" s="17"/>
      <c r="N115" s="17"/>
      <c r="O115" s="17"/>
      <c r="P115" s="17"/>
      <c r="Q115" s="17"/>
    </row>
    <row r="116" spans="3:39" x14ac:dyDescent="0.3">
      <c r="C116" t="s">
        <v>54</v>
      </c>
      <c r="D116">
        <v>2025</v>
      </c>
      <c r="E116" s="16">
        <f>E117/2+E115/2</f>
        <v>0.255</v>
      </c>
      <c r="F116" s="16">
        <f t="shared" si="10"/>
        <v>0.255</v>
      </c>
      <c r="G116" s="16">
        <f>G117/2+G115/2</f>
        <v>0.255</v>
      </c>
      <c r="H116" s="16">
        <f t="shared" si="11"/>
        <v>0.255</v>
      </c>
      <c r="I116" s="16">
        <f>I117/2+I115/2</f>
        <v>0.255</v>
      </c>
      <c r="J116" s="16">
        <f t="shared" si="13"/>
        <v>0.255</v>
      </c>
      <c r="K116" s="16">
        <f t="shared" si="13"/>
        <v>0.255</v>
      </c>
      <c r="L116" s="16">
        <f t="shared" si="13"/>
        <v>0.255</v>
      </c>
      <c r="M116" s="17"/>
      <c r="N116" s="17"/>
      <c r="O116" s="17"/>
      <c r="P116" s="17"/>
      <c r="Q116" s="17"/>
    </row>
    <row r="117" spans="3:39" x14ac:dyDescent="0.3">
      <c r="C117" t="s">
        <v>54</v>
      </c>
      <c r="D117">
        <v>2030</v>
      </c>
      <c r="E117" s="16">
        <v>0.5</v>
      </c>
      <c r="F117" s="16">
        <f t="shared" si="10"/>
        <v>0.5</v>
      </c>
      <c r="G117" s="16">
        <v>0.5</v>
      </c>
      <c r="H117" s="16">
        <f t="shared" si="11"/>
        <v>0.5</v>
      </c>
      <c r="I117" s="16">
        <v>0.5</v>
      </c>
      <c r="J117" s="16">
        <f t="shared" si="13"/>
        <v>0.5</v>
      </c>
      <c r="K117" s="16">
        <f t="shared" si="13"/>
        <v>0.5</v>
      </c>
      <c r="L117" s="16">
        <f t="shared" si="13"/>
        <v>0.5</v>
      </c>
      <c r="M117" s="17"/>
      <c r="N117" s="17"/>
      <c r="O117" s="17"/>
      <c r="P117" s="17"/>
      <c r="Q117" s="17"/>
    </row>
    <row r="118" spans="3:39" x14ac:dyDescent="0.3">
      <c r="C118" t="s">
        <v>54</v>
      </c>
      <c r="D118">
        <v>2035</v>
      </c>
      <c r="E118" s="16">
        <v>1</v>
      </c>
      <c r="F118" s="16">
        <f t="shared" si="10"/>
        <v>1</v>
      </c>
      <c r="G118" s="16">
        <v>1</v>
      </c>
      <c r="H118" s="16">
        <f t="shared" si="11"/>
        <v>1</v>
      </c>
      <c r="I118" s="16">
        <v>1</v>
      </c>
      <c r="J118" s="16">
        <f t="shared" si="13"/>
        <v>1</v>
      </c>
      <c r="K118" s="16">
        <f t="shared" si="13"/>
        <v>1</v>
      </c>
      <c r="L118" s="16">
        <f t="shared" si="13"/>
        <v>1</v>
      </c>
      <c r="M118" s="17"/>
      <c r="N118" s="17"/>
      <c r="O118" s="17"/>
      <c r="P118" s="17"/>
      <c r="Q118" s="17"/>
    </row>
    <row r="119" spans="3:39" x14ac:dyDescent="0.3">
      <c r="J119" s="17"/>
      <c r="K119" s="17"/>
      <c r="L119" s="17"/>
      <c r="M119" s="17"/>
      <c r="N119" s="17"/>
      <c r="O119" s="17"/>
      <c r="P119" s="17"/>
      <c r="Q119" s="17"/>
    </row>
    <row r="120" spans="3:39" x14ac:dyDescent="0.3">
      <c r="J120" s="17"/>
      <c r="K120" s="17"/>
      <c r="L120" s="17"/>
      <c r="M120" s="17"/>
      <c r="N120" s="17"/>
      <c r="O120" s="17"/>
      <c r="P120" s="17"/>
      <c r="Q120" s="17"/>
    </row>
    <row r="121" spans="3:39" x14ac:dyDescent="0.3">
      <c r="J121" s="17"/>
      <c r="K121" s="17"/>
      <c r="L121" s="17"/>
      <c r="M121" s="17"/>
      <c r="N121" s="17"/>
      <c r="O121" s="17"/>
      <c r="P121" s="17"/>
      <c r="Q121" s="17"/>
    </row>
    <row r="122" spans="3:39" x14ac:dyDescent="0.3">
      <c r="I122" t="s">
        <v>73</v>
      </c>
      <c r="J122" s="17"/>
      <c r="K122" s="17"/>
      <c r="L122" s="17"/>
      <c r="M122" s="17"/>
      <c r="N122" s="17"/>
      <c r="O122" s="17"/>
      <c r="P122" s="17"/>
      <c r="Q122" s="17"/>
    </row>
    <row r="123" spans="3:39" x14ac:dyDescent="0.3">
      <c r="I123" t="s">
        <v>72</v>
      </c>
      <c r="J123" s="17"/>
      <c r="K123" s="17"/>
      <c r="L123" s="17"/>
      <c r="M123" s="17"/>
      <c r="N123" s="17"/>
      <c r="O123" s="17"/>
      <c r="P123" s="17"/>
      <c r="Q123" s="17"/>
    </row>
    <row r="124" spans="3:39" x14ac:dyDescent="0.3">
      <c r="J124" s="17"/>
      <c r="K124" s="17"/>
      <c r="L124" s="17"/>
      <c r="M124" s="17"/>
      <c r="N124" s="17"/>
      <c r="O124" s="17"/>
      <c r="P124" s="17"/>
      <c r="Q124" s="17"/>
    </row>
    <row r="125" spans="3:39" x14ac:dyDescent="0.3">
      <c r="C125" t="s">
        <v>68</v>
      </c>
      <c r="K125" s="17"/>
      <c r="L125" s="17"/>
      <c r="M125" s="17"/>
      <c r="N125" s="17"/>
      <c r="O125" s="17"/>
      <c r="P125" s="17"/>
      <c r="Q125" s="17"/>
      <c r="R125" s="17"/>
    </row>
    <row r="126" spans="3:39" x14ac:dyDescent="0.3">
      <c r="C126" t="s">
        <v>55</v>
      </c>
      <c r="D126">
        <v>2015</v>
      </c>
      <c r="E126">
        <v>2016</v>
      </c>
      <c r="F126">
        <v>2017</v>
      </c>
      <c r="G126">
        <v>2018</v>
      </c>
      <c r="H126">
        <v>2019</v>
      </c>
      <c r="I126">
        <v>2020</v>
      </c>
      <c r="J126">
        <v>2021</v>
      </c>
      <c r="K126" s="17">
        <v>2022</v>
      </c>
      <c r="L126" s="17">
        <v>2023</v>
      </c>
      <c r="M126" s="17">
        <v>2024</v>
      </c>
      <c r="N126" s="17">
        <v>2025</v>
      </c>
      <c r="O126" s="17">
        <v>2026</v>
      </c>
      <c r="P126" s="17">
        <v>2027</v>
      </c>
      <c r="Q126" s="17">
        <v>2028</v>
      </c>
      <c r="R126" s="17">
        <v>2029</v>
      </c>
      <c r="S126">
        <v>2030</v>
      </c>
      <c r="T126">
        <v>2031</v>
      </c>
      <c r="U126">
        <v>2032</v>
      </c>
      <c r="V126">
        <v>2033</v>
      </c>
      <c r="W126">
        <v>2034</v>
      </c>
      <c r="X126">
        <v>2035</v>
      </c>
      <c r="Y126">
        <v>2036</v>
      </c>
      <c r="Z126">
        <v>2037</v>
      </c>
      <c r="AA126">
        <v>2038</v>
      </c>
      <c r="AB126">
        <v>2039</v>
      </c>
      <c r="AC126">
        <v>2040</v>
      </c>
      <c r="AD126">
        <v>2041</v>
      </c>
      <c r="AE126">
        <v>2042</v>
      </c>
      <c r="AF126">
        <v>2043</v>
      </c>
      <c r="AG126">
        <v>2044</v>
      </c>
      <c r="AH126">
        <v>2045</v>
      </c>
      <c r="AI126">
        <v>2046</v>
      </c>
      <c r="AJ126">
        <v>2047</v>
      </c>
      <c r="AK126">
        <v>2048</v>
      </c>
      <c r="AL126">
        <v>2049</v>
      </c>
      <c r="AM126">
        <v>2050</v>
      </c>
    </row>
    <row r="127" spans="3:39" x14ac:dyDescent="0.3">
      <c r="C127" t="s">
        <v>56</v>
      </c>
      <c r="J127">
        <v>0.57896535333010968</v>
      </c>
      <c r="K127" s="17">
        <v>0.56292939396605712</v>
      </c>
      <c r="L127" s="17">
        <v>0.52635030759368573</v>
      </c>
      <c r="M127" s="17">
        <v>0.46800300455175253</v>
      </c>
      <c r="N127" s="17">
        <v>0.27046973590105639</v>
      </c>
      <c r="O127" s="17">
        <v>0.24723075031911307</v>
      </c>
      <c r="P127" s="17">
        <v>0.22992698688376006</v>
      </c>
      <c r="Q127" s="17">
        <v>0.2173059272281013</v>
      </c>
      <c r="R127" s="17">
        <v>0.2325236118849239</v>
      </c>
      <c r="S127">
        <v>1.5059325649346581E-96</v>
      </c>
      <c r="T127">
        <v>1.4951941746578408E-96</v>
      </c>
      <c r="U127">
        <v>1.4845224724158595E-96</v>
      </c>
      <c r="V127">
        <v>1.4739170651976914E-96</v>
      </c>
      <c r="W127">
        <v>1.4633775674679947E-96</v>
      </c>
      <c r="X127">
        <v>1.8047193636699757E-91</v>
      </c>
      <c r="Y127">
        <v>1.7893809565904844E-91</v>
      </c>
      <c r="Z127">
        <v>1.7739154942057421E-91</v>
      </c>
      <c r="AA127">
        <v>1.7583197550585782E-91</v>
      </c>
      <c r="AB127">
        <v>1.7425903991174367E-91</v>
      </c>
      <c r="AC127">
        <v>1.7267239588040403E-91</v>
      </c>
      <c r="AD127">
        <v>1.7056348080229398E-91</v>
      </c>
      <c r="AE127">
        <v>1.6845172264870258E-91</v>
      </c>
      <c r="AF127">
        <v>1.6633679280782561E-91</v>
      </c>
      <c r="AG127">
        <v>1.6421834960148078E-91</v>
      </c>
      <c r="AH127">
        <v>1.4852752136931918E-91</v>
      </c>
      <c r="AI127">
        <v>1.4788717924683955E-91</v>
      </c>
      <c r="AJ127">
        <v>1.4724154046243482E-91</v>
      </c>
      <c r="AK127">
        <v>1.4658991495780054E-91</v>
      </c>
      <c r="AL127">
        <v>1.4593154129057479E-91</v>
      </c>
      <c r="AM127">
        <v>0.21365052626434902</v>
      </c>
    </row>
    <row r="128" spans="3:39" x14ac:dyDescent="0.3">
      <c r="C128" t="s">
        <v>57</v>
      </c>
      <c r="D128">
        <v>0.64871837549933353</v>
      </c>
      <c r="I128">
        <v>0.64062493391138842</v>
      </c>
      <c r="J128">
        <v>0.14314254805530838</v>
      </c>
      <c r="K128" s="17">
        <v>0.13087770071220395</v>
      </c>
      <c r="L128" s="17">
        <v>0.11335708865403865</v>
      </c>
      <c r="M128" s="17">
        <v>7.1075025794265626E-2</v>
      </c>
      <c r="N128" s="17">
        <v>1.61749143666251E-2</v>
      </c>
      <c r="O128" s="17">
        <v>1.2439423811330097E-2</v>
      </c>
      <c r="P128" s="17">
        <v>9.9025114293994892E-3</v>
      </c>
      <c r="Q128" s="17">
        <v>8.1215982866521316E-3</v>
      </c>
      <c r="R128" s="17">
        <v>7.5892326367588648E-3</v>
      </c>
      <c r="S128">
        <v>2.5522003204275129E-95</v>
      </c>
      <c r="T128">
        <v>2.5005634514287877E-95</v>
      </c>
      <c r="U128">
        <v>2.4495846630275387E-95</v>
      </c>
      <c r="V128">
        <v>2.3992654243807313E-95</v>
      </c>
      <c r="W128">
        <v>2.3496069653310886E-95</v>
      </c>
      <c r="X128">
        <v>1.0219442561827164E-89</v>
      </c>
      <c r="Y128">
        <v>1.0085584684242542E-89</v>
      </c>
      <c r="Z128">
        <v>9.9520208058492173E-90</v>
      </c>
      <c r="AA128">
        <v>9.8187751876423271E-90</v>
      </c>
      <c r="AB128">
        <v>9.6858719705710806E-90</v>
      </c>
      <c r="AC128">
        <v>9.5533316703534031E-90</v>
      </c>
      <c r="AD128">
        <v>9.3548963126815543E-90</v>
      </c>
      <c r="AE128">
        <v>9.1596396995216139E-90</v>
      </c>
      <c r="AF128">
        <v>8.967515503903241E-90</v>
      </c>
      <c r="AG128">
        <v>8.6911958023478129E-90</v>
      </c>
      <c r="AH128">
        <v>7.8113187406418677E-90</v>
      </c>
      <c r="AI128">
        <v>7.7580300711465681E-90</v>
      </c>
      <c r="AJ128">
        <v>7.7049346825078679E-90</v>
      </c>
      <c r="AK128">
        <v>7.6520269103595819E-90</v>
      </c>
      <c r="AL128">
        <v>7.5993003190152601E-90</v>
      </c>
      <c r="AM128">
        <v>9.7418243012995953E-2</v>
      </c>
    </row>
    <row r="129" spans="3:39" x14ac:dyDescent="0.3">
      <c r="C129" t="s">
        <v>58</v>
      </c>
      <c r="J129">
        <v>7.9199833207578944E-3</v>
      </c>
      <c r="K129" s="17">
        <v>7.9515085351300231E-3</v>
      </c>
      <c r="L129" s="17">
        <v>7.7522315773135026E-3</v>
      </c>
      <c r="M129" s="17">
        <v>7.1181238502625952E-3</v>
      </c>
      <c r="N129" s="17">
        <v>3.9685649890304842E-3</v>
      </c>
      <c r="O129" s="17">
        <v>2.7432670477099182E-3</v>
      </c>
      <c r="P129" s="17">
        <v>1.6442073110181019E-3</v>
      </c>
      <c r="Q129" s="17">
        <v>7.8285256613711311E-4</v>
      </c>
      <c r="R129" s="17">
        <v>2.9078209877341258E-4</v>
      </c>
      <c r="S129">
        <v>6.3495131847300351E-92</v>
      </c>
      <c r="T129">
        <v>6.0989897368490617E-92</v>
      </c>
      <c r="U129">
        <v>5.8560203804396472E-92</v>
      </c>
      <c r="V129">
        <v>5.6204989810507449E-92</v>
      </c>
      <c r="W129">
        <v>5.3923142815700193E-92</v>
      </c>
      <c r="X129">
        <v>1.3820256924955562E-86</v>
      </c>
      <c r="Y129">
        <v>1.3639071102077883E-86</v>
      </c>
      <c r="Z129">
        <v>1.3457538607975607E-86</v>
      </c>
      <c r="AA129">
        <v>1.3277370187969388E-86</v>
      </c>
      <c r="AB129">
        <v>1.3097779789068242E-86</v>
      </c>
      <c r="AC129">
        <v>1.2918815400810372E-86</v>
      </c>
      <c r="AD129">
        <v>1.2634954548042484E-86</v>
      </c>
      <c r="AE129">
        <v>1.2356154571625671E-86</v>
      </c>
      <c r="AF129">
        <v>1.208216584788365E-86</v>
      </c>
      <c r="AG129">
        <v>1.1812578059674485E-86</v>
      </c>
      <c r="AH129">
        <v>1.1247963426410319E-86</v>
      </c>
      <c r="AI129">
        <v>1.1028713334375971E-86</v>
      </c>
      <c r="AJ129">
        <v>1.0812481163177812E-86</v>
      </c>
      <c r="AK129">
        <v>1.0599245031054971E-86</v>
      </c>
      <c r="AL129">
        <v>1.0388981294898322E-86</v>
      </c>
      <c r="AM129">
        <v>4.6285645247227452E-3</v>
      </c>
    </row>
    <row r="130" spans="3:39" x14ac:dyDescent="0.3">
      <c r="C130" t="s">
        <v>59</v>
      </c>
      <c r="J130">
        <v>7.8057916811079503E-5</v>
      </c>
      <c r="K130" s="17">
        <v>8.584239866091054E-5</v>
      </c>
      <c r="L130" s="17">
        <v>7.8324922152789558E-5</v>
      </c>
      <c r="M130" s="17">
        <v>5.6346075834746068E-5</v>
      </c>
      <c r="N130" s="17">
        <v>2.9849795479451521E-5</v>
      </c>
      <c r="O130" s="17">
        <v>2.504111987336286E-5</v>
      </c>
      <c r="P130" s="17">
        <v>2.1308664770263861E-5</v>
      </c>
      <c r="Q130" s="17">
        <v>1.8367538106443721E-5</v>
      </c>
      <c r="R130" s="17">
        <v>1.4668576020567015E-5</v>
      </c>
      <c r="S130">
        <v>1.5059305991486819E-96</v>
      </c>
      <c r="T130">
        <v>1.4951922152831758E-96</v>
      </c>
      <c r="U130">
        <v>1.4845205193832055E-96</v>
      </c>
      <c r="V130">
        <v>1.4739153085718673E-96</v>
      </c>
      <c r="W130">
        <v>1.4633758156833989E-96</v>
      </c>
      <c r="X130">
        <v>1.8047171936312226E-91</v>
      </c>
      <c r="Y130">
        <v>1.789378795316118E-91</v>
      </c>
      <c r="Z130">
        <v>1.7739133418926221E-91</v>
      </c>
      <c r="AA130">
        <v>1.7583176119096255E-91</v>
      </c>
      <c r="AB130">
        <v>1.7425882653419176E-91</v>
      </c>
      <c r="AC130">
        <v>1.7267218346178901E-91</v>
      </c>
      <c r="AD130">
        <v>1.7056326999302531E-91</v>
      </c>
      <c r="AE130">
        <v>1.6845151346335166E-91</v>
      </c>
      <c r="AF130">
        <v>1.6633658526157673E-91</v>
      </c>
      <c r="AG130">
        <v>1.6421814371016376E-91</v>
      </c>
      <c r="AH130">
        <v>1.4852733464896176E-91</v>
      </c>
      <c r="AI130">
        <v>1.4788699333148381E-91</v>
      </c>
      <c r="AJ130">
        <v>1.4724135535873949E-91</v>
      </c>
      <c r="AK130">
        <v>1.4658973067329174E-91</v>
      </c>
      <c r="AL130">
        <v>1.4593135783373594E-91</v>
      </c>
      <c r="AM130">
        <v>1.1181378311739971E-5</v>
      </c>
    </row>
    <row r="131" spans="3:39" x14ac:dyDescent="0.3">
      <c r="C131" t="s">
        <v>60</v>
      </c>
      <c r="D131">
        <v>0.34615750428000813</v>
      </c>
      <c r="I131">
        <v>0.33485249021888536</v>
      </c>
      <c r="J131">
        <v>1.0245161346481929E-2</v>
      </c>
      <c r="K131" s="17">
        <v>9.3242609177514382E-3</v>
      </c>
      <c r="L131" s="17">
        <v>8.0388024824991529E-3</v>
      </c>
      <c r="M131" s="17">
        <v>5.8131466662028229E-3</v>
      </c>
      <c r="N131" s="17">
        <v>1.1031036159327096E-3</v>
      </c>
      <c r="O131" s="17">
        <v>8.1753796461721598E-4</v>
      </c>
      <c r="P131" s="17">
        <v>6.2688437627552134E-4</v>
      </c>
      <c r="Q131" s="17">
        <v>4.9061519749535689E-4</v>
      </c>
      <c r="R131" s="17">
        <v>3.7881465260398625E-4</v>
      </c>
      <c r="S131">
        <v>2.5521942017608479E-95</v>
      </c>
      <c r="T131">
        <v>2.5005574263121004E-95</v>
      </c>
      <c r="U131">
        <v>2.4495790468629128E-95</v>
      </c>
      <c r="V131">
        <v>2.3992598940715671E-95</v>
      </c>
      <c r="W131">
        <v>2.3496015203363345E-95</v>
      </c>
      <c r="X131">
        <v>1.0219418751346706E-89</v>
      </c>
      <c r="Y131">
        <v>1.0085561058334695E-89</v>
      </c>
      <c r="Z131">
        <v>9.951997366090647E-90</v>
      </c>
      <c r="AA131">
        <v>9.818751971183528E-90</v>
      </c>
      <c r="AB131">
        <v>9.6858481256463971E-90</v>
      </c>
      <c r="AC131">
        <v>9.5533080810350704E-90</v>
      </c>
      <c r="AD131">
        <v>9.3548731434593409E-90</v>
      </c>
      <c r="AE131">
        <v>9.1596169447930101E-90</v>
      </c>
      <c r="AF131">
        <v>8.9674931581361031E-90</v>
      </c>
      <c r="AG131">
        <v>8.6911740782461681E-90</v>
      </c>
      <c r="AH131">
        <v>7.8112991764088601E-90</v>
      </c>
      <c r="AI131">
        <v>7.7580106403803914E-90</v>
      </c>
      <c r="AJ131">
        <v>7.7049153847244293E-90</v>
      </c>
      <c r="AK131">
        <v>7.6520077450889758E-90</v>
      </c>
      <c r="AL131">
        <v>7.599281285803703E-90</v>
      </c>
      <c r="AM131">
        <v>4.0069165373064781E-3</v>
      </c>
    </row>
    <row r="132" spans="3:39" x14ac:dyDescent="0.3">
      <c r="C132" t="s">
        <v>61</v>
      </c>
      <c r="J132">
        <v>8.4047928353629577E-4</v>
      </c>
      <c r="K132" s="17">
        <v>8.4059529117891168E-4</v>
      </c>
      <c r="L132" s="17">
        <v>8.7455281922604986E-4</v>
      </c>
      <c r="M132" s="17">
        <v>7.5796160296609278E-4</v>
      </c>
      <c r="N132" s="17">
        <v>3.8369530311640923E-4</v>
      </c>
      <c r="O132" s="17">
        <v>2.6042402822001214E-4</v>
      </c>
      <c r="P132" s="17">
        <v>1.5324794030931681E-4</v>
      </c>
      <c r="Q132" s="17">
        <v>7.1632044770282175E-5</v>
      </c>
      <c r="R132" s="17">
        <v>2.4730803776966123E-5</v>
      </c>
      <c r="S132">
        <v>6.3494811546512901E-92</v>
      </c>
      <c r="T132">
        <v>6.0989597250409147E-92</v>
      </c>
      <c r="U132">
        <v>5.8559915507949752E-92</v>
      </c>
      <c r="V132">
        <v>5.620471297969305E-92</v>
      </c>
      <c r="W132">
        <v>5.3922877099511744E-92</v>
      </c>
      <c r="X132">
        <v>1.3820187588797917E-86</v>
      </c>
      <c r="Y132">
        <v>1.3639002643313382E-86</v>
      </c>
      <c r="Z132">
        <v>1.3457471029097656E-86</v>
      </c>
      <c r="AA132">
        <v>1.3277303482879175E-86</v>
      </c>
      <c r="AB132">
        <v>1.3097713955608371E-86</v>
      </c>
      <c r="AC132">
        <v>1.2918752103094498E-86</v>
      </c>
      <c r="AD132">
        <v>1.2634892567970001E-86</v>
      </c>
      <c r="AE132">
        <v>1.2356093796159489E-86</v>
      </c>
      <c r="AF132">
        <v>1.2082106258166238E-86</v>
      </c>
      <c r="AG132">
        <v>1.1812518611096971E-86</v>
      </c>
      <c r="AH132">
        <v>1.1247905933217379E-86</v>
      </c>
      <c r="AI132">
        <v>1.1028656961864828E-86</v>
      </c>
      <c r="AJ132">
        <v>1.0812425895922567E-86</v>
      </c>
      <c r="AK132">
        <v>1.0599190853741578E-86</v>
      </c>
      <c r="AL132">
        <v>1.0388928192333584E-86</v>
      </c>
      <c r="AM132">
        <v>3.8871433059070961E-4</v>
      </c>
    </row>
    <row r="133" spans="3:39" x14ac:dyDescent="0.3">
      <c r="C133" t="s">
        <v>69</v>
      </c>
      <c r="J133">
        <v>1.0686701079845273E-6</v>
      </c>
      <c r="K133" s="17">
        <v>1.0191920427421809E-6</v>
      </c>
      <c r="L133" s="17">
        <v>9.3414825039067149E-7</v>
      </c>
      <c r="M133" s="17">
        <v>6.7482732459106319E-7</v>
      </c>
      <c r="N133" s="17">
        <v>5.4043496882093634E-7</v>
      </c>
      <c r="O133" s="17">
        <v>4.7872546499599323E-7</v>
      </c>
      <c r="P133" s="17">
        <v>4.2875059339636595E-7</v>
      </c>
      <c r="Q133" s="17">
        <v>3.8939226821561334E-7</v>
      </c>
      <c r="R133" s="17">
        <v>3.2803129706160989E-7</v>
      </c>
      <c r="S133">
        <v>7.035279821056935E-7</v>
      </c>
      <c r="T133">
        <v>7.2337302860844211E-7</v>
      </c>
      <c r="U133">
        <v>7.4067110695773228E-7</v>
      </c>
      <c r="V133">
        <v>7.58534852031244E-7</v>
      </c>
      <c r="W133">
        <v>7.7698803753062236E-7</v>
      </c>
      <c r="X133">
        <v>9.0213812918373354E-2</v>
      </c>
      <c r="Y133">
        <v>9.2110432292696692E-2</v>
      </c>
      <c r="Z133">
        <v>9.4047631782745861E-2</v>
      </c>
      <c r="AA133">
        <v>9.6025991646900316E-2</v>
      </c>
      <c r="AB133">
        <v>9.8046066642245994E-2</v>
      </c>
      <c r="AC133">
        <v>0.1001083817964792</v>
      </c>
      <c r="AD133">
        <v>0.10190982553579991</v>
      </c>
      <c r="AE133">
        <v>0.10374292657257494</v>
      </c>
      <c r="AF133">
        <v>0.10560777329609508</v>
      </c>
      <c r="AG133">
        <v>0.10750440122416481</v>
      </c>
      <c r="AH133">
        <v>0.12082224011319</v>
      </c>
      <c r="AI133">
        <v>0.12036187105890417</v>
      </c>
      <c r="AJ133">
        <v>0.11989743203923611</v>
      </c>
      <c r="AK133">
        <v>0.11942843027465511</v>
      </c>
      <c r="AL133">
        <v>0.11895432089523303</v>
      </c>
      <c r="AM133">
        <v>0.10877119512918741</v>
      </c>
    </row>
    <row r="134" spans="3:39" x14ac:dyDescent="0.3">
      <c r="C134" t="s">
        <v>70</v>
      </c>
      <c r="D134">
        <v>5.9444550123644667E-6</v>
      </c>
      <c r="I134">
        <v>8.0363751718303886E-5</v>
      </c>
      <c r="J134">
        <v>5.9796556385541255E-6</v>
      </c>
      <c r="K134" s="17">
        <v>5.5393263581262593E-6</v>
      </c>
      <c r="L134" s="17">
        <v>4.8482369371684673E-6</v>
      </c>
      <c r="M134" s="17">
        <v>3.0718683068378488E-6</v>
      </c>
      <c r="N134" s="17">
        <v>8.2487052268214776E-7</v>
      </c>
      <c r="O134" s="17">
        <v>6.4594334343034793E-7</v>
      </c>
      <c r="P134" s="17">
        <v>5.2498929372152444E-7</v>
      </c>
      <c r="Q134" s="17">
        <v>4.3455121610883399E-7</v>
      </c>
      <c r="R134" s="17">
        <v>3.5504783450825955E-7</v>
      </c>
      <c r="S134">
        <v>2.7294591486915053E-7</v>
      </c>
      <c r="T134">
        <v>2.7620546927726002E-7</v>
      </c>
      <c r="U134">
        <v>2.8025275002389862E-7</v>
      </c>
      <c r="V134">
        <v>2.8359722781268737E-7</v>
      </c>
      <c r="W134">
        <v>2.8698236733237324E-7</v>
      </c>
      <c r="X134">
        <v>8.3163353825861833E-2</v>
      </c>
      <c r="Y134">
        <v>8.4319281080265693E-2</v>
      </c>
      <c r="Z134">
        <v>8.5486655394577976E-2</v>
      </c>
      <c r="AA134">
        <v>8.6665588541154331E-2</v>
      </c>
      <c r="AB134">
        <v>8.785619398001783E-2</v>
      </c>
      <c r="AC134">
        <v>8.9058586714594296E-2</v>
      </c>
      <c r="AD134">
        <v>8.9697251707365838E-2</v>
      </c>
      <c r="AE134">
        <v>9.0341828217516115E-2</v>
      </c>
      <c r="AF134">
        <v>9.099243687469194E-2</v>
      </c>
      <c r="AG134">
        <v>9.2215637111936699E-2</v>
      </c>
      <c r="AH134">
        <v>9.7007313431415276E-2</v>
      </c>
      <c r="AI134">
        <v>9.6521526684860193E-2</v>
      </c>
      <c r="AJ134">
        <v>9.6037199453866684E-2</v>
      </c>
      <c r="AK134">
        <v>9.5554284147789992E-2</v>
      </c>
      <c r="AL134">
        <v>9.5072727102214288E-2</v>
      </c>
      <c r="AM134">
        <v>8.1000138624798379E-2</v>
      </c>
    </row>
    <row r="135" spans="3:39" x14ac:dyDescent="0.3">
      <c r="C135" t="s">
        <v>71</v>
      </c>
      <c r="J135">
        <v>2.4737512182155453E-7</v>
      </c>
      <c r="K135">
        <v>2.2199292835547937E-7</v>
      </c>
      <c r="L135">
        <v>1.973919090141776E-7</v>
      </c>
      <c r="M135">
        <v>1.6874275467228338E-7</v>
      </c>
      <c r="N135">
        <v>1.0545741713084697E-7</v>
      </c>
      <c r="O135">
        <v>8.1837465326909666E-8</v>
      </c>
      <c r="P135">
        <v>6.1258901241075322E-8</v>
      </c>
      <c r="Q135">
        <v>4.4557959249331968E-8</v>
      </c>
      <c r="R135">
        <v>3.2666905915900323E-8</v>
      </c>
      <c r="S135">
        <v>2.2409755311832719E-8</v>
      </c>
      <c r="T135">
        <v>2.1351699150480368E-8</v>
      </c>
      <c r="U135">
        <v>2.0336119187249999E-8</v>
      </c>
      <c r="V135">
        <v>1.9361724621279714E-8</v>
      </c>
      <c r="W135">
        <v>1.8427240660426038E-8</v>
      </c>
      <c r="X135">
        <v>3.955136546245765E-4</v>
      </c>
      <c r="Y135">
        <v>3.9338146767306075E-4</v>
      </c>
      <c r="Z135">
        <v>3.9274909031965162E-4</v>
      </c>
      <c r="AA135">
        <v>3.9060665491647939E-4</v>
      </c>
      <c r="AB135">
        <v>3.8846427488843551E-4</v>
      </c>
      <c r="AC135">
        <v>3.863225044085653E-4</v>
      </c>
      <c r="AD135">
        <v>3.8305829839474487E-4</v>
      </c>
      <c r="AE135">
        <v>3.8043315862598302E-4</v>
      </c>
      <c r="AF135">
        <v>3.7898933641378652E-4</v>
      </c>
      <c r="AG135">
        <v>3.7906416500651488E-4</v>
      </c>
      <c r="AH135">
        <v>4.1051004203888328E-4</v>
      </c>
      <c r="AI135">
        <v>3.9814266214535714E-4</v>
      </c>
      <c r="AJ135">
        <v>3.8610701237157491E-4</v>
      </c>
      <c r="AK135">
        <v>3.7439651458542346E-4</v>
      </c>
      <c r="AL135">
        <v>3.63004547059223E-4</v>
      </c>
      <c r="AM135">
        <v>3.0752182412603971E-4</v>
      </c>
    </row>
    <row r="136" spans="3:39" x14ac:dyDescent="0.3">
      <c r="C136" t="s">
        <v>62</v>
      </c>
      <c r="J136">
        <v>1.1042112967353502E-6</v>
      </c>
      <c r="K136">
        <v>1.2101771638057163E-6</v>
      </c>
      <c r="L136">
        <v>1.2441715608403321E-6</v>
      </c>
      <c r="M136">
        <v>1.0026367436380777E-6</v>
      </c>
      <c r="N136">
        <v>1.0076198346750798E-6</v>
      </c>
      <c r="O136">
        <v>1.0762752646222516E-6</v>
      </c>
      <c r="P136">
        <v>1.1788009508192154E-6</v>
      </c>
      <c r="Q136">
        <v>1.3264003171073679E-6</v>
      </c>
      <c r="R136">
        <v>1.4293845677494626E-6</v>
      </c>
      <c r="S136">
        <v>3.8368797408441796E-6</v>
      </c>
      <c r="T136">
        <v>4.3284503392881916E-6</v>
      </c>
      <c r="U136">
        <v>4.88835752215687E-6</v>
      </c>
      <c r="V136">
        <v>5.5268563788438628E-6</v>
      </c>
      <c r="W136">
        <v>6.2558560520010748E-6</v>
      </c>
      <c r="X136">
        <v>1.3918078293081099E-3</v>
      </c>
      <c r="Y136">
        <v>1.5087409799605157E-3</v>
      </c>
      <c r="Z136">
        <v>1.6363180008141642E-3</v>
      </c>
      <c r="AA136">
        <v>1.7755909977292086E-3</v>
      </c>
      <c r="AB136">
        <v>1.9277236926756689E-3</v>
      </c>
      <c r="AC136">
        <v>2.0940065889209804E-3</v>
      </c>
      <c r="AD136">
        <v>2.2717859702897545E-3</v>
      </c>
      <c r="AE136">
        <v>2.4662908558529028E-3</v>
      </c>
      <c r="AF136">
        <v>2.6792784124472823E-3</v>
      </c>
      <c r="AG136">
        <v>2.9121696398120827E-3</v>
      </c>
      <c r="AH136">
        <v>3.0269529330823365E-3</v>
      </c>
      <c r="AI136">
        <v>3.3194900843005171E-3</v>
      </c>
      <c r="AJ136">
        <v>3.6433463912210712E-3</v>
      </c>
      <c r="AK136">
        <v>4.0022394716247118E-3</v>
      </c>
      <c r="AL136">
        <v>4.4003756080748697E-3</v>
      </c>
      <c r="AM136">
        <v>2.7054029433830995E-3</v>
      </c>
    </row>
    <row r="137" spans="3:39" x14ac:dyDescent="0.3">
      <c r="C137" t="s">
        <v>63</v>
      </c>
      <c r="D137">
        <v>2.8000000000000001E-2</v>
      </c>
      <c r="E137">
        <v>6.0000000000000001E-3</v>
      </c>
      <c r="F137">
        <v>4.0000000000000001E-3</v>
      </c>
      <c r="G137">
        <v>7.0000000000000001E-3</v>
      </c>
      <c r="H137">
        <v>2.1999999999999999E-2</v>
      </c>
      <c r="I137">
        <v>0.03</v>
      </c>
      <c r="J137">
        <v>5.5560836841995094E-2</v>
      </c>
      <c r="K137">
        <v>7.7269100737645799E-2</v>
      </c>
      <c r="L137">
        <v>9.8977364633296511E-2</v>
      </c>
      <c r="M137">
        <v>0.12068562852894722</v>
      </c>
      <c r="N137">
        <v>0.14239389242459791</v>
      </c>
      <c r="O137">
        <v>0.14539395286664181</v>
      </c>
      <c r="P137">
        <v>0.15376740395604158</v>
      </c>
      <c r="Q137">
        <v>0.16884078220386586</v>
      </c>
      <c r="R137">
        <v>0.19337122393356257</v>
      </c>
      <c r="S137">
        <v>0.36211443713047686</v>
      </c>
      <c r="T137">
        <v>0.36452403889896762</v>
      </c>
      <c r="U137">
        <v>0.36692771675515684</v>
      </c>
      <c r="V137">
        <v>0.36932495784280633</v>
      </c>
      <c r="W137">
        <v>0.37171525053633164</v>
      </c>
      <c r="X137">
        <v>0.81683150294017515</v>
      </c>
      <c r="Y137">
        <v>0.81369665695935067</v>
      </c>
      <c r="Z137">
        <v>0.81049727635655855</v>
      </c>
      <c r="AA137">
        <v>0.8072341668012385</v>
      </c>
      <c r="AB137">
        <v>0.80390423430957891</v>
      </c>
      <c r="AC137">
        <v>0.80050555956606761</v>
      </c>
      <c r="AD137">
        <v>0.79794932075031633</v>
      </c>
      <c r="AE137">
        <v>0.79533730944627745</v>
      </c>
      <c r="AF137">
        <v>0.79266710166241872</v>
      </c>
      <c r="AG137">
        <v>0.78938333821340678</v>
      </c>
      <c r="AH137">
        <v>0.77105742271945976</v>
      </c>
      <c r="AI137">
        <v>0.77183699700351227</v>
      </c>
      <c r="AJ137">
        <v>0.77258583926382096</v>
      </c>
      <c r="AK137">
        <v>0.77330080421865299</v>
      </c>
      <c r="AL137">
        <v>0.77397831788797067</v>
      </c>
      <c r="AM137">
        <v>0.48241226430855066</v>
      </c>
    </row>
    <row r="138" spans="3:39" x14ac:dyDescent="0.3">
      <c r="C138" t="s">
        <v>64</v>
      </c>
      <c r="J138">
        <v>1.0206930981224637E-4</v>
      </c>
      <c r="K138">
        <v>7.5250112176355091E-5</v>
      </c>
      <c r="L138">
        <v>1.1205482978197471E-4</v>
      </c>
      <c r="M138">
        <v>1.7466983318571955E-4</v>
      </c>
      <c r="N138">
        <v>4.1010417546503779E-4</v>
      </c>
      <c r="O138">
        <v>6.6177415993939957E-4</v>
      </c>
      <c r="P138">
        <v>1.0554956954342012E-3</v>
      </c>
      <c r="Q138">
        <v>1.5395749182251653E-3</v>
      </c>
      <c r="R138">
        <v>1.937000754254352E-3</v>
      </c>
      <c r="S138">
        <v>2.7682908020914884E-3</v>
      </c>
      <c r="T138">
        <v>2.70445481107462E-3</v>
      </c>
      <c r="U138">
        <v>2.6420843177909327E-3</v>
      </c>
      <c r="V138">
        <v>2.5811475765987221E-3</v>
      </c>
      <c r="W138">
        <v>2.5216135326243641E-3</v>
      </c>
      <c r="X138">
        <v>8.0040088316572673E-3</v>
      </c>
      <c r="Y138">
        <v>7.9715072200534243E-3</v>
      </c>
      <c r="Z138">
        <v>7.9393693749838876E-3</v>
      </c>
      <c r="AA138">
        <v>7.9080553580616643E-3</v>
      </c>
      <c r="AB138">
        <v>7.8773171005935838E-3</v>
      </c>
      <c r="AC138">
        <v>7.8471428295294066E-3</v>
      </c>
      <c r="AD138">
        <v>7.7887577378335446E-3</v>
      </c>
      <c r="AE138">
        <v>7.7312117491527737E-3</v>
      </c>
      <c r="AF138">
        <v>7.6744204179332344E-3</v>
      </c>
      <c r="AG138">
        <v>7.6053896456732299E-3</v>
      </c>
      <c r="AH138">
        <v>7.6755607608137814E-3</v>
      </c>
      <c r="AI138">
        <v>7.5619725062774489E-3</v>
      </c>
      <c r="AJ138">
        <v>7.450075839483589E-3</v>
      </c>
      <c r="AK138">
        <v>7.339845372691764E-3</v>
      </c>
      <c r="AL138">
        <v>7.2312539594477756E-3</v>
      </c>
      <c r="AM138">
        <v>4.4481246498244611E-3</v>
      </c>
    </row>
    <row r="139" spans="3:39" x14ac:dyDescent="0.3">
      <c r="C139" t="s">
        <v>65</v>
      </c>
      <c r="J139">
        <v>8.3057198079092009E-3</v>
      </c>
      <c r="K139">
        <v>2.2323406038463289E-2</v>
      </c>
      <c r="L139">
        <v>5.8626660564614325E-2</v>
      </c>
      <c r="M139">
        <v>0.12166483429012399</v>
      </c>
      <c r="N139">
        <v>0.31558298149962866</v>
      </c>
      <c r="O139">
        <v>0.33648263949895457</v>
      </c>
      <c r="P139">
        <v>0.35053267123824</v>
      </c>
      <c r="Q139">
        <v>0.35846149090365997</v>
      </c>
      <c r="R139">
        <v>0.33818144994993388</v>
      </c>
      <c r="S139">
        <v>0.48837461518593361</v>
      </c>
      <c r="T139">
        <v>0.48808129191223576</v>
      </c>
      <c r="U139">
        <v>0.48778716172437658</v>
      </c>
      <c r="V139">
        <v>0.48749221299936801</v>
      </c>
      <c r="W139">
        <v>0.48719643532444135</v>
      </c>
      <c r="X139">
        <v>1.8047195001371485E-91</v>
      </c>
      <c r="Y139">
        <v>1.7893810608958411E-91</v>
      </c>
      <c r="Z139">
        <v>1.7739155665884258E-91</v>
      </c>
      <c r="AA139">
        <v>1.7583197957665941E-91</v>
      </c>
      <c r="AB139">
        <v>1.742590408408047E-91</v>
      </c>
      <c r="AC139">
        <v>1.7267239369442029E-91</v>
      </c>
      <c r="AD139">
        <v>1.7056347554464251E-91</v>
      </c>
      <c r="AE139">
        <v>1.6845171436623126E-91</v>
      </c>
      <c r="AF139">
        <v>1.6633678154812427E-91</v>
      </c>
      <c r="AG139">
        <v>1.6421833541292477E-91</v>
      </c>
      <c r="AH139">
        <v>1.4852752290691671E-91</v>
      </c>
      <c r="AI139">
        <v>1.4788718077780804E-91</v>
      </c>
      <c r="AJ139">
        <v>1.4724154198671953E-91</v>
      </c>
      <c r="AK139">
        <v>1.4658991647533939E-91</v>
      </c>
      <c r="AL139">
        <v>1.4593154280129799E-91</v>
      </c>
      <c r="AM139">
        <v>3.8867933017185903E-5</v>
      </c>
    </row>
    <row r="140" spans="3:39" x14ac:dyDescent="0.3">
      <c r="C140" t="s">
        <v>66</v>
      </c>
      <c r="D140">
        <v>5.9444550123644667E-6</v>
      </c>
      <c r="G140">
        <v>0.01</v>
      </c>
      <c r="H140">
        <v>1.2999999999999999E-2</v>
      </c>
      <c r="I140">
        <v>0.04</v>
      </c>
      <c r="J140">
        <v>5.9262467171754984E-2</v>
      </c>
      <c r="K140">
        <v>8.2797510085173706E-2</v>
      </c>
      <c r="L140">
        <v>0.11955112248213022</v>
      </c>
      <c r="M140">
        <v>0.18586972445818423</v>
      </c>
      <c r="N140">
        <v>0.24542404785796626</v>
      </c>
      <c r="O140">
        <v>0.24940030668447252</v>
      </c>
      <c r="P140">
        <v>0.24820770622446828</v>
      </c>
      <c r="Q140">
        <v>0.24146263398004245</v>
      </c>
      <c r="R140">
        <v>0.22421714045320507</v>
      </c>
      <c r="S140">
        <v>0.14630688051823612</v>
      </c>
      <c r="T140">
        <v>0.14426211586746357</v>
      </c>
      <c r="U140">
        <v>0.14222235394870772</v>
      </c>
      <c r="V140">
        <v>0.14018814233388732</v>
      </c>
      <c r="W140">
        <v>0.13816002453801249</v>
      </c>
      <c r="X140">
        <v>1.0219464060533903E-89</v>
      </c>
      <c r="Y140">
        <v>1.0085605713424454E-89</v>
      </c>
      <c r="Z140">
        <v>9.9520413698376894E-90</v>
      </c>
      <c r="AA140">
        <v>9.8187952908298218E-90</v>
      </c>
      <c r="AB140">
        <v>9.6858907456797446E-90</v>
      </c>
      <c r="AC140">
        <v>9.5533500055441038E-90</v>
      </c>
      <c r="AD140">
        <v>9.3549140865459254E-90</v>
      </c>
      <c r="AE140">
        <v>9.1596569244178073E-90</v>
      </c>
      <c r="AF140">
        <v>8.9675321919757243E-90</v>
      </c>
      <c r="AG140">
        <v>8.6912118048244397E-90</v>
      </c>
      <c r="AH140">
        <v>7.8113338712559E-90</v>
      </c>
      <c r="AI140">
        <v>7.7580450985398369E-90</v>
      </c>
      <c r="AJ140">
        <v>7.7049496070547576E-90</v>
      </c>
      <c r="AK140">
        <v>7.6520417324235112E-90</v>
      </c>
      <c r="AL140">
        <v>7.5993150389471775E-90</v>
      </c>
      <c r="AM140">
        <v>2.119965086810909E-4</v>
      </c>
    </row>
    <row r="141" spans="3:39" x14ac:dyDescent="0.3">
      <c r="C141" t="s">
        <v>67</v>
      </c>
      <c r="J141">
        <v>1.445877477485305E-4</v>
      </c>
      <c r="K141">
        <v>1.1965947596516121E-4</v>
      </c>
      <c r="L141">
        <v>2.7505962263619631E-4</v>
      </c>
      <c r="M141">
        <v>8.9393236556812433E-4</v>
      </c>
      <c r="N141">
        <v>4.0566316883583128E-3</v>
      </c>
      <c r="O141">
        <v>4.5425997175896904E-3</v>
      </c>
      <c r="P141">
        <v>4.1593824805440235E-3</v>
      </c>
      <c r="Q141">
        <v>2.9023302311832052E-3</v>
      </c>
      <c r="R141">
        <v>1.4691991255812236E-3</v>
      </c>
      <c r="S141">
        <v>4.3094059986882013E-4</v>
      </c>
      <c r="T141">
        <v>4.2274912972208414E-4</v>
      </c>
      <c r="U141">
        <v>4.1475363646969928E-4</v>
      </c>
      <c r="V141">
        <v>4.0695089715642706E-4</v>
      </c>
      <c r="W141">
        <v>3.9933781489282449E-4</v>
      </c>
      <c r="X141">
        <v>1.3820295035198282E-86</v>
      </c>
      <c r="Y141">
        <v>1.3639108927705908E-86</v>
      </c>
      <c r="Z141">
        <v>1.3457576147876159E-86</v>
      </c>
      <c r="AA141">
        <v>1.327740744570112E-86</v>
      </c>
      <c r="AB141">
        <v>1.3097816765924822E-86</v>
      </c>
      <c r="AC141">
        <v>1.2918852098135185E-86</v>
      </c>
      <c r="AD141">
        <v>1.2634990622009849E-86</v>
      </c>
      <c r="AE141">
        <v>1.2356189942830248E-86</v>
      </c>
      <c r="AF141">
        <v>1.2082200529199261E-86</v>
      </c>
      <c r="AG141">
        <v>1.1812611035042091E-86</v>
      </c>
      <c r="AH141">
        <v>1.124799770578754E-86</v>
      </c>
      <c r="AI141">
        <v>1.1028746945564974E-86</v>
      </c>
      <c r="AJ141">
        <v>1.0812514115376038E-86</v>
      </c>
      <c r="AK141">
        <v>1.0599277333393171E-86</v>
      </c>
      <c r="AL141">
        <v>1.0389012956435191E-86</v>
      </c>
      <c r="AM141">
        <v>3.4203015508677464E-7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F79C-9696-4C2F-BA5A-DDC2B1CDE5A6}">
  <dimension ref="A2:AM141"/>
  <sheetViews>
    <sheetView zoomScale="85" zoomScaleNormal="85" workbookViewId="0">
      <selection activeCell="C46" sqref="C46"/>
    </sheetView>
  </sheetViews>
  <sheetFormatPr defaultRowHeight="14.4" x14ac:dyDescent="0.3"/>
  <cols>
    <col min="3" max="3" width="35.5546875" customWidth="1"/>
    <col min="4" max="5" width="15" customWidth="1"/>
    <col min="6" max="6" width="16.44140625" customWidth="1"/>
    <col min="7" max="7" width="11.33203125" customWidth="1"/>
    <col min="8" max="8" width="10.44140625" bestFit="1" customWidth="1"/>
    <col min="9" max="9" width="19.109375" bestFit="1" customWidth="1"/>
    <col min="10" max="10" width="10.6640625" bestFit="1" customWidth="1"/>
    <col min="11" max="11" width="16.33203125" customWidth="1"/>
    <col min="12" max="13" width="10.5546875" customWidth="1"/>
    <col min="14" max="14" width="13" customWidth="1"/>
    <col min="15" max="15" width="10.5546875" customWidth="1"/>
    <col min="16" max="16" width="12.44140625" bestFit="1" customWidth="1"/>
    <col min="17" max="17" width="14" bestFit="1" customWidth="1"/>
    <col min="18" max="18" width="15.44140625" customWidth="1"/>
    <col min="19" max="19" width="14.33203125" bestFit="1" customWidth="1"/>
    <col min="20" max="20" width="35.109375" bestFit="1" customWidth="1"/>
  </cols>
  <sheetData>
    <row r="2" spans="1:19" x14ac:dyDescent="0.3">
      <c r="J2" s="16"/>
      <c r="K2" s="16"/>
      <c r="L2" s="16"/>
      <c r="M2" s="16"/>
      <c r="N2" s="16"/>
      <c r="O2" s="16"/>
      <c r="P2" s="16"/>
      <c r="Q2" s="16"/>
      <c r="S2" s="2"/>
    </row>
    <row r="3" spans="1:19" x14ac:dyDescent="0.3">
      <c r="J3" s="16"/>
      <c r="K3" s="16"/>
      <c r="L3" s="16"/>
      <c r="M3" s="16"/>
      <c r="N3" s="16"/>
      <c r="O3" s="16"/>
      <c r="P3" s="16"/>
      <c r="Q3" s="16"/>
      <c r="S3" s="2"/>
    </row>
    <row r="4" spans="1:19" x14ac:dyDescent="0.3">
      <c r="C4" s="19" t="s">
        <v>108</v>
      </c>
    </row>
    <row r="5" spans="1:19" x14ac:dyDescent="0.3">
      <c r="C5" s="3" t="s">
        <v>105</v>
      </c>
      <c r="H5" s="8" t="s">
        <v>13</v>
      </c>
    </row>
    <row r="6" spans="1:19" x14ac:dyDescent="0.3">
      <c r="C6" s="3"/>
    </row>
    <row r="7" spans="1:19" x14ac:dyDescent="0.3">
      <c r="G7" t="s">
        <v>106</v>
      </c>
    </row>
    <row r="8" spans="1:19" x14ac:dyDescent="0.3">
      <c r="C8" s="4" t="s">
        <v>0</v>
      </c>
      <c r="D8" s="5" t="s">
        <v>2</v>
      </c>
      <c r="E8" s="5" t="s">
        <v>1</v>
      </c>
      <c r="F8" s="6" t="s">
        <v>3</v>
      </c>
      <c r="G8" s="6" t="s">
        <v>4</v>
      </c>
      <c r="H8" t="s">
        <v>75</v>
      </c>
      <c r="I8" s="20" t="s">
        <v>77</v>
      </c>
      <c r="J8" s="20" t="s">
        <v>78</v>
      </c>
      <c r="K8" s="4" t="s">
        <v>76</v>
      </c>
      <c r="M8" s="4" t="s">
        <v>0</v>
      </c>
    </row>
    <row r="9" spans="1:19" x14ac:dyDescent="0.3">
      <c r="A9" t="s">
        <v>48</v>
      </c>
      <c r="C9" t="str">
        <f>M9&amp;"_SE"</f>
        <v>UC_FCEVCAR_MaxProdShare_SE</v>
      </c>
      <c r="D9" s="7"/>
      <c r="E9" t="s">
        <v>5</v>
      </c>
      <c r="F9">
        <v>2025</v>
      </c>
      <c r="G9" t="s">
        <v>14</v>
      </c>
      <c r="H9" s="18" cm="1">
        <f t="array" ref="H9">IF(INDEX($E$82:$L$105,MATCH($A9&amp;$F9,$C$82:$C$105&amp;$D$82:$D$105,0),MATCH(H$5,$E$81:$L$81,0))=1,-99,-INDEX($E$82:$L$105,MATCH($A9&amp;$F9,$C$82:$C$105&amp;$D$82:$D$105,0),MATCH(H$5,$E$81:$L$81,0))/(1-INDEX($E$82:$L$105,MATCH($A9&amp;$F9,$C$82:$C$105&amp;$D$82:$D$105,0),MATCH(H$5,$E$81:$L$81,0))))</f>
        <v>-5.2631578947368425E-2</v>
      </c>
      <c r="I9">
        <v>0</v>
      </c>
      <c r="J9">
        <v>14</v>
      </c>
      <c r="K9" t="s">
        <v>25</v>
      </c>
      <c r="M9" t="s">
        <v>26</v>
      </c>
    </row>
    <row r="10" spans="1:19" x14ac:dyDescent="0.3">
      <c r="A10" t="s">
        <v>48</v>
      </c>
      <c r="E10" t="s">
        <v>74</v>
      </c>
      <c r="F10">
        <v>2025</v>
      </c>
      <c r="G10" t="s">
        <v>14</v>
      </c>
      <c r="H10" s="18">
        <v>1</v>
      </c>
    </row>
    <row r="11" spans="1:19" x14ac:dyDescent="0.3">
      <c r="A11" t="s">
        <v>48</v>
      </c>
      <c r="E11" t="s">
        <v>5</v>
      </c>
      <c r="F11">
        <v>2030</v>
      </c>
      <c r="G11" t="s">
        <v>14</v>
      </c>
      <c r="H11" s="18" cm="1">
        <f t="array" ref="H11">IF(INDEX($E$82:$L$105,MATCH($A11&amp;$F11,$C$82:$C$105&amp;$D$82:$D$105,0),MATCH(H$5,$E$81:$L$81,0))=1,-99,-INDEX($E$82:$L$105,MATCH($A11&amp;$F11,$C$82:$C$105&amp;$D$82:$D$105,0),MATCH(H$5,$E$81:$L$81,0))/(1-INDEX($E$82:$L$105,MATCH($A11&amp;$F11,$C$82:$C$105&amp;$D$82:$D$105,0),MATCH(H$5,$E$81:$L$81,0))))</f>
        <v>-1</v>
      </c>
    </row>
    <row r="12" spans="1:19" x14ac:dyDescent="0.3">
      <c r="A12" t="s">
        <v>48</v>
      </c>
      <c r="E12" t="s">
        <v>74</v>
      </c>
      <c r="F12">
        <v>2030</v>
      </c>
      <c r="G12" t="s">
        <v>14</v>
      </c>
      <c r="H12" s="18">
        <v>1</v>
      </c>
    </row>
    <row r="13" spans="1:19" x14ac:dyDescent="0.3">
      <c r="A13" t="s">
        <v>48</v>
      </c>
      <c r="E13" t="s">
        <v>5</v>
      </c>
      <c r="F13">
        <v>2035</v>
      </c>
      <c r="G13" t="s">
        <v>14</v>
      </c>
      <c r="H13" s="18" cm="1">
        <f t="array" ref="H13">IF(INDEX($E$82:$L$105,MATCH($A13&amp;$F13,$C$82:$C$105&amp;$D$82:$D$105,0),MATCH(H$5,$E$81:$L$81,0))=1,-99,-INDEX($E$82:$L$105,MATCH($A13&amp;$F13,$C$82:$C$105&amp;$D$82:$D$105,0),MATCH(H$5,$E$81:$L$81,0))/(1-INDEX($E$82:$L$105,MATCH($A13&amp;$F13,$C$82:$C$105&amp;$D$82:$D$105,0),MATCH(H$5,$E$81:$L$81,0))))</f>
        <v>-99</v>
      </c>
    </row>
    <row r="14" spans="1:19" x14ac:dyDescent="0.3">
      <c r="A14" t="s">
        <v>48</v>
      </c>
      <c r="E14" t="s">
        <v>74</v>
      </c>
      <c r="F14">
        <v>2035</v>
      </c>
      <c r="G14" t="s">
        <v>14</v>
      </c>
      <c r="H14" s="18">
        <v>1</v>
      </c>
    </row>
    <row r="15" spans="1:19" x14ac:dyDescent="0.3">
      <c r="A15" t="s">
        <v>49</v>
      </c>
      <c r="C15" t="str">
        <f>M15&amp;"_SE"</f>
        <v>UC_GSLCAR_MaxProdShare_SE</v>
      </c>
      <c r="E15" t="s">
        <v>5</v>
      </c>
      <c r="F15">
        <v>2020</v>
      </c>
      <c r="G15" t="s">
        <v>14</v>
      </c>
      <c r="H15" s="18" cm="1">
        <f t="array" ref="H15">IF(INDEX($E$82:$L$105,MATCH($A15&amp;$F15,$C$82:$C$105&amp;$D$82:$D$105,0),MATCH(H$5,$E$81:$L$81,0))=1,-99,-INDEX($E$82:$L$105,MATCH($A15&amp;$F15,$C$82:$C$105&amp;$D$82:$D$105,0),MATCH(H$5,$E$81:$L$81,0))/(1-INDEX($E$82:$L$105,MATCH($A15&amp;$F15,$C$82:$C$105&amp;$D$82:$D$105,0),MATCH(H$5,$E$81:$L$81,0))))</f>
        <v>-1.5125628140703515</v>
      </c>
      <c r="I15">
        <v>0</v>
      </c>
      <c r="J15">
        <v>11</v>
      </c>
      <c r="K15" t="s">
        <v>41</v>
      </c>
      <c r="M15" t="s">
        <v>39</v>
      </c>
    </row>
    <row r="16" spans="1:19" x14ac:dyDescent="0.3">
      <c r="A16" t="str">
        <f>A15</f>
        <v>Gasoline</v>
      </c>
      <c r="D16" t="s">
        <v>37</v>
      </c>
      <c r="E16" t="s">
        <v>5</v>
      </c>
      <c r="F16">
        <f>F15</f>
        <v>2020</v>
      </c>
      <c r="G16" t="s">
        <v>14</v>
      </c>
      <c r="H16" s="18">
        <v>1</v>
      </c>
    </row>
    <row r="17" spans="1:13" x14ac:dyDescent="0.3">
      <c r="A17" t="str">
        <f t="shared" ref="A17:A18" si="0">A16</f>
        <v>Gasoline</v>
      </c>
      <c r="E17" t="s">
        <v>5</v>
      </c>
      <c r="F17">
        <v>2025</v>
      </c>
      <c r="G17" t="s">
        <v>14</v>
      </c>
      <c r="H17" s="18" cm="1">
        <f t="array" ref="H17">IF(INDEX($E$82:$L$105,MATCH($A17&amp;$F17,$C$82:$C$105&amp;$D$82:$D$105,0),MATCH(H$5,$E$81:$L$81,0))=1,-99,-INDEX($E$82:$L$105,MATCH($A17&amp;$F17,$C$82:$C$105&amp;$D$82:$D$105,0),MATCH(H$5,$E$81:$L$81,0))/(1-INDEX($E$82:$L$105,MATCH($A17&amp;$F17,$C$82:$C$105&amp;$D$82:$D$105,0),MATCH(H$5,$E$81:$L$81,0))))</f>
        <v>-1.5125628140703515</v>
      </c>
    </row>
    <row r="18" spans="1:13" x14ac:dyDescent="0.3">
      <c r="A18" t="str">
        <f t="shared" si="0"/>
        <v>Gasoline</v>
      </c>
      <c r="D18" t="s">
        <v>37</v>
      </c>
      <c r="E18" t="s">
        <v>5</v>
      </c>
      <c r="F18">
        <v>2025</v>
      </c>
      <c r="G18" t="s">
        <v>14</v>
      </c>
      <c r="H18" s="18">
        <v>1</v>
      </c>
    </row>
    <row r="19" spans="1:13" x14ac:dyDescent="0.3">
      <c r="A19" t="str">
        <f>A16</f>
        <v>Gasoline</v>
      </c>
      <c r="E19" t="s">
        <v>5</v>
      </c>
      <c r="F19">
        <v>2030</v>
      </c>
      <c r="G19" t="s">
        <v>14</v>
      </c>
      <c r="H19" s="18" cm="1">
        <f t="array" ref="H19">IF(INDEX($E$82:$L$105,MATCH($A19&amp;$F19,$C$82:$C$105&amp;$D$82:$D$105,0),MATCH(H$5,$E$81:$L$81,0))=1,-99,-INDEX($E$82:$L$105,MATCH($A19&amp;$F19,$C$82:$C$105&amp;$D$82:$D$105,0),MATCH(H$5,$E$81:$L$81,0))/(1-INDEX($E$82:$L$105,MATCH($A19&amp;$F19,$C$82:$C$105&amp;$D$82:$D$105,0),MATCH(H$5,$E$81:$L$81,0))))</f>
        <v>-4.0251256281407022</v>
      </c>
    </row>
    <row r="20" spans="1:13" x14ac:dyDescent="0.3">
      <c r="A20" t="str">
        <f t="shared" ref="A20:A22" si="1">A19</f>
        <v>Gasoline</v>
      </c>
      <c r="D20" t="s">
        <v>37</v>
      </c>
      <c r="E20" t="s">
        <v>5</v>
      </c>
      <c r="F20">
        <f>F19</f>
        <v>2030</v>
      </c>
      <c r="G20" t="s">
        <v>14</v>
      </c>
      <c r="H20" s="18">
        <v>1</v>
      </c>
    </row>
    <row r="21" spans="1:13" x14ac:dyDescent="0.3">
      <c r="A21" t="str">
        <f t="shared" si="1"/>
        <v>Gasoline</v>
      </c>
      <c r="E21" t="s">
        <v>5</v>
      </c>
      <c r="F21">
        <v>2035</v>
      </c>
      <c r="G21" t="s">
        <v>14</v>
      </c>
      <c r="H21" s="18" cm="1">
        <f t="array" ref="H21">IF(INDEX($E$82:$L$105,MATCH($A21&amp;$F21,$C$82:$C$105&amp;$D$82:$D$105,0),MATCH(H$5,$E$81:$L$81,0))=1,-99,-INDEX($E$82:$L$105,MATCH($A21&amp;$F21,$C$82:$C$105&amp;$D$82:$D$105,0),MATCH(H$5,$E$81:$L$81,0))/(1-INDEX($E$82:$L$105,MATCH($A21&amp;$F21,$C$82:$C$105&amp;$D$82:$D$105,0),MATCH(H$5,$E$81:$L$81,0))))</f>
        <v>-99</v>
      </c>
    </row>
    <row r="22" spans="1:13" x14ac:dyDescent="0.3">
      <c r="A22" t="str">
        <f t="shared" si="1"/>
        <v>Gasoline</v>
      </c>
      <c r="D22" t="s">
        <v>37</v>
      </c>
      <c r="E22" t="s">
        <v>5</v>
      </c>
      <c r="F22">
        <f>F21</f>
        <v>2035</v>
      </c>
      <c r="G22" t="s">
        <v>14</v>
      </c>
      <c r="H22" s="18">
        <v>1</v>
      </c>
    </row>
    <row r="23" spans="1:13" x14ac:dyDescent="0.3">
      <c r="A23" t="s">
        <v>50</v>
      </c>
      <c r="C23" t="str">
        <f>M23&amp;"_SE"</f>
        <v>UC_DSLCAR_MaxProdShare_SE</v>
      </c>
      <c r="E23" t="s">
        <v>5</v>
      </c>
      <c r="F23">
        <v>2020</v>
      </c>
      <c r="G23" t="s">
        <v>14</v>
      </c>
      <c r="H23" s="18" cm="1">
        <f t="array" ref="H23">IF(INDEX($E$82:$L$105,MATCH($A23&amp;$F23,$C$82:$C$105&amp;$D$82:$D$105,0),MATCH(H$5,$E$81:$L$81,0))=1,-99,-INDEX($E$82:$L$105,MATCH($A23&amp;$F23,$C$82:$C$105&amp;$D$82:$D$105,0),MATCH(H$5,$E$81:$L$81,0))/(1-INDEX($E$82:$L$105,MATCH($A23&amp;$F23,$C$82:$C$105&amp;$D$82:$D$105,0),MATCH(H$5,$E$81:$L$81,0))))</f>
        <v>-0.34770889487870621</v>
      </c>
      <c r="I23">
        <v>0</v>
      </c>
      <c r="J23">
        <v>11</v>
      </c>
      <c r="K23" t="s">
        <v>42</v>
      </c>
      <c r="M23" t="s">
        <v>38</v>
      </c>
    </row>
    <row r="24" spans="1:13" x14ac:dyDescent="0.3">
      <c r="A24" t="str">
        <f>A23</f>
        <v>Diesel</v>
      </c>
      <c r="D24" t="s">
        <v>40</v>
      </c>
      <c r="E24" t="s">
        <v>5</v>
      </c>
      <c r="F24">
        <f>F23</f>
        <v>2020</v>
      </c>
      <c r="G24" t="s">
        <v>14</v>
      </c>
      <c r="H24" s="18">
        <v>1</v>
      </c>
    </row>
    <row r="25" spans="1:13" x14ac:dyDescent="0.3">
      <c r="A25" t="str">
        <f t="shared" ref="A25:A26" si="2">A24</f>
        <v>Diesel</v>
      </c>
      <c r="E25" t="s">
        <v>5</v>
      </c>
      <c r="F25">
        <v>2025</v>
      </c>
      <c r="G25" t="s">
        <v>14</v>
      </c>
      <c r="H25" s="18" cm="1">
        <f t="array" ref="H25">IF(INDEX($E$82:$L$105,MATCH($A25&amp;$F25,$C$82:$C$105&amp;$D$82:$D$105,0),MATCH(H$5,$E$81:$L$81,0))=1,-99,-INDEX($E$82:$L$105,MATCH($A25&amp;$F25,$C$82:$C$105&amp;$D$82:$D$105,0),MATCH(H$5,$E$81:$L$81,0))/(1-INDEX($E$82:$L$105,MATCH($A25&amp;$F25,$C$82:$C$105&amp;$D$82:$D$105,0),MATCH(H$5,$E$81:$L$81,0))))</f>
        <v>-0.34770889487870621</v>
      </c>
    </row>
    <row r="26" spans="1:13" x14ac:dyDescent="0.3">
      <c r="A26" t="str">
        <f t="shared" si="2"/>
        <v>Diesel</v>
      </c>
      <c r="D26" t="s">
        <v>40</v>
      </c>
      <c r="E26" t="s">
        <v>5</v>
      </c>
      <c r="F26">
        <v>2025</v>
      </c>
      <c r="G26" t="s">
        <v>14</v>
      </c>
      <c r="H26" s="18">
        <v>1</v>
      </c>
    </row>
    <row r="27" spans="1:13" x14ac:dyDescent="0.3">
      <c r="A27" t="str">
        <f>A24</f>
        <v>Diesel</v>
      </c>
      <c r="E27" t="s">
        <v>5</v>
      </c>
      <c r="F27">
        <v>2030</v>
      </c>
      <c r="G27" t="s">
        <v>14</v>
      </c>
      <c r="H27" s="18" cm="1">
        <f t="array" ref="H27">IF(INDEX($E$82:$L$105,MATCH($A27&amp;$F27,$C$82:$C$105&amp;$D$82:$D$105,0),MATCH(H$5,$E$81:$L$81,0))=1,-99,-INDEX($E$82:$L$105,MATCH($A27&amp;$F27,$C$82:$C$105&amp;$D$82:$D$105,0),MATCH(H$5,$E$81:$L$81,0))/(1-INDEX($E$82:$L$105,MATCH($A27&amp;$F27,$C$82:$C$105&amp;$D$82:$D$105,0),MATCH(H$5,$E$81:$L$81,0))))</f>
        <v>-1.6954177897574125</v>
      </c>
    </row>
    <row r="28" spans="1:13" x14ac:dyDescent="0.3">
      <c r="A28" t="str">
        <f t="shared" ref="A28:A30" si="3">A27</f>
        <v>Diesel</v>
      </c>
      <c r="D28" t="s">
        <v>40</v>
      </c>
      <c r="E28" t="s">
        <v>5</v>
      </c>
      <c r="F28">
        <f>F27</f>
        <v>2030</v>
      </c>
      <c r="G28" t="s">
        <v>14</v>
      </c>
      <c r="H28" s="18">
        <v>1</v>
      </c>
    </row>
    <row r="29" spans="1:13" x14ac:dyDescent="0.3">
      <c r="A29" t="str">
        <f t="shared" si="3"/>
        <v>Diesel</v>
      </c>
      <c r="E29" t="s">
        <v>5</v>
      </c>
      <c r="F29">
        <v>2035</v>
      </c>
      <c r="G29" t="s">
        <v>14</v>
      </c>
      <c r="H29" s="18" cm="1">
        <f t="array" ref="H29">IF(INDEX($E$82:$L$105,MATCH($A29&amp;$F29,$C$82:$C$105&amp;$D$82:$D$105,0),MATCH(H$5,$E$81:$L$81,0))=1,-99,-INDEX($E$82:$L$105,MATCH($A29&amp;$F29,$C$82:$C$105&amp;$D$82:$D$105,0),MATCH(H$5,$E$81:$L$81,0))/(1-INDEX($E$82:$L$105,MATCH($A29&amp;$F29,$C$82:$C$105&amp;$D$82:$D$105,0),MATCH(H$5,$E$81:$L$81,0))))</f>
        <v>-99</v>
      </c>
    </row>
    <row r="30" spans="1:13" x14ac:dyDescent="0.3">
      <c r="A30" t="str">
        <f t="shared" si="3"/>
        <v>Diesel</v>
      </c>
      <c r="D30" t="s">
        <v>40</v>
      </c>
      <c r="E30" t="s">
        <v>5</v>
      </c>
      <c r="F30">
        <f>F29</f>
        <v>2035</v>
      </c>
      <c r="G30" t="s">
        <v>14</v>
      </c>
      <c r="H30" s="18">
        <v>1</v>
      </c>
    </row>
    <row r="31" spans="1:13" x14ac:dyDescent="0.3">
      <c r="A31" t="s">
        <v>52</v>
      </c>
      <c r="C31" t="str">
        <f>M31&amp;"_SE"</f>
        <v>UC_NGACAR_MaxProdShare_SE</v>
      </c>
      <c r="E31" t="s">
        <v>5</v>
      </c>
      <c r="F31">
        <v>2020</v>
      </c>
      <c r="G31" t="s">
        <v>14</v>
      </c>
      <c r="H31" s="18" cm="1">
        <f t="array" ref="H31">IF(INDEX($E$82:$L$105,MATCH($A31&amp;$F31,$C$82:$C$105&amp;$D$82:$D$105,0),MATCH(H$5,$E$81:$L$81,0))=1,-99,-INDEX($E$82:$L$105,MATCH($A31&amp;$F31,$C$82:$C$105&amp;$D$82:$D$105,0),MATCH(H$5,$E$81:$L$81,0))/(1-INDEX($E$82:$L$105,MATCH($A31&amp;$F31,$C$82:$C$105&amp;$D$82:$D$105,0),MATCH(H$5,$E$81:$L$81,0))))</f>
        <v>-1.0101010101010102E-2</v>
      </c>
      <c r="I31">
        <v>0</v>
      </c>
      <c r="J31">
        <v>14</v>
      </c>
      <c r="K31" t="s">
        <v>43</v>
      </c>
      <c r="M31" t="s">
        <v>32</v>
      </c>
    </row>
    <row r="32" spans="1:13" x14ac:dyDescent="0.3">
      <c r="A32" t="str">
        <f>A31</f>
        <v>Gas</v>
      </c>
      <c r="D32" t="s">
        <v>24</v>
      </c>
      <c r="E32" t="s">
        <v>5</v>
      </c>
      <c r="F32">
        <f>F31</f>
        <v>2020</v>
      </c>
      <c r="G32" t="s">
        <v>14</v>
      </c>
      <c r="H32" s="18">
        <v>1</v>
      </c>
    </row>
    <row r="33" spans="1:13" x14ac:dyDescent="0.3">
      <c r="A33" t="str">
        <f t="shared" ref="A33:A34" si="4">A32</f>
        <v>Gas</v>
      </c>
      <c r="E33" t="s">
        <v>5</v>
      </c>
      <c r="F33">
        <v>2025</v>
      </c>
      <c r="G33" t="s">
        <v>14</v>
      </c>
      <c r="H33" s="18" cm="1">
        <f t="array" ref="H33">IF(INDEX($E$82:$L$105,MATCH($A33&amp;$F33,$C$82:$C$105&amp;$D$82:$D$105,0),MATCH(H$5,$E$81:$L$81,0))=1,-99,-INDEX($E$82:$L$105,MATCH($A33&amp;$F33,$C$82:$C$105&amp;$D$82:$D$105,0),MATCH(H$5,$E$81:$L$81,0))/(1-INDEX($E$82:$L$105,MATCH($A33&amp;$F33,$C$82:$C$105&amp;$D$82:$D$105,0),MATCH(H$5,$E$81:$L$81,0))))</f>
        <v>-5.2631578947368425E-2</v>
      </c>
    </row>
    <row r="34" spans="1:13" x14ac:dyDescent="0.3">
      <c r="A34" t="str">
        <f t="shared" si="4"/>
        <v>Gas</v>
      </c>
      <c r="D34" t="s">
        <v>24</v>
      </c>
      <c r="E34" t="s">
        <v>5</v>
      </c>
      <c r="F34">
        <f>F33</f>
        <v>2025</v>
      </c>
      <c r="G34" t="s">
        <v>14</v>
      </c>
      <c r="H34" s="18">
        <v>1</v>
      </c>
    </row>
    <row r="35" spans="1:13" x14ac:dyDescent="0.3">
      <c r="A35" t="str">
        <f>A32</f>
        <v>Gas</v>
      </c>
      <c r="E35" t="s">
        <v>5</v>
      </c>
      <c r="F35">
        <v>2030</v>
      </c>
      <c r="G35" t="s">
        <v>14</v>
      </c>
      <c r="H35" s="18" cm="1">
        <f t="array" ref="H35">IF(INDEX($E$82:$L$105,MATCH($A35&amp;$F35,$C$82:$C$105&amp;$D$82:$D$105,0),MATCH(H$5,$E$81:$L$81,0))=1,-99,-INDEX($E$82:$L$105,MATCH($A35&amp;$F35,$C$82:$C$105&amp;$D$82:$D$105,0),MATCH(H$5,$E$81:$L$81,0))/(1-INDEX($E$82:$L$105,MATCH($A35&amp;$F35,$C$82:$C$105&amp;$D$82:$D$105,0),MATCH(H$5,$E$81:$L$81,0))))</f>
        <v>-1</v>
      </c>
    </row>
    <row r="36" spans="1:13" x14ac:dyDescent="0.3">
      <c r="A36" t="str">
        <f t="shared" ref="A36:A38" si="5">A35</f>
        <v>Gas</v>
      </c>
      <c r="D36" t="s">
        <v>24</v>
      </c>
      <c r="E36" t="s">
        <v>5</v>
      </c>
      <c r="F36">
        <f>F35</f>
        <v>2030</v>
      </c>
      <c r="G36" t="s">
        <v>14</v>
      </c>
      <c r="H36" s="18">
        <v>1</v>
      </c>
    </row>
    <row r="37" spans="1:13" x14ac:dyDescent="0.3">
      <c r="A37" t="str">
        <f t="shared" si="5"/>
        <v>Gas</v>
      </c>
      <c r="E37" t="s">
        <v>5</v>
      </c>
      <c r="F37">
        <v>2035</v>
      </c>
      <c r="G37" t="s">
        <v>14</v>
      </c>
      <c r="H37" s="18" cm="1">
        <f t="array" ref="H37">IF(INDEX($E$82:$L$105,MATCH($A37&amp;$F37,$C$82:$C$105&amp;$D$82:$D$105,0),MATCH(H$5,$E$81:$L$81,0))=1,-99,-INDEX($E$82:$L$105,MATCH($A37&amp;$F37,$C$82:$C$105&amp;$D$82:$D$105,0),MATCH(H$5,$E$81:$L$81,0))/(1-INDEX($E$82:$L$105,MATCH($A37&amp;$F37,$C$82:$C$105&amp;$D$82:$D$105,0),MATCH(H$5,$E$81:$L$81,0))))</f>
        <v>-99</v>
      </c>
    </row>
    <row r="38" spans="1:13" x14ac:dyDescent="0.3">
      <c r="A38" t="str">
        <f t="shared" si="5"/>
        <v>Gas</v>
      </c>
      <c r="D38" t="s">
        <v>24</v>
      </c>
      <c r="E38" t="s">
        <v>5</v>
      </c>
      <c r="F38">
        <f>F37</f>
        <v>2035</v>
      </c>
      <c r="G38" t="s">
        <v>14</v>
      </c>
      <c r="H38" s="18">
        <v>1</v>
      </c>
    </row>
    <row r="39" spans="1:13" x14ac:dyDescent="0.3">
      <c r="A39" t="s">
        <v>47</v>
      </c>
      <c r="C39" t="str">
        <f>M39&amp;"_SE"</f>
        <v>UC_HEVCAR_MaxProdShare_SE</v>
      </c>
      <c r="E39" t="s">
        <v>5</v>
      </c>
      <c r="F39">
        <v>2020</v>
      </c>
      <c r="G39" t="s">
        <v>14</v>
      </c>
      <c r="H39" s="18" cm="1">
        <f t="array" ref="H39">IF(INDEX($E$82:$L$105,MATCH($A39&amp;$F39,$C$82:$C$105&amp;$D$82:$D$105,0),MATCH(H$5,$E$81:$L$81,0))=1,-99,-INDEX($E$82:$L$105,MATCH($A39&amp;$F39,$C$82:$C$105&amp;$D$82:$D$105,0),MATCH(H$5,$E$81:$L$81,0))/(1-INDEX($E$82:$L$105,MATCH($A39&amp;$F39,$C$82:$C$105&amp;$D$82:$D$105,0),MATCH(H$5,$E$81:$L$81,0))))</f>
        <v>-7.5268817204301092E-2</v>
      </c>
      <c r="I39">
        <v>0</v>
      </c>
      <c r="J39">
        <v>14</v>
      </c>
      <c r="K39" t="s">
        <v>44</v>
      </c>
      <c r="M39" t="s">
        <v>34</v>
      </c>
    </row>
    <row r="40" spans="1:13" x14ac:dyDescent="0.3">
      <c r="A40" t="str">
        <f>A39</f>
        <v>PHEV</v>
      </c>
      <c r="E40" t="s">
        <v>33</v>
      </c>
      <c r="F40">
        <f>F39</f>
        <v>2020</v>
      </c>
      <c r="G40" t="s">
        <v>14</v>
      </c>
      <c r="H40" s="18">
        <v>1</v>
      </c>
    </row>
    <row r="41" spans="1:13" x14ac:dyDescent="0.3">
      <c r="A41" t="str">
        <f t="shared" ref="A41:A42" si="6">A40</f>
        <v>PHEV</v>
      </c>
      <c r="E41" t="s">
        <v>5</v>
      </c>
      <c r="F41">
        <v>2025</v>
      </c>
      <c r="G41" t="s">
        <v>14</v>
      </c>
      <c r="H41" s="18" cm="1">
        <f t="array" ref="H41">IF(INDEX($E$82:$L$105,MATCH($A41&amp;$F41,$C$82:$C$105&amp;$D$82:$D$105,0),MATCH(H$5,$E$81:$L$81,0))=1,-99,-INDEX($E$82:$L$105,MATCH($A41&amp;$F41,$C$82:$C$105&amp;$D$82:$D$105,0),MATCH(H$5,$E$81:$L$81,0))/(1-INDEX($E$82:$L$105,MATCH($A41&amp;$F41,$C$82:$C$105&amp;$D$82:$D$105,0),MATCH(H$5,$E$81:$L$81,0))))</f>
        <v>-1.1505376344086022</v>
      </c>
    </row>
    <row r="42" spans="1:13" x14ac:dyDescent="0.3">
      <c r="A42" t="str">
        <f t="shared" si="6"/>
        <v>PHEV</v>
      </c>
      <c r="E42" t="s">
        <v>33</v>
      </c>
      <c r="F42">
        <f>F41</f>
        <v>2025</v>
      </c>
      <c r="G42" t="s">
        <v>14</v>
      </c>
      <c r="H42" s="18">
        <v>1</v>
      </c>
    </row>
    <row r="43" spans="1:13" x14ac:dyDescent="0.3">
      <c r="A43" t="str">
        <f>A40</f>
        <v>PHEV</v>
      </c>
      <c r="E43" t="s">
        <v>5</v>
      </c>
      <c r="F43">
        <v>2030</v>
      </c>
      <c r="G43" t="s">
        <v>14</v>
      </c>
      <c r="H43" s="18" cm="1">
        <f t="array" ref="H43">IF(INDEX($E$82:$L$105,MATCH($A43&amp;$F43,$C$82:$C$105&amp;$D$82:$D$105,0),MATCH(H$5,$E$81:$L$81,0))=1,-99,-INDEX($E$82:$L$105,MATCH($A43&amp;$F43,$C$82:$C$105&amp;$D$82:$D$105,0),MATCH(H$5,$E$81:$L$81,0))/(1-INDEX($E$82:$L$105,MATCH($A43&amp;$F43,$C$82:$C$105&amp;$D$82:$D$105,0),MATCH(H$5,$E$81:$L$81,0))))</f>
        <v>-99</v>
      </c>
    </row>
    <row r="44" spans="1:13" x14ac:dyDescent="0.3">
      <c r="A44" t="str">
        <f t="shared" ref="A44:A46" si="7">A43</f>
        <v>PHEV</v>
      </c>
      <c r="E44" t="s">
        <v>33</v>
      </c>
      <c r="F44">
        <f>F43</f>
        <v>2030</v>
      </c>
      <c r="G44" t="s">
        <v>14</v>
      </c>
      <c r="H44" s="18">
        <v>1</v>
      </c>
    </row>
    <row r="45" spans="1:13" x14ac:dyDescent="0.3">
      <c r="A45" t="str">
        <f t="shared" si="7"/>
        <v>PHEV</v>
      </c>
      <c r="E45" t="s">
        <v>5</v>
      </c>
      <c r="F45">
        <v>2035</v>
      </c>
      <c r="G45" t="s">
        <v>14</v>
      </c>
      <c r="H45" s="18" cm="1">
        <f t="array" ref="H45">IF(INDEX($E$82:$L$105,MATCH($A45&amp;$F45,$C$82:$C$105&amp;$D$82:$D$105,0),MATCH(H$5,$E$81:$L$81,0))=1,-99,-INDEX($E$82:$L$105,MATCH($A45&amp;$F45,$C$82:$C$105&amp;$D$82:$D$105,0),MATCH(H$5,$E$81:$L$81,0))/(1-INDEX($E$82:$L$105,MATCH($A45&amp;$F45,$C$82:$C$105&amp;$D$82:$D$105,0),MATCH(H$5,$E$81:$L$81,0))))</f>
        <v>-99</v>
      </c>
    </row>
    <row r="46" spans="1:13" x14ac:dyDescent="0.3">
      <c r="A46" t="str">
        <f t="shared" si="7"/>
        <v>PHEV</v>
      </c>
      <c r="E46" t="s">
        <v>33</v>
      </c>
      <c r="F46">
        <f>F45</f>
        <v>2035</v>
      </c>
      <c r="G46" t="s">
        <v>14</v>
      </c>
      <c r="H46" s="18">
        <v>1</v>
      </c>
    </row>
    <row r="47" spans="1:13" x14ac:dyDescent="0.3">
      <c r="A47" t="s">
        <v>46</v>
      </c>
      <c r="C47" t="str">
        <f>M47&amp;"_SE"</f>
        <v>UC_BEVCAR_MaxProdShare_SE</v>
      </c>
      <c r="E47" t="s">
        <v>5</v>
      </c>
      <c r="F47">
        <v>2020</v>
      </c>
      <c r="G47" t="s">
        <v>14</v>
      </c>
      <c r="H47" s="18" cm="1">
        <f t="array" ref="H47">IF(INDEX($E$82:$L$105,MATCH($A47&amp;$F47,$C$82:$C$105&amp;$D$82:$D$105,0),MATCH(H$5,$E$81:$L$81,0))=1,-99,-INDEX($E$82:$L$105,MATCH($A47&amp;$F47,$C$82:$C$105&amp;$D$82:$D$105,0),MATCH(H$5,$E$81:$L$81,0))/(1-INDEX($E$82:$L$105,MATCH($A47&amp;$F47,$C$82:$C$105&amp;$D$82:$D$105,0),MATCH(H$5,$E$81:$L$81,0))))</f>
        <v>-7.5268817204301092E-2</v>
      </c>
      <c r="I47">
        <v>0</v>
      </c>
      <c r="J47">
        <v>14</v>
      </c>
      <c r="K47" t="s">
        <v>45</v>
      </c>
      <c r="M47" t="s">
        <v>36</v>
      </c>
    </row>
    <row r="48" spans="1:13" x14ac:dyDescent="0.3">
      <c r="A48" t="str">
        <f>A47</f>
        <v>BEV</v>
      </c>
      <c r="E48" t="s">
        <v>35</v>
      </c>
      <c r="F48">
        <f>F47</f>
        <v>2020</v>
      </c>
      <c r="G48" t="s">
        <v>14</v>
      </c>
      <c r="H48" s="18">
        <v>1</v>
      </c>
    </row>
    <row r="49" spans="1:13" x14ac:dyDescent="0.3">
      <c r="A49" t="str">
        <f t="shared" ref="A49:A50" si="8">A48</f>
        <v>BEV</v>
      </c>
      <c r="E49" t="s">
        <v>5</v>
      </c>
      <c r="F49">
        <v>2025</v>
      </c>
      <c r="G49" t="s">
        <v>14</v>
      </c>
      <c r="H49" s="18" cm="1">
        <f t="array" ref="H49">IF(INDEX($E$82:$L$105,MATCH($A49&amp;$F49,$C$82:$C$105&amp;$D$82:$D$105,0),MATCH(H$5,$E$81:$L$81,0))=1,-99,-INDEX($E$82:$L$105,MATCH($A49&amp;$F49,$C$82:$C$105&amp;$D$82:$D$105,0),MATCH(H$5,$E$81:$L$81,0))/(1-INDEX($E$82:$L$105,MATCH($A49&amp;$F49,$C$82:$C$105&amp;$D$82:$D$105,0),MATCH(H$5,$E$81:$L$81,0))))</f>
        <v>-0.43357518432250736</v>
      </c>
    </row>
    <row r="50" spans="1:13" x14ac:dyDescent="0.3">
      <c r="A50" t="str">
        <f t="shared" si="8"/>
        <v>BEV</v>
      </c>
      <c r="E50" t="s">
        <v>35</v>
      </c>
      <c r="F50">
        <f>F49</f>
        <v>2025</v>
      </c>
      <c r="G50" t="s">
        <v>14</v>
      </c>
      <c r="H50" s="18">
        <v>1</v>
      </c>
    </row>
    <row r="51" spans="1:13" x14ac:dyDescent="0.3">
      <c r="A51" t="str">
        <f>A48</f>
        <v>BEV</v>
      </c>
      <c r="E51" t="s">
        <v>5</v>
      </c>
      <c r="F51">
        <v>2030</v>
      </c>
      <c r="G51" t="s">
        <v>14</v>
      </c>
      <c r="H51" s="18" cm="1">
        <f t="array" ref="H51">IF(INDEX($E$82:$L$105,MATCH($A51&amp;$F51,$C$82:$C$105&amp;$D$82:$D$105,0),MATCH(H$5,$E$81:$L$81,0))=1,-99,-INDEX($E$82:$L$105,MATCH($A51&amp;$F51,$C$82:$C$105&amp;$D$82:$D$105,0),MATCH(H$5,$E$81:$L$81,0))/(1-INDEX($E$82:$L$105,MATCH($A51&amp;$F51,$C$82:$C$105&amp;$D$82:$D$105,0),MATCH(H$5,$E$81:$L$81,0))))</f>
        <v>-1.1500131459252787</v>
      </c>
    </row>
    <row r="52" spans="1:13" x14ac:dyDescent="0.3">
      <c r="A52" t="str">
        <f t="shared" ref="A52:A54" si="9">A51</f>
        <v>BEV</v>
      </c>
      <c r="E52" t="s">
        <v>35</v>
      </c>
      <c r="F52">
        <f>F51</f>
        <v>2030</v>
      </c>
      <c r="G52" t="s">
        <v>14</v>
      </c>
      <c r="H52" s="18">
        <v>1</v>
      </c>
    </row>
    <row r="53" spans="1:13" x14ac:dyDescent="0.3">
      <c r="A53" t="str">
        <f t="shared" si="9"/>
        <v>BEV</v>
      </c>
      <c r="E53" t="s">
        <v>5</v>
      </c>
      <c r="F53">
        <v>2035</v>
      </c>
      <c r="G53" t="s">
        <v>14</v>
      </c>
      <c r="H53" s="18" cm="1">
        <f t="array" ref="H53">IF(INDEX($E$82:$L$105,MATCH($A53&amp;$F53,$C$82:$C$105&amp;$D$82:$D$105,0),MATCH(H$5,$E$81:$L$81,0))=1,-99,-INDEX($E$82:$L$105,MATCH($A53&amp;$F53,$C$82:$C$105&amp;$D$82:$D$105,0),MATCH(H$5,$E$81:$L$81,0))/(1-INDEX($E$82:$L$105,MATCH($A53&amp;$F53,$C$82:$C$105&amp;$D$82:$D$105,0),MATCH(H$5,$E$81:$L$81,0))))</f>
        <v>-99</v>
      </c>
    </row>
    <row r="54" spans="1:13" x14ac:dyDescent="0.3">
      <c r="A54" t="str">
        <f t="shared" si="9"/>
        <v>BEV</v>
      </c>
      <c r="E54" t="s">
        <v>35</v>
      </c>
      <c r="F54">
        <f>F53</f>
        <v>2035</v>
      </c>
      <c r="G54" t="s">
        <v>14</v>
      </c>
      <c r="H54" s="18">
        <v>1</v>
      </c>
    </row>
    <row r="55" spans="1:13" x14ac:dyDescent="0.3">
      <c r="A55" t="s">
        <v>53</v>
      </c>
      <c r="C55" t="str">
        <f>M55&amp;"_SE"</f>
        <v>UC_FCEVTRUCK_MaxProdShare_SE</v>
      </c>
      <c r="E55" t="s">
        <v>15</v>
      </c>
      <c r="F55">
        <v>2020</v>
      </c>
      <c r="G55" t="s">
        <v>14</v>
      </c>
      <c r="H55" s="18" cm="1">
        <f t="array" ref="H55">IF(INDEX($E$82:$L$118,MATCH($A55&amp;$F55,$C$82:$C$118&amp;$D$82:$D$118,0),MATCH(H$5,$E$81:$L$81,0))=1,-99,-INDEX($E$82:$L$118,MATCH($A55&amp;$F55,$C$82:$C$118&amp;$D$82:$D$118,0),MATCH(H$5,$E$81:$L$81,0))/(1-INDEX($E$82:$L$118,MATCH($A55&amp;$F55,$C$82:$C$118&amp;$D$82:$D$118,0),MATCH(H$5,$E$81:$L$81,0))))</f>
        <v>-1.0101010101010102E-2</v>
      </c>
      <c r="I55">
        <v>0</v>
      </c>
      <c r="J55">
        <v>14</v>
      </c>
      <c r="K55" t="s">
        <v>27</v>
      </c>
      <c r="M55" t="s">
        <v>28</v>
      </c>
    </row>
    <row r="56" spans="1:13" x14ac:dyDescent="0.3">
      <c r="A56" t="s">
        <v>53</v>
      </c>
      <c r="D56" t="s">
        <v>23</v>
      </c>
      <c r="E56" t="s">
        <v>15</v>
      </c>
      <c r="F56">
        <f>F55</f>
        <v>2020</v>
      </c>
      <c r="G56" t="s">
        <v>14</v>
      </c>
      <c r="H56" s="18">
        <v>1</v>
      </c>
    </row>
    <row r="57" spans="1:13" x14ac:dyDescent="0.3">
      <c r="A57" t="s">
        <v>53</v>
      </c>
      <c r="E57" t="s">
        <v>15</v>
      </c>
      <c r="F57">
        <v>2030</v>
      </c>
      <c r="G57" t="s">
        <v>14</v>
      </c>
      <c r="H57" s="18" cm="1">
        <f t="array" ref="H57">IF(INDEX($E$82:$L$118,MATCH($A57&amp;$F57,$C$82:$C$118&amp;$D$82:$D$118,0),MATCH(H$5,$E$81:$L$81,0))=1,-99,-INDEX($E$82:$L$118,MATCH($A57&amp;$F57,$C$82:$C$118&amp;$D$82:$D$118,0),MATCH(H$5,$E$81:$L$81,0))/(1-INDEX($E$82:$L$118,MATCH($A57&amp;$F57,$C$82:$C$118&amp;$D$82:$D$118,0),MATCH(H$5,$E$81:$L$81,0))))</f>
        <v>-1</v>
      </c>
      <c r="I57" s="9"/>
      <c r="J57" s="9"/>
      <c r="K57" s="9"/>
    </row>
    <row r="58" spans="1:13" x14ac:dyDescent="0.3">
      <c r="A58" t="s">
        <v>53</v>
      </c>
      <c r="D58" t="s">
        <v>23</v>
      </c>
      <c r="E58" t="s">
        <v>15</v>
      </c>
      <c r="F58">
        <f>F57</f>
        <v>2030</v>
      </c>
      <c r="G58" t="s">
        <v>14</v>
      </c>
      <c r="H58" s="18">
        <v>1</v>
      </c>
    </row>
    <row r="59" spans="1:13" x14ac:dyDescent="0.3">
      <c r="A59" t="s">
        <v>53</v>
      </c>
      <c r="E59" t="s">
        <v>15</v>
      </c>
      <c r="F59">
        <v>2035</v>
      </c>
      <c r="G59" t="s">
        <v>14</v>
      </c>
      <c r="H59" s="18" cm="1">
        <f t="array" ref="H59">IF(INDEX($E$82:$L$118,MATCH($A59&amp;$F59,$C$82:$C$118&amp;$D$82:$D$118,0),MATCH(H$5,$E$81:$L$81,0))=1,-99,-INDEX($E$82:$L$118,MATCH($A59&amp;$F59,$C$82:$C$118&amp;$D$82:$D$118,0),MATCH(H$5,$E$81:$L$81,0))/(1-INDEX($E$82:$L$118,MATCH($A59&amp;$F59,$C$82:$C$118&amp;$D$82:$D$118,0),MATCH(H$5,$E$81:$L$81,0))))</f>
        <v>-99</v>
      </c>
      <c r="I59" s="9"/>
      <c r="J59" s="9"/>
      <c r="K59" s="9"/>
    </row>
    <row r="60" spans="1:13" x14ac:dyDescent="0.3">
      <c r="A60" t="s">
        <v>53</v>
      </c>
      <c r="D60" t="s">
        <v>23</v>
      </c>
      <c r="E60" t="s">
        <v>15</v>
      </c>
      <c r="F60">
        <f>F59</f>
        <v>2035</v>
      </c>
      <c r="G60" t="s">
        <v>14</v>
      </c>
      <c r="H60" s="18">
        <v>1</v>
      </c>
    </row>
    <row r="61" spans="1:13" x14ac:dyDescent="0.3">
      <c r="A61" t="s">
        <v>93</v>
      </c>
      <c r="C61" t="str">
        <f>M61&amp;"_SE"</f>
        <v>UC_EVTRUCK_MaxProdShare_SE</v>
      </c>
      <c r="E61" t="s">
        <v>15</v>
      </c>
      <c r="F61">
        <v>2020</v>
      </c>
      <c r="G61" t="s">
        <v>14</v>
      </c>
      <c r="H61" s="18" cm="1">
        <f t="array" ref="H61">IF(INDEX($E$82:$L$118,MATCH($A61&amp;$F61,$C$82:$C$118&amp;$D$82:$D$118,0),MATCH(H$5,$E$81:$L$81,0))=1,-99,-INDEX($E$82:$L$118,MATCH($A61&amp;$F61,$C$82:$C$118&amp;$D$82:$D$118,0),MATCH(H$5,$E$81:$L$81,0))/(1-INDEX($E$82:$L$118,MATCH($A61&amp;$F61,$C$82:$C$118&amp;$D$82:$D$118,0),MATCH(H$5,$E$81:$L$81,0))))</f>
        <v>-1.0101010101010102E-2</v>
      </c>
      <c r="I61">
        <v>0</v>
      </c>
      <c r="J61">
        <v>14</v>
      </c>
      <c r="K61" t="s">
        <v>95</v>
      </c>
      <c r="M61" t="s">
        <v>94</v>
      </c>
    </row>
    <row r="62" spans="1:13" x14ac:dyDescent="0.3">
      <c r="A62" t="s">
        <v>93</v>
      </c>
      <c r="D62" t="s">
        <v>23</v>
      </c>
      <c r="E62" t="s">
        <v>15</v>
      </c>
      <c r="F62">
        <f>F61</f>
        <v>2020</v>
      </c>
      <c r="G62" t="s">
        <v>14</v>
      </c>
      <c r="H62" s="18">
        <v>1</v>
      </c>
    </row>
    <row r="63" spans="1:13" x14ac:dyDescent="0.3">
      <c r="A63" t="s">
        <v>93</v>
      </c>
      <c r="E63" t="s">
        <v>15</v>
      </c>
      <c r="F63">
        <v>2030</v>
      </c>
      <c r="G63" t="s">
        <v>14</v>
      </c>
      <c r="H63" s="18" cm="1">
        <f t="array" ref="H63">IF(INDEX($E$82:$L$118,MATCH($A63&amp;$F63,$C$82:$C$118&amp;$D$82:$D$118,0),MATCH(H$5,$E$81:$L$81,0))=1,-99,-INDEX($E$82:$L$118,MATCH($A63&amp;$F63,$C$82:$C$118&amp;$D$82:$D$118,0),MATCH(H$5,$E$81:$L$81,0))/(1-INDEX($E$82:$L$118,MATCH($A63&amp;$F63,$C$82:$C$118&amp;$D$82:$D$118,0),MATCH(H$5,$E$81:$L$81,0))))</f>
        <v>-1</v>
      </c>
      <c r="I63" s="9"/>
      <c r="J63" s="13"/>
      <c r="K63" s="9"/>
    </row>
    <row r="64" spans="1:13" x14ac:dyDescent="0.3">
      <c r="A64" t="s">
        <v>93</v>
      </c>
      <c r="D64" t="s">
        <v>23</v>
      </c>
      <c r="E64" t="s">
        <v>15</v>
      </c>
      <c r="F64">
        <f>F63</f>
        <v>2030</v>
      </c>
      <c r="G64" t="s">
        <v>14</v>
      </c>
      <c r="H64" s="18">
        <v>1</v>
      </c>
    </row>
    <row r="65" spans="1:20" x14ac:dyDescent="0.3">
      <c r="A65" t="s">
        <v>93</v>
      </c>
      <c r="E65" t="s">
        <v>15</v>
      </c>
      <c r="F65">
        <v>2035</v>
      </c>
      <c r="G65" t="s">
        <v>14</v>
      </c>
      <c r="H65" s="18" cm="1">
        <f t="array" ref="H65">IF(INDEX($E$82:$L$118,MATCH($A65&amp;$F65,$C$82:$C$118&amp;$D$82:$D$118,0),MATCH(H$5,$E$81:$L$81,0))=1,-99,-INDEX($E$82:$L$118,MATCH($A65&amp;$F65,$C$82:$C$118&amp;$D$82:$D$118,0),MATCH(H$5,$E$81:$L$81,0))/(1-INDEX($E$82:$L$118,MATCH($A65&amp;$F65,$C$82:$C$118&amp;$D$82:$D$118,0),MATCH(H$5,$E$81:$L$81,0))))</f>
        <v>-99</v>
      </c>
      <c r="I65" s="9"/>
      <c r="J65" s="13"/>
      <c r="K65" s="9"/>
    </row>
    <row r="66" spans="1:20" x14ac:dyDescent="0.3">
      <c r="A66" t="s">
        <v>93</v>
      </c>
      <c r="D66" t="s">
        <v>23</v>
      </c>
      <c r="E66" t="s">
        <v>15</v>
      </c>
      <c r="F66">
        <f>F65</f>
        <v>2035</v>
      </c>
      <c r="G66" t="s">
        <v>14</v>
      </c>
      <c r="H66" s="18">
        <v>1</v>
      </c>
    </row>
    <row r="67" spans="1:20" x14ac:dyDescent="0.3">
      <c r="A67" t="s">
        <v>54</v>
      </c>
      <c r="C67" t="str">
        <f>M67&amp;"_SE"</f>
        <v>UC_GASTRUCK_MaxProdShare_SE</v>
      </c>
      <c r="E67" t="s">
        <v>15</v>
      </c>
      <c r="F67">
        <v>2015</v>
      </c>
      <c r="G67" t="s">
        <v>14</v>
      </c>
      <c r="H67" s="18" cm="1">
        <f t="array" ref="H67">IF(INDEX($E$82:$L$118,MATCH($A67&amp;$F67,$C$82:$C$118&amp;$D$82:$D$118,0),MATCH(H$5,$E$81:$L$81,0))=1,-99,-INDEX($E$82:$L$118,MATCH($A67&amp;$F67,$C$82:$C$118&amp;$D$82:$D$118,0),MATCH(H$5,$E$81:$L$81,0))/(1-INDEX($E$82:$L$118,MATCH($A67&amp;$F67,$C$82:$C$118&amp;$D$82:$D$118,0),MATCH(H$5,$E$81:$L$81,0))))</f>
        <v>-1.0101010101010102E-2</v>
      </c>
      <c r="I67">
        <v>0</v>
      </c>
      <c r="K67" t="s">
        <v>29</v>
      </c>
      <c r="M67" t="s">
        <v>30</v>
      </c>
    </row>
    <row r="68" spans="1:20" x14ac:dyDescent="0.3">
      <c r="A68" t="s">
        <v>54</v>
      </c>
      <c r="D68" t="s">
        <v>24</v>
      </c>
      <c r="E68" t="s">
        <v>15</v>
      </c>
      <c r="F68">
        <f>F67</f>
        <v>2015</v>
      </c>
      <c r="G68" t="s">
        <v>14</v>
      </c>
      <c r="H68" s="18">
        <v>1</v>
      </c>
    </row>
    <row r="69" spans="1:20" x14ac:dyDescent="0.3">
      <c r="A69" t="s">
        <v>54</v>
      </c>
      <c r="E69" s="13" t="s">
        <v>15</v>
      </c>
      <c r="F69" s="13">
        <v>2020</v>
      </c>
      <c r="G69" s="13" t="s">
        <v>14</v>
      </c>
      <c r="H69" s="18" cm="1">
        <f t="array" ref="H69">IF(INDEX($E$82:$L$118,MATCH($A69&amp;$F69,$C$82:$C$118&amp;$D$82:$D$118,0),MATCH(H$5,$E$81:$L$81,0))=1,-99,-INDEX($E$82:$L$118,MATCH($A69&amp;$F69,$C$82:$C$118&amp;$D$82:$D$118,0),MATCH(H$5,$E$81:$L$81,0))/(1-INDEX($E$82:$L$118,MATCH($A69&amp;$F69,$C$82:$C$118&amp;$D$82:$D$118,0),MATCH(H$5,$E$81:$L$81,0))))</f>
        <v>-1.0101010101010102E-2</v>
      </c>
      <c r="I69" s="13"/>
      <c r="J69">
        <v>14</v>
      </c>
      <c r="K69" s="13"/>
    </row>
    <row r="70" spans="1:20" x14ac:dyDescent="0.3">
      <c r="A70" t="s">
        <v>54</v>
      </c>
      <c r="D70" t="s">
        <v>24</v>
      </c>
      <c r="E70" t="s">
        <v>15</v>
      </c>
      <c r="F70">
        <f>F69</f>
        <v>2020</v>
      </c>
      <c r="G70" t="s">
        <v>14</v>
      </c>
      <c r="H70" s="18">
        <v>1</v>
      </c>
    </row>
    <row r="71" spans="1:20" x14ac:dyDescent="0.3">
      <c r="A71" t="s">
        <v>54</v>
      </c>
      <c r="E71" s="13" t="s">
        <v>15</v>
      </c>
      <c r="F71" s="13">
        <v>2030</v>
      </c>
      <c r="G71" s="13" t="s">
        <v>14</v>
      </c>
      <c r="H71" s="18" cm="1">
        <f t="array" ref="H71">IF(INDEX($E$82:$L$118,MATCH($A71&amp;$F71,$C$82:$C$118&amp;$D$82:$D$118,0),MATCH(H$5,$E$81:$L$81,0))=1,-99,-INDEX($E$82:$L$118,MATCH($A71&amp;$F71,$C$82:$C$118&amp;$D$82:$D$118,0),MATCH(H$5,$E$81:$L$81,0))/(1-INDEX($E$82:$L$118,MATCH($A71&amp;$F71,$C$82:$C$118&amp;$D$82:$D$118,0),MATCH(H$5,$E$81:$L$81,0))))</f>
        <v>-1</v>
      </c>
      <c r="I71" s="13"/>
      <c r="J71" s="13"/>
      <c r="K71" s="13"/>
    </row>
    <row r="72" spans="1:20" x14ac:dyDescent="0.3">
      <c r="A72" t="s">
        <v>54</v>
      </c>
      <c r="D72" t="s">
        <v>24</v>
      </c>
      <c r="E72" t="s">
        <v>15</v>
      </c>
      <c r="F72">
        <f>F71</f>
        <v>2030</v>
      </c>
      <c r="G72" t="s">
        <v>14</v>
      </c>
      <c r="H72" s="18">
        <v>1</v>
      </c>
    </row>
    <row r="73" spans="1:20" x14ac:dyDescent="0.3">
      <c r="A73" t="s">
        <v>54</v>
      </c>
      <c r="E73" s="13" t="s">
        <v>15</v>
      </c>
      <c r="F73" s="13">
        <v>2035</v>
      </c>
      <c r="G73" s="13" t="s">
        <v>14</v>
      </c>
      <c r="H73" s="18" cm="1">
        <f t="array" ref="H73">IF(INDEX($E$82:$L$118,MATCH($A73&amp;$F73,$C$82:$C$118&amp;$D$82:$D$118,0),MATCH(H$5,$E$81:$L$81,0))=1,-99,-INDEX($E$82:$L$118,MATCH($A73&amp;$F73,$C$82:$C$118&amp;$D$82:$D$118,0),MATCH(H$5,$E$81:$L$81,0))/(1-INDEX($E$82:$L$118,MATCH($A73&amp;$F73,$C$82:$C$118&amp;$D$82:$D$118,0),MATCH(H$5,$E$81:$L$81,0))))</f>
        <v>-99</v>
      </c>
    </row>
    <row r="74" spans="1:20" x14ac:dyDescent="0.3">
      <c r="A74" t="s">
        <v>54</v>
      </c>
      <c r="D74" t="s">
        <v>24</v>
      </c>
      <c r="E74" t="s">
        <v>15</v>
      </c>
      <c r="F74">
        <f>F73</f>
        <v>2035</v>
      </c>
      <c r="G74" t="s">
        <v>14</v>
      </c>
      <c r="H74" s="18">
        <v>1</v>
      </c>
    </row>
    <row r="76" spans="1:20" x14ac:dyDescent="0.3"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3">
      <c r="G77" s="9"/>
    </row>
    <row r="78" spans="1:20" x14ac:dyDescent="0.3">
      <c r="J78" s="17"/>
      <c r="K78" s="17"/>
      <c r="L78" s="17"/>
      <c r="M78" s="17"/>
      <c r="N78" s="17"/>
      <c r="O78" s="17"/>
      <c r="P78" s="17"/>
      <c r="Q78" s="17"/>
    </row>
    <row r="79" spans="1:20" x14ac:dyDescent="0.3">
      <c r="J79" s="17"/>
      <c r="K79" s="17"/>
      <c r="L79" s="17"/>
      <c r="M79" s="17"/>
      <c r="N79" s="17"/>
      <c r="O79" s="17"/>
      <c r="P79" s="17"/>
      <c r="Q79" s="17"/>
    </row>
    <row r="80" spans="1:20" x14ac:dyDescent="0.3">
      <c r="C80" t="s">
        <v>51</v>
      </c>
      <c r="J80" s="17"/>
      <c r="K80" s="17"/>
      <c r="L80" s="17"/>
      <c r="M80" s="17"/>
      <c r="N80" s="17"/>
      <c r="O80" s="17"/>
      <c r="P80" s="17"/>
      <c r="Q80" s="17"/>
    </row>
    <row r="81" spans="3:17" x14ac:dyDescent="0.3">
      <c r="E81" s="8" t="s">
        <v>8</v>
      </c>
      <c r="F81" s="8" t="s">
        <v>9</v>
      </c>
      <c r="G81" s="8" t="s">
        <v>6</v>
      </c>
      <c r="H81" s="8" t="s">
        <v>7</v>
      </c>
      <c r="I81" s="8" t="s">
        <v>10</v>
      </c>
      <c r="J81" s="8" t="s">
        <v>11</v>
      </c>
      <c r="K81" s="8" t="s">
        <v>12</v>
      </c>
      <c r="L81" s="8" t="s">
        <v>13</v>
      </c>
    </row>
    <row r="82" spans="3:17" x14ac:dyDescent="0.3">
      <c r="C82" t="s">
        <v>46</v>
      </c>
      <c r="D82">
        <v>2020</v>
      </c>
      <c r="E82" s="16">
        <v>0.4</v>
      </c>
      <c r="F82" s="16">
        <f>E82</f>
        <v>0.4</v>
      </c>
      <c r="G82" s="16">
        <f>I137</f>
        <v>0.03</v>
      </c>
      <c r="H82" s="16">
        <f>G82</f>
        <v>0.03</v>
      </c>
      <c r="I82" s="16">
        <v>7.0000000000000007E-2</v>
      </c>
      <c r="J82" s="16">
        <f>I82</f>
        <v>7.0000000000000007E-2</v>
      </c>
      <c r="K82" s="16">
        <f>J82</f>
        <v>7.0000000000000007E-2</v>
      </c>
      <c r="L82" s="16">
        <f>K82</f>
        <v>7.0000000000000007E-2</v>
      </c>
      <c r="M82" s="17"/>
      <c r="N82" s="17"/>
      <c r="O82" s="17"/>
      <c r="P82" s="17"/>
      <c r="Q82" s="17"/>
    </row>
    <row r="83" spans="3:17" x14ac:dyDescent="0.3">
      <c r="C83" t="s">
        <v>46</v>
      </c>
      <c r="D83">
        <v>2025</v>
      </c>
      <c r="E83" s="16">
        <f>E84/2+E82/2</f>
        <v>0.7</v>
      </c>
      <c r="F83" s="16">
        <f t="shared" ref="F83:F118" si="10">E83</f>
        <v>0.7</v>
      </c>
      <c r="G83" s="16">
        <f>SUM(N136:N138)+0.05</f>
        <v>0.1928050042198976</v>
      </c>
      <c r="H83" s="16">
        <f t="shared" ref="H83:H118" si="11">G83</f>
        <v>0.1928050042198976</v>
      </c>
      <c r="I83" s="16">
        <f>I84/2+I82/2</f>
        <v>0.3024432824061547</v>
      </c>
      <c r="J83" s="16">
        <f t="shared" ref="J83:L98" si="12">I83</f>
        <v>0.3024432824061547</v>
      </c>
      <c r="K83" s="16">
        <f t="shared" si="12"/>
        <v>0.3024432824061547</v>
      </c>
      <c r="L83" s="16">
        <f t="shared" si="12"/>
        <v>0.3024432824061547</v>
      </c>
      <c r="M83" s="17"/>
      <c r="N83" s="17"/>
      <c r="O83" s="17"/>
      <c r="P83" s="17"/>
      <c r="Q83" s="17"/>
    </row>
    <row r="84" spans="3:17" x14ac:dyDescent="0.3">
      <c r="C84" t="s">
        <v>46</v>
      </c>
      <c r="D84">
        <v>2030</v>
      </c>
      <c r="E84" s="16">
        <v>1</v>
      </c>
      <c r="F84" s="16">
        <f t="shared" si="10"/>
        <v>1</v>
      </c>
      <c r="G84" s="16">
        <f>SUM(S136:S138)+0.1</f>
        <v>0.46488656481230928</v>
      </c>
      <c r="H84" s="16">
        <f t="shared" si="11"/>
        <v>0.46488656481230928</v>
      </c>
      <c r="I84" s="16">
        <f>G84+I82</f>
        <v>0.53488656481230934</v>
      </c>
      <c r="J84" s="16">
        <f t="shared" si="12"/>
        <v>0.53488656481230934</v>
      </c>
      <c r="K84" s="16">
        <f t="shared" si="12"/>
        <v>0.53488656481230934</v>
      </c>
      <c r="L84" s="16">
        <f t="shared" si="12"/>
        <v>0.53488656481230934</v>
      </c>
      <c r="M84" s="17"/>
      <c r="N84" s="17"/>
      <c r="O84" s="17"/>
      <c r="P84" s="17"/>
      <c r="Q84" s="17"/>
    </row>
    <row r="85" spans="3:17" x14ac:dyDescent="0.3">
      <c r="C85" t="s">
        <v>46</v>
      </c>
      <c r="D85">
        <v>2035</v>
      </c>
      <c r="E85" s="16">
        <v>1</v>
      </c>
      <c r="F85" s="16">
        <f t="shared" si="10"/>
        <v>1</v>
      </c>
      <c r="G85" s="16">
        <v>1</v>
      </c>
      <c r="H85" s="16">
        <f t="shared" si="11"/>
        <v>1</v>
      </c>
      <c r="I85" s="16">
        <v>1</v>
      </c>
      <c r="J85" s="16">
        <f t="shared" si="12"/>
        <v>1</v>
      </c>
      <c r="K85" s="16">
        <f t="shared" si="12"/>
        <v>1</v>
      </c>
      <c r="L85" s="16">
        <f t="shared" si="12"/>
        <v>1</v>
      </c>
      <c r="M85" s="17"/>
      <c r="N85" s="17"/>
      <c r="O85" s="17"/>
      <c r="P85" s="17"/>
      <c r="Q85" s="17"/>
    </row>
    <row r="86" spans="3:17" x14ac:dyDescent="0.3">
      <c r="C86" t="s">
        <v>47</v>
      </c>
      <c r="D86">
        <v>2020</v>
      </c>
      <c r="E86" s="16">
        <v>0.25</v>
      </c>
      <c r="F86" s="16">
        <f t="shared" si="10"/>
        <v>0.25</v>
      </c>
      <c r="G86" s="16">
        <f>I140</f>
        <v>0.04</v>
      </c>
      <c r="H86" s="16">
        <f t="shared" si="11"/>
        <v>0.04</v>
      </c>
      <c r="I86" s="16">
        <v>7.0000000000000007E-2</v>
      </c>
      <c r="J86" s="16">
        <f t="shared" si="12"/>
        <v>7.0000000000000007E-2</v>
      </c>
      <c r="K86" s="16">
        <f t="shared" si="12"/>
        <v>7.0000000000000007E-2</v>
      </c>
      <c r="L86" s="16">
        <f t="shared" si="12"/>
        <v>7.0000000000000007E-2</v>
      </c>
      <c r="M86" s="17"/>
      <c r="N86" s="17"/>
      <c r="O86" s="17"/>
      <c r="P86" s="17"/>
      <c r="Q86" s="17"/>
    </row>
    <row r="87" spans="3:17" x14ac:dyDescent="0.3">
      <c r="C87" t="str">
        <f>C86</f>
        <v>PHEV</v>
      </c>
      <c r="D87">
        <v>2025</v>
      </c>
      <c r="E87" s="16">
        <f>E88/2+E86/2</f>
        <v>0.625</v>
      </c>
      <c r="F87" s="16">
        <f t="shared" si="10"/>
        <v>0.625</v>
      </c>
      <c r="G87" s="16">
        <f>SUM(N139:N141)+0.05</f>
        <v>0.61506366104595334</v>
      </c>
      <c r="H87" s="16">
        <f t="shared" si="11"/>
        <v>0.61506366104595334</v>
      </c>
      <c r="I87" s="16">
        <f>I88/2+I86/2</f>
        <v>0.53500000000000003</v>
      </c>
      <c r="J87" s="16">
        <f t="shared" si="12"/>
        <v>0.53500000000000003</v>
      </c>
      <c r="K87" s="16">
        <f t="shared" si="12"/>
        <v>0.53500000000000003</v>
      </c>
      <c r="L87" s="16">
        <f t="shared" si="12"/>
        <v>0.53500000000000003</v>
      </c>
      <c r="M87" s="17"/>
      <c r="N87" s="17"/>
      <c r="O87" s="17"/>
      <c r="P87" s="17"/>
      <c r="Q87" s="17"/>
    </row>
    <row r="88" spans="3:17" x14ac:dyDescent="0.3">
      <c r="C88" t="str">
        <f>C87</f>
        <v>PHEV</v>
      </c>
      <c r="D88">
        <v>2030</v>
      </c>
      <c r="E88" s="16">
        <v>1</v>
      </c>
      <c r="F88" s="16">
        <f t="shared" si="10"/>
        <v>1</v>
      </c>
      <c r="G88" s="16">
        <f>SUM(S139:S141)+0.1</f>
        <v>0.73511243630403855</v>
      </c>
      <c r="H88" s="16">
        <f t="shared" si="11"/>
        <v>0.73511243630403855</v>
      </c>
      <c r="I88" s="16">
        <v>1</v>
      </c>
      <c r="J88" s="16">
        <f t="shared" si="12"/>
        <v>1</v>
      </c>
      <c r="K88" s="16">
        <f t="shared" si="12"/>
        <v>1</v>
      </c>
      <c r="L88" s="16">
        <f t="shared" si="12"/>
        <v>1</v>
      </c>
      <c r="M88" s="17"/>
      <c r="N88" s="17"/>
      <c r="O88" s="17"/>
      <c r="P88" s="17"/>
      <c r="Q88" s="17"/>
    </row>
    <row r="89" spans="3:17" x14ac:dyDescent="0.3">
      <c r="C89" t="str">
        <f>C88</f>
        <v>PHEV</v>
      </c>
      <c r="D89">
        <v>2035</v>
      </c>
      <c r="E89" s="16">
        <v>1</v>
      </c>
      <c r="F89" s="16">
        <f t="shared" si="10"/>
        <v>1</v>
      </c>
      <c r="G89" s="16">
        <v>1</v>
      </c>
      <c r="H89" s="16">
        <f t="shared" si="11"/>
        <v>1</v>
      </c>
      <c r="I89" s="16">
        <v>1</v>
      </c>
      <c r="J89" s="16">
        <f t="shared" si="12"/>
        <v>1</v>
      </c>
      <c r="K89" s="16">
        <f t="shared" si="12"/>
        <v>1</v>
      </c>
      <c r="L89" s="16">
        <f t="shared" si="12"/>
        <v>1</v>
      </c>
      <c r="M89" s="17"/>
      <c r="N89" s="17"/>
      <c r="O89" s="17"/>
      <c r="P89" s="17"/>
      <c r="Q89" s="17"/>
    </row>
    <row r="90" spans="3:17" x14ac:dyDescent="0.3">
      <c r="C90" t="s">
        <v>48</v>
      </c>
      <c r="D90">
        <v>2020</v>
      </c>
      <c r="E90" s="16">
        <v>0.01</v>
      </c>
      <c r="F90" s="16">
        <f t="shared" si="10"/>
        <v>0.01</v>
      </c>
      <c r="G90" s="16">
        <f>I134</f>
        <v>8.0363751718303886E-5</v>
      </c>
      <c r="H90" s="16">
        <f t="shared" si="11"/>
        <v>8.0363751718303886E-5</v>
      </c>
      <c r="I90" s="16">
        <v>0.01</v>
      </c>
      <c r="J90" s="16">
        <f t="shared" si="12"/>
        <v>0.01</v>
      </c>
      <c r="K90" s="16">
        <f t="shared" si="12"/>
        <v>0.01</v>
      </c>
      <c r="L90" s="16">
        <f t="shared" si="12"/>
        <v>0.01</v>
      </c>
      <c r="M90" s="17"/>
      <c r="N90" s="17"/>
      <c r="O90" s="17"/>
      <c r="P90" s="17"/>
      <c r="Q90" s="17"/>
    </row>
    <row r="91" spans="3:17" x14ac:dyDescent="0.3">
      <c r="C91" t="str">
        <f>C90</f>
        <v>FC EV</v>
      </c>
      <c r="D91">
        <v>2025</v>
      </c>
      <c r="E91" s="16">
        <v>0.05</v>
      </c>
      <c r="F91" s="16">
        <f t="shared" si="10"/>
        <v>0.05</v>
      </c>
      <c r="G91" s="16">
        <f>SUM(N133:N135)+0.05</f>
        <v>5.0001470762908638E-2</v>
      </c>
      <c r="H91" s="16">
        <f t="shared" si="11"/>
        <v>5.0001470762908638E-2</v>
      </c>
      <c r="I91" s="16">
        <v>0.05</v>
      </c>
      <c r="J91" s="16">
        <f t="shared" si="12"/>
        <v>0.05</v>
      </c>
      <c r="K91" s="16">
        <f t="shared" si="12"/>
        <v>0.05</v>
      </c>
      <c r="L91" s="16">
        <f t="shared" si="12"/>
        <v>0.05</v>
      </c>
      <c r="M91" s="17"/>
      <c r="N91" s="17"/>
      <c r="O91" s="17"/>
      <c r="P91" s="17"/>
      <c r="Q91" s="17"/>
    </row>
    <row r="92" spans="3:17" x14ac:dyDescent="0.3">
      <c r="C92" t="str">
        <f>C91</f>
        <v>FC EV</v>
      </c>
      <c r="D92">
        <v>2030</v>
      </c>
      <c r="E92" s="16">
        <v>0.5</v>
      </c>
      <c r="F92" s="16">
        <f t="shared" si="10"/>
        <v>0.5</v>
      </c>
      <c r="G92" s="16">
        <f>SUM(S133:S135)+0.1</f>
        <v>0.1000009988836523</v>
      </c>
      <c r="H92" s="16">
        <f t="shared" si="11"/>
        <v>0.1000009988836523</v>
      </c>
      <c r="I92" s="16">
        <v>0.5</v>
      </c>
      <c r="J92" s="16">
        <f t="shared" si="12"/>
        <v>0.5</v>
      </c>
      <c r="K92" s="16">
        <f t="shared" si="12"/>
        <v>0.5</v>
      </c>
      <c r="L92" s="16">
        <f t="shared" si="12"/>
        <v>0.5</v>
      </c>
      <c r="M92" s="17"/>
      <c r="N92" s="17"/>
      <c r="O92" s="17"/>
      <c r="P92" s="17"/>
      <c r="Q92" s="17"/>
    </row>
    <row r="93" spans="3:17" x14ac:dyDescent="0.3">
      <c r="C93" t="str">
        <f>C92</f>
        <v>FC EV</v>
      </c>
      <c r="D93">
        <v>2035</v>
      </c>
      <c r="E93" s="16">
        <v>1</v>
      </c>
      <c r="F93" s="16">
        <f t="shared" si="10"/>
        <v>1</v>
      </c>
      <c r="G93" s="16">
        <v>1</v>
      </c>
      <c r="H93" s="16">
        <f t="shared" si="11"/>
        <v>1</v>
      </c>
      <c r="I93" s="16">
        <v>1</v>
      </c>
      <c r="J93" s="16">
        <f t="shared" si="12"/>
        <v>1</v>
      </c>
      <c r="K93" s="16">
        <f t="shared" si="12"/>
        <v>1</v>
      </c>
      <c r="L93" s="16">
        <f t="shared" si="12"/>
        <v>1</v>
      </c>
      <c r="M93" s="17"/>
      <c r="N93" s="17"/>
      <c r="O93" s="17"/>
      <c r="P93" s="17"/>
      <c r="Q93" s="17"/>
    </row>
    <row r="94" spans="3:17" x14ac:dyDescent="0.3">
      <c r="C94" t="s">
        <v>52</v>
      </c>
      <c r="D94">
        <v>2020</v>
      </c>
      <c r="E94" s="16">
        <v>0.01</v>
      </c>
      <c r="F94" s="16">
        <f t="shared" si="10"/>
        <v>0.01</v>
      </c>
      <c r="G94" s="16">
        <v>0</v>
      </c>
      <c r="H94" s="16">
        <f t="shared" si="11"/>
        <v>0</v>
      </c>
      <c r="I94" s="16">
        <v>0.01</v>
      </c>
      <c r="J94" s="16">
        <f t="shared" si="12"/>
        <v>0.01</v>
      </c>
      <c r="K94" s="16">
        <f t="shared" si="12"/>
        <v>0.01</v>
      </c>
      <c r="L94" s="16">
        <f t="shared" si="12"/>
        <v>0.01</v>
      </c>
      <c r="M94" s="17"/>
      <c r="N94" s="17"/>
      <c r="O94" s="17"/>
      <c r="P94" s="17"/>
      <c r="Q94" s="17"/>
    </row>
    <row r="95" spans="3:17" x14ac:dyDescent="0.3">
      <c r="C95" t="str">
        <f>C94</f>
        <v>Gas</v>
      </c>
      <c r="D95">
        <v>2025</v>
      </c>
      <c r="E95" s="16">
        <v>0.05</v>
      </c>
      <c r="F95" s="16">
        <f t="shared" si="10"/>
        <v>0.05</v>
      </c>
      <c r="G95" s="16">
        <f>G91</f>
        <v>5.0001470762908638E-2</v>
      </c>
      <c r="H95" s="16">
        <f t="shared" si="11"/>
        <v>5.0001470762908638E-2</v>
      </c>
      <c r="I95" s="16">
        <v>0.05</v>
      </c>
      <c r="J95" s="16">
        <f t="shared" si="12"/>
        <v>0.05</v>
      </c>
      <c r="K95" s="16">
        <f t="shared" si="12"/>
        <v>0.05</v>
      </c>
      <c r="L95" s="16">
        <f t="shared" si="12"/>
        <v>0.05</v>
      </c>
      <c r="M95" s="17"/>
      <c r="N95" s="17"/>
      <c r="O95" s="17"/>
      <c r="P95" s="17"/>
      <c r="Q95" s="17"/>
    </row>
    <row r="96" spans="3:17" x14ac:dyDescent="0.3">
      <c r="C96" t="str">
        <f>C95</f>
        <v>Gas</v>
      </c>
      <c r="D96">
        <v>2030</v>
      </c>
      <c r="E96" s="16">
        <v>0.5</v>
      </c>
      <c r="F96" s="16">
        <f t="shared" si="10"/>
        <v>0.5</v>
      </c>
      <c r="G96" s="16">
        <f>G92</f>
        <v>0.1000009988836523</v>
      </c>
      <c r="H96" s="16">
        <f t="shared" si="11"/>
        <v>0.1000009988836523</v>
      </c>
      <c r="I96" s="16">
        <v>0.5</v>
      </c>
      <c r="J96" s="16">
        <f t="shared" si="12"/>
        <v>0.5</v>
      </c>
      <c r="K96" s="16">
        <f t="shared" si="12"/>
        <v>0.5</v>
      </c>
      <c r="L96" s="16">
        <f t="shared" si="12"/>
        <v>0.5</v>
      </c>
      <c r="M96" s="17"/>
      <c r="N96" s="17"/>
      <c r="O96" s="17"/>
      <c r="P96" s="17"/>
      <c r="Q96" s="17"/>
    </row>
    <row r="97" spans="3:17" x14ac:dyDescent="0.3">
      <c r="C97" t="str">
        <f>C96</f>
        <v>Gas</v>
      </c>
      <c r="D97">
        <v>2035</v>
      </c>
      <c r="E97" s="16">
        <v>1</v>
      </c>
      <c r="F97" s="16">
        <f t="shared" si="10"/>
        <v>1</v>
      </c>
      <c r="G97" s="16">
        <v>1</v>
      </c>
      <c r="H97" s="16">
        <f t="shared" si="11"/>
        <v>1</v>
      </c>
      <c r="I97" s="16">
        <v>1</v>
      </c>
      <c r="J97" s="16">
        <f t="shared" si="12"/>
        <v>1</v>
      </c>
      <c r="K97" s="16">
        <f t="shared" si="12"/>
        <v>1</v>
      </c>
      <c r="L97" s="16">
        <f t="shared" si="12"/>
        <v>1</v>
      </c>
      <c r="M97" s="17"/>
      <c r="N97" s="17"/>
      <c r="O97" s="17"/>
      <c r="P97" s="17"/>
      <c r="Q97" s="17"/>
    </row>
    <row r="98" spans="3:17" x14ac:dyDescent="0.3">
      <c r="C98" t="s">
        <v>50</v>
      </c>
      <c r="D98">
        <v>2020</v>
      </c>
      <c r="E98" s="16">
        <f>(1-(E82+E86))*0.3</f>
        <v>0.105</v>
      </c>
      <c r="F98" s="16">
        <f t="shared" si="10"/>
        <v>0.105</v>
      </c>
      <c r="G98" s="16">
        <f>I131</f>
        <v>0.33485249021888536</v>
      </c>
      <c r="H98" s="16">
        <f t="shared" si="11"/>
        <v>0.33485249021888536</v>
      </c>
      <c r="I98" s="16">
        <f>(1-(I82+I86))*0.3</f>
        <v>0.25800000000000001</v>
      </c>
      <c r="J98" s="16">
        <f t="shared" si="12"/>
        <v>0.25800000000000001</v>
      </c>
      <c r="K98" s="16">
        <f t="shared" si="12"/>
        <v>0.25800000000000001</v>
      </c>
      <c r="L98" s="16">
        <f t="shared" si="12"/>
        <v>0.25800000000000001</v>
      </c>
      <c r="M98" s="17"/>
      <c r="N98" s="17"/>
      <c r="O98" s="17"/>
      <c r="P98" s="17"/>
      <c r="Q98" s="17"/>
    </row>
    <row r="99" spans="3:17" x14ac:dyDescent="0.3">
      <c r="C99" t="str">
        <f>C98</f>
        <v>Diesel</v>
      </c>
      <c r="D99">
        <v>2025</v>
      </c>
      <c r="E99" s="16">
        <f>E98</f>
        <v>0.105</v>
      </c>
      <c r="F99" s="16">
        <f t="shared" si="10"/>
        <v>0.105</v>
      </c>
      <c r="G99" s="16">
        <f>SUM(N130:N132)+0.05</f>
        <v>5.1516648714528573E-2</v>
      </c>
      <c r="H99" s="16">
        <f t="shared" si="11"/>
        <v>5.1516648714528573E-2</v>
      </c>
      <c r="I99" s="16">
        <f>I98</f>
        <v>0.25800000000000001</v>
      </c>
      <c r="J99" s="16">
        <f t="shared" ref="J99:L118" si="13">I99</f>
        <v>0.25800000000000001</v>
      </c>
      <c r="K99" s="16">
        <f t="shared" si="13"/>
        <v>0.25800000000000001</v>
      </c>
      <c r="L99" s="16">
        <f t="shared" si="13"/>
        <v>0.25800000000000001</v>
      </c>
      <c r="M99" s="17"/>
      <c r="N99" s="17"/>
      <c r="O99" s="17"/>
      <c r="P99" s="17"/>
      <c r="Q99" s="17"/>
    </row>
    <row r="100" spans="3:17" x14ac:dyDescent="0.3">
      <c r="C100" t="str">
        <f>C99</f>
        <v>Diesel</v>
      </c>
      <c r="D100">
        <v>2030</v>
      </c>
      <c r="E100" s="16">
        <f>E101/2+E99/2</f>
        <v>0.55249999999999999</v>
      </c>
      <c r="F100" s="16">
        <f t="shared" si="10"/>
        <v>0.55249999999999999</v>
      </c>
      <c r="G100" s="16">
        <f>SUM(S130:S132)+0.1</f>
        <v>0.1</v>
      </c>
      <c r="H100" s="16">
        <f t="shared" si="11"/>
        <v>0.1</v>
      </c>
      <c r="I100" s="16">
        <f>I101/2+I99/2</f>
        <v>0.629</v>
      </c>
      <c r="J100" s="16">
        <f t="shared" si="13"/>
        <v>0.629</v>
      </c>
      <c r="K100" s="16">
        <f t="shared" si="13"/>
        <v>0.629</v>
      </c>
      <c r="L100" s="16">
        <f t="shared" si="13"/>
        <v>0.629</v>
      </c>
      <c r="M100" s="17"/>
      <c r="N100" s="17"/>
      <c r="O100" s="17"/>
      <c r="P100" s="17"/>
      <c r="Q100" s="17"/>
    </row>
    <row r="101" spans="3:17" x14ac:dyDescent="0.3">
      <c r="C101" t="str">
        <f>C100</f>
        <v>Diesel</v>
      </c>
      <c r="D101">
        <v>2035</v>
      </c>
      <c r="E101" s="16">
        <v>1</v>
      </c>
      <c r="F101" s="16">
        <f t="shared" si="10"/>
        <v>1</v>
      </c>
      <c r="G101" s="16">
        <v>1</v>
      </c>
      <c r="H101" s="16">
        <f t="shared" si="11"/>
        <v>1</v>
      </c>
      <c r="I101" s="16">
        <v>1</v>
      </c>
      <c r="J101" s="16">
        <f t="shared" si="13"/>
        <v>1</v>
      </c>
      <c r="K101" s="16">
        <f t="shared" si="13"/>
        <v>1</v>
      </c>
      <c r="L101" s="16">
        <f t="shared" si="13"/>
        <v>1</v>
      </c>
      <c r="M101" s="17"/>
      <c r="N101" s="17"/>
      <c r="O101" s="17"/>
      <c r="P101" s="17"/>
      <c r="Q101" s="17"/>
    </row>
    <row r="102" spans="3:17" x14ac:dyDescent="0.3">
      <c r="C102" t="s">
        <v>49</v>
      </c>
      <c r="D102">
        <v>2020</v>
      </c>
      <c r="E102" s="16">
        <f>(1-(E82+E86))*0.7</f>
        <v>0.24499999999999997</v>
      </c>
      <c r="F102" s="16">
        <f t="shared" si="10"/>
        <v>0.24499999999999997</v>
      </c>
      <c r="G102" s="16">
        <f>I128</f>
        <v>0.64062493391138842</v>
      </c>
      <c r="H102" s="16">
        <f t="shared" si="11"/>
        <v>0.64062493391138842</v>
      </c>
      <c r="I102" s="16">
        <f>(1-(I82+I86))*0.7</f>
        <v>0.60199999999999998</v>
      </c>
      <c r="J102" s="16">
        <f t="shared" si="13"/>
        <v>0.60199999999999998</v>
      </c>
      <c r="K102" s="16">
        <f t="shared" si="13"/>
        <v>0.60199999999999998</v>
      </c>
      <c r="L102" s="16">
        <f t="shared" si="13"/>
        <v>0.60199999999999998</v>
      </c>
      <c r="M102" s="17"/>
      <c r="N102" s="17"/>
      <c r="O102" s="17"/>
      <c r="P102" s="17"/>
      <c r="Q102" s="17"/>
    </row>
    <row r="103" spans="3:17" x14ac:dyDescent="0.3">
      <c r="C103" t="str">
        <f>C102</f>
        <v>Gasoline</v>
      </c>
      <c r="D103">
        <v>2025</v>
      </c>
      <c r="E103" s="16">
        <f>E102</f>
        <v>0.24499999999999997</v>
      </c>
      <c r="F103" s="16">
        <f t="shared" si="10"/>
        <v>0.24499999999999997</v>
      </c>
      <c r="G103" s="16">
        <f>SUM(N127:N129)+0.05</f>
        <v>0.34061321525671195</v>
      </c>
      <c r="H103" s="16">
        <f t="shared" si="11"/>
        <v>0.34061321525671195</v>
      </c>
      <c r="I103" s="16">
        <f>I102</f>
        <v>0.60199999999999998</v>
      </c>
      <c r="J103" s="16">
        <f t="shared" si="13"/>
        <v>0.60199999999999998</v>
      </c>
      <c r="K103" s="16">
        <f t="shared" si="13"/>
        <v>0.60199999999999998</v>
      </c>
      <c r="L103" s="16">
        <f t="shared" si="13"/>
        <v>0.60199999999999998</v>
      </c>
      <c r="M103" s="17"/>
      <c r="N103" s="17"/>
      <c r="O103" s="17"/>
      <c r="P103" s="17"/>
      <c r="Q103" s="17"/>
    </row>
    <row r="104" spans="3:17" x14ac:dyDescent="0.3">
      <c r="C104" t="str">
        <f>C103</f>
        <v>Gasoline</v>
      </c>
      <c r="D104">
        <v>2030</v>
      </c>
      <c r="E104" s="16">
        <f>E105/2+E103/2</f>
        <v>0.62249999999999994</v>
      </c>
      <c r="F104" s="16">
        <f t="shared" si="10"/>
        <v>0.62249999999999994</v>
      </c>
      <c r="G104" s="16">
        <f>SUM(S127:S129)+0.1</f>
        <v>0.1</v>
      </c>
      <c r="H104" s="16">
        <f t="shared" si="11"/>
        <v>0.1</v>
      </c>
      <c r="I104" s="16">
        <f>I105/2+I103/2</f>
        <v>0.80099999999999993</v>
      </c>
      <c r="J104" s="16">
        <f t="shared" si="13"/>
        <v>0.80099999999999993</v>
      </c>
      <c r="K104" s="16">
        <f t="shared" si="13"/>
        <v>0.80099999999999993</v>
      </c>
      <c r="L104" s="16">
        <f t="shared" si="13"/>
        <v>0.80099999999999993</v>
      </c>
      <c r="M104" s="17"/>
      <c r="N104" s="17"/>
      <c r="O104" s="17"/>
      <c r="P104" s="17"/>
      <c r="Q104" s="17"/>
    </row>
    <row r="105" spans="3:17" x14ac:dyDescent="0.3">
      <c r="C105" t="str">
        <f>C104</f>
        <v>Gasoline</v>
      </c>
      <c r="D105">
        <v>2035</v>
      </c>
      <c r="E105" s="16">
        <v>1</v>
      </c>
      <c r="F105" s="16">
        <f t="shared" si="10"/>
        <v>1</v>
      </c>
      <c r="G105" s="16">
        <v>1</v>
      </c>
      <c r="H105" s="16">
        <f t="shared" si="11"/>
        <v>1</v>
      </c>
      <c r="I105" s="16">
        <v>1</v>
      </c>
      <c r="J105" s="16">
        <f t="shared" si="13"/>
        <v>1</v>
      </c>
      <c r="K105" s="16">
        <f t="shared" si="13"/>
        <v>1</v>
      </c>
      <c r="L105" s="16">
        <f t="shared" si="13"/>
        <v>1</v>
      </c>
      <c r="M105" s="17"/>
      <c r="N105" s="17"/>
      <c r="O105" s="17"/>
      <c r="P105" s="17"/>
      <c r="Q105" s="17"/>
    </row>
    <row r="106" spans="3:17" x14ac:dyDescent="0.3">
      <c r="C106" t="s">
        <v>53</v>
      </c>
      <c r="D106">
        <v>2020</v>
      </c>
      <c r="E106" s="16">
        <v>0.01</v>
      </c>
      <c r="F106" s="16">
        <f t="shared" si="10"/>
        <v>0.01</v>
      </c>
      <c r="G106" s="16">
        <v>0.01</v>
      </c>
      <c r="H106" s="16">
        <f t="shared" si="11"/>
        <v>0.01</v>
      </c>
      <c r="I106" s="16">
        <v>0.01</v>
      </c>
      <c r="J106" s="16">
        <f t="shared" si="13"/>
        <v>0.01</v>
      </c>
      <c r="K106" s="16">
        <f t="shared" si="13"/>
        <v>0.01</v>
      </c>
      <c r="L106" s="16">
        <f t="shared" si="13"/>
        <v>0.01</v>
      </c>
      <c r="M106" s="17"/>
      <c r="N106" s="17"/>
      <c r="O106" s="17"/>
      <c r="P106" s="17"/>
      <c r="Q106" s="17"/>
    </row>
    <row r="107" spans="3:17" x14ac:dyDescent="0.3">
      <c r="C107" t="s">
        <v>53</v>
      </c>
      <c r="D107">
        <v>2025</v>
      </c>
      <c r="E107" s="16">
        <f>E108/2+E106/2</f>
        <v>0.255</v>
      </c>
      <c r="F107" s="16">
        <f t="shared" si="10"/>
        <v>0.255</v>
      </c>
      <c r="G107" s="16">
        <f>G108/2+G106/2</f>
        <v>0.255</v>
      </c>
      <c r="H107" s="16">
        <f t="shared" si="11"/>
        <v>0.255</v>
      </c>
      <c r="I107" s="16">
        <f>I108/2+I106/2</f>
        <v>0.255</v>
      </c>
      <c r="J107" s="16">
        <f t="shared" si="13"/>
        <v>0.255</v>
      </c>
      <c r="K107" s="16">
        <f t="shared" si="13"/>
        <v>0.255</v>
      </c>
      <c r="L107" s="16">
        <f t="shared" si="13"/>
        <v>0.255</v>
      </c>
      <c r="M107" s="17"/>
      <c r="N107" s="17"/>
      <c r="O107" s="17"/>
      <c r="P107" s="17"/>
      <c r="Q107" s="17"/>
    </row>
    <row r="108" spans="3:17" x14ac:dyDescent="0.3">
      <c r="C108" t="s">
        <v>53</v>
      </c>
      <c r="D108">
        <v>2030</v>
      </c>
      <c r="E108" s="16">
        <v>0.5</v>
      </c>
      <c r="F108" s="16">
        <f t="shared" si="10"/>
        <v>0.5</v>
      </c>
      <c r="G108" s="16">
        <v>0.5</v>
      </c>
      <c r="H108" s="16">
        <f t="shared" si="11"/>
        <v>0.5</v>
      </c>
      <c r="I108" s="16">
        <v>0.5</v>
      </c>
      <c r="J108" s="16">
        <f t="shared" si="13"/>
        <v>0.5</v>
      </c>
      <c r="K108" s="16">
        <f t="shared" si="13"/>
        <v>0.5</v>
      </c>
      <c r="L108" s="16">
        <f t="shared" si="13"/>
        <v>0.5</v>
      </c>
      <c r="M108" s="17"/>
      <c r="N108" s="17"/>
      <c r="O108" s="17"/>
      <c r="P108" s="17"/>
      <c r="Q108" s="17"/>
    </row>
    <row r="109" spans="3:17" x14ac:dyDescent="0.3">
      <c r="C109" t="s">
        <v>53</v>
      </c>
      <c r="D109">
        <v>2035</v>
      </c>
      <c r="E109" s="16">
        <v>1</v>
      </c>
      <c r="F109" s="16">
        <f t="shared" si="10"/>
        <v>1</v>
      </c>
      <c r="G109" s="16">
        <v>1</v>
      </c>
      <c r="H109" s="16">
        <f t="shared" si="11"/>
        <v>1</v>
      </c>
      <c r="I109" s="16">
        <v>1</v>
      </c>
      <c r="J109" s="16">
        <f t="shared" si="13"/>
        <v>1</v>
      </c>
      <c r="K109" s="16">
        <f t="shared" si="13"/>
        <v>1</v>
      </c>
      <c r="L109" s="16">
        <f t="shared" si="13"/>
        <v>1</v>
      </c>
      <c r="M109" s="17"/>
      <c r="N109" s="17"/>
      <c r="O109" s="17"/>
      <c r="P109" s="17"/>
      <c r="Q109" s="17"/>
    </row>
    <row r="110" spans="3:17" x14ac:dyDescent="0.3">
      <c r="C110" t="s">
        <v>93</v>
      </c>
      <c r="D110">
        <v>2020</v>
      </c>
      <c r="E110" s="16">
        <v>0.01</v>
      </c>
      <c r="F110" s="16">
        <f t="shared" ref="F110:F113" si="14">E110</f>
        <v>0.01</v>
      </c>
      <c r="G110" s="16">
        <v>0.01</v>
      </c>
      <c r="H110" s="16">
        <f t="shared" ref="H110:H113" si="15">G110</f>
        <v>0.01</v>
      </c>
      <c r="I110" s="16">
        <v>0.01</v>
      </c>
      <c r="J110" s="16">
        <f t="shared" ref="J110:J113" si="16">I110</f>
        <v>0.01</v>
      </c>
      <c r="K110" s="16">
        <f t="shared" ref="K110:K113" si="17">J110</f>
        <v>0.01</v>
      </c>
      <c r="L110" s="16">
        <f t="shared" ref="L110:L113" si="18">K110</f>
        <v>0.01</v>
      </c>
      <c r="M110" s="17"/>
      <c r="N110" s="17"/>
      <c r="O110" s="17"/>
      <c r="P110" s="17"/>
      <c r="Q110" s="17"/>
    </row>
    <row r="111" spans="3:17" x14ac:dyDescent="0.3">
      <c r="C111" t="s">
        <v>93</v>
      </c>
      <c r="D111">
        <v>2025</v>
      </c>
      <c r="E111" s="16">
        <f>E112/2+E110/2</f>
        <v>0.255</v>
      </c>
      <c r="F111" s="16">
        <f t="shared" si="14"/>
        <v>0.255</v>
      </c>
      <c r="G111" s="16">
        <f>G112/2+G110/2</f>
        <v>0.255</v>
      </c>
      <c r="H111" s="16">
        <f t="shared" si="15"/>
        <v>0.255</v>
      </c>
      <c r="I111" s="16">
        <f>I112/2+I110/2</f>
        <v>0.255</v>
      </c>
      <c r="J111" s="16">
        <f t="shared" si="16"/>
        <v>0.255</v>
      </c>
      <c r="K111" s="16">
        <f t="shared" si="17"/>
        <v>0.255</v>
      </c>
      <c r="L111" s="16">
        <f t="shared" si="18"/>
        <v>0.255</v>
      </c>
      <c r="M111" s="17"/>
      <c r="N111" s="17"/>
      <c r="O111" s="17"/>
      <c r="P111" s="17"/>
      <c r="Q111" s="17"/>
    </row>
    <row r="112" spans="3:17" x14ac:dyDescent="0.3">
      <c r="C112" t="s">
        <v>93</v>
      </c>
      <c r="D112">
        <v>2030</v>
      </c>
      <c r="E112" s="16">
        <v>0.5</v>
      </c>
      <c r="F112" s="16">
        <f t="shared" si="14"/>
        <v>0.5</v>
      </c>
      <c r="G112" s="16">
        <v>0.5</v>
      </c>
      <c r="H112" s="16">
        <f t="shared" si="15"/>
        <v>0.5</v>
      </c>
      <c r="I112" s="16">
        <v>0.5</v>
      </c>
      <c r="J112" s="16">
        <f t="shared" si="16"/>
        <v>0.5</v>
      </c>
      <c r="K112" s="16">
        <f t="shared" si="17"/>
        <v>0.5</v>
      </c>
      <c r="L112" s="16">
        <f t="shared" si="18"/>
        <v>0.5</v>
      </c>
      <c r="M112" s="17"/>
      <c r="N112" s="17"/>
      <c r="O112" s="17"/>
      <c r="P112" s="17"/>
      <c r="Q112" s="17"/>
    </row>
    <row r="113" spans="3:39" x14ac:dyDescent="0.3">
      <c r="C113" t="s">
        <v>93</v>
      </c>
      <c r="D113">
        <v>2035</v>
      </c>
      <c r="E113" s="16">
        <v>1</v>
      </c>
      <c r="F113" s="16">
        <f t="shared" si="14"/>
        <v>1</v>
      </c>
      <c r="G113" s="16">
        <v>1</v>
      </c>
      <c r="H113" s="16">
        <f t="shared" si="15"/>
        <v>1</v>
      </c>
      <c r="I113" s="16">
        <v>1</v>
      </c>
      <c r="J113" s="16">
        <f t="shared" si="16"/>
        <v>1</v>
      </c>
      <c r="K113" s="16">
        <f t="shared" si="17"/>
        <v>1</v>
      </c>
      <c r="L113" s="16">
        <f t="shared" si="18"/>
        <v>1</v>
      </c>
      <c r="M113" s="17"/>
      <c r="N113" s="17"/>
      <c r="O113" s="17"/>
      <c r="P113" s="17"/>
      <c r="Q113" s="17"/>
    </row>
    <row r="114" spans="3:39" x14ac:dyDescent="0.3">
      <c r="C114" t="s">
        <v>54</v>
      </c>
      <c r="D114">
        <v>2015</v>
      </c>
      <c r="E114" s="16">
        <v>0.01</v>
      </c>
      <c r="F114" s="16">
        <v>0.01</v>
      </c>
      <c r="G114" s="16">
        <v>0.01</v>
      </c>
      <c r="H114" s="16">
        <f t="shared" si="11"/>
        <v>0.01</v>
      </c>
      <c r="I114" s="16">
        <v>0.01</v>
      </c>
      <c r="J114" s="16">
        <f t="shared" si="13"/>
        <v>0.01</v>
      </c>
      <c r="K114" s="16">
        <f t="shared" si="13"/>
        <v>0.01</v>
      </c>
      <c r="L114" s="16">
        <f t="shared" si="13"/>
        <v>0.01</v>
      </c>
      <c r="M114" s="17"/>
      <c r="N114" s="17"/>
      <c r="O114" s="17"/>
      <c r="P114" s="17"/>
      <c r="Q114" s="17"/>
    </row>
    <row r="115" spans="3:39" x14ac:dyDescent="0.3">
      <c r="C115" t="s">
        <v>54</v>
      </c>
      <c r="D115">
        <v>2020</v>
      </c>
      <c r="E115" s="16">
        <v>0.01</v>
      </c>
      <c r="F115" s="16">
        <f t="shared" si="10"/>
        <v>0.01</v>
      </c>
      <c r="G115" s="16">
        <v>0.01</v>
      </c>
      <c r="H115" s="16">
        <f t="shared" si="11"/>
        <v>0.01</v>
      </c>
      <c r="I115" s="16">
        <v>0.01</v>
      </c>
      <c r="J115" s="16">
        <f t="shared" si="13"/>
        <v>0.01</v>
      </c>
      <c r="K115" s="16">
        <f t="shared" si="13"/>
        <v>0.01</v>
      </c>
      <c r="L115" s="16">
        <f t="shared" si="13"/>
        <v>0.01</v>
      </c>
      <c r="M115" s="17"/>
      <c r="N115" s="17"/>
      <c r="O115" s="17"/>
      <c r="P115" s="17"/>
      <c r="Q115" s="17"/>
    </row>
    <row r="116" spans="3:39" x14ac:dyDescent="0.3">
      <c r="C116" t="s">
        <v>54</v>
      </c>
      <c r="D116">
        <v>2025</v>
      </c>
      <c r="E116" s="16">
        <f>E117/2+E115/2</f>
        <v>0.255</v>
      </c>
      <c r="F116" s="16">
        <f t="shared" si="10"/>
        <v>0.255</v>
      </c>
      <c r="G116" s="16">
        <f>G117/2+G115/2</f>
        <v>0.255</v>
      </c>
      <c r="H116" s="16">
        <f t="shared" si="11"/>
        <v>0.255</v>
      </c>
      <c r="I116" s="16">
        <f>I117/2+I115/2</f>
        <v>0.255</v>
      </c>
      <c r="J116" s="16">
        <f t="shared" si="13"/>
        <v>0.255</v>
      </c>
      <c r="K116" s="16">
        <f t="shared" si="13"/>
        <v>0.255</v>
      </c>
      <c r="L116" s="16">
        <f t="shared" si="13"/>
        <v>0.255</v>
      </c>
      <c r="M116" s="17"/>
      <c r="N116" s="17"/>
      <c r="O116" s="17"/>
      <c r="P116" s="17"/>
      <c r="Q116" s="17"/>
    </row>
    <row r="117" spans="3:39" x14ac:dyDescent="0.3">
      <c r="C117" t="s">
        <v>54</v>
      </c>
      <c r="D117">
        <v>2030</v>
      </c>
      <c r="E117" s="16">
        <v>0.5</v>
      </c>
      <c r="F117" s="16">
        <f t="shared" si="10"/>
        <v>0.5</v>
      </c>
      <c r="G117" s="16">
        <v>0.5</v>
      </c>
      <c r="H117" s="16">
        <f t="shared" si="11"/>
        <v>0.5</v>
      </c>
      <c r="I117" s="16">
        <v>0.5</v>
      </c>
      <c r="J117" s="16">
        <f t="shared" si="13"/>
        <v>0.5</v>
      </c>
      <c r="K117" s="16">
        <f t="shared" si="13"/>
        <v>0.5</v>
      </c>
      <c r="L117" s="16">
        <f t="shared" si="13"/>
        <v>0.5</v>
      </c>
      <c r="M117" s="17"/>
      <c r="N117" s="17"/>
      <c r="O117" s="17"/>
      <c r="P117" s="17"/>
      <c r="Q117" s="17"/>
    </row>
    <row r="118" spans="3:39" x14ac:dyDescent="0.3">
      <c r="C118" t="s">
        <v>54</v>
      </c>
      <c r="D118">
        <v>2035</v>
      </c>
      <c r="E118" s="16">
        <v>1</v>
      </c>
      <c r="F118" s="16">
        <f t="shared" si="10"/>
        <v>1</v>
      </c>
      <c r="G118" s="16">
        <v>1</v>
      </c>
      <c r="H118" s="16">
        <f t="shared" si="11"/>
        <v>1</v>
      </c>
      <c r="I118" s="16">
        <v>1</v>
      </c>
      <c r="J118" s="16">
        <f t="shared" si="13"/>
        <v>1</v>
      </c>
      <c r="K118" s="16">
        <f t="shared" si="13"/>
        <v>1</v>
      </c>
      <c r="L118" s="16">
        <f t="shared" si="13"/>
        <v>1</v>
      </c>
      <c r="M118" s="17"/>
      <c r="N118" s="17"/>
      <c r="O118" s="17"/>
      <c r="P118" s="17"/>
      <c r="Q118" s="17"/>
    </row>
    <row r="119" spans="3:39" x14ac:dyDescent="0.3">
      <c r="J119" s="17"/>
      <c r="K119" s="17"/>
      <c r="L119" s="17"/>
      <c r="M119" s="17"/>
      <c r="N119" s="17"/>
      <c r="O119" s="17"/>
      <c r="P119" s="17"/>
      <c r="Q119" s="17"/>
    </row>
    <row r="120" spans="3:39" x14ac:dyDescent="0.3">
      <c r="J120" s="17"/>
      <c r="K120" s="17"/>
      <c r="L120" s="17"/>
      <c r="M120" s="17"/>
      <c r="N120" s="17"/>
      <c r="O120" s="17"/>
      <c r="P120" s="17"/>
      <c r="Q120" s="17"/>
    </row>
    <row r="121" spans="3:39" x14ac:dyDescent="0.3">
      <c r="J121" s="17"/>
      <c r="K121" s="17"/>
      <c r="L121" s="17"/>
      <c r="M121" s="17"/>
      <c r="N121" s="17"/>
      <c r="O121" s="17"/>
      <c r="P121" s="17"/>
      <c r="Q121" s="17"/>
    </row>
    <row r="122" spans="3:39" x14ac:dyDescent="0.3">
      <c r="I122" t="s">
        <v>73</v>
      </c>
      <c r="J122" s="17"/>
      <c r="K122" s="17"/>
      <c r="L122" s="17"/>
      <c r="M122" s="17"/>
      <c r="N122" s="17"/>
      <c r="O122" s="17"/>
      <c r="P122" s="17"/>
      <c r="Q122" s="17"/>
    </row>
    <row r="123" spans="3:39" x14ac:dyDescent="0.3">
      <c r="I123" t="s">
        <v>72</v>
      </c>
      <c r="J123" s="17"/>
      <c r="K123" s="17"/>
      <c r="L123" s="17"/>
      <c r="M123" s="17"/>
      <c r="N123" s="17"/>
      <c r="O123" s="17"/>
      <c r="P123" s="17"/>
      <c r="Q123" s="17"/>
    </row>
    <row r="124" spans="3:39" x14ac:dyDescent="0.3">
      <c r="J124" s="17"/>
      <c r="K124" s="17"/>
      <c r="L124" s="17"/>
      <c r="M124" s="17"/>
      <c r="N124" s="17"/>
      <c r="O124" s="17"/>
      <c r="P124" s="17"/>
      <c r="Q124" s="17"/>
    </row>
    <row r="125" spans="3:39" x14ac:dyDescent="0.3">
      <c r="C125" t="s">
        <v>68</v>
      </c>
      <c r="K125" s="17"/>
      <c r="L125" s="17"/>
      <c r="M125" s="17"/>
      <c r="N125" s="17"/>
      <c r="O125" s="17"/>
      <c r="P125" s="17"/>
      <c r="Q125" s="17"/>
      <c r="R125" s="17"/>
    </row>
    <row r="126" spans="3:39" x14ac:dyDescent="0.3">
      <c r="C126" t="s">
        <v>55</v>
      </c>
      <c r="D126">
        <v>2015</v>
      </c>
      <c r="E126">
        <v>2016</v>
      </c>
      <c r="F126">
        <v>2017</v>
      </c>
      <c r="G126">
        <v>2018</v>
      </c>
      <c r="H126">
        <v>2019</v>
      </c>
      <c r="I126">
        <v>2020</v>
      </c>
      <c r="J126">
        <v>2021</v>
      </c>
      <c r="K126" s="17">
        <v>2022</v>
      </c>
      <c r="L126" s="17">
        <v>2023</v>
      </c>
      <c r="M126" s="17">
        <v>2024</v>
      </c>
      <c r="N126" s="17">
        <v>2025</v>
      </c>
      <c r="O126" s="17">
        <v>2026</v>
      </c>
      <c r="P126" s="17">
        <v>2027</v>
      </c>
      <c r="Q126" s="17">
        <v>2028</v>
      </c>
      <c r="R126" s="17">
        <v>2029</v>
      </c>
      <c r="S126">
        <v>2030</v>
      </c>
      <c r="T126">
        <v>2031</v>
      </c>
      <c r="U126">
        <v>2032</v>
      </c>
      <c r="V126">
        <v>2033</v>
      </c>
      <c r="W126">
        <v>2034</v>
      </c>
      <c r="X126">
        <v>2035</v>
      </c>
      <c r="Y126">
        <v>2036</v>
      </c>
      <c r="Z126">
        <v>2037</v>
      </c>
      <c r="AA126">
        <v>2038</v>
      </c>
      <c r="AB126">
        <v>2039</v>
      </c>
      <c r="AC126">
        <v>2040</v>
      </c>
      <c r="AD126">
        <v>2041</v>
      </c>
      <c r="AE126">
        <v>2042</v>
      </c>
      <c r="AF126">
        <v>2043</v>
      </c>
      <c r="AG126">
        <v>2044</v>
      </c>
      <c r="AH126">
        <v>2045</v>
      </c>
      <c r="AI126">
        <v>2046</v>
      </c>
      <c r="AJ126">
        <v>2047</v>
      </c>
      <c r="AK126">
        <v>2048</v>
      </c>
      <c r="AL126">
        <v>2049</v>
      </c>
      <c r="AM126">
        <v>2050</v>
      </c>
    </row>
    <row r="127" spans="3:39" x14ac:dyDescent="0.3">
      <c r="C127" t="s">
        <v>56</v>
      </c>
      <c r="J127">
        <v>0.57896535333010968</v>
      </c>
      <c r="K127" s="17">
        <v>0.56292939396605712</v>
      </c>
      <c r="L127" s="17">
        <v>0.52635030759368573</v>
      </c>
      <c r="M127" s="17">
        <v>0.46800300455175253</v>
      </c>
      <c r="N127" s="17">
        <v>0.27046973590105639</v>
      </c>
      <c r="O127" s="17">
        <v>0.24723075031911307</v>
      </c>
      <c r="P127" s="17">
        <v>0.22992698688376006</v>
      </c>
      <c r="Q127" s="17">
        <v>0.2173059272281013</v>
      </c>
      <c r="R127" s="17">
        <v>0.2325236118849239</v>
      </c>
      <c r="S127">
        <v>1.5059325649346581E-96</v>
      </c>
      <c r="T127">
        <v>1.4951941746578408E-96</v>
      </c>
      <c r="U127">
        <v>1.4845224724158595E-96</v>
      </c>
      <c r="V127">
        <v>1.4739170651976914E-96</v>
      </c>
      <c r="W127">
        <v>1.4633775674679947E-96</v>
      </c>
      <c r="X127">
        <v>1.8047193636699757E-91</v>
      </c>
      <c r="Y127">
        <v>1.7893809565904844E-91</v>
      </c>
      <c r="Z127">
        <v>1.7739154942057421E-91</v>
      </c>
      <c r="AA127">
        <v>1.7583197550585782E-91</v>
      </c>
      <c r="AB127">
        <v>1.7425903991174367E-91</v>
      </c>
      <c r="AC127">
        <v>1.7267239588040403E-91</v>
      </c>
      <c r="AD127">
        <v>1.7056348080229398E-91</v>
      </c>
      <c r="AE127">
        <v>1.6845172264870258E-91</v>
      </c>
      <c r="AF127">
        <v>1.6633679280782561E-91</v>
      </c>
      <c r="AG127">
        <v>1.6421834960148078E-91</v>
      </c>
      <c r="AH127">
        <v>1.4852752136931918E-91</v>
      </c>
      <c r="AI127">
        <v>1.4788717924683955E-91</v>
      </c>
      <c r="AJ127">
        <v>1.4724154046243482E-91</v>
      </c>
      <c r="AK127">
        <v>1.4658991495780054E-91</v>
      </c>
      <c r="AL127">
        <v>1.4593154129057479E-91</v>
      </c>
      <c r="AM127">
        <v>0.21365052626434902</v>
      </c>
    </row>
    <row r="128" spans="3:39" x14ac:dyDescent="0.3">
      <c r="C128" t="s">
        <v>57</v>
      </c>
      <c r="D128">
        <v>0.64871837549933353</v>
      </c>
      <c r="I128">
        <v>0.64062493391138842</v>
      </c>
      <c r="J128">
        <v>0.14314254805530838</v>
      </c>
      <c r="K128" s="17">
        <v>0.13087770071220395</v>
      </c>
      <c r="L128" s="17">
        <v>0.11335708865403865</v>
      </c>
      <c r="M128" s="17">
        <v>7.1075025794265626E-2</v>
      </c>
      <c r="N128" s="17">
        <v>1.61749143666251E-2</v>
      </c>
      <c r="O128" s="17">
        <v>1.2439423811330097E-2</v>
      </c>
      <c r="P128" s="17">
        <v>9.9025114293994892E-3</v>
      </c>
      <c r="Q128" s="17">
        <v>8.1215982866521316E-3</v>
      </c>
      <c r="R128" s="17">
        <v>7.5892326367588648E-3</v>
      </c>
      <c r="S128">
        <v>2.5522003204275129E-95</v>
      </c>
      <c r="T128">
        <v>2.5005634514287877E-95</v>
      </c>
      <c r="U128">
        <v>2.4495846630275387E-95</v>
      </c>
      <c r="V128">
        <v>2.3992654243807313E-95</v>
      </c>
      <c r="W128">
        <v>2.3496069653310886E-95</v>
      </c>
      <c r="X128">
        <v>1.0219442561827164E-89</v>
      </c>
      <c r="Y128">
        <v>1.0085584684242542E-89</v>
      </c>
      <c r="Z128">
        <v>9.9520208058492173E-90</v>
      </c>
      <c r="AA128">
        <v>9.8187751876423271E-90</v>
      </c>
      <c r="AB128">
        <v>9.6858719705710806E-90</v>
      </c>
      <c r="AC128">
        <v>9.5533316703534031E-90</v>
      </c>
      <c r="AD128">
        <v>9.3548963126815543E-90</v>
      </c>
      <c r="AE128">
        <v>9.1596396995216139E-90</v>
      </c>
      <c r="AF128">
        <v>8.967515503903241E-90</v>
      </c>
      <c r="AG128">
        <v>8.6911958023478129E-90</v>
      </c>
      <c r="AH128">
        <v>7.8113187406418677E-90</v>
      </c>
      <c r="AI128">
        <v>7.7580300711465681E-90</v>
      </c>
      <c r="AJ128">
        <v>7.7049346825078679E-90</v>
      </c>
      <c r="AK128">
        <v>7.6520269103595819E-90</v>
      </c>
      <c r="AL128">
        <v>7.5993003190152601E-90</v>
      </c>
      <c r="AM128">
        <v>9.7418243012995953E-2</v>
      </c>
    </row>
    <row r="129" spans="3:39" x14ac:dyDescent="0.3">
      <c r="C129" t="s">
        <v>58</v>
      </c>
      <c r="J129">
        <v>7.9199833207578944E-3</v>
      </c>
      <c r="K129" s="17">
        <v>7.9515085351300231E-3</v>
      </c>
      <c r="L129" s="17">
        <v>7.7522315773135026E-3</v>
      </c>
      <c r="M129" s="17">
        <v>7.1181238502625952E-3</v>
      </c>
      <c r="N129" s="17">
        <v>3.9685649890304842E-3</v>
      </c>
      <c r="O129" s="17">
        <v>2.7432670477099182E-3</v>
      </c>
      <c r="P129" s="17">
        <v>1.6442073110181019E-3</v>
      </c>
      <c r="Q129" s="17">
        <v>7.8285256613711311E-4</v>
      </c>
      <c r="R129" s="17">
        <v>2.9078209877341258E-4</v>
      </c>
      <c r="S129">
        <v>6.3495131847300351E-92</v>
      </c>
      <c r="T129">
        <v>6.0989897368490617E-92</v>
      </c>
      <c r="U129">
        <v>5.8560203804396472E-92</v>
      </c>
      <c r="V129">
        <v>5.6204989810507449E-92</v>
      </c>
      <c r="W129">
        <v>5.3923142815700193E-92</v>
      </c>
      <c r="X129">
        <v>1.3820256924955562E-86</v>
      </c>
      <c r="Y129">
        <v>1.3639071102077883E-86</v>
      </c>
      <c r="Z129">
        <v>1.3457538607975607E-86</v>
      </c>
      <c r="AA129">
        <v>1.3277370187969388E-86</v>
      </c>
      <c r="AB129">
        <v>1.3097779789068242E-86</v>
      </c>
      <c r="AC129">
        <v>1.2918815400810372E-86</v>
      </c>
      <c r="AD129">
        <v>1.2634954548042484E-86</v>
      </c>
      <c r="AE129">
        <v>1.2356154571625671E-86</v>
      </c>
      <c r="AF129">
        <v>1.208216584788365E-86</v>
      </c>
      <c r="AG129">
        <v>1.1812578059674485E-86</v>
      </c>
      <c r="AH129">
        <v>1.1247963426410319E-86</v>
      </c>
      <c r="AI129">
        <v>1.1028713334375971E-86</v>
      </c>
      <c r="AJ129">
        <v>1.0812481163177812E-86</v>
      </c>
      <c r="AK129">
        <v>1.0599245031054971E-86</v>
      </c>
      <c r="AL129">
        <v>1.0388981294898322E-86</v>
      </c>
      <c r="AM129">
        <v>4.6285645247227452E-3</v>
      </c>
    </row>
    <row r="130" spans="3:39" x14ac:dyDescent="0.3">
      <c r="C130" t="s">
        <v>59</v>
      </c>
      <c r="J130">
        <v>7.8057916811079503E-5</v>
      </c>
      <c r="K130" s="17">
        <v>8.584239866091054E-5</v>
      </c>
      <c r="L130" s="17">
        <v>7.8324922152789558E-5</v>
      </c>
      <c r="M130" s="17">
        <v>5.6346075834746068E-5</v>
      </c>
      <c r="N130" s="17">
        <v>2.9849795479451521E-5</v>
      </c>
      <c r="O130" s="17">
        <v>2.504111987336286E-5</v>
      </c>
      <c r="P130" s="17">
        <v>2.1308664770263861E-5</v>
      </c>
      <c r="Q130" s="17">
        <v>1.8367538106443721E-5</v>
      </c>
      <c r="R130" s="17">
        <v>1.4668576020567015E-5</v>
      </c>
      <c r="S130">
        <v>1.5059305991486819E-96</v>
      </c>
      <c r="T130">
        <v>1.4951922152831758E-96</v>
      </c>
      <c r="U130">
        <v>1.4845205193832055E-96</v>
      </c>
      <c r="V130">
        <v>1.4739153085718673E-96</v>
      </c>
      <c r="W130">
        <v>1.4633758156833989E-96</v>
      </c>
      <c r="X130">
        <v>1.8047171936312226E-91</v>
      </c>
      <c r="Y130">
        <v>1.789378795316118E-91</v>
      </c>
      <c r="Z130">
        <v>1.7739133418926221E-91</v>
      </c>
      <c r="AA130">
        <v>1.7583176119096255E-91</v>
      </c>
      <c r="AB130">
        <v>1.7425882653419176E-91</v>
      </c>
      <c r="AC130">
        <v>1.7267218346178901E-91</v>
      </c>
      <c r="AD130">
        <v>1.7056326999302531E-91</v>
      </c>
      <c r="AE130">
        <v>1.6845151346335166E-91</v>
      </c>
      <c r="AF130">
        <v>1.6633658526157673E-91</v>
      </c>
      <c r="AG130">
        <v>1.6421814371016376E-91</v>
      </c>
      <c r="AH130">
        <v>1.4852733464896176E-91</v>
      </c>
      <c r="AI130">
        <v>1.4788699333148381E-91</v>
      </c>
      <c r="AJ130">
        <v>1.4724135535873949E-91</v>
      </c>
      <c r="AK130">
        <v>1.4658973067329174E-91</v>
      </c>
      <c r="AL130">
        <v>1.4593135783373594E-91</v>
      </c>
      <c r="AM130">
        <v>1.1181378311739971E-5</v>
      </c>
    </row>
    <row r="131" spans="3:39" x14ac:dyDescent="0.3">
      <c r="C131" t="s">
        <v>60</v>
      </c>
      <c r="D131">
        <v>0.34615750428000813</v>
      </c>
      <c r="I131">
        <v>0.33485249021888536</v>
      </c>
      <c r="J131">
        <v>1.0245161346481929E-2</v>
      </c>
      <c r="K131" s="17">
        <v>9.3242609177514382E-3</v>
      </c>
      <c r="L131" s="17">
        <v>8.0388024824991529E-3</v>
      </c>
      <c r="M131" s="17">
        <v>5.8131466662028229E-3</v>
      </c>
      <c r="N131" s="17">
        <v>1.1031036159327096E-3</v>
      </c>
      <c r="O131" s="17">
        <v>8.1753796461721598E-4</v>
      </c>
      <c r="P131" s="17">
        <v>6.2688437627552134E-4</v>
      </c>
      <c r="Q131" s="17">
        <v>4.9061519749535689E-4</v>
      </c>
      <c r="R131" s="17">
        <v>3.7881465260398625E-4</v>
      </c>
      <c r="S131">
        <v>2.5521942017608479E-95</v>
      </c>
      <c r="T131">
        <v>2.5005574263121004E-95</v>
      </c>
      <c r="U131">
        <v>2.4495790468629128E-95</v>
      </c>
      <c r="V131">
        <v>2.3992598940715671E-95</v>
      </c>
      <c r="W131">
        <v>2.3496015203363345E-95</v>
      </c>
      <c r="X131">
        <v>1.0219418751346706E-89</v>
      </c>
      <c r="Y131">
        <v>1.0085561058334695E-89</v>
      </c>
      <c r="Z131">
        <v>9.951997366090647E-90</v>
      </c>
      <c r="AA131">
        <v>9.818751971183528E-90</v>
      </c>
      <c r="AB131">
        <v>9.6858481256463971E-90</v>
      </c>
      <c r="AC131">
        <v>9.5533080810350704E-90</v>
      </c>
      <c r="AD131">
        <v>9.3548731434593409E-90</v>
      </c>
      <c r="AE131">
        <v>9.1596169447930101E-90</v>
      </c>
      <c r="AF131">
        <v>8.9674931581361031E-90</v>
      </c>
      <c r="AG131">
        <v>8.6911740782461681E-90</v>
      </c>
      <c r="AH131">
        <v>7.8112991764088601E-90</v>
      </c>
      <c r="AI131">
        <v>7.7580106403803914E-90</v>
      </c>
      <c r="AJ131">
        <v>7.7049153847244293E-90</v>
      </c>
      <c r="AK131">
        <v>7.6520077450889758E-90</v>
      </c>
      <c r="AL131">
        <v>7.599281285803703E-90</v>
      </c>
      <c r="AM131">
        <v>4.0069165373064781E-3</v>
      </c>
    </row>
    <row r="132" spans="3:39" x14ac:dyDescent="0.3">
      <c r="C132" t="s">
        <v>61</v>
      </c>
      <c r="J132">
        <v>8.4047928353629577E-4</v>
      </c>
      <c r="K132" s="17">
        <v>8.4059529117891168E-4</v>
      </c>
      <c r="L132" s="17">
        <v>8.7455281922604986E-4</v>
      </c>
      <c r="M132" s="17">
        <v>7.5796160296609278E-4</v>
      </c>
      <c r="N132" s="17">
        <v>3.8369530311640923E-4</v>
      </c>
      <c r="O132" s="17">
        <v>2.6042402822001214E-4</v>
      </c>
      <c r="P132" s="17">
        <v>1.5324794030931681E-4</v>
      </c>
      <c r="Q132" s="17">
        <v>7.1632044770282175E-5</v>
      </c>
      <c r="R132" s="17">
        <v>2.4730803776966123E-5</v>
      </c>
      <c r="S132">
        <v>6.3494811546512901E-92</v>
      </c>
      <c r="T132">
        <v>6.0989597250409147E-92</v>
      </c>
      <c r="U132">
        <v>5.8559915507949752E-92</v>
      </c>
      <c r="V132">
        <v>5.620471297969305E-92</v>
      </c>
      <c r="W132">
        <v>5.3922877099511744E-92</v>
      </c>
      <c r="X132">
        <v>1.3820187588797917E-86</v>
      </c>
      <c r="Y132">
        <v>1.3639002643313382E-86</v>
      </c>
      <c r="Z132">
        <v>1.3457471029097656E-86</v>
      </c>
      <c r="AA132">
        <v>1.3277303482879175E-86</v>
      </c>
      <c r="AB132">
        <v>1.3097713955608371E-86</v>
      </c>
      <c r="AC132">
        <v>1.2918752103094498E-86</v>
      </c>
      <c r="AD132">
        <v>1.2634892567970001E-86</v>
      </c>
      <c r="AE132">
        <v>1.2356093796159489E-86</v>
      </c>
      <c r="AF132">
        <v>1.2082106258166238E-86</v>
      </c>
      <c r="AG132">
        <v>1.1812518611096971E-86</v>
      </c>
      <c r="AH132">
        <v>1.1247905933217379E-86</v>
      </c>
      <c r="AI132">
        <v>1.1028656961864828E-86</v>
      </c>
      <c r="AJ132">
        <v>1.0812425895922567E-86</v>
      </c>
      <c r="AK132">
        <v>1.0599190853741578E-86</v>
      </c>
      <c r="AL132">
        <v>1.0388928192333584E-86</v>
      </c>
      <c r="AM132">
        <v>3.8871433059070961E-4</v>
      </c>
    </row>
    <row r="133" spans="3:39" x14ac:dyDescent="0.3">
      <c r="C133" t="s">
        <v>69</v>
      </c>
      <c r="J133">
        <v>1.0686701079845273E-6</v>
      </c>
      <c r="K133" s="17">
        <v>1.0191920427421809E-6</v>
      </c>
      <c r="L133" s="17">
        <v>9.3414825039067149E-7</v>
      </c>
      <c r="M133" s="17">
        <v>6.7482732459106319E-7</v>
      </c>
      <c r="N133" s="17">
        <v>5.4043496882093634E-7</v>
      </c>
      <c r="O133" s="17">
        <v>4.7872546499599323E-7</v>
      </c>
      <c r="P133" s="17">
        <v>4.2875059339636595E-7</v>
      </c>
      <c r="Q133" s="17">
        <v>3.8939226821561334E-7</v>
      </c>
      <c r="R133" s="17">
        <v>3.2803129706160989E-7</v>
      </c>
      <c r="S133">
        <v>7.035279821056935E-7</v>
      </c>
      <c r="T133">
        <v>7.2337302860844211E-7</v>
      </c>
      <c r="U133">
        <v>7.4067110695773228E-7</v>
      </c>
      <c r="V133">
        <v>7.58534852031244E-7</v>
      </c>
      <c r="W133">
        <v>7.7698803753062236E-7</v>
      </c>
      <c r="X133">
        <v>9.0213812918373354E-2</v>
      </c>
      <c r="Y133">
        <v>9.2110432292696692E-2</v>
      </c>
      <c r="Z133">
        <v>9.4047631782745861E-2</v>
      </c>
      <c r="AA133">
        <v>9.6025991646900316E-2</v>
      </c>
      <c r="AB133">
        <v>9.8046066642245994E-2</v>
      </c>
      <c r="AC133">
        <v>0.1001083817964792</v>
      </c>
      <c r="AD133">
        <v>0.10190982553579991</v>
      </c>
      <c r="AE133">
        <v>0.10374292657257494</v>
      </c>
      <c r="AF133">
        <v>0.10560777329609508</v>
      </c>
      <c r="AG133">
        <v>0.10750440122416481</v>
      </c>
      <c r="AH133">
        <v>0.12082224011319</v>
      </c>
      <c r="AI133">
        <v>0.12036187105890417</v>
      </c>
      <c r="AJ133">
        <v>0.11989743203923611</v>
      </c>
      <c r="AK133">
        <v>0.11942843027465511</v>
      </c>
      <c r="AL133">
        <v>0.11895432089523303</v>
      </c>
      <c r="AM133">
        <v>0.10877119512918741</v>
      </c>
    </row>
    <row r="134" spans="3:39" x14ac:dyDescent="0.3">
      <c r="C134" t="s">
        <v>70</v>
      </c>
      <c r="D134">
        <v>5.9444550123644667E-6</v>
      </c>
      <c r="I134">
        <v>8.0363751718303886E-5</v>
      </c>
      <c r="J134">
        <v>5.9796556385541255E-6</v>
      </c>
      <c r="K134" s="17">
        <v>5.5393263581262593E-6</v>
      </c>
      <c r="L134" s="17">
        <v>4.8482369371684673E-6</v>
      </c>
      <c r="M134" s="17">
        <v>3.0718683068378488E-6</v>
      </c>
      <c r="N134" s="17">
        <v>8.2487052268214776E-7</v>
      </c>
      <c r="O134" s="17">
        <v>6.4594334343034793E-7</v>
      </c>
      <c r="P134" s="17">
        <v>5.2498929372152444E-7</v>
      </c>
      <c r="Q134" s="17">
        <v>4.3455121610883399E-7</v>
      </c>
      <c r="R134" s="17">
        <v>3.5504783450825955E-7</v>
      </c>
      <c r="S134">
        <v>2.7294591486915053E-7</v>
      </c>
      <c r="T134">
        <v>2.7620546927726002E-7</v>
      </c>
      <c r="U134">
        <v>2.8025275002389862E-7</v>
      </c>
      <c r="V134">
        <v>2.8359722781268737E-7</v>
      </c>
      <c r="W134">
        <v>2.8698236733237324E-7</v>
      </c>
      <c r="X134">
        <v>8.3163353825861833E-2</v>
      </c>
      <c r="Y134">
        <v>8.4319281080265693E-2</v>
      </c>
      <c r="Z134">
        <v>8.5486655394577976E-2</v>
      </c>
      <c r="AA134">
        <v>8.6665588541154331E-2</v>
      </c>
      <c r="AB134">
        <v>8.785619398001783E-2</v>
      </c>
      <c r="AC134">
        <v>8.9058586714594296E-2</v>
      </c>
      <c r="AD134">
        <v>8.9697251707365838E-2</v>
      </c>
      <c r="AE134">
        <v>9.0341828217516115E-2</v>
      </c>
      <c r="AF134">
        <v>9.099243687469194E-2</v>
      </c>
      <c r="AG134">
        <v>9.2215637111936699E-2</v>
      </c>
      <c r="AH134">
        <v>9.7007313431415276E-2</v>
      </c>
      <c r="AI134">
        <v>9.6521526684860193E-2</v>
      </c>
      <c r="AJ134">
        <v>9.6037199453866684E-2</v>
      </c>
      <c r="AK134">
        <v>9.5554284147789992E-2</v>
      </c>
      <c r="AL134">
        <v>9.5072727102214288E-2</v>
      </c>
      <c r="AM134">
        <v>8.1000138624798379E-2</v>
      </c>
    </row>
    <row r="135" spans="3:39" x14ac:dyDescent="0.3">
      <c r="C135" t="s">
        <v>71</v>
      </c>
      <c r="J135">
        <v>2.4737512182155453E-7</v>
      </c>
      <c r="K135">
        <v>2.2199292835547937E-7</v>
      </c>
      <c r="L135">
        <v>1.973919090141776E-7</v>
      </c>
      <c r="M135">
        <v>1.6874275467228338E-7</v>
      </c>
      <c r="N135">
        <v>1.0545741713084697E-7</v>
      </c>
      <c r="O135">
        <v>8.1837465326909666E-8</v>
      </c>
      <c r="P135">
        <v>6.1258901241075322E-8</v>
      </c>
      <c r="Q135">
        <v>4.4557959249331968E-8</v>
      </c>
      <c r="R135">
        <v>3.2666905915900323E-8</v>
      </c>
      <c r="S135">
        <v>2.2409755311832719E-8</v>
      </c>
      <c r="T135">
        <v>2.1351699150480368E-8</v>
      </c>
      <c r="U135">
        <v>2.0336119187249999E-8</v>
      </c>
      <c r="V135">
        <v>1.9361724621279714E-8</v>
      </c>
      <c r="W135">
        <v>1.8427240660426038E-8</v>
      </c>
      <c r="X135">
        <v>3.955136546245765E-4</v>
      </c>
      <c r="Y135">
        <v>3.9338146767306075E-4</v>
      </c>
      <c r="Z135">
        <v>3.9274909031965162E-4</v>
      </c>
      <c r="AA135">
        <v>3.9060665491647939E-4</v>
      </c>
      <c r="AB135">
        <v>3.8846427488843551E-4</v>
      </c>
      <c r="AC135">
        <v>3.863225044085653E-4</v>
      </c>
      <c r="AD135">
        <v>3.8305829839474487E-4</v>
      </c>
      <c r="AE135">
        <v>3.8043315862598302E-4</v>
      </c>
      <c r="AF135">
        <v>3.7898933641378652E-4</v>
      </c>
      <c r="AG135">
        <v>3.7906416500651488E-4</v>
      </c>
      <c r="AH135">
        <v>4.1051004203888328E-4</v>
      </c>
      <c r="AI135">
        <v>3.9814266214535714E-4</v>
      </c>
      <c r="AJ135">
        <v>3.8610701237157491E-4</v>
      </c>
      <c r="AK135">
        <v>3.7439651458542346E-4</v>
      </c>
      <c r="AL135">
        <v>3.63004547059223E-4</v>
      </c>
      <c r="AM135">
        <v>3.0752182412603971E-4</v>
      </c>
    </row>
    <row r="136" spans="3:39" x14ac:dyDescent="0.3">
      <c r="C136" t="s">
        <v>62</v>
      </c>
      <c r="J136">
        <v>1.1042112967353502E-6</v>
      </c>
      <c r="K136">
        <v>1.2101771638057163E-6</v>
      </c>
      <c r="L136">
        <v>1.2441715608403321E-6</v>
      </c>
      <c r="M136">
        <v>1.0026367436380777E-6</v>
      </c>
      <c r="N136">
        <v>1.0076198346750798E-6</v>
      </c>
      <c r="O136">
        <v>1.0762752646222516E-6</v>
      </c>
      <c r="P136">
        <v>1.1788009508192154E-6</v>
      </c>
      <c r="Q136">
        <v>1.3264003171073679E-6</v>
      </c>
      <c r="R136">
        <v>1.4293845677494626E-6</v>
      </c>
      <c r="S136">
        <v>3.8368797408441796E-6</v>
      </c>
      <c r="T136">
        <v>4.3284503392881916E-6</v>
      </c>
      <c r="U136">
        <v>4.88835752215687E-6</v>
      </c>
      <c r="V136">
        <v>5.5268563788438628E-6</v>
      </c>
      <c r="W136">
        <v>6.2558560520010748E-6</v>
      </c>
      <c r="X136">
        <v>1.3918078293081099E-3</v>
      </c>
      <c r="Y136">
        <v>1.5087409799605157E-3</v>
      </c>
      <c r="Z136">
        <v>1.6363180008141642E-3</v>
      </c>
      <c r="AA136">
        <v>1.7755909977292086E-3</v>
      </c>
      <c r="AB136">
        <v>1.9277236926756689E-3</v>
      </c>
      <c r="AC136">
        <v>2.0940065889209804E-3</v>
      </c>
      <c r="AD136">
        <v>2.2717859702897545E-3</v>
      </c>
      <c r="AE136">
        <v>2.4662908558529028E-3</v>
      </c>
      <c r="AF136">
        <v>2.6792784124472823E-3</v>
      </c>
      <c r="AG136">
        <v>2.9121696398120827E-3</v>
      </c>
      <c r="AH136">
        <v>3.0269529330823365E-3</v>
      </c>
      <c r="AI136">
        <v>3.3194900843005171E-3</v>
      </c>
      <c r="AJ136">
        <v>3.6433463912210712E-3</v>
      </c>
      <c r="AK136">
        <v>4.0022394716247118E-3</v>
      </c>
      <c r="AL136">
        <v>4.4003756080748697E-3</v>
      </c>
      <c r="AM136">
        <v>2.7054029433830995E-3</v>
      </c>
    </row>
    <row r="137" spans="3:39" x14ac:dyDescent="0.3">
      <c r="C137" t="s">
        <v>63</v>
      </c>
      <c r="D137">
        <v>2.8000000000000001E-2</v>
      </c>
      <c r="E137">
        <v>6.0000000000000001E-3</v>
      </c>
      <c r="F137">
        <v>4.0000000000000001E-3</v>
      </c>
      <c r="G137">
        <v>7.0000000000000001E-3</v>
      </c>
      <c r="H137">
        <v>2.1999999999999999E-2</v>
      </c>
      <c r="I137">
        <v>0.03</v>
      </c>
      <c r="J137">
        <v>5.5560836841995094E-2</v>
      </c>
      <c r="K137">
        <v>7.7269100737645799E-2</v>
      </c>
      <c r="L137">
        <v>9.8977364633296511E-2</v>
      </c>
      <c r="M137">
        <v>0.12068562852894722</v>
      </c>
      <c r="N137">
        <v>0.14239389242459791</v>
      </c>
      <c r="O137">
        <v>0.14539395286664181</v>
      </c>
      <c r="P137">
        <v>0.15376740395604158</v>
      </c>
      <c r="Q137">
        <v>0.16884078220386586</v>
      </c>
      <c r="R137">
        <v>0.19337122393356257</v>
      </c>
      <c r="S137">
        <v>0.36211443713047686</v>
      </c>
      <c r="T137">
        <v>0.36452403889896762</v>
      </c>
      <c r="U137">
        <v>0.36692771675515684</v>
      </c>
      <c r="V137">
        <v>0.36932495784280633</v>
      </c>
      <c r="W137">
        <v>0.37171525053633164</v>
      </c>
      <c r="X137">
        <v>0.81683150294017515</v>
      </c>
      <c r="Y137">
        <v>0.81369665695935067</v>
      </c>
      <c r="Z137">
        <v>0.81049727635655855</v>
      </c>
      <c r="AA137">
        <v>0.8072341668012385</v>
      </c>
      <c r="AB137">
        <v>0.80390423430957891</v>
      </c>
      <c r="AC137">
        <v>0.80050555956606761</v>
      </c>
      <c r="AD137">
        <v>0.79794932075031633</v>
      </c>
      <c r="AE137">
        <v>0.79533730944627745</v>
      </c>
      <c r="AF137">
        <v>0.79266710166241872</v>
      </c>
      <c r="AG137">
        <v>0.78938333821340678</v>
      </c>
      <c r="AH137">
        <v>0.77105742271945976</v>
      </c>
      <c r="AI137">
        <v>0.77183699700351227</v>
      </c>
      <c r="AJ137">
        <v>0.77258583926382096</v>
      </c>
      <c r="AK137">
        <v>0.77330080421865299</v>
      </c>
      <c r="AL137">
        <v>0.77397831788797067</v>
      </c>
      <c r="AM137">
        <v>0.48241226430855066</v>
      </c>
    </row>
    <row r="138" spans="3:39" x14ac:dyDescent="0.3">
      <c r="C138" t="s">
        <v>64</v>
      </c>
      <c r="J138">
        <v>1.0206930981224637E-4</v>
      </c>
      <c r="K138">
        <v>7.5250112176355091E-5</v>
      </c>
      <c r="L138">
        <v>1.1205482978197471E-4</v>
      </c>
      <c r="M138">
        <v>1.7466983318571955E-4</v>
      </c>
      <c r="N138">
        <v>4.1010417546503779E-4</v>
      </c>
      <c r="O138">
        <v>6.6177415993939957E-4</v>
      </c>
      <c r="P138">
        <v>1.0554956954342012E-3</v>
      </c>
      <c r="Q138">
        <v>1.5395749182251653E-3</v>
      </c>
      <c r="R138">
        <v>1.937000754254352E-3</v>
      </c>
      <c r="S138">
        <v>2.7682908020914884E-3</v>
      </c>
      <c r="T138">
        <v>2.70445481107462E-3</v>
      </c>
      <c r="U138">
        <v>2.6420843177909327E-3</v>
      </c>
      <c r="V138">
        <v>2.5811475765987221E-3</v>
      </c>
      <c r="W138">
        <v>2.5216135326243641E-3</v>
      </c>
      <c r="X138">
        <v>8.0040088316572673E-3</v>
      </c>
      <c r="Y138">
        <v>7.9715072200534243E-3</v>
      </c>
      <c r="Z138">
        <v>7.9393693749838876E-3</v>
      </c>
      <c r="AA138">
        <v>7.9080553580616643E-3</v>
      </c>
      <c r="AB138">
        <v>7.8773171005935838E-3</v>
      </c>
      <c r="AC138">
        <v>7.8471428295294066E-3</v>
      </c>
      <c r="AD138">
        <v>7.7887577378335446E-3</v>
      </c>
      <c r="AE138">
        <v>7.7312117491527737E-3</v>
      </c>
      <c r="AF138">
        <v>7.6744204179332344E-3</v>
      </c>
      <c r="AG138">
        <v>7.6053896456732299E-3</v>
      </c>
      <c r="AH138">
        <v>7.6755607608137814E-3</v>
      </c>
      <c r="AI138">
        <v>7.5619725062774489E-3</v>
      </c>
      <c r="AJ138">
        <v>7.450075839483589E-3</v>
      </c>
      <c r="AK138">
        <v>7.339845372691764E-3</v>
      </c>
      <c r="AL138">
        <v>7.2312539594477756E-3</v>
      </c>
      <c r="AM138">
        <v>4.4481246498244611E-3</v>
      </c>
    </row>
    <row r="139" spans="3:39" x14ac:dyDescent="0.3">
      <c r="C139" t="s">
        <v>65</v>
      </c>
      <c r="J139">
        <v>8.3057198079092009E-3</v>
      </c>
      <c r="K139">
        <v>2.2323406038463289E-2</v>
      </c>
      <c r="L139">
        <v>5.8626660564614325E-2</v>
      </c>
      <c r="M139">
        <v>0.12166483429012399</v>
      </c>
      <c r="N139">
        <v>0.31558298149962866</v>
      </c>
      <c r="O139">
        <v>0.33648263949895457</v>
      </c>
      <c r="P139">
        <v>0.35053267123824</v>
      </c>
      <c r="Q139">
        <v>0.35846149090365997</v>
      </c>
      <c r="R139">
        <v>0.33818144994993388</v>
      </c>
      <c r="S139">
        <v>0.48837461518593361</v>
      </c>
      <c r="T139">
        <v>0.48808129191223576</v>
      </c>
      <c r="U139">
        <v>0.48778716172437658</v>
      </c>
      <c r="V139">
        <v>0.48749221299936801</v>
      </c>
      <c r="W139">
        <v>0.48719643532444135</v>
      </c>
      <c r="X139">
        <v>1.8047195001371485E-91</v>
      </c>
      <c r="Y139">
        <v>1.7893810608958411E-91</v>
      </c>
      <c r="Z139">
        <v>1.7739155665884258E-91</v>
      </c>
      <c r="AA139">
        <v>1.7583197957665941E-91</v>
      </c>
      <c r="AB139">
        <v>1.742590408408047E-91</v>
      </c>
      <c r="AC139">
        <v>1.7267239369442029E-91</v>
      </c>
      <c r="AD139">
        <v>1.7056347554464251E-91</v>
      </c>
      <c r="AE139">
        <v>1.6845171436623126E-91</v>
      </c>
      <c r="AF139">
        <v>1.6633678154812427E-91</v>
      </c>
      <c r="AG139">
        <v>1.6421833541292477E-91</v>
      </c>
      <c r="AH139">
        <v>1.4852752290691671E-91</v>
      </c>
      <c r="AI139">
        <v>1.4788718077780804E-91</v>
      </c>
      <c r="AJ139">
        <v>1.4724154198671953E-91</v>
      </c>
      <c r="AK139">
        <v>1.4658991647533939E-91</v>
      </c>
      <c r="AL139">
        <v>1.4593154280129799E-91</v>
      </c>
      <c r="AM139">
        <v>3.8867933017185903E-5</v>
      </c>
    </row>
    <row r="140" spans="3:39" x14ac:dyDescent="0.3">
      <c r="C140" t="s">
        <v>66</v>
      </c>
      <c r="D140">
        <v>5.9444550123644667E-6</v>
      </c>
      <c r="G140">
        <v>0.01</v>
      </c>
      <c r="H140">
        <v>1.2999999999999999E-2</v>
      </c>
      <c r="I140">
        <v>0.04</v>
      </c>
      <c r="J140">
        <v>5.9262467171754984E-2</v>
      </c>
      <c r="K140">
        <v>8.2797510085173706E-2</v>
      </c>
      <c r="L140">
        <v>0.11955112248213022</v>
      </c>
      <c r="M140">
        <v>0.18586972445818423</v>
      </c>
      <c r="N140">
        <v>0.24542404785796626</v>
      </c>
      <c r="O140">
        <v>0.24940030668447252</v>
      </c>
      <c r="P140">
        <v>0.24820770622446828</v>
      </c>
      <c r="Q140">
        <v>0.24146263398004245</v>
      </c>
      <c r="R140">
        <v>0.22421714045320507</v>
      </c>
      <c r="S140">
        <v>0.14630688051823612</v>
      </c>
      <c r="T140">
        <v>0.14426211586746357</v>
      </c>
      <c r="U140">
        <v>0.14222235394870772</v>
      </c>
      <c r="V140">
        <v>0.14018814233388732</v>
      </c>
      <c r="W140">
        <v>0.13816002453801249</v>
      </c>
      <c r="X140">
        <v>1.0219464060533903E-89</v>
      </c>
      <c r="Y140">
        <v>1.0085605713424454E-89</v>
      </c>
      <c r="Z140">
        <v>9.9520413698376894E-90</v>
      </c>
      <c r="AA140">
        <v>9.8187952908298218E-90</v>
      </c>
      <c r="AB140">
        <v>9.6858907456797446E-90</v>
      </c>
      <c r="AC140">
        <v>9.5533500055441038E-90</v>
      </c>
      <c r="AD140">
        <v>9.3549140865459254E-90</v>
      </c>
      <c r="AE140">
        <v>9.1596569244178073E-90</v>
      </c>
      <c r="AF140">
        <v>8.9675321919757243E-90</v>
      </c>
      <c r="AG140">
        <v>8.6912118048244397E-90</v>
      </c>
      <c r="AH140">
        <v>7.8113338712559E-90</v>
      </c>
      <c r="AI140">
        <v>7.7580450985398369E-90</v>
      </c>
      <c r="AJ140">
        <v>7.7049496070547576E-90</v>
      </c>
      <c r="AK140">
        <v>7.6520417324235112E-90</v>
      </c>
      <c r="AL140">
        <v>7.5993150389471775E-90</v>
      </c>
      <c r="AM140">
        <v>2.119965086810909E-4</v>
      </c>
    </row>
    <row r="141" spans="3:39" x14ac:dyDescent="0.3">
      <c r="C141" t="s">
        <v>67</v>
      </c>
      <c r="J141">
        <v>1.445877477485305E-4</v>
      </c>
      <c r="K141">
        <v>1.1965947596516121E-4</v>
      </c>
      <c r="L141">
        <v>2.7505962263619631E-4</v>
      </c>
      <c r="M141">
        <v>8.9393236556812433E-4</v>
      </c>
      <c r="N141">
        <v>4.0566316883583128E-3</v>
      </c>
      <c r="O141">
        <v>4.5425997175896904E-3</v>
      </c>
      <c r="P141">
        <v>4.1593824805440235E-3</v>
      </c>
      <c r="Q141">
        <v>2.9023302311832052E-3</v>
      </c>
      <c r="R141">
        <v>1.4691991255812236E-3</v>
      </c>
      <c r="S141">
        <v>4.3094059986882013E-4</v>
      </c>
      <c r="T141">
        <v>4.2274912972208414E-4</v>
      </c>
      <c r="U141">
        <v>4.1475363646969928E-4</v>
      </c>
      <c r="V141">
        <v>4.0695089715642706E-4</v>
      </c>
      <c r="W141">
        <v>3.9933781489282449E-4</v>
      </c>
      <c r="X141">
        <v>1.3820295035198282E-86</v>
      </c>
      <c r="Y141">
        <v>1.3639108927705908E-86</v>
      </c>
      <c r="Z141">
        <v>1.3457576147876159E-86</v>
      </c>
      <c r="AA141">
        <v>1.327740744570112E-86</v>
      </c>
      <c r="AB141">
        <v>1.3097816765924822E-86</v>
      </c>
      <c r="AC141">
        <v>1.2918852098135185E-86</v>
      </c>
      <c r="AD141">
        <v>1.2634990622009849E-86</v>
      </c>
      <c r="AE141">
        <v>1.2356189942830248E-86</v>
      </c>
      <c r="AF141">
        <v>1.2082200529199261E-86</v>
      </c>
      <c r="AG141">
        <v>1.1812611035042091E-86</v>
      </c>
      <c r="AH141">
        <v>1.124799770578754E-86</v>
      </c>
      <c r="AI141">
        <v>1.1028746945564974E-86</v>
      </c>
      <c r="AJ141">
        <v>1.0812514115376038E-86</v>
      </c>
      <c r="AK141">
        <v>1.0599277333393171E-86</v>
      </c>
      <c r="AL141">
        <v>1.0389012956435191E-86</v>
      </c>
      <c r="AM141">
        <v>3.4203015508677464E-7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Description</vt:lpstr>
      <vt:lpstr>EV</vt:lpstr>
      <vt:lpstr>Sheet1</vt:lpstr>
      <vt:lpstr>Iceland</vt:lpstr>
      <vt:lpstr>MaxShare-DK</vt:lpstr>
      <vt:lpstr>MaxShare-NO</vt:lpstr>
      <vt:lpstr>MaxShare-SE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Hagberg</dc:creator>
  <cp:lastModifiedBy>Mikkel Bosack</cp:lastModifiedBy>
  <dcterms:created xsi:type="dcterms:W3CDTF">2018-03-13T12:45:36Z</dcterms:created>
  <dcterms:modified xsi:type="dcterms:W3CDTF">2021-05-07T07:44:53Z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954533874988555</vt:r8>
  </property>
</Properties>
</file>