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codeName="ThisWorkbook" hidePivotFieldList="1"/>
  <mc:AlternateContent xmlns:mc="http://schemas.openxmlformats.org/markup-compatibility/2006">
    <mc:Choice Requires="x15">
      <x15ac:absPath xmlns:x15ac="http://schemas.microsoft.com/office/spreadsheetml/2010/11/ac" url="C:\TIMES models\TIMES-Nordic\"/>
    </mc:Choice>
  </mc:AlternateContent>
  <xr:revisionPtr revIDLastSave="0" documentId="13_ncr:1_{33629C98-F868-4B61-A2D6-546D847EB505}" xr6:coauthVersionLast="46" xr6:coauthVersionMax="46" xr10:uidLastSave="{00000000-0000-0000-0000-000000000000}"/>
  <bookViews>
    <workbookView xWindow="-108" yWindow="-108" windowWidth="41496" windowHeight="16896" tabRatio="757" activeTab="4" xr2:uid="{00000000-000D-0000-FFFF-FFFF00000000}"/>
  </bookViews>
  <sheets>
    <sheet name="LOG" sheetId="236" r:id="rId1"/>
    <sheet name="Intro" sheetId="243" r:id="rId2"/>
    <sheet name="Commodities" sheetId="216" r:id="rId3"/>
    <sheet name="Processes" sheetId="231" r:id="rId4"/>
    <sheet name="MIN-IMP-EXP" sheetId="245" r:id="rId5"/>
    <sheet name="ETS_NETS_Prices" sheetId="242" r:id="rId6"/>
    <sheet name="Refineries" sheetId="239" r:id="rId7"/>
    <sheet name="Emis" sheetId="244" r:id="rId8"/>
    <sheet name="Fuel Tech" sheetId="237" r:id="rId9"/>
    <sheet name="BiomassCost" sheetId="241" r:id="rId10"/>
    <sheet name="MIN-IMP-EXP_Data" sheetId="235" r:id="rId11"/>
    <sheet name="Refinery_data" sheetId="238" r:id="rId12"/>
    <sheet name="Table1.A(a)s1" sheetId="246" r:id="rId13"/>
    <sheet name="Oversigt energibalance" sheetId="247" r:id="rId14"/>
    <sheet name="Produktion af primær energi" sheetId="248" r:id="rId15"/>
  </sheets>
  <externalReferences>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s>
  <definedNames>
    <definedName name="____W.O.R.K.B.O.O.K..C.O.N.T.E.N.T.S____">#REF!</definedName>
    <definedName name="_xlnm._FilterDatabase" localSheetId="2" hidden="1">Commodities!$C$5:$K$15</definedName>
    <definedName name="_Order1" hidden="1">255</definedName>
    <definedName name="_Order2" hidden="1">255</definedName>
    <definedName name="åhuselc">'[1]Husholdninger (f)'!$10:$10</definedName>
    <definedName name="åprdelc">'[1]Produktionserhverv (f)'!$11:$11</definedName>
    <definedName name="åserelc">'[1]Handel &amp; service (f)'!$11:$11</definedName>
    <definedName name="åtrpelc">'[1]Transport (f)'!$16:$16</definedName>
    <definedName name="åvettt">'[1]Vedvarende energi'!$5:$5</definedName>
    <definedName name="BiomassLargeCHP">[2]TechnologyData!$A$14:$M$41</definedName>
    <definedName name="BPslut">[2]Plants!$J$2</definedName>
    <definedName name="chosenYear">[3]Cockpit!$B$5</definedName>
    <definedName name="CO2Price">ETS_NETS_Prices!$F$13:$AT$14</definedName>
    <definedName name="CRF_4_KP_I_A.1.1_Doc">#REF!</definedName>
    <definedName name="CRF_4_KP_I_A.2.1_Doc">#REF!</definedName>
    <definedName name="CRF_4_KP_I_A.2_Doc">#REF!</definedName>
    <definedName name="CRF_4_KP_I_B.1.1_Doc">#REF!</definedName>
    <definedName name="CRF_4_KP_I_B.1.3_Doc">#REF!</definedName>
    <definedName name="CRF_Table1.A_a_s1_Main">'Table1.A(a)s1'!$A$6:$J$45</definedName>
    <definedName name="CRF_Table3.B_a_s2_Add">#REF!</definedName>
    <definedName name="CRF_Table7_Main">#REF!</definedName>
    <definedName name="dkkPerEUR">'[4]Centrale data'!$C$34</definedName>
    <definedName name="Eksportstigning">[2]Plants!$J$6</definedName>
    <definedName name="ElBoiler">[2]TechnologyData!$O$72:$AA$99</definedName>
    <definedName name="ElPriceMix">[2]Subsidy!#REF!</definedName>
    <definedName name="Fastprisår">[5]Forside!$B$5</definedName>
    <definedName name="FID_1" localSheetId="0">[6]AGR_Fuels!$A$2</definedName>
    <definedName name="FID_1">[6]AGR_Fuels!$A$2</definedName>
    <definedName name="FID_2" localSheetId="5">[7]LOG!#REF!</definedName>
    <definedName name="FID_2">LOG!#REF!</definedName>
    <definedName name="FuelPrices" localSheetId="5">#REF!</definedName>
    <definedName name="FuelPrices">#REF!</definedName>
    <definedName name="HeatPump_Large">[2]TechnologyData!$O$101:$AA$128</definedName>
    <definedName name="Inflation">[2]General!#REF!</definedName>
    <definedName name="LastPSOYear">[2]Plants!$H$2</definedName>
    <definedName name="MINCRD" comment="Activity bound for DK crude oil production based on projection from DEA." localSheetId="5">'[7]Mining NGA&amp;CRD'!$N$13:$O$93</definedName>
    <definedName name="MINCRD" comment="Activity bound for DK crude oil production based on projection from DEA.">#REF!</definedName>
    <definedName name="MINNGA" comment="Activity bound for DK natural gas  production based on projection from DEA." localSheetId="5">'[7]Mining NGA&amp;CRD'!$P$13:$Q$93</definedName>
    <definedName name="MINNGA" comment="Activity bound for DK natural gas  production based on projection from DEA.">#REF!</definedName>
    <definedName name="Nettarif">[2]TechnologyData!$F$11</definedName>
    <definedName name="NGCC_SmallBP">[2]TechnologyData!$A$72:$M$99</definedName>
    <definedName name="nhydro">[2]General!#REF!</definedName>
    <definedName name="NyeNGCC">[2]Plants!$J$5</definedName>
    <definedName name="OffshoreWindPark">[2]TechnologyData!$O$43:$AA$70</definedName>
    <definedName name="OnshoreWindPark">[2]TechnologyData!$O$14:$AA$41</definedName>
    <definedName name="Prisår_Til_Ramses">#REF!</definedName>
    <definedName name="Raggr1">[8]Rækker!$A$4:$A$4</definedName>
    <definedName name="Raggr2">[8]Rækker!$B$4:$B$4</definedName>
    <definedName name="Raggr3">[8]Rækker!$C$4:$C$4</definedName>
    <definedName name="Raggr4">'MIN-IMP-EXP_Data'!$D$4:$D$4</definedName>
    <definedName name="Raggr5">'MIN-IMP-EXP_Data'!$E$4:$E$4</definedName>
    <definedName name="Real_interest_rate">[9]TechnologyData!$B$37</definedName>
    <definedName name="RefurbishedCoalBioCHP">[2]TechnologyData!$A$43:$M$70</definedName>
    <definedName name="RenovCKV">[2]Plants!$J$4</definedName>
    <definedName name="rSØK">'[4]Centrale data'!$C$32</definedName>
    <definedName name="Saggr1">[8]Søjler!$A$4:$A$7</definedName>
    <definedName name="Saggr2">[8]Søjler!$B$4:$B$7</definedName>
    <definedName name="Saggr3">[8]Søjler!$C$4:$C$7</definedName>
    <definedName name="Saggr4">[8]Søjler!$D$4:$D$7</definedName>
    <definedName name="Saggr5">[8]Søjler!$E$4:$E$7</definedName>
    <definedName name="Saggr6">[8]Søjler!$F$4:$F$7</definedName>
    <definedName name="Saggr7">[8]Søjler!$G$4:$G$7</definedName>
    <definedName name="Saggr8">[8]Søjler!$H$4:$H$7</definedName>
    <definedName name="WasteCHP">[2]TechnologyData!$A$101:$M$129</definedName>
    <definedName name="Wood_SmallBP">[2]TechnologyData!$A$131:$M$158</definedName>
    <definedName name="x" localSheetId="2">[10]AGR_Fuels!$A$2</definedName>
    <definedName name="x">[10]AGR_Fuels!$A$2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D8" i="239" l="1"/>
  <c r="AC26" i="239"/>
  <c r="AC8" i="239"/>
  <c r="R17" i="239"/>
  <c r="Q17" i="239"/>
  <c r="P17" i="239"/>
  <c r="O17" i="239"/>
  <c r="S39" i="239"/>
  <c r="R39" i="239"/>
  <c r="Q39" i="239"/>
  <c r="P39" i="239"/>
  <c r="O39" i="239"/>
  <c r="S38" i="239"/>
  <c r="R38" i="239"/>
  <c r="Q38" i="239"/>
  <c r="P38" i="239"/>
  <c r="O38" i="239"/>
  <c r="S37" i="239"/>
  <c r="R37" i="239"/>
  <c r="Q37" i="239"/>
  <c r="P37" i="239"/>
  <c r="S36" i="239"/>
  <c r="R36" i="239"/>
  <c r="Q36" i="239"/>
  <c r="P36" i="239"/>
  <c r="O37" i="239"/>
  <c r="O36" i="239"/>
  <c r="S17" i="239" l="1"/>
  <c r="E12" i="244"/>
  <c r="H75" i="245"/>
  <c r="I75" i="245"/>
  <c r="J75" i="245"/>
  <c r="K75" i="245"/>
  <c r="L75" i="245"/>
  <c r="M75" i="245"/>
  <c r="N75" i="245"/>
  <c r="O75" i="245"/>
  <c r="P75" i="245"/>
  <c r="Q75" i="245"/>
  <c r="R75" i="245"/>
  <c r="S75" i="245"/>
  <c r="T75" i="245"/>
  <c r="U75" i="245"/>
  <c r="V75" i="245"/>
  <c r="W75" i="245"/>
  <c r="X75" i="245"/>
  <c r="Y75" i="245"/>
  <c r="Z75" i="245"/>
  <c r="AA75" i="245"/>
  <c r="AB75" i="245"/>
  <c r="AC75" i="245"/>
  <c r="AD75" i="245"/>
  <c r="AE75" i="245"/>
  <c r="AF75" i="245"/>
  <c r="AG75" i="245"/>
  <c r="AH75" i="245"/>
  <c r="AI75" i="245"/>
  <c r="AJ75" i="245"/>
  <c r="AK75" i="245"/>
  <c r="AL75" i="245"/>
  <c r="AM75" i="245"/>
  <c r="AN75" i="245"/>
  <c r="AO75" i="245"/>
  <c r="AP75" i="245"/>
  <c r="AQ75" i="245"/>
  <c r="AR75" i="245"/>
  <c r="AS75" i="245"/>
  <c r="AT75" i="245"/>
  <c r="AU75" i="245"/>
  <c r="H76" i="245"/>
  <c r="I76" i="245"/>
  <c r="J76" i="245"/>
  <c r="K76" i="245"/>
  <c r="L76" i="245"/>
  <c r="M76" i="245"/>
  <c r="M89" i="245" s="1"/>
  <c r="N76" i="245"/>
  <c r="N86" i="245" s="1"/>
  <c r="O76" i="245"/>
  <c r="P76" i="245"/>
  <c r="Q76" i="245"/>
  <c r="Q98" i="245" s="1"/>
  <c r="R76" i="245"/>
  <c r="R98" i="245" s="1"/>
  <c r="S76" i="245"/>
  <c r="T76" i="245"/>
  <c r="T89" i="245" s="1"/>
  <c r="U76" i="245"/>
  <c r="V76" i="245"/>
  <c r="W76" i="245"/>
  <c r="W89" i="245" s="1"/>
  <c r="X76" i="245"/>
  <c r="Y76" i="245"/>
  <c r="Z76" i="245"/>
  <c r="Z98" i="245" s="1"/>
  <c r="AA76" i="245"/>
  <c r="AB76" i="245"/>
  <c r="AB86" i="245" s="1"/>
  <c r="AC76" i="245"/>
  <c r="AD76" i="245"/>
  <c r="AE76" i="245"/>
  <c r="AE86" i="245" s="1"/>
  <c r="AF76" i="245"/>
  <c r="AF86" i="245" s="1"/>
  <c r="AG76" i="245"/>
  <c r="AG89" i="245" s="1"/>
  <c r="AH76" i="245"/>
  <c r="AI76" i="245"/>
  <c r="AJ76" i="245"/>
  <c r="AK76" i="245"/>
  <c r="AL76" i="245"/>
  <c r="AM76" i="245"/>
  <c r="AN76" i="245"/>
  <c r="AO76" i="245"/>
  <c r="AO89" i="245" s="1"/>
  <c r="AP76" i="245"/>
  <c r="AP86" i="245" s="1"/>
  <c r="AQ76" i="245"/>
  <c r="AR76" i="245"/>
  <c r="AS76" i="245"/>
  <c r="AS98" i="245" s="1"/>
  <c r="AT76" i="245"/>
  <c r="AT98" i="245" s="1"/>
  <c r="AU76" i="245"/>
  <c r="H77" i="245"/>
  <c r="I77" i="245"/>
  <c r="J77" i="245"/>
  <c r="K77" i="245"/>
  <c r="L77" i="245"/>
  <c r="M77" i="245"/>
  <c r="N77" i="245"/>
  <c r="O77" i="245"/>
  <c r="P77" i="245"/>
  <c r="Q77" i="245"/>
  <c r="R77" i="245"/>
  <c r="S77" i="245"/>
  <c r="T77" i="245"/>
  <c r="U77" i="245"/>
  <c r="V77" i="245"/>
  <c r="W77" i="245"/>
  <c r="X77" i="245"/>
  <c r="Y77" i="245"/>
  <c r="Z77" i="245"/>
  <c r="AA77" i="245"/>
  <c r="AB77" i="245"/>
  <c r="AC77" i="245"/>
  <c r="AD77" i="245"/>
  <c r="AE77" i="245"/>
  <c r="AF77" i="245"/>
  <c r="AG77" i="245"/>
  <c r="AH77" i="245"/>
  <c r="AI77" i="245"/>
  <c r="AJ77" i="245"/>
  <c r="AK77" i="245"/>
  <c r="AL77" i="245"/>
  <c r="AM77" i="245"/>
  <c r="AN77" i="245"/>
  <c r="AO77" i="245"/>
  <c r="AP77" i="245"/>
  <c r="AQ77" i="245"/>
  <c r="AR77" i="245"/>
  <c r="AS77" i="245"/>
  <c r="AT77" i="245"/>
  <c r="AU77" i="245"/>
  <c r="H78" i="245"/>
  <c r="I78" i="245"/>
  <c r="I108" i="245" s="1"/>
  <c r="J78" i="245"/>
  <c r="K78" i="245"/>
  <c r="L78" i="245"/>
  <c r="M78" i="245"/>
  <c r="N78" i="245"/>
  <c r="O78" i="245"/>
  <c r="P78" i="245"/>
  <c r="P108" i="245" s="1"/>
  <c r="Q78" i="245"/>
  <c r="Q108" i="245" s="1"/>
  <c r="R78" i="245"/>
  <c r="R108" i="245" s="1"/>
  <c r="S78" i="245"/>
  <c r="T78" i="245"/>
  <c r="U78" i="245"/>
  <c r="V78" i="245"/>
  <c r="W78" i="245"/>
  <c r="X78" i="245"/>
  <c r="X108" i="245" s="1"/>
  <c r="Y78" i="245"/>
  <c r="Z78" i="245"/>
  <c r="AA78" i="245"/>
  <c r="AB78" i="245"/>
  <c r="AC78" i="245"/>
  <c r="AD78" i="245"/>
  <c r="AD108" i="245" s="1"/>
  <c r="AE78" i="245"/>
  <c r="AF78" i="245"/>
  <c r="AF108" i="245" s="1"/>
  <c r="AG78" i="245"/>
  <c r="AH78" i="245"/>
  <c r="AI78" i="245"/>
  <c r="AJ78" i="245"/>
  <c r="AK78" i="245"/>
  <c r="AK108" i="245" s="1"/>
  <c r="AL78" i="245"/>
  <c r="AM78" i="245"/>
  <c r="AN78" i="245"/>
  <c r="AO78" i="245"/>
  <c r="AP78" i="245"/>
  <c r="AQ78" i="245"/>
  <c r="AR78" i="245"/>
  <c r="AR108" i="245" s="1"/>
  <c r="AS78" i="245"/>
  <c r="AS108" i="245" s="1"/>
  <c r="AT78" i="245"/>
  <c r="AT108" i="245" s="1"/>
  <c r="AU78" i="245"/>
  <c r="H79" i="245"/>
  <c r="I79" i="245"/>
  <c r="J79" i="245"/>
  <c r="K79" i="245"/>
  <c r="L79" i="245"/>
  <c r="M79" i="245"/>
  <c r="N79" i="245"/>
  <c r="O79" i="245"/>
  <c r="P79" i="245"/>
  <c r="Q79" i="245"/>
  <c r="R79" i="245"/>
  <c r="S79" i="245"/>
  <c r="T79" i="245"/>
  <c r="U79" i="245"/>
  <c r="V79" i="245"/>
  <c r="W79" i="245"/>
  <c r="X79" i="245"/>
  <c r="Y79" i="245"/>
  <c r="Z79" i="245"/>
  <c r="AA79" i="245"/>
  <c r="AB79" i="245"/>
  <c r="AC79" i="245"/>
  <c r="AD79" i="245"/>
  <c r="AE79" i="245"/>
  <c r="AF79" i="245"/>
  <c r="AG79" i="245"/>
  <c r="AH79" i="245"/>
  <c r="AI79" i="245"/>
  <c r="AJ79" i="245"/>
  <c r="AK79" i="245"/>
  <c r="AL79" i="245"/>
  <c r="AM79" i="245"/>
  <c r="AN79" i="245"/>
  <c r="AO79" i="245"/>
  <c r="AP79" i="245"/>
  <c r="AQ79" i="245"/>
  <c r="AR79" i="245"/>
  <c r="AS79" i="245"/>
  <c r="AT79" i="245"/>
  <c r="AU79" i="245"/>
  <c r="H80" i="245"/>
  <c r="H103" i="245" s="1"/>
  <c r="H106" i="245" s="1"/>
  <c r="I80" i="245"/>
  <c r="J80" i="245"/>
  <c r="K80" i="245"/>
  <c r="K104" i="245" s="1"/>
  <c r="K107" i="245" s="1"/>
  <c r="L80" i="245"/>
  <c r="L104" i="245" s="1"/>
  <c r="L107" i="245" s="1"/>
  <c r="M80" i="245"/>
  <c r="M103" i="245" s="1"/>
  <c r="M106" i="245" s="1"/>
  <c r="N80" i="245"/>
  <c r="O80" i="245"/>
  <c r="P80" i="245"/>
  <c r="Q80" i="245"/>
  <c r="R80" i="245"/>
  <c r="S80" i="245"/>
  <c r="T80" i="245"/>
  <c r="T103" i="245" s="1"/>
  <c r="T106" i="245" s="1"/>
  <c r="U80" i="245"/>
  <c r="U102" i="245" s="1"/>
  <c r="U105" i="245" s="1"/>
  <c r="V80" i="245"/>
  <c r="V103" i="245" s="1"/>
  <c r="V106" i="245" s="1"/>
  <c r="W80" i="245"/>
  <c r="X80" i="245"/>
  <c r="Y80" i="245"/>
  <c r="Y102" i="245" s="1"/>
  <c r="Y105" i="245" s="1"/>
  <c r="Z80" i="245"/>
  <c r="Z102" i="245" s="1"/>
  <c r="Z105" i="245" s="1"/>
  <c r="AA80" i="245"/>
  <c r="AB80" i="245"/>
  <c r="AB103" i="245" s="1"/>
  <c r="AB106" i="245" s="1"/>
  <c r="AC80" i="245"/>
  <c r="AD80" i="245"/>
  <c r="AE80" i="245"/>
  <c r="AF80" i="245"/>
  <c r="AF102" i="245" s="1"/>
  <c r="AF105" i="245" s="1"/>
  <c r="AG80" i="245"/>
  <c r="AG102" i="245" s="1"/>
  <c r="AG105" i="245" s="1"/>
  <c r="AH80" i="245"/>
  <c r="AH104" i="245" s="1"/>
  <c r="AH107" i="245" s="1"/>
  <c r="AI80" i="245"/>
  <c r="AI102" i="245" s="1"/>
  <c r="AI105" i="245" s="1"/>
  <c r="AJ80" i="245"/>
  <c r="AJ104" i="245" s="1"/>
  <c r="AJ107" i="245" s="1"/>
  <c r="AK80" i="245"/>
  <c r="AL80" i="245"/>
  <c r="AM80" i="245"/>
  <c r="AM104" i="245" s="1"/>
  <c r="AM107" i="245" s="1"/>
  <c r="AN80" i="245"/>
  <c r="AN104" i="245" s="1"/>
  <c r="AN107" i="245" s="1"/>
  <c r="AO80" i="245"/>
  <c r="AO103" i="245" s="1"/>
  <c r="AO106" i="245" s="1"/>
  <c r="AP80" i="245"/>
  <c r="AQ80" i="245"/>
  <c r="AQ104" i="245" s="1"/>
  <c r="AQ107" i="245" s="1"/>
  <c r="AR80" i="245"/>
  <c r="AS80" i="245"/>
  <c r="AT80" i="245"/>
  <c r="AU80" i="245"/>
  <c r="H81" i="245"/>
  <c r="H93" i="245" s="1"/>
  <c r="I81" i="245"/>
  <c r="I94" i="245" s="1"/>
  <c r="J81" i="245"/>
  <c r="J94" i="245" s="1"/>
  <c r="K81" i="245"/>
  <c r="L81" i="245"/>
  <c r="M81" i="245"/>
  <c r="M85" i="245" s="1"/>
  <c r="N81" i="245"/>
  <c r="N85" i="245" s="1"/>
  <c r="O81" i="245"/>
  <c r="O85" i="245" s="1"/>
  <c r="P81" i="245"/>
  <c r="P93" i="245" s="1"/>
  <c r="Q81" i="245"/>
  <c r="R81" i="245"/>
  <c r="R94" i="245" s="1"/>
  <c r="S81" i="245"/>
  <c r="S94" i="245" s="1"/>
  <c r="T81" i="245"/>
  <c r="T85" i="245" s="1"/>
  <c r="U81" i="245"/>
  <c r="U93" i="245" s="1"/>
  <c r="V81" i="245"/>
  <c r="V93" i="245" s="1"/>
  <c r="W81" i="245"/>
  <c r="W85" i="245" s="1"/>
  <c r="X81" i="245"/>
  <c r="X94" i="245" s="1"/>
  <c r="Y81" i="245"/>
  <c r="Z81" i="245"/>
  <c r="AA81" i="245"/>
  <c r="AA85" i="245" s="1"/>
  <c r="AB81" i="245"/>
  <c r="AB85" i="245" s="1"/>
  <c r="AC81" i="245"/>
  <c r="AC85" i="245" s="1"/>
  <c r="AD81" i="245"/>
  <c r="AD93" i="245" s="1"/>
  <c r="AE81" i="245"/>
  <c r="AE85" i="245" s="1"/>
  <c r="AF81" i="245"/>
  <c r="AG81" i="245"/>
  <c r="AH81" i="245"/>
  <c r="AI81" i="245"/>
  <c r="AJ81" i="245"/>
  <c r="AJ93" i="245" s="1"/>
  <c r="AK81" i="245"/>
  <c r="AK94" i="245" s="1"/>
  <c r="AL81" i="245"/>
  <c r="AL94" i="245" s="1"/>
  <c r="AM81" i="245"/>
  <c r="AN81" i="245"/>
  <c r="AO81" i="245"/>
  <c r="AO85" i="245" s="1"/>
  <c r="AP81" i="245"/>
  <c r="AP85" i="245" s="1"/>
  <c r="AQ81" i="245"/>
  <c r="AQ85" i="245" s="1"/>
  <c r="AR81" i="245"/>
  <c r="AR93" i="245" s="1"/>
  <c r="AS81" i="245"/>
  <c r="AT81" i="245"/>
  <c r="AU81" i="245"/>
  <c r="AU94" i="245" s="1"/>
  <c r="H82" i="245"/>
  <c r="H100" i="245" s="1"/>
  <c r="I82" i="245"/>
  <c r="I101" i="245" s="1"/>
  <c r="J82" i="245"/>
  <c r="J101" i="245" s="1"/>
  <c r="K82" i="245"/>
  <c r="L82" i="245"/>
  <c r="L91" i="245" s="1"/>
  <c r="M82" i="245"/>
  <c r="N82" i="245"/>
  <c r="N92" i="245" s="1"/>
  <c r="O82" i="245"/>
  <c r="O92" i="245" s="1"/>
  <c r="P82" i="245"/>
  <c r="P101" i="245" s="1"/>
  <c r="Q82" i="245"/>
  <c r="Q100" i="245" s="1"/>
  <c r="R82" i="245"/>
  <c r="R101" i="245" s="1"/>
  <c r="S82" i="245"/>
  <c r="S91" i="245" s="1"/>
  <c r="T82" i="245"/>
  <c r="U82" i="245"/>
  <c r="V82" i="245"/>
  <c r="W82" i="245"/>
  <c r="X82" i="245"/>
  <c r="X91" i="245" s="1"/>
  <c r="Y82" i="245"/>
  <c r="Y91" i="245" s="1"/>
  <c r="Z82" i="245"/>
  <c r="Z100" i="245" s="1"/>
  <c r="AA82" i="245"/>
  <c r="AA91" i="245" s="1"/>
  <c r="AB82" i="245"/>
  <c r="AC82" i="245"/>
  <c r="AC100" i="245" s="1"/>
  <c r="AD82" i="245"/>
  <c r="AD100" i="245" s="1"/>
  <c r="AE82" i="245"/>
  <c r="AE100" i="245" s="1"/>
  <c r="AF82" i="245"/>
  <c r="AF100" i="245" s="1"/>
  <c r="AG82" i="245"/>
  <c r="AH82" i="245"/>
  <c r="AI82" i="245"/>
  <c r="AJ82" i="245"/>
  <c r="AJ100" i="245" s="1"/>
  <c r="AK82" i="245"/>
  <c r="AK101" i="245" s="1"/>
  <c r="AL82" i="245"/>
  <c r="AL101" i="245" s="1"/>
  <c r="AM82" i="245"/>
  <c r="AM91" i="245" s="1"/>
  <c r="AN82" i="245"/>
  <c r="AN91" i="245" s="1"/>
  <c r="AO82" i="245"/>
  <c r="AP82" i="245"/>
  <c r="AP92" i="245" s="1"/>
  <c r="AQ82" i="245"/>
  <c r="AQ99" i="245" s="1"/>
  <c r="AR82" i="245"/>
  <c r="AR101" i="245" s="1"/>
  <c r="AS82" i="245"/>
  <c r="AS100" i="245" s="1"/>
  <c r="AT82" i="245"/>
  <c r="AT91" i="245" s="1"/>
  <c r="AU82" i="245"/>
  <c r="AU91" i="245" s="1"/>
  <c r="H83" i="245"/>
  <c r="I83" i="245"/>
  <c r="J83" i="245"/>
  <c r="K83" i="245"/>
  <c r="L83" i="245"/>
  <c r="M83" i="245"/>
  <c r="N83" i="245"/>
  <c r="N87" i="245" s="1"/>
  <c r="O83" i="245"/>
  <c r="P83" i="245"/>
  <c r="Q83" i="245"/>
  <c r="Q87" i="245" s="1"/>
  <c r="R83" i="245"/>
  <c r="R87" i="245" s="1"/>
  <c r="S83" i="245"/>
  <c r="S87" i="245" s="1"/>
  <c r="T83" i="245"/>
  <c r="T87" i="245" s="1"/>
  <c r="U83" i="245"/>
  <c r="V83" i="245"/>
  <c r="W83" i="245"/>
  <c r="W87" i="245" s="1"/>
  <c r="X83" i="245"/>
  <c r="X87" i="245" s="1"/>
  <c r="Y83" i="245"/>
  <c r="Z83" i="245"/>
  <c r="Z87" i="245" s="1"/>
  <c r="AA83" i="245"/>
  <c r="AA87" i="245" s="1"/>
  <c r="AB83" i="245"/>
  <c r="AB87" i="245" s="1"/>
  <c r="AC83" i="245"/>
  <c r="AD83" i="245"/>
  <c r="AD87" i="245" s="1"/>
  <c r="AE83" i="245"/>
  <c r="AE87" i="245" s="1"/>
  <c r="AF83" i="245"/>
  <c r="AF87" i="245" s="1"/>
  <c r="AG83" i="245"/>
  <c r="AG87" i="245" s="1"/>
  <c r="AH83" i="245"/>
  <c r="AI83" i="245"/>
  <c r="AI87" i="245" s="1"/>
  <c r="AJ83" i="245"/>
  <c r="AK83" i="245"/>
  <c r="AL83" i="245"/>
  <c r="AM83" i="245"/>
  <c r="AN83" i="245"/>
  <c r="AO83" i="245"/>
  <c r="AP83" i="245"/>
  <c r="AP87" i="245" s="1"/>
  <c r="AQ83" i="245"/>
  <c r="AR83" i="245"/>
  <c r="AS83" i="245"/>
  <c r="AS87" i="245" s="1"/>
  <c r="AT83" i="245"/>
  <c r="AT87" i="245" s="1"/>
  <c r="AU83" i="245"/>
  <c r="AU87" i="245" s="1"/>
  <c r="H84" i="245"/>
  <c r="I84" i="245"/>
  <c r="J84" i="245"/>
  <c r="K84" i="245"/>
  <c r="L84" i="245"/>
  <c r="M84" i="245"/>
  <c r="N84" i="245"/>
  <c r="O84" i="245"/>
  <c r="P84" i="245"/>
  <c r="Q84" i="245"/>
  <c r="R84" i="245"/>
  <c r="S84" i="245"/>
  <c r="T84" i="245"/>
  <c r="U84" i="245"/>
  <c r="V84" i="245"/>
  <c r="W84" i="245"/>
  <c r="X84" i="245"/>
  <c r="Y84" i="245"/>
  <c r="Z84" i="245"/>
  <c r="AA84" i="245"/>
  <c r="AB84" i="245"/>
  <c r="AC84" i="245"/>
  <c r="AD84" i="245"/>
  <c r="AE84" i="245"/>
  <c r="AF84" i="245"/>
  <c r="AG84" i="245"/>
  <c r="AH84" i="245"/>
  <c r="AI84" i="245"/>
  <c r="AJ84" i="245"/>
  <c r="AK84" i="245"/>
  <c r="AL84" i="245"/>
  <c r="AM84" i="245"/>
  <c r="AN84" i="245"/>
  <c r="AO84" i="245"/>
  <c r="AP84" i="245"/>
  <c r="AQ84" i="245"/>
  <c r="AR84" i="245"/>
  <c r="AS84" i="245"/>
  <c r="AT84" i="245"/>
  <c r="AU84" i="245"/>
  <c r="H85" i="245"/>
  <c r="I85" i="245"/>
  <c r="K85" i="245"/>
  <c r="L85" i="245"/>
  <c r="Q85" i="245"/>
  <c r="U85" i="245"/>
  <c r="Y85" i="245"/>
  <c r="Z85" i="245"/>
  <c r="AD85" i="245"/>
  <c r="AF85" i="245"/>
  <c r="AG85" i="245"/>
  <c r="AH85" i="245"/>
  <c r="AI85" i="245"/>
  <c r="AJ85" i="245"/>
  <c r="AK85" i="245"/>
  <c r="AM85" i="245"/>
  <c r="AN85" i="245"/>
  <c r="AS85" i="245"/>
  <c r="AT85" i="245"/>
  <c r="H86" i="245"/>
  <c r="I86" i="245"/>
  <c r="J86" i="245"/>
  <c r="K86" i="245"/>
  <c r="L86" i="245"/>
  <c r="O86" i="245"/>
  <c r="P86" i="245"/>
  <c r="Q86" i="245"/>
  <c r="R86" i="245"/>
  <c r="S86" i="245"/>
  <c r="T86" i="245"/>
  <c r="U86" i="245"/>
  <c r="V86" i="245"/>
  <c r="W86" i="245"/>
  <c r="X86" i="245"/>
  <c r="Y86" i="245"/>
  <c r="Z86" i="245"/>
  <c r="AA86" i="245"/>
  <c r="AC86" i="245"/>
  <c r="AD86" i="245"/>
  <c r="AG86" i="245"/>
  <c r="AH86" i="245"/>
  <c r="AI86" i="245"/>
  <c r="AJ86" i="245"/>
  <c r="AK86" i="245"/>
  <c r="AL86" i="245"/>
  <c r="AM86" i="245"/>
  <c r="AN86" i="245"/>
  <c r="AQ86" i="245"/>
  <c r="AR86" i="245"/>
  <c r="AS86" i="245"/>
  <c r="AT86" i="245"/>
  <c r="AU86" i="245"/>
  <c r="H87" i="245"/>
  <c r="I87" i="245"/>
  <c r="J87" i="245"/>
  <c r="K87" i="245"/>
  <c r="L87" i="245"/>
  <c r="M87" i="245"/>
  <c r="O87" i="245"/>
  <c r="P87" i="245"/>
  <c r="U87" i="245"/>
  <c r="V87" i="245"/>
  <c r="Y87" i="245"/>
  <c r="AC87" i="245"/>
  <c r="AH87" i="245"/>
  <c r="AJ87" i="245"/>
  <c r="AK87" i="245"/>
  <c r="AL87" i="245"/>
  <c r="AM87" i="245"/>
  <c r="AN87" i="245"/>
  <c r="AO87" i="245"/>
  <c r="AQ87" i="245"/>
  <c r="AR87" i="245"/>
  <c r="H88" i="245"/>
  <c r="I88" i="245"/>
  <c r="J88" i="245"/>
  <c r="K88" i="245"/>
  <c r="L88" i="245"/>
  <c r="M88" i="245"/>
  <c r="N88" i="245"/>
  <c r="O88" i="245"/>
  <c r="P88" i="245"/>
  <c r="Q88" i="245"/>
  <c r="R88" i="245"/>
  <c r="S88" i="245"/>
  <c r="T88" i="245"/>
  <c r="U88" i="245"/>
  <c r="V88" i="245"/>
  <c r="W88" i="245"/>
  <c r="X88" i="245"/>
  <c r="Y88" i="245"/>
  <c r="Z88" i="245"/>
  <c r="AA88" i="245"/>
  <c r="AB88" i="245"/>
  <c r="AC88" i="245"/>
  <c r="AD88" i="245"/>
  <c r="AE88" i="245"/>
  <c r="AF88" i="245"/>
  <c r="AG88" i="245"/>
  <c r="AH88" i="245"/>
  <c r="AI88" i="245"/>
  <c r="AJ88" i="245"/>
  <c r="AK88" i="245"/>
  <c r="AL88" i="245"/>
  <c r="AM88" i="245"/>
  <c r="AN88" i="245"/>
  <c r="AO88" i="245"/>
  <c r="AP88" i="245"/>
  <c r="AQ88" i="245"/>
  <c r="AR88" i="245"/>
  <c r="AS88" i="245"/>
  <c r="AT88" i="245"/>
  <c r="AU88" i="245"/>
  <c r="H89" i="245"/>
  <c r="I89" i="245"/>
  <c r="J89" i="245"/>
  <c r="K89" i="245"/>
  <c r="L89" i="245"/>
  <c r="N89" i="245"/>
  <c r="O89" i="245"/>
  <c r="P89" i="245"/>
  <c r="Q89" i="245"/>
  <c r="R89" i="245"/>
  <c r="S89" i="245"/>
  <c r="U89" i="245"/>
  <c r="V89" i="245"/>
  <c r="X89" i="245"/>
  <c r="Y89" i="245"/>
  <c r="Z89" i="245"/>
  <c r="AA89" i="245"/>
  <c r="AC89" i="245"/>
  <c r="AD89" i="245"/>
  <c r="AE89" i="245"/>
  <c r="AF89" i="245"/>
  <c r="AH89" i="245"/>
  <c r="AI89" i="245"/>
  <c r="AJ89" i="245"/>
  <c r="AK89" i="245"/>
  <c r="AL89" i="245"/>
  <c r="AM89" i="245"/>
  <c r="AN89" i="245"/>
  <c r="AP89" i="245"/>
  <c r="AQ89" i="245"/>
  <c r="AR89" i="245"/>
  <c r="AS89" i="245"/>
  <c r="AT89" i="245"/>
  <c r="AU89" i="245"/>
  <c r="H90" i="245"/>
  <c r="I90" i="245"/>
  <c r="J90" i="245"/>
  <c r="K90" i="245"/>
  <c r="L90" i="245"/>
  <c r="M90" i="245"/>
  <c r="N90" i="245"/>
  <c r="O90" i="245"/>
  <c r="P90" i="245"/>
  <c r="Q90" i="245"/>
  <c r="R90" i="245"/>
  <c r="S90" i="245"/>
  <c r="T90" i="245"/>
  <c r="U90" i="245"/>
  <c r="V90" i="245"/>
  <c r="W90" i="245"/>
  <c r="X90" i="245"/>
  <c r="Y90" i="245"/>
  <c r="Z90" i="245"/>
  <c r="AA90" i="245"/>
  <c r="AB90" i="245"/>
  <c r="AC90" i="245"/>
  <c r="AD90" i="245"/>
  <c r="AE90" i="245"/>
  <c r="AF90" i="245"/>
  <c r="AG90" i="245"/>
  <c r="AH90" i="245"/>
  <c r="AI90" i="245"/>
  <c r="AJ90" i="245"/>
  <c r="AK90" i="245"/>
  <c r="AL90" i="245"/>
  <c r="AM90" i="245"/>
  <c r="AN90" i="245"/>
  <c r="AO90" i="245"/>
  <c r="AP90" i="245"/>
  <c r="AQ90" i="245"/>
  <c r="AR90" i="245"/>
  <c r="AS90" i="245"/>
  <c r="AT90" i="245"/>
  <c r="AU90" i="245"/>
  <c r="H91" i="245"/>
  <c r="K91" i="245"/>
  <c r="M91" i="245"/>
  <c r="N91" i="245"/>
  <c r="O91" i="245"/>
  <c r="P91" i="245"/>
  <c r="R91" i="245"/>
  <c r="T91" i="245"/>
  <c r="U91" i="245"/>
  <c r="V91" i="245"/>
  <c r="W91" i="245"/>
  <c r="AB91" i="245"/>
  <c r="AC91" i="245"/>
  <c r="AD91" i="245"/>
  <c r="AE91" i="245"/>
  <c r="AG91" i="245"/>
  <c r="AH91" i="245"/>
  <c r="AI91" i="245"/>
  <c r="AJ91" i="245"/>
  <c r="AO91" i="245"/>
  <c r="AP91" i="245"/>
  <c r="AQ91" i="245"/>
  <c r="AR91" i="245"/>
  <c r="H92" i="245"/>
  <c r="I92" i="245"/>
  <c r="K92" i="245"/>
  <c r="M92" i="245"/>
  <c r="Q92" i="245"/>
  <c r="R92" i="245"/>
  <c r="T92" i="245"/>
  <c r="U92" i="245"/>
  <c r="V92" i="245"/>
  <c r="W92" i="245"/>
  <c r="X92" i="245"/>
  <c r="AA92" i="245"/>
  <c r="AB92" i="245"/>
  <c r="AC92" i="245"/>
  <c r="AD92" i="245"/>
  <c r="AE92" i="245"/>
  <c r="AF92" i="245"/>
  <c r="AG92" i="245"/>
  <c r="AH92" i="245"/>
  <c r="AI92" i="245"/>
  <c r="AJ92" i="245"/>
  <c r="AK92" i="245"/>
  <c r="AM92" i="245"/>
  <c r="AO92" i="245"/>
  <c r="AS92" i="245"/>
  <c r="AT92" i="245"/>
  <c r="K93" i="245"/>
  <c r="L93" i="245"/>
  <c r="O93" i="245"/>
  <c r="Q93" i="245"/>
  <c r="S93" i="245"/>
  <c r="T93" i="245"/>
  <c r="W93" i="245"/>
  <c r="X93" i="245"/>
  <c r="Y93" i="245"/>
  <c r="Z93" i="245"/>
  <c r="AA93" i="245"/>
  <c r="AF93" i="245"/>
  <c r="AG93" i="245"/>
  <c r="AH93" i="245"/>
  <c r="AI93" i="245"/>
  <c r="AM93" i="245"/>
  <c r="AN93" i="245"/>
  <c r="AQ93" i="245"/>
  <c r="AS93" i="245"/>
  <c r="AT93" i="245"/>
  <c r="AU93" i="245"/>
  <c r="H94" i="245"/>
  <c r="K94" i="245"/>
  <c r="L94" i="245"/>
  <c r="M94" i="245"/>
  <c r="N94" i="245"/>
  <c r="O94" i="245"/>
  <c r="Q94" i="245"/>
  <c r="T94" i="245"/>
  <c r="U94" i="245"/>
  <c r="V94" i="245"/>
  <c r="W94" i="245"/>
  <c r="Y94" i="245"/>
  <c r="Z94" i="245"/>
  <c r="AA94" i="245"/>
  <c r="AD94" i="245"/>
  <c r="AF94" i="245"/>
  <c r="AG94" i="245"/>
  <c r="AH94" i="245"/>
  <c r="AI94" i="245"/>
  <c r="AJ94" i="245"/>
  <c r="AM94" i="245"/>
  <c r="AN94" i="245"/>
  <c r="AO94" i="245"/>
  <c r="AP94" i="245"/>
  <c r="AQ94" i="245"/>
  <c r="AS94" i="245"/>
  <c r="AT94" i="245"/>
  <c r="H95" i="245"/>
  <c r="I95" i="245"/>
  <c r="J95" i="245"/>
  <c r="K95" i="245"/>
  <c r="L95" i="245"/>
  <c r="M95" i="245"/>
  <c r="N95" i="245"/>
  <c r="O95" i="245"/>
  <c r="P95" i="245"/>
  <c r="Q95" i="245"/>
  <c r="S95" i="245"/>
  <c r="T95" i="245"/>
  <c r="U95" i="245"/>
  <c r="V95" i="245"/>
  <c r="W95" i="245"/>
  <c r="X95" i="245"/>
  <c r="Y95" i="245"/>
  <c r="Z95" i="245"/>
  <c r="AA95" i="245"/>
  <c r="AB95" i="245"/>
  <c r="AC95" i="245"/>
  <c r="AD95" i="245"/>
  <c r="AE95" i="245"/>
  <c r="AF95" i="245"/>
  <c r="AG95" i="245"/>
  <c r="AH95" i="245"/>
  <c r="AI95" i="245"/>
  <c r="AJ95" i="245"/>
  <c r="AK95" i="245"/>
  <c r="AL95" i="245"/>
  <c r="AM95" i="245"/>
  <c r="AN95" i="245"/>
  <c r="AO95" i="245"/>
  <c r="AP95" i="245"/>
  <c r="AQ95" i="245"/>
  <c r="AR95" i="245"/>
  <c r="AS95" i="245"/>
  <c r="AT95" i="245"/>
  <c r="AU95" i="245"/>
  <c r="H96" i="245"/>
  <c r="I96" i="245"/>
  <c r="J96" i="245"/>
  <c r="K96" i="245"/>
  <c r="L96" i="245"/>
  <c r="N96" i="245"/>
  <c r="O96" i="245"/>
  <c r="P96" i="245"/>
  <c r="Q96" i="245"/>
  <c r="R96" i="245"/>
  <c r="S96" i="245"/>
  <c r="U96" i="245"/>
  <c r="V96" i="245"/>
  <c r="X96" i="245"/>
  <c r="Y96" i="245"/>
  <c r="Z96" i="245"/>
  <c r="AA96" i="245"/>
  <c r="AC96" i="245"/>
  <c r="AD96" i="245"/>
  <c r="AE96" i="245"/>
  <c r="AF96" i="245"/>
  <c r="AH96" i="245"/>
  <c r="AI96" i="245"/>
  <c r="AJ96" i="245"/>
  <c r="AK96" i="245"/>
  <c r="AL96" i="245"/>
  <c r="AM96" i="245"/>
  <c r="AN96" i="245"/>
  <c r="AP96" i="245"/>
  <c r="AQ96" i="245"/>
  <c r="AR96" i="245"/>
  <c r="AS96" i="245"/>
  <c r="AT96" i="245"/>
  <c r="AU96" i="245"/>
  <c r="H97" i="245"/>
  <c r="I97" i="245"/>
  <c r="J97" i="245"/>
  <c r="K97" i="245"/>
  <c r="L97" i="245"/>
  <c r="M97" i="245"/>
  <c r="N97" i="245"/>
  <c r="O97" i="245"/>
  <c r="P97" i="245"/>
  <c r="Q97" i="245"/>
  <c r="R97" i="245"/>
  <c r="S97" i="245"/>
  <c r="T97" i="245"/>
  <c r="U97" i="245"/>
  <c r="V97" i="245"/>
  <c r="W97" i="245"/>
  <c r="X97" i="245"/>
  <c r="Y97" i="245"/>
  <c r="Z97" i="245"/>
  <c r="AA97" i="245"/>
  <c r="AB97" i="245"/>
  <c r="AC97" i="245"/>
  <c r="AD97" i="245"/>
  <c r="AE97" i="245"/>
  <c r="AF97" i="245"/>
  <c r="AG97" i="245"/>
  <c r="AH97" i="245"/>
  <c r="AI97" i="245"/>
  <c r="AJ97" i="245"/>
  <c r="AK97" i="245"/>
  <c r="AL97" i="245"/>
  <c r="AM97" i="245"/>
  <c r="AN97" i="245"/>
  <c r="AO97" i="245"/>
  <c r="AP97" i="245"/>
  <c r="AQ97" i="245"/>
  <c r="AR97" i="245"/>
  <c r="AS97" i="245"/>
  <c r="AT97" i="245"/>
  <c r="AU97" i="245"/>
  <c r="H98" i="245"/>
  <c r="I98" i="245"/>
  <c r="J98" i="245"/>
  <c r="K98" i="245"/>
  <c r="L98" i="245"/>
  <c r="M98" i="245"/>
  <c r="N98" i="245"/>
  <c r="O98" i="245"/>
  <c r="P98" i="245"/>
  <c r="S98" i="245"/>
  <c r="T98" i="245"/>
  <c r="U98" i="245"/>
  <c r="V98" i="245"/>
  <c r="W98" i="245"/>
  <c r="X98" i="245"/>
  <c r="Y98" i="245"/>
  <c r="AA98" i="245"/>
  <c r="AC98" i="245"/>
  <c r="AD98" i="245"/>
  <c r="AE98" i="245"/>
  <c r="AG98" i="245"/>
  <c r="AH98" i="245"/>
  <c r="AI98" i="245"/>
  <c r="AJ98" i="245"/>
  <c r="AK98" i="245"/>
  <c r="AL98" i="245"/>
  <c r="AM98" i="245"/>
  <c r="AN98" i="245"/>
  <c r="AO98" i="245"/>
  <c r="AP98" i="245"/>
  <c r="AQ98" i="245"/>
  <c r="AR98" i="245"/>
  <c r="AU98" i="245"/>
  <c r="H99" i="245"/>
  <c r="I99" i="245"/>
  <c r="K99" i="245"/>
  <c r="M99" i="245"/>
  <c r="Q99" i="245"/>
  <c r="R99" i="245"/>
  <c r="T99" i="245"/>
  <c r="U99" i="245"/>
  <c r="V99" i="245"/>
  <c r="W99" i="245"/>
  <c r="X99" i="245"/>
  <c r="AA99" i="245"/>
  <c r="AB99" i="245"/>
  <c r="AC99" i="245"/>
  <c r="AD99" i="245"/>
  <c r="AE99" i="245"/>
  <c r="AF99" i="245"/>
  <c r="AG99" i="245"/>
  <c r="AH99" i="245"/>
  <c r="AI99" i="245"/>
  <c r="AJ99" i="245"/>
  <c r="AK99" i="245"/>
  <c r="AM99" i="245"/>
  <c r="AO99" i="245"/>
  <c r="AS99" i="245"/>
  <c r="AT99" i="245"/>
  <c r="I100" i="245"/>
  <c r="K100" i="245"/>
  <c r="M100" i="245"/>
  <c r="N100" i="245"/>
  <c r="R100" i="245"/>
  <c r="S100" i="245"/>
  <c r="T100" i="245"/>
  <c r="U100" i="245"/>
  <c r="V100" i="245"/>
  <c r="W100" i="245"/>
  <c r="X100" i="245"/>
  <c r="Y100" i="245"/>
  <c r="AA100" i="245"/>
  <c r="AB100" i="245"/>
  <c r="AG100" i="245"/>
  <c r="AH100" i="245"/>
  <c r="AI100" i="245"/>
  <c r="AK100" i="245"/>
  <c r="AM100" i="245"/>
  <c r="AO100" i="245"/>
  <c r="AP100" i="245"/>
  <c r="AT100" i="245"/>
  <c r="AU100" i="245"/>
  <c r="H101" i="245"/>
  <c r="K101" i="245"/>
  <c r="L101" i="245"/>
  <c r="M101" i="245"/>
  <c r="N101" i="245"/>
  <c r="O101" i="245"/>
  <c r="T101" i="245"/>
  <c r="U101" i="245"/>
  <c r="V101" i="245"/>
  <c r="W101" i="245"/>
  <c r="AA101" i="245"/>
  <c r="AB101" i="245"/>
  <c r="AE101" i="245"/>
  <c r="AG101" i="245"/>
  <c r="AH101" i="245"/>
  <c r="AI101" i="245"/>
  <c r="AJ101" i="245"/>
  <c r="AM101" i="245"/>
  <c r="AN101" i="245"/>
  <c r="AO101" i="245"/>
  <c r="AP101" i="245"/>
  <c r="AQ101" i="245"/>
  <c r="I102" i="245"/>
  <c r="I105" i="245" s="1"/>
  <c r="J102" i="245"/>
  <c r="J105" i="245" s="1"/>
  <c r="K102" i="245"/>
  <c r="K105" i="245" s="1"/>
  <c r="N102" i="245"/>
  <c r="O102" i="245"/>
  <c r="P102" i="245"/>
  <c r="Q102" i="245"/>
  <c r="R102" i="245"/>
  <c r="S102" i="245"/>
  <c r="T102" i="245"/>
  <c r="V102" i="245"/>
  <c r="V105" i="245" s="1"/>
  <c r="W102" i="245"/>
  <c r="X102" i="245"/>
  <c r="X105" i="245" s="1"/>
  <c r="AA102" i="245"/>
  <c r="AA105" i="245" s="1"/>
  <c r="AB102" i="245"/>
  <c r="AB105" i="245" s="1"/>
  <c r="AC102" i="245"/>
  <c r="AC105" i="245" s="1"/>
  <c r="AD102" i="245"/>
  <c r="AE102" i="245"/>
  <c r="AE105" i="245" s="1"/>
  <c r="AK102" i="245"/>
  <c r="AK105" i="245" s="1"/>
  <c r="AL102" i="245"/>
  <c r="AL105" i="245" s="1"/>
  <c r="AM102" i="245"/>
  <c r="AM105" i="245" s="1"/>
  <c r="AP102" i="245"/>
  <c r="AR102" i="245"/>
  <c r="AS102" i="245"/>
  <c r="AT102" i="245"/>
  <c r="AU102" i="245"/>
  <c r="I103" i="245"/>
  <c r="J103" i="245"/>
  <c r="J106" i="245" s="1"/>
  <c r="K103" i="245"/>
  <c r="L103" i="245"/>
  <c r="L106" i="245" s="1"/>
  <c r="N103" i="245"/>
  <c r="N106" i="245" s="1"/>
  <c r="O103" i="245"/>
  <c r="O106" i="245" s="1"/>
  <c r="P103" i="245"/>
  <c r="P106" i="245" s="1"/>
  <c r="Q103" i="245"/>
  <c r="Q106" i="245" s="1"/>
  <c r="R103" i="245"/>
  <c r="S103" i="245"/>
  <c r="S106" i="245" s="1"/>
  <c r="W103" i="245"/>
  <c r="X103" i="245"/>
  <c r="Y103" i="245"/>
  <c r="Y106" i="245" s="1"/>
  <c r="Z103" i="245"/>
  <c r="Z106" i="245" s="1"/>
  <c r="AA103" i="245"/>
  <c r="AA106" i="245" s="1"/>
  <c r="AC103" i="245"/>
  <c r="AD103" i="245"/>
  <c r="AE103" i="245"/>
  <c r="AF103" i="245"/>
  <c r="AI103" i="245"/>
  <c r="AK103" i="245"/>
  <c r="AL103" i="245"/>
  <c r="AL106" i="245" s="1"/>
  <c r="AM103" i="245"/>
  <c r="AN103" i="245"/>
  <c r="AN106" i="245" s="1"/>
  <c r="AP103" i="245"/>
  <c r="AP106" i="245" s="1"/>
  <c r="AQ103" i="245"/>
  <c r="AQ106" i="245" s="1"/>
  <c r="AR103" i="245"/>
  <c r="AR106" i="245" s="1"/>
  <c r="AS103" i="245"/>
  <c r="AS106" i="245" s="1"/>
  <c r="AT103" i="245"/>
  <c r="AU103" i="245"/>
  <c r="AU106" i="245" s="1"/>
  <c r="I104" i="245"/>
  <c r="J104" i="245"/>
  <c r="M104" i="245"/>
  <c r="M107" i="245" s="1"/>
  <c r="N104" i="245"/>
  <c r="N107" i="245" s="1"/>
  <c r="O104" i="245"/>
  <c r="O107" i="245" s="1"/>
  <c r="P104" i="245"/>
  <c r="Q104" i="245"/>
  <c r="R104" i="245"/>
  <c r="S104" i="245"/>
  <c r="T104" i="245"/>
  <c r="W104" i="245"/>
  <c r="X104" i="245"/>
  <c r="Y104" i="245"/>
  <c r="Z104" i="245"/>
  <c r="Z107" i="245" s="1"/>
  <c r="AA104" i="245"/>
  <c r="AB104" i="245"/>
  <c r="AB107" i="245" s="1"/>
  <c r="AC104" i="245"/>
  <c r="AD104" i="245"/>
  <c r="AD107" i="245" s="1"/>
  <c r="AE104" i="245"/>
  <c r="AE107" i="245" s="1"/>
  <c r="AF104" i="245"/>
  <c r="AF107" i="245" s="1"/>
  <c r="AG104" i="245"/>
  <c r="AG107" i="245" s="1"/>
  <c r="AI104" i="245"/>
  <c r="AI107" i="245" s="1"/>
  <c r="AK104" i="245"/>
  <c r="AL104" i="245"/>
  <c r="AO104" i="245"/>
  <c r="AO107" i="245" s="1"/>
  <c r="AP104" i="245"/>
  <c r="AP107" i="245" s="1"/>
  <c r="AR104" i="245"/>
  <c r="AS104" i="245"/>
  <c r="AT104" i="245"/>
  <c r="AU104" i="245"/>
  <c r="N105" i="245"/>
  <c r="O105" i="245"/>
  <c r="P105" i="245"/>
  <c r="Q105" i="245"/>
  <c r="R105" i="245"/>
  <c r="S105" i="245"/>
  <c r="T105" i="245"/>
  <c r="W105" i="245"/>
  <c r="AD105" i="245"/>
  <c r="AP105" i="245"/>
  <c r="AR105" i="245"/>
  <c r="AS105" i="245"/>
  <c r="AT105" i="245"/>
  <c r="AU105" i="245"/>
  <c r="I106" i="245"/>
  <c r="K106" i="245"/>
  <c r="R106" i="245"/>
  <c r="W106" i="245"/>
  <c r="X106" i="245"/>
  <c r="AC106" i="245"/>
  <c r="AD106" i="245"/>
  <c r="AE106" i="245"/>
  <c r="AF106" i="245"/>
  <c r="AI106" i="245"/>
  <c r="AK106" i="245"/>
  <c r="AM106" i="245"/>
  <c r="AT106" i="245"/>
  <c r="I107" i="245"/>
  <c r="J107" i="245"/>
  <c r="P107" i="245"/>
  <c r="Q107" i="245"/>
  <c r="R107" i="245"/>
  <c r="S107" i="245"/>
  <c r="T107" i="245"/>
  <c r="W107" i="245"/>
  <c r="X107" i="245"/>
  <c r="Y107" i="245"/>
  <c r="AA107" i="245"/>
  <c r="AC107" i="245"/>
  <c r="AK107" i="245"/>
  <c r="AL107" i="245"/>
  <c r="AR107" i="245"/>
  <c r="AS107" i="245"/>
  <c r="AT107" i="245"/>
  <c r="AU107" i="245"/>
  <c r="H108" i="245"/>
  <c r="J108" i="245"/>
  <c r="K108" i="245"/>
  <c r="L108" i="245"/>
  <c r="M108" i="245"/>
  <c r="N108" i="245"/>
  <c r="O108" i="245"/>
  <c r="S108" i="245"/>
  <c r="T108" i="245"/>
  <c r="U108" i="245"/>
  <c r="V108" i="245"/>
  <c r="W108" i="245"/>
  <c r="Y108" i="245"/>
  <c r="Z108" i="245"/>
  <c r="AA108" i="245"/>
  <c r="AB108" i="245"/>
  <c r="AC108" i="245"/>
  <c r="AE108" i="245"/>
  <c r="AG108" i="245"/>
  <c r="AH108" i="245"/>
  <c r="AI108" i="245"/>
  <c r="AJ108" i="245"/>
  <c r="AL108" i="245"/>
  <c r="AM108" i="245"/>
  <c r="AN108" i="245"/>
  <c r="AO108" i="245"/>
  <c r="AP108" i="245"/>
  <c r="AQ108" i="245"/>
  <c r="AU108" i="245"/>
  <c r="G111" i="245"/>
  <c r="G110" i="245"/>
  <c r="G109" i="245"/>
  <c r="G108" i="245"/>
  <c r="G107" i="245"/>
  <c r="G106" i="245"/>
  <c r="G105" i="245"/>
  <c r="G104" i="245"/>
  <c r="G103" i="245"/>
  <c r="G102" i="245"/>
  <c r="G101" i="245"/>
  <c r="G100" i="245"/>
  <c r="G99" i="245"/>
  <c r="G98" i="245"/>
  <c r="G97" i="245"/>
  <c r="G96" i="245"/>
  <c r="G95" i="245"/>
  <c r="G94" i="245"/>
  <c r="G93" i="245"/>
  <c r="G92" i="245"/>
  <c r="G91" i="245"/>
  <c r="G90" i="245"/>
  <c r="G89" i="245"/>
  <c r="G88" i="245"/>
  <c r="G87" i="245"/>
  <c r="G86" i="245"/>
  <c r="G85" i="245"/>
  <c r="F68" i="245"/>
  <c r="F67" i="245"/>
  <c r="F26" i="245"/>
  <c r="R93" i="245" l="1"/>
  <c r="AJ103" i="245"/>
  <c r="AJ106" i="245" s="1"/>
  <c r="AF101" i="245"/>
  <c r="AR100" i="245"/>
  <c r="P100" i="245"/>
  <c r="AQ100" i="245"/>
  <c r="O100" i="245"/>
  <c r="AE94" i="245"/>
  <c r="V104" i="245"/>
  <c r="V107" i="245" s="1"/>
  <c r="AH103" i="245"/>
  <c r="AH106" i="245" s="1"/>
  <c r="AD101" i="245"/>
  <c r="Z99" i="245"/>
  <c r="R95" i="245"/>
  <c r="AP93" i="245"/>
  <c r="N93" i="245"/>
  <c r="Z92" i="245"/>
  <c r="AL91" i="245"/>
  <c r="J91" i="245"/>
  <c r="U104" i="245"/>
  <c r="U107" i="245" s="1"/>
  <c r="AG103" i="245"/>
  <c r="AG106" i="245" s="1"/>
  <c r="AC101" i="245"/>
  <c r="Y99" i="245"/>
  <c r="AG96" i="245"/>
  <c r="AC94" i="245"/>
  <c r="AO93" i="245"/>
  <c r="M93" i="245"/>
  <c r="Y92" i="245"/>
  <c r="AK91" i="245"/>
  <c r="I91" i="245"/>
  <c r="AO86" i="245"/>
  <c r="M86" i="245"/>
  <c r="AQ102" i="245"/>
  <c r="AQ105" i="245" s="1"/>
  <c r="M102" i="245"/>
  <c r="M105" i="245" s="1"/>
  <c r="L100" i="245"/>
  <c r="AB94" i="245"/>
  <c r="X85" i="245"/>
  <c r="Z101" i="245"/>
  <c r="AL100" i="245"/>
  <c r="J100" i="245"/>
  <c r="AL93" i="245"/>
  <c r="J93" i="245"/>
  <c r="V85" i="245"/>
  <c r="AO102" i="245"/>
  <c r="AO105" i="245" s="1"/>
  <c r="Y101" i="245"/>
  <c r="AK93" i="245"/>
  <c r="I93" i="245"/>
  <c r="AN102" i="245"/>
  <c r="AN105" i="245" s="1"/>
  <c r="L102" i="245"/>
  <c r="L105" i="245" s="1"/>
  <c r="X101" i="245"/>
  <c r="AF98" i="245"/>
  <c r="AB96" i="245"/>
  <c r="AF91" i="245"/>
  <c r="AB89" i="245"/>
  <c r="AU99" i="245"/>
  <c r="S99" i="245"/>
  <c r="AU92" i="245"/>
  <c r="S92" i="245"/>
  <c r="AU85" i="245"/>
  <c r="S85" i="245"/>
  <c r="R85" i="245"/>
  <c r="AQ92" i="245"/>
  <c r="AR85" i="245"/>
  <c r="AJ102" i="245"/>
  <c r="AJ105" i="245" s="1"/>
  <c r="H102" i="245"/>
  <c r="H105" i="245" s="1"/>
  <c r="AR99" i="245"/>
  <c r="P99" i="245"/>
  <c r="AB98" i="245"/>
  <c r="AR92" i="245"/>
  <c r="P92" i="245"/>
  <c r="P85" i="245"/>
  <c r="W96" i="245"/>
  <c r="AT101" i="245"/>
  <c r="U103" i="245"/>
  <c r="U106" i="245" s="1"/>
  <c r="AS101" i="245"/>
  <c r="Q101" i="245"/>
  <c r="AC93" i="245"/>
  <c r="AN100" i="245"/>
  <c r="AU101" i="245"/>
  <c r="S101" i="245"/>
  <c r="O99" i="245"/>
  <c r="AE93" i="245"/>
  <c r="AH102" i="245"/>
  <c r="AH105" i="245" s="1"/>
  <c r="AP99" i="245"/>
  <c r="N99" i="245"/>
  <c r="Z91" i="245"/>
  <c r="H104" i="245"/>
  <c r="H107" i="245" s="1"/>
  <c r="AN99" i="245"/>
  <c r="L99" i="245"/>
  <c r="T96" i="245"/>
  <c r="AR94" i="245"/>
  <c r="P94" i="245"/>
  <c r="AB93" i="245"/>
  <c r="AN92" i="245"/>
  <c r="L92" i="245"/>
  <c r="AL99" i="245"/>
  <c r="J99" i="245"/>
  <c r="AL92" i="245"/>
  <c r="J92" i="245"/>
  <c r="AL85" i="245"/>
  <c r="J85" i="245"/>
  <c r="AO96" i="245"/>
  <c r="M96" i="245"/>
  <c r="AS91" i="245"/>
  <c r="Q91" i="245"/>
  <c r="F137" i="245"/>
  <c r="F139" i="245"/>
  <c r="F140" i="245" s="1"/>
  <c r="AU152" i="245"/>
  <c r="AT152" i="245"/>
  <c r="AS152" i="245"/>
  <c r="AR152" i="245"/>
  <c r="AQ152" i="245"/>
  <c r="AP152" i="245"/>
  <c r="AO152" i="245"/>
  <c r="AN152" i="245"/>
  <c r="AM152" i="245"/>
  <c r="AL152" i="245"/>
  <c r="AK152" i="245"/>
  <c r="AJ152" i="245"/>
  <c r="AI152" i="245"/>
  <c r="AH152" i="245"/>
  <c r="AG152" i="245"/>
  <c r="AF152" i="245"/>
  <c r="AE152" i="245"/>
  <c r="AD152" i="245"/>
  <c r="AC152" i="245"/>
  <c r="AB152" i="245"/>
  <c r="AA152" i="245"/>
  <c r="Z152" i="245"/>
  <c r="Y152" i="245"/>
  <c r="X152" i="245"/>
  <c r="W152" i="245"/>
  <c r="V152" i="245"/>
  <c r="U152" i="245"/>
  <c r="T152" i="245"/>
  <c r="S152" i="245"/>
  <c r="R152" i="245"/>
  <c r="Q152" i="245"/>
  <c r="P152" i="245"/>
  <c r="O152" i="245"/>
  <c r="AU151" i="245"/>
  <c r="AT151" i="245"/>
  <c r="AS151" i="245"/>
  <c r="AR151" i="245"/>
  <c r="AQ151" i="245"/>
  <c r="AP151" i="245"/>
  <c r="AO151" i="245"/>
  <c r="AN151" i="245"/>
  <c r="AM151" i="245"/>
  <c r="AL151" i="245"/>
  <c r="AK151" i="245"/>
  <c r="AJ151" i="245"/>
  <c r="AI151" i="245"/>
  <c r="AH151" i="245"/>
  <c r="AG151" i="245"/>
  <c r="AF151" i="245"/>
  <c r="AE151" i="245"/>
  <c r="AD151" i="245"/>
  <c r="AC151" i="245"/>
  <c r="AB151" i="245"/>
  <c r="AA151" i="245"/>
  <c r="Z151" i="245"/>
  <c r="Y151" i="245"/>
  <c r="X151" i="245"/>
  <c r="W151" i="245"/>
  <c r="V151" i="245"/>
  <c r="U151" i="245"/>
  <c r="T151" i="245"/>
  <c r="S151" i="245"/>
  <c r="R151" i="245"/>
  <c r="Q151" i="245"/>
  <c r="P151" i="245"/>
  <c r="O151" i="245"/>
  <c r="AU150" i="245"/>
  <c r="AT150" i="245"/>
  <c r="AS150" i="245"/>
  <c r="AR150" i="245"/>
  <c r="AQ150" i="245"/>
  <c r="AP150" i="245"/>
  <c r="AO150" i="245"/>
  <c r="AN150" i="245"/>
  <c r="AM150" i="245"/>
  <c r="AL150" i="245"/>
  <c r="AK150" i="245"/>
  <c r="AJ150" i="245"/>
  <c r="AI150" i="245"/>
  <c r="AH150" i="245"/>
  <c r="AG150" i="245"/>
  <c r="AF150" i="245"/>
  <c r="AE150" i="245"/>
  <c r="AD150" i="245"/>
  <c r="AC150" i="245"/>
  <c r="AB150" i="245"/>
  <c r="AA150" i="245"/>
  <c r="Z150" i="245"/>
  <c r="Y150" i="245"/>
  <c r="X150" i="245"/>
  <c r="W150" i="245"/>
  <c r="V150" i="245"/>
  <c r="U150" i="245"/>
  <c r="T150" i="245"/>
  <c r="S150" i="245"/>
  <c r="R150" i="245"/>
  <c r="Q150" i="245"/>
  <c r="P150" i="245"/>
  <c r="O150" i="245"/>
  <c r="AP141" i="245"/>
  <c r="AO141" i="245"/>
  <c r="AN141" i="245"/>
  <c r="AM141" i="245"/>
  <c r="AL141" i="245"/>
  <c r="AK141" i="245"/>
  <c r="AJ141" i="245"/>
  <c r="AI141" i="245"/>
  <c r="AH141" i="245"/>
  <c r="AG141" i="245"/>
  <c r="AU142" i="245"/>
  <c r="AT142" i="245"/>
  <c r="AS142" i="245"/>
  <c r="AR142" i="245"/>
  <c r="AQ142" i="245"/>
  <c r="AP142" i="245"/>
  <c r="AO142" i="245"/>
  <c r="AN142" i="245"/>
  <c r="AM142" i="245"/>
  <c r="AL142" i="245"/>
  <c r="AK142" i="245"/>
  <c r="AJ142" i="245"/>
  <c r="AI142" i="245"/>
  <c r="AH142" i="245"/>
  <c r="AG142" i="245"/>
  <c r="AF142" i="245"/>
  <c r="AE142" i="245"/>
  <c r="AD142" i="245"/>
  <c r="AC142" i="245"/>
  <c r="AB142" i="245"/>
  <c r="AA142" i="245"/>
  <c r="Z142" i="245"/>
  <c r="Y142" i="245"/>
  <c r="X142" i="245"/>
  <c r="W142" i="245"/>
  <c r="V142" i="245"/>
  <c r="U142" i="245"/>
  <c r="T142" i="245"/>
  <c r="S142" i="245"/>
  <c r="R142" i="245"/>
  <c r="Q142" i="245"/>
  <c r="P142" i="245"/>
  <c r="O142" i="245"/>
  <c r="O149" i="245" s="1"/>
  <c r="AU138" i="245"/>
  <c r="AU141" i="245" s="1"/>
  <c r="AT138" i="245"/>
  <c r="AT141" i="245" s="1"/>
  <c r="AS138" i="245"/>
  <c r="AS141" i="245" s="1"/>
  <c r="AR138" i="245"/>
  <c r="AR141" i="245" s="1"/>
  <c r="AQ138" i="245"/>
  <c r="AQ141" i="245" s="1"/>
  <c r="AP138" i="245"/>
  <c r="AO138" i="245"/>
  <c r="AN138" i="245"/>
  <c r="AM138" i="245"/>
  <c r="AL138" i="245"/>
  <c r="AK138" i="245"/>
  <c r="AJ138" i="245"/>
  <c r="AI138" i="245"/>
  <c r="AH138" i="245"/>
  <c r="AG138" i="245"/>
  <c r="AF138" i="245"/>
  <c r="AF141" i="245" s="1"/>
  <c r="AE138" i="245"/>
  <c r="AE141" i="245" s="1"/>
  <c r="AD138" i="245"/>
  <c r="AD141" i="245" s="1"/>
  <c r="AC138" i="245"/>
  <c r="AC141" i="245" s="1"/>
  <c r="AB138" i="245"/>
  <c r="AB141" i="245" s="1"/>
  <c r="AA138" i="245"/>
  <c r="AA141" i="245" s="1"/>
  <c r="Z138" i="245"/>
  <c r="Z141" i="245" s="1"/>
  <c r="Y138" i="245"/>
  <c r="Y141" i="245" s="1"/>
  <c r="X138" i="245"/>
  <c r="X141" i="245" s="1"/>
  <c r="W138" i="245"/>
  <c r="W141" i="245" s="1"/>
  <c r="V138" i="245"/>
  <c r="V141" i="245" s="1"/>
  <c r="U138" i="245"/>
  <c r="U141" i="245" s="1"/>
  <c r="T138" i="245"/>
  <c r="T141" i="245" s="1"/>
  <c r="S138" i="245"/>
  <c r="S141" i="245" s="1"/>
  <c r="R138" i="245"/>
  <c r="R141" i="245" s="1"/>
  <c r="Q138" i="245"/>
  <c r="Q141" i="245" s="1"/>
  <c r="P138" i="245"/>
  <c r="P141" i="245" s="1"/>
  <c r="O138" i="245"/>
  <c r="O141" i="245" s="1"/>
  <c r="AU133" i="245"/>
  <c r="AT133" i="245"/>
  <c r="AS133" i="245"/>
  <c r="AR133" i="245"/>
  <c r="AQ133" i="245"/>
  <c r="AP133" i="245"/>
  <c r="AO133" i="245"/>
  <c r="AN133" i="245"/>
  <c r="AM133" i="245"/>
  <c r="AL133" i="245"/>
  <c r="AK133" i="245"/>
  <c r="AJ133" i="245"/>
  <c r="AI133" i="245"/>
  <c r="AH133" i="245"/>
  <c r="AG133" i="245"/>
  <c r="AF133" i="245"/>
  <c r="AE133" i="245"/>
  <c r="AD133" i="245"/>
  <c r="AC133" i="245"/>
  <c r="AB133" i="245"/>
  <c r="AA133" i="245"/>
  <c r="Z133" i="245"/>
  <c r="Y133" i="245"/>
  <c r="X133" i="245"/>
  <c r="W133" i="245"/>
  <c r="V133" i="245"/>
  <c r="U133" i="245"/>
  <c r="T133" i="245"/>
  <c r="S133" i="245"/>
  <c r="R133" i="245"/>
  <c r="Q133" i="245"/>
  <c r="P133" i="245"/>
  <c r="O133" i="245"/>
  <c r="AU128" i="245"/>
  <c r="AT128" i="245"/>
  <c r="AS128" i="245"/>
  <c r="AR128" i="245"/>
  <c r="AQ128" i="245"/>
  <c r="AP128" i="245"/>
  <c r="AO128" i="245"/>
  <c r="AN128" i="245"/>
  <c r="AM128" i="245"/>
  <c r="AL128" i="245"/>
  <c r="AK128" i="245"/>
  <c r="AJ128" i="245"/>
  <c r="AI128" i="245"/>
  <c r="AH128" i="245"/>
  <c r="AG128" i="245"/>
  <c r="AF128" i="245"/>
  <c r="AE128" i="245"/>
  <c r="AD128" i="245"/>
  <c r="AC128" i="245"/>
  <c r="AB128" i="245"/>
  <c r="AA128" i="245"/>
  <c r="Z128" i="245"/>
  <c r="Y128" i="245"/>
  <c r="X128" i="245"/>
  <c r="W128" i="245"/>
  <c r="V128" i="245"/>
  <c r="U128" i="245"/>
  <c r="T128" i="245"/>
  <c r="S128" i="245"/>
  <c r="R128" i="245"/>
  <c r="Q128" i="245"/>
  <c r="P128" i="245"/>
  <c r="O128" i="245"/>
  <c r="L128" i="245"/>
  <c r="AU124" i="245"/>
  <c r="AT124" i="245"/>
  <c r="AS124" i="245"/>
  <c r="AR124" i="245"/>
  <c r="AQ124" i="245"/>
  <c r="AP124" i="245"/>
  <c r="AO124" i="245"/>
  <c r="AN124" i="245"/>
  <c r="AM124" i="245"/>
  <c r="AL124" i="245"/>
  <c r="AK124" i="245"/>
  <c r="AJ124" i="245"/>
  <c r="AI124" i="245"/>
  <c r="AH124" i="245"/>
  <c r="AG124" i="245"/>
  <c r="AF124" i="245"/>
  <c r="AE124" i="245"/>
  <c r="AD124" i="245"/>
  <c r="AC124" i="245"/>
  <c r="AB124" i="245"/>
  <c r="AA124" i="245"/>
  <c r="Z124" i="245"/>
  <c r="Y124" i="245"/>
  <c r="X124" i="245"/>
  <c r="W124" i="245"/>
  <c r="V124" i="245"/>
  <c r="U124" i="245"/>
  <c r="T124" i="245"/>
  <c r="S124" i="245"/>
  <c r="R124" i="245"/>
  <c r="Q124" i="245"/>
  <c r="P124" i="245"/>
  <c r="O124" i="245"/>
  <c r="AU122" i="245"/>
  <c r="AT122" i="245"/>
  <c r="AS122" i="245"/>
  <c r="AR122" i="245"/>
  <c r="AQ122" i="245"/>
  <c r="AP122" i="245"/>
  <c r="AO122" i="245"/>
  <c r="AN122" i="245"/>
  <c r="AM122" i="245"/>
  <c r="AL122" i="245"/>
  <c r="AK122" i="245"/>
  <c r="AJ122" i="245"/>
  <c r="AI122" i="245"/>
  <c r="AH122" i="245"/>
  <c r="AG122" i="245"/>
  <c r="AF122" i="245"/>
  <c r="AE122" i="245"/>
  <c r="AD122" i="245"/>
  <c r="AC122" i="245"/>
  <c r="AB122" i="245"/>
  <c r="AA122" i="245"/>
  <c r="Z122" i="245"/>
  <c r="Y122" i="245"/>
  <c r="X122" i="245"/>
  <c r="W122" i="245"/>
  <c r="V122" i="245"/>
  <c r="U122" i="245"/>
  <c r="T122" i="245"/>
  <c r="S122" i="245"/>
  <c r="R122" i="245"/>
  <c r="Q122" i="245"/>
  <c r="P122" i="245"/>
  <c r="O122" i="245"/>
  <c r="AU121" i="245"/>
  <c r="AT121" i="245"/>
  <c r="AS121" i="245"/>
  <c r="AR121" i="245"/>
  <c r="AQ121" i="245"/>
  <c r="AP121" i="245"/>
  <c r="AO121" i="245"/>
  <c r="AN121" i="245"/>
  <c r="AM121" i="245"/>
  <c r="AL121" i="245"/>
  <c r="AK121" i="245"/>
  <c r="AJ121" i="245"/>
  <c r="AI121" i="245"/>
  <c r="AH121" i="245"/>
  <c r="AG121" i="245"/>
  <c r="AF121" i="245"/>
  <c r="AE121" i="245"/>
  <c r="AD121" i="245"/>
  <c r="AC121" i="245"/>
  <c r="AB121" i="245"/>
  <c r="AA121" i="245"/>
  <c r="Z121" i="245"/>
  <c r="Y121" i="245"/>
  <c r="X121" i="245"/>
  <c r="W121" i="245"/>
  <c r="V121" i="245"/>
  <c r="U121" i="245"/>
  <c r="T121" i="245"/>
  <c r="S121" i="245"/>
  <c r="R121" i="245"/>
  <c r="Q121" i="245"/>
  <c r="P121" i="245"/>
  <c r="O121" i="245"/>
  <c r="G121" i="245"/>
  <c r="F141" i="245" l="1"/>
  <c r="O143" i="245"/>
  <c r="O144" i="245" s="1"/>
  <c r="G122" i="245" l="1"/>
  <c r="G123" i="245"/>
  <c r="C151" i="231" l="1"/>
  <c r="C152" i="231"/>
  <c r="E152" i="231"/>
  <c r="E151" i="231"/>
  <c r="D152" i="231"/>
  <c r="D151" i="231"/>
  <c r="N34" i="239"/>
  <c r="N33" i="239"/>
  <c r="N32" i="239"/>
  <c r="N31" i="239"/>
  <c r="N30" i="239"/>
  <c r="N29" i="239"/>
  <c r="N28" i="239"/>
  <c r="N27" i="239"/>
  <c r="W26" i="239"/>
  <c r="V26" i="239"/>
  <c r="U26" i="239"/>
  <c r="T26" i="239"/>
  <c r="AM89" i="238" l="1"/>
  <c r="AM92" i="238" s="1"/>
  <c r="AM93" i="238" s="1"/>
  <c r="AW91" i="238"/>
  <c r="AV91" i="238"/>
  <c r="AU91" i="238"/>
  <c r="AT91" i="238"/>
  <c r="AS91" i="238"/>
  <c r="AR91" i="238"/>
  <c r="AQ91" i="238"/>
  <c r="AP91" i="238"/>
  <c r="AO91" i="238"/>
  <c r="AN91" i="238"/>
  <c r="AM91" i="238"/>
  <c r="AW90" i="238"/>
  <c r="AV90" i="238"/>
  <c r="AU90" i="238"/>
  <c r="AT90" i="238"/>
  <c r="AS90" i="238"/>
  <c r="AR90" i="238"/>
  <c r="AQ90" i="238"/>
  <c r="AP90" i="238"/>
  <c r="AO90" i="238"/>
  <c r="AN90" i="238"/>
  <c r="AM90" i="238"/>
  <c r="AW89" i="238"/>
  <c r="AW92" i="238" s="1"/>
  <c r="AW93" i="238" s="1"/>
  <c r="AV89" i="238"/>
  <c r="AV92" i="238" s="1"/>
  <c r="AV93" i="238" s="1"/>
  <c r="AU89" i="238"/>
  <c r="AU92" i="238" s="1"/>
  <c r="AU93" i="238" s="1"/>
  <c r="AT89" i="238"/>
  <c r="AT92" i="238" s="1"/>
  <c r="AT93" i="238" s="1"/>
  <c r="AS89" i="238"/>
  <c r="AS92" i="238" s="1"/>
  <c r="AS93" i="238" s="1"/>
  <c r="AR89" i="238"/>
  <c r="AR92" i="238" s="1"/>
  <c r="AR93" i="238" s="1"/>
  <c r="AQ89" i="238"/>
  <c r="AQ92" i="238" s="1"/>
  <c r="AQ93" i="238" s="1"/>
  <c r="AP89" i="238"/>
  <c r="AP92" i="238" s="1"/>
  <c r="AP93" i="238" s="1"/>
  <c r="AO89" i="238"/>
  <c r="AO92" i="238" s="1"/>
  <c r="AO93" i="238" s="1"/>
  <c r="AN89" i="238"/>
  <c r="AN92" i="238" s="1"/>
  <c r="AN93" i="238" s="1"/>
  <c r="L14" i="244" l="1"/>
  <c r="M58" i="239" l="1"/>
  <c r="L58" i="239"/>
  <c r="D144" i="231" l="1"/>
  <c r="E144" i="231"/>
  <c r="D145" i="231"/>
  <c r="E145" i="231"/>
  <c r="D146" i="231"/>
  <c r="E146" i="231"/>
  <c r="D147" i="231"/>
  <c r="E147" i="231"/>
  <c r="D148" i="231"/>
  <c r="E148" i="231"/>
  <c r="D39" i="237"/>
  <c r="D40" i="237"/>
  <c r="D41" i="237"/>
  <c r="D42" i="237"/>
  <c r="D43" i="237"/>
  <c r="D44" i="237"/>
  <c r="D45" i="237"/>
  <c r="D46" i="237"/>
  <c r="D47" i="237"/>
  <c r="D48" i="237"/>
  <c r="D49" i="237"/>
  <c r="D50" i="237"/>
  <c r="D51" i="237"/>
  <c r="D52" i="237"/>
  <c r="D38" i="237"/>
  <c r="D68" i="231" l="1"/>
  <c r="D67" i="231"/>
  <c r="E51" i="239" l="1"/>
  <c r="D51" i="239"/>
  <c r="BD19" i="245" l="1"/>
  <c r="BC19" i="245"/>
  <c r="BD20" i="245"/>
  <c r="BC20" i="245"/>
  <c r="H173" i="245" l="1"/>
  <c r="I173" i="245"/>
  <c r="J173" i="245"/>
  <c r="K173" i="245"/>
  <c r="L173" i="245"/>
  <c r="M173" i="245"/>
  <c r="N173" i="245"/>
  <c r="O173" i="245"/>
  <c r="P173" i="245"/>
  <c r="Q173" i="245"/>
  <c r="R173" i="245"/>
  <c r="S173" i="245"/>
  <c r="T173" i="245"/>
  <c r="U173" i="245"/>
  <c r="V173" i="245"/>
  <c r="W173" i="245"/>
  <c r="X173" i="245"/>
  <c r="Y173" i="245"/>
  <c r="Z173" i="245"/>
  <c r="AA173" i="245"/>
  <c r="AB173" i="245"/>
  <c r="AC173" i="245"/>
  <c r="AD173" i="245"/>
  <c r="AE173" i="245"/>
  <c r="AF173" i="245"/>
  <c r="AG173" i="245"/>
  <c r="AH173" i="245"/>
  <c r="AI173" i="245"/>
  <c r="AJ173" i="245"/>
  <c r="AK173" i="245"/>
  <c r="AL173" i="245"/>
  <c r="AM173" i="245"/>
  <c r="AN173" i="245"/>
  <c r="AO173" i="245"/>
  <c r="AP173" i="245"/>
  <c r="AQ173" i="245"/>
  <c r="AR173" i="245"/>
  <c r="AS173" i="245"/>
  <c r="AT173" i="245"/>
  <c r="AU173" i="245"/>
  <c r="G173" i="245"/>
  <c r="E198" i="245"/>
  <c r="C198" i="245"/>
  <c r="E197" i="245"/>
  <c r="L172" i="245" s="1"/>
  <c r="C197" i="245"/>
  <c r="C196" i="245"/>
  <c r="C195" i="245"/>
  <c r="E194" i="245"/>
  <c r="C194" i="245"/>
  <c r="C193" i="245"/>
  <c r="B53" i="237"/>
  <c r="B54" i="237"/>
  <c r="E150" i="231"/>
  <c r="E149" i="231"/>
  <c r="E7" i="237"/>
  <c r="E8" i="237"/>
  <c r="E6" i="237"/>
  <c r="E114" i="231"/>
  <c r="D114" i="231"/>
  <c r="B8" i="237" s="1"/>
  <c r="E113" i="231"/>
  <c r="D113" i="231"/>
  <c r="B7" i="237" s="1"/>
  <c r="E112" i="231"/>
  <c r="D112" i="231"/>
  <c r="B6" i="237" s="1"/>
  <c r="AJ11" i="242"/>
  <c r="AK11" i="242" s="1"/>
  <c r="AL11" i="242" s="1"/>
  <c r="AM11" i="242" s="1"/>
  <c r="AN11" i="242" s="1"/>
  <c r="AO11" i="242" s="1"/>
  <c r="AP11" i="242" s="1"/>
  <c r="AQ11" i="242" s="1"/>
  <c r="AR11" i="242" s="1"/>
  <c r="AS11" i="242" s="1"/>
  <c r="AJ24" i="242"/>
  <c r="AK24" i="242" s="1"/>
  <c r="AL24" i="242" s="1"/>
  <c r="AM24" i="242" s="1"/>
  <c r="AN24" i="242" s="1"/>
  <c r="AO24" i="242" s="1"/>
  <c r="AP24" i="242" s="1"/>
  <c r="AQ24" i="242" s="1"/>
  <c r="AR24" i="242" s="1"/>
  <c r="AS24" i="242" s="1"/>
  <c r="AS172" i="245" l="1"/>
  <c r="AM172" i="245"/>
  <c r="AI172" i="245"/>
  <c r="AH172" i="245"/>
  <c r="AF172" i="245"/>
  <c r="AK172" i="245"/>
  <c r="AE172" i="245"/>
  <c r="AL172" i="245"/>
  <c r="AD172" i="245"/>
  <c r="AC172" i="245"/>
  <c r="AB172" i="245"/>
  <c r="AA172" i="245"/>
  <c r="Z172" i="245"/>
  <c r="W172" i="245"/>
  <c r="AJ172" i="245"/>
  <c r="AG172" i="245"/>
  <c r="Y172" i="245"/>
  <c r="X172" i="245"/>
  <c r="V172" i="245"/>
  <c r="U172" i="245"/>
  <c r="T172" i="245"/>
  <c r="S172" i="245"/>
  <c r="R172" i="245"/>
  <c r="Q172" i="245"/>
  <c r="K172" i="245"/>
  <c r="J172" i="245"/>
  <c r="G172" i="245"/>
  <c r="AU172" i="245"/>
  <c r="I172" i="245"/>
  <c r="AT172" i="245"/>
  <c r="H172" i="245"/>
  <c r="AR172" i="245"/>
  <c r="P172" i="245"/>
  <c r="AQ172" i="245"/>
  <c r="O172" i="245"/>
  <c r="AP172" i="245"/>
  <c r="N172" i="245"/>
  <c r="AO172" i="245"/>
  <c r="M172" i="245"/>
  <c r="AN172" i="245"/>
  <c r="G128" i="245" l="1"/>
  <c r="F167" i="245" l="1"/>
  <c r="F168" i="245" s="1"/>
  <c r="F169" i="245" s="1"/>
  <c r="H164" i="245"/>
  <c r="I164" i="245"/>
  <c r="J164" i="245"/>
  <c r="K164" i="245"/>
  <c r="L164" i="245"/>
  <c r="M164" i="245"/>
  <c r="N164" i="245"/>
  <c r="O164" i="245"/>
  <c r="P164" i="245"/>
  <c r="Q164" i="245"/>
  <c r="R164" i="245"/>
  <c r="S164" i="245"/>
  <c r="T164" i="245"/>
  <c r="U164" i="245"/>
  <c r="V164" i="245"/>
  <c r="W164" i="245"/>
  <c r="X164" i="245"/>
  <c r="Y164" i="245"/>
  <c r="Z164" i="245"/>
  <c r="AA164" i="245"/>
  <c r="AB164" i="245"/>
  <c r="AC164" i="245"/>
  <c r="AD164" i="245"/>
  <c r="AE164" i="245"/>
  <c r="AF164" i="245"/>
  <c r="AG164" i="245"/>
  <c r="AH164" i="245"/>
  <c r="AI164" i="245"/>
  <c r="AJ164" i="245"/>
  <c r="AK164" i="245"/>
  <c r="AL164" i="245"/>
  <c r="AM164" i="245"/>
  <c r="AN164" i="245"/>
  <c r="AO164" i="245"/>
  <c r="AP164" i="245"/>
  <c r="AQ164" i="245"/>
  <c r="AR164" i="245"/>
  <c r="AS164" i="245"/>
  <c r="AT164" i="245"/>
  <c r="AU164" i="245"/>
  <c r="G164" i="245"/>
  <c r="H128" i="245" l="1"/>
  <c r="H129" i="245" s="1"/>
  <c r="H130" i="245" s="1"/>
  <c r="I128" i="245"/>
  <c r="I129" i="245" s="1"/>
  <c r="I130" i="245" s="1"/>
  <c r="J128" i="245"/>
  <c r="J129" i="245" s="1"/>
  <c r="J130" i="245" s="1"/>
  <c r="K128" i="245"/>
  <c r="K129" i="245" s="1"/>
  <c r="K130" i="245" s="1"/>
  <c r="L129" i="245"/>
  <c r="L130" i="245" s="1"/>
  <c r="M128" i="245"/>
  <c r="M129" i="245" s="1"/>
  <c r="M130" i="245" s="1"/>
  <c r="N128" i="245"/>
  <c r="N129" i="245" s="1"/>
  <c r="N130" i="245" s="1"/>
  <c r="O129" i="245"/>
  <c r="O130" i="245" s="1"/>
  <c r="P129" i="245"/>
  <c r="P130" i="245" s="1"/>
  <c r="Q129" i="245"/>
  <c r="Q130" i="245" s="1"/>
  <c r="R129" i="245"/>
  <c r="R130" i="245" s="1"/>
  <c r="S129" i="245"/>
  <c r="S130" i="245" s="1"/>
  <c r="T129" i="245"/>
  <c r="T130" i="245" s="1"/>
  <c r="U129" i="245"/>
  <c r="U130" i="245" s="1"/>
  <c r="V129" i="245"/>
  <c r="V130" i="245" s="1"/>
  <c r="W129" i="245"/>
  <c r="W130" i="245" s="1"/>
  <c r="X129" i="245"/>
  <c r="X130" i="245" s="1"/>
  <c r="Y129" i="245"/>
  <c r="Y130" i="245" s="1"/>
  <c r="Z129" i="245"/>
  <c r="Z130" i="245" s="1"/>
  <c r="AA129" i="245"/>
  <c r="AA130" i="245" s="1"/>
  <c r="AB129" i="245"/>
  <c r="AB130" i="245" s="1"/>
  <c r="AC129" i="245"/>
  <c r="AC130" i="245" s="1"/>
  <c r="AD129" i="245"/>
  <c r="AD130" i="245" s="1"/>
  <c r="AE129" i="245"/>
  <c r="AE130" i="245" s="1"/>
  <c r="AF129" i="245"/>
  <c r="AF130" i="245" s="1"/>
  <c r="AG129" i="245"/>
  <c r="AG130" i="245" s="1"/>
  <c r="AH129" i="245"/>
  <c r="AH130" i="245" s="1"/>
  <c r="AI129" i="245"/>
  <c r="AI130" i="245" s="1"/>
  <c r="AJ129" i="245"/>
  <c r="AJ130" i="245" s="1"/>
  <c r="AK129" i="245"/>
  <c r="AK130" i="245" s="1"/>
  <c r="H133" i="245"/>
  <c r="I133" i="245"/>
  <c r="J133" i="245"/>
  <c r="K133" i="245"/>
  <c r="L133" i="245"/>
  <c r="M133" i="245"/>
  <c r="N133" i="245"/>
  <c r="O137" i="245"/>
  <c r="S137" i="245"/>
  <c r="T137" i="245"/>
  <c r="AG137" i="245"/>
  <c r="AH137" i="245"/>
  <c r="AH134" i="245"/>
  <c r="AH135" i="245" s="1"/>
  <c r="AH136" i="245" s="1"/>
  <c r="H138" i="245"/>
  <c r="I138" i="245"/>
  <c r="J138" i="245"/>
  <c r="K138" i="245"/>
  <c r="L138" i="245"/>
  <c r="M138" i="245"/>
  <c r="N138" i="245"/>
  <c r="O139" i="245"/>
  <c r="O140" i="245" s="1"/>
  <c r="P139" i="245"/>
  <c r="P140" i="245" s="1"/>
  <c r="Q139" i="245"/>
  <c r="Q140" i="245" s="1"/>
  <c r="R139" i="245"/>
  <c r="R140" i="245" s="1"/>
  <c r="S139" i="245"/>
  <c r="S140" i="245" s="1"/>
  <c r="T139" i="245"/>
  <c r="T140" i="245" s="1"/>
  <c r="U139" i="245"/>
  <c r="U140" i="245" s="1"/>
  <c r="V139" i="245"/>
  <c r="V140" i="245" s="1"/>
  <c r="W139" i="245"/>
  <c r="W140" i="245" s="1"/>
  <c r="X139" i="245"/>
  <c r="X140" i="245" s="1"/>
  <c r="Y139" i="245"/>
  <c r="Y140" i="245" s="1"/>
  <c r="Z139" i="245"/>
  <c r="Z140" i="245" s="1"/>
  <c r="AA139" i="245"/>
  <c r="AA140" i="245" s="1"/>
  <c r="AB139" i="245"/>
  <c r="AB140" i="245" s="1"/>
  <c r="AC139" i="245"/>
  <c r="AC140" i="245" s="1"/>
  <c r="AD139" i="245"/>
  <c r="AD140" i="245" s="1"/>
  <c r="AE139" i="245"/>
  <c r="AE140" i="245" s="1"/>
  <c r="AF139" i="245"/>
  <c r="AF140" i="245" s="1"/>
  <c r="AG139" i="245"/>
  <c r="AG140" i="245" s="1"/>
  <c r="AH139" i="245"/>
  <c r="AH140" i="245" s="1"/>
  <c r="AI139" i="245"/>
  <c r="AI140" i="245" s="1"/>
  <c r="AJ139" i="245"/>
  <c r="AJ140" i="245" s="1"/>
  <c r="AK139" i="245"/>
  <c r="AK140" i="245" s="1"/>
  <c r="AL139" i="245"/>
  <c r="AL140" i="245" s="1"/>
  <c r="AM139" i="245"/>
  <c r="AM140" i="245" s="1"/>
  <c r="AN139" i="245"/>
  <c r="AN140" i="245" s="1"/>
  <c r="AO139" i="245"/>
  <c r="AO140" i="245" s="1"/>
  <c r="AP139" i="245"/>
  <c r="AP140" i="245" s="1"/>
  <c r="AQ139" i="245"/>
  <c r="AQ140" i="245" s="1"/>
  <c r="AR139" i="245"/>
  <c r="AR140" i="245" s="1"/>
  <c r="AS139" i="245"/>
  <c r="AS140" i="245" s="1"/>
  <c r="AT139" i="245"/>
  <c r="AT140" i="245" s="1"/>
  <c r="AU139" i="245"/>
  <c r="AU140" i="245" s="1"/>
  <c r="H142" i="245"/>
  <c r="I142" i="245"/>
  <c r="J142" i="245"/>
  <c r="K142" i="245"/>
  <c r="L142" i="245"/>
  <c r="M142" i="245"/>
  <c r="N142" i="245"/>
  <c r="AL240" i="245"/>
  <c r="AM240" i="245" s="1"/>
  <c r="AN240" i="245" s="1"/>
  <c r="AO240" i="245" s="1"/>
  <c r="AP240" i="245" s="1"/>
  <c r="AQ240" i="245" s="1"/>
  <c r="AR240" i="245" s="1"/>
  <c r="AS240" i="245" s="1"/>
  <c r="AT240" i="245" s="1"/>
  <c r="AU240" i="245" s="1"/>
  <c r="AL236" i="245"/>
  <c r="AM236" i="245" s="1"/>
  <c r="AN236" i="245" s="1"/>
  <c r="AO236" i="245" s="1"/>
  <c r="AP236" i="245" s="1"/>
  <c r="AQ236" i="245" s="1"/>
  <c r="AR236" i="245" s="1"/>
  <c r="AS236" i="245" s="1"/>
  <c r="AT236" i="245" s="1"/>
  <c r="AU236" i="245" s="1"/>
  <c r="AL231" i="245"/>
  <c r="AM231" i="245" s="1"/>
  <c r="AN231" i="245" s="1"/>
  <c r="AO231" i="245" s="1"/>
  <c r="AP231" i="245" s="1"/>
  <c r="AQ231" i="245" s="1"/>
  <c r="AR231" i="245" s="1"/>
  <c r="AS231" i="245" s="1"/>
  <c r="AT231" i="245" s="1"/>
  <c r="AU231" i="245" s="1"/>
  <c r="AL223" i="245"/>
  <c r="AL219" i="245"/>
  <c r="AM219" i="245" s="1"/>
  <c r="AN219" i="245" s="1"/>
  <c r="AO219" i="245" s="1"/>
  <c r="AP219" i="245" s="1"/>
  <c r="AQ219" i="245" s="1"/>
  <c r="AR219" i="245" s="1"/>
  <c r="AS219" i="245" s="1"/>
  <c r="AT219" i="245" s="1"/>
  <c r="AU219" i="245" s="1"/>
  <c r="AL218" i="245"/>
  <c r="AM218" i="245" s="1"/>
  <c r="AN218" i="245" s="1"/>
  <c r="AO218" i="245" s="1"/>
  <c r="AP218" i="245" s="1"/>
  <c r="AQ218" i="245" s="1"/>
  <c r="AR218" i="245" s="1"/>
  <c r="AS218" i="245" s="1"/>
  <c r="AT218" i="245" s="1"/>
  <c r="AU218" i="245" s="1"/>
  <c r="AU129" i="245" s="1"/>
  <c r="AU130" i="245" s="1"/>
  <c r="AL217" i="245"/>
  <c r="AM217" i="245" s="1"/>
  <c r="AN217" i="245" s="1"/>
  <c r="AO217" i="245" s="1"/>
  <c r="AP217" i="245" s="1"/>
  <c r="AQ217" i="245" s="1"/>
  <c r="AR217" i="245" s="1"/>
  <c r="AS217" i="245" s="1"/>
  <c r="AT217" i="245" s="1"/>
  <c r="AU217" i="245" s="1"/>
  <c r="AL216" i="245"/>
  <c r="AM216" i="245" s="1"/>
  <c r="AN216" i="245" s="1"/>
  <c r="AO216" i="245" s="1"/>
  <c r="AP216" i="245" s="1"/>
  <c r="AQ216" i="245" s="1"/>
  <c r="AR216" i="245" s="1"/>
  <c r="AS216" i="245" s="1"/>
  <c r="AT216" i="245" s="1"/>
  <c r="AU216" i="245" s="1"/>
  <c r="AL215" i="245"/>
  <c r="AM215" i="245" s="1"/>
  <c r="AN215" i="245" s="1"/>
  <c r="AO215" i="245" s="1"/>
  <c r="AP215" i="245" s="1"/>
  <c r="AQ215" i="245" s="1"/>
  <c r="AR215" i="245" s="1"/>
  <c r="AS215" i="245" s="1"/>
  <c r="AT215" i="245" s="1"/>
  <c r="AU215" i="245" s="1"/>
  <c r="P171" i="245"/>
  <c r="N139" i="245" l="1"/>
  <c r="N140" i="245" s="1"/>
  <c r="N141" i="245"/>
  <c r="L139" i="245"/>
  <c r="L140" i="245" s="1"/>
  <c r="L141" i="245"/>
  <c r="M139" i="245"/>
  <c r="M140" i="245" s="1"/>
  <c r="M141" i="245"/>
  <c r="J139" i="245"/>
  <c r="J140" i="245" s="1"/>
  <c r="J141" i="245"/>
  <c r="K139" i="245"/>
  <c r="K140" i="245" s="1"/>
  <c r="K141" i="245"/>
  <c r="I139" i="245"/>
  <c r="I140" i="245" s="1"/>
  <c r="I141" i="245"/>
  <c r="H139" i="245"/>
  <c r="H140" i="245" s="1"/>
  <c r="H141" i="245"/>
  <c r="AG134" i="245"/>
  <c r="AB132" i="245"/>
  <c r="AB131" i="245"/>
  <c r="R131" i="245"/>
  <c r="R132" i="245"/>
  <c r="P131" i="245"/>
  <c r="P132" i="245"/>
  <c r="K131" i="245"/>
  <c r="K132" i="245"/>
  <c r="Z132" i="245"/>
  <c r="Z131" i="245"/>
  <c r="AA143" i="245"/>
  <c r="AA148" i="245" s="1"/>
  <c r="AA166" i="245"/>
  <c r="AA165" i="245"/>
  <c r="P134" i="245"/>
  <c r="P135" i="245" s="1"/>
  <c r="P136" i="245" s="1"/>
  <c r="P137" i="245"/>
  <c r="W132" i="245"/>
  <c r="W131" i="245"/>
  <c r="R134" i="245"/>
  <c r="R135" i="245" s="1"/>
  <c r="R136" i="245" s="1"/>
  <c r="R137" i="245"/>
  <c r="V132" i="245"/>
  <c r="V131" i="245"/>
  <c r="AB165" i="245"/>
  <c r="AB166" i="245"/>
  <c r="T132" i="245"/>
  <c r="T131" i="245"/>
  <c r="S131" i="245"/>
  <c r="S132" i="245"/>
  <c r="U134" i="245"/>
  <c r="U135" i="245" s="1"/>
  <c r="U136" i="245" s="1"/>
  <c r="U137" i="245"/>
  <c r="Z143" i="245"/>
  <c r="Z148" i="245" s="1"/>
  <c r="Z166" i="245"/>
  <c r="Z165" i="245"/>
  <c r="N134" i="245"/>
  <c r="N135" i="245" s="1"/>
  <c r="N136" i="245" s="1"/>
  <c r="N137" i="245"/>
  <c r="S143" i="245"/>
  <c r="S148" i="245" s="1"/>
  <c r="S165" i="245"/>
  <c r="S166" i="245"/>
  <c r="O134" i="245"/>
  <c r="O135" i="245" s="1"/>
  <c r="O136" i="245" s="1"/>
  <c r="K134" i="245"/>
  <c r="K135" i="245" s="1"/>
  <c r="K136" i="245" s="1"/>
  <c r="K137" i="245"/>
  <c r="U132" i="245"/>
  <c r="U131" i="245"/>
  <c r="Q132" i="245"/>
  <c r="Q131" i="245"/>
  <c r="AU132" i="245"/>
  <c r="AU131" i="245"/>
  <c r="I134" i="245"/>
  <c r="I135" i="245" s="1"/>
  <c r="I136" i="245" s="1"/>
  <c r="I137" i="245"/>
  <c r="AJ134" i="245"/>
  <c r="AJ135" i="245" s="1"/>
  <c r="AJ136" i="245" s="1"/>
  <c r="AJ137" i="245"/>
  <c r="O132" i="245"/>
  <c r="O131" i="245"/>
  <c r="W143" i="245"/>
  <c r="W166" i="245"/>
  <c r="W165" i="245"/>
  <c r="U143" i="245"/>
  <c r="U148" i="245" s="1"/>
  <c r="U165" i="245"/>
  <c r="U166" i="245"/>
  <c r="AJ131" i="245"/>
  <c r="AJ132" i="245"/>
  <c r="N131" i="245"/>
  <c r="N132" i="245"/>
  <c r="AC143" i="245"/>
  <c r="AC144" i="245" s="1"/>
  <c r="AC145" i="245" s="1"/>
  <c r="AC146" i="245" s="1"/>
  <c r="AC147" i="245" s="1"/>
  <c r="AC166" i="245"/>
  <c r="AC165" i="245"/>
  <c r="Q134" i="245"/>
  <c r="Q135" i="245" s="1"/>
  <c r="Q136" i="245" s="1"/>
  <c r="Q137" i="245"/>
  <c r="M131" i="245"/>
  <c r="M132" i="245"/>
  <c r="AA132" i="245"/>
  <c r="AA131" i="245"/>
  <c r="T134" i="245"/>
  <c r="T135" i="245" s="1"/>
  <c r="T136" i="245" s="1"/>
  <c r="J134" i="245"/>
  <c r="J135" i="245" s="1"/>
  <c r="J136" i="245" s="1"/>
  <c r="J137" i="245"/>
  <c r="P143" i="245"/>
  <c r="P144" i="245" s="1"/>
  <c r="P145" i="245" s="1"/>
  <c r="P146" i="245" s="1"/>
  <c r="P147" i="245" s="1"/>
  <c r="P165" i="245"/>
  <c r="P166" i="245"/>
  <c r="M143" i="245"/>
  <c r="M144" i="245" s="1"/>
  <c r="M145" i="245" s="1"/>
  <c r="M146" i="245" s="1"/>
  <c r="M147" i="245" s="1"/>
  <c r="M165" i="245"/>
  <c r="M166" i="245"/>
  <c r="AE134" i="245"/>
  <c r="AE135" i="245" s="1"/>
  <c r="AE136" i="245" s="1"/>
  <c r="AE137" i="245"/>
  <c r="H131" i="245"/>
  <c r="H132" i="245"/>
  <c r="J132" i="245"/>
  <c r="J131" i="245"/>
  <c r="AU134" i="245"/>
  <c r="AU135" i="245" s="1"/>
  <c r="AU136" i="245" s="1"/>
  <c r="AU137" i="245"/>
  <c r="O145" i="245"/>
  <c r="O146" i="245" s="1"/>
  <c r="O147" i="245" s="1"/>
  <c r="O165" i="245"/>
  <c r="O166" i="245"/>
  <c r="I131" i="245"/>
  <c r="I132" i="245"/>
  <c r="I143" i="245"/>
  <c r="I144" i="245" s="1"/>
  <c r="I145" i="245" s="1"/>
  <c r="I146" i="245" s="1"/>
  <c r="I147" i="245" s="1"/>
  <c r="I165" i="245"/>
  <c r="I166" i="245"/>
  <c r="Y143" i="245"/>
  <c r="Y148" i="245" s="1"/>
  <c r="Y165" i="245"/>
  <c r="Y166" i="245"/>
  <c r="Q143" i="245"/>
  <c r="Q144" i="245" s="1"/>
  <c r="Q145" i="245" s="1"/>
  <c r="Q146" i="245" s="1"/>
  <c r="Q147" i="245" s="1"/>
  <c r="Q165" i="245"/>
  <c r="Q166" i="245"/>
  <c r="AI134" i="245"/>
  <c r="AI135" i="245" s="1"/>
  <c r="AI136" i="245" s="1"/>
  <c r="AI137" i="245"/>
  <c r="N143" i="245"/>
  <c r="N144" i="245" s="1"/>
  <c r="N145" i="245" s="1"/>
  <c r="N146" i="245" s="1"/>
  <c r="N147" i="245" s="1"/>
  <c r="N166" i="245"/>
  <c r="N165" i="245"/>
  <c r="AB143" i="245"/>
  <c r="AB148" i="245" s="1"/>
  <c r="K143" i="245"/>
  <c r="K144" i="245" s="1"/>
  <c r="K145" i="245" s="1"/>
  <c r="K146" i="245" s="1"/>
  <c r="K147" i="245" s="1"/>
  <c r="K165" i="245"/>
  <c r="K166" i="245"/>
  <c r="AD134" i="245"/>
  <c r="AD137" i="245"/>
  <c r="AK131" i="245"/>
  <c r="AK132" i="245"/>
  <c r="AK143" i="245"/>
  <c r="AK144" i="245" s="1"/>
  <c r="AK145" i="245" s="1"/>
  <c r="AK146" i="245" s="1"/>
  <c r="AK147" i="245" s="1"/>
  <c r="AK166" i="245"/>
  <c r="AK165" i="245"/>
  <c r="AC134" i="245"/>
  <c r="AC135" i="245" s="1"/>
  <c r="AC136" i="245" s="1"/>
  <c r="AC137" i="245"/>
  <c r="AJ143" i="245"/>
  <c r="AJ144" i="245" s="1"/>
  <c r="AJ145" i="245" s="1"/>
  <c r="AJ146" i="245" s="1"/>
  <c r="AJ147" i="245" s="1"/>
  <c r="AJ166" i="245"/>
  <c r="AJ165" i="245"/>
  <c r="H143" i="245"/>
  <c r="H144" i="245" s="1"/>
  <c r="H145" i="245" s="1"/>
  <c r="H165" i="245"/>
  <c r="H166" i="245"/>
  <c r="AB134" i="245"/>
  <c r="AB135" i="245" s="1"/>
  <c r="AB136" i="245" s="1"/>
  <c r="AB137" i="245"/>
  <c r="AI132" i="245"/>
  <c r="AI131" i="245"/>
  <c r="L131" i="245"/>
  <c r="L132" i="245"/>
  <c r="L143" i="245"/>
  <c r="L144" i="245" s="1"/>
  <c r="L145" i="245" s="1"/>
  <c r="L146" i="245" s="1"/>
  <c r="L147" i="245" s="1"/>
  <c r="L165" i="245"/>
  <c r="L166" i="245"/>
  <c r="AA134" i="245"/>
  <c r="AA135" i="245" s="1"/>
  <c r="AA136" i="245" s="1"/>
  <c r="AA137" i="245"/>
  <c r="AH132" i="245"/>
  <c r="AH131" i="245"/>
  <c r="X166" i="245"/>
  <c r="X165" i="245"/>
  <c r="S134" i="245"/>
  <c r="S135" i="245" s="1"/>
  <c r="S136" i="245" s="1"/>
  <c r="AF134" i="245"/>
  <c r="AF135" i="245" s="1"/>
  <c r="AF136" i="245" s="1"/>
  <c r="AF137" i="245"/>
  <c r="Z134" i="245"/>
  <c r="Z135" i="245" s="1"/>
  <c r="Z136" i="245" s="1"/>
  <c r="Z137" i="245"/>
  <c r="AG131" i="245"/>
  <c r="AG132" i="245"/>
  <c r="X132" i="245"/>
  <c r="X131" i="245"/>
  <c r="L134" i="245"/>
  <c r="L135" i="245" s="1"/>
  <c r="L136" i="245" s="1"/>
  <c r="L137" i="245"/>
  <c r="AH143" i="245"/>
  <c r="AH144" i="245" s="1"/>
  <c r="AH145" i="245" s="1"/>
  <c r="AH146" i="245" s="1"/>
  <c r="AH147" i="245" s="1"/>
  <c r="AH165" i="245"/>
  <c r="AH166" i="245"/>
  <c r="AG143" i="245"/>
  <c r="AG144" i="245" s="1"/>
  <c r="AG145" i="245" s="1"/>
  <c r="AG146" i="245" s="1"/>
  <c r="AG147" i="245" s="1"/>
  <c r="AG165" i="245"/>
  <c r="AG166" i="245"/>
  <c r="Y134" i="245"/>
  <c r="Y135" i="245" s="1"/>
  <c r="Y136" i="245" s="1"/>
  <c r="Y137" i="245"/>
  <c r="AF132" i="245"/>
  <c r="AF131" i="245"/>
  <c r="M134" i="245"/>
  <c r="M135" i="245" s="1"/>
  <c r="M136" i="245" s="1"/>
  <c r="M137" i="245"/>
  <c r="R143" i="245"/>
  <c r="R165" i="245"/>
  <c r="R166" i="245"/>
  <c r="X143" i="245"/>
  <c r="X134" i="245"/>
  <c r="X135" i="245" s="1"/>
  <c r="X136" i="245" s="1"/>
  <c r="X137" i="245"/>
  <c r="AE131" i="245"/>
  <c r="AE132" i="245"/>
  <c r="V143" i="245"/>
  <c r="V148" i="245" s="1"/>
  <c r="V166" i="245"/>
  <c r="V165" i="245"/>
  <c r="T143" i="245"/>
  <c r="T166" i="245"/>
  <c r="T165" i="245"/>
  <c r="H134" i="245"/>
  <c r="H135" i="245" s="1"/>
  <c r="H136" i="245" s="1"/>
  <c r="H137" i="245"/>
  <c r="AI143" i="245"/>
  <c r="AI144" i="245" s="1"/>
  <c r="AI145" i="245" s="1"/>
  <c r="AI146" i="245" s="1"/>
  <c r="AI147" i="245" s="1"/>
  <c r="AI165" i="245"/>
  <c r="AI166" i="245"/>
  <c r="AE143" i="245"/>
  <c r="AE144" i="245" s="1"/>
  <c r="AE145" i="245" s="1"/>
  <c r="AE146" i="245" s="1"/>
  <c r="AE147" i="245" s="1"/>
  <c r="AE166" i="245"/>
  <c r="AE165" i="245"/>
  <c r="W134" i="245"/>
  <c r="W135" i="245" s="1"/>
  <c r="W136" i="245" s="1"/>
  <c r="W137" i="245"/>
  <c r="AD131" i="245"/>
  <c r="AD132" i="245"/>
  <c r="Y132" i="245"/>
  <c r="Y131" i="245"/>
  <c r="AK134" i="245"/>
  <c r="AK135" i="245" s="1"/>
  <c r="AK136" i="245" s="1"/>
  <c r="AK137" i="245"/>
  <c r="J143" i="245"/>
  <c r="J144" i="245" s="1"/>
  <c r="J145" i="245" s="1"/>
  <c r="J146" i="245" s="1"/>
  <c r="J147" i="245" s="1"/>
  <c r="J166" i="245"/>
  <c r="J165" i="245"/>
  <c r="AF143" i="245"/>
  <c r="AF144" i="245" s="1"/>
  <c r="AF145" i="245" s="1"/>
  <c r="AF146" i="245" s="1"/>
  <c r="AF147" i="245" s="1"/>
  <c r="AF165" i="245"/>
  <c r="AF166" i="245"/>
  <c r="AD143" i="245"/>
  <c r="AD144" i="245" s="1"/>
  <c r="AD145" i="245" s="1"/>
  <c r="AD146" i="245" s="1"/>
  <c r="AD147" i="245" s="1"/>
  <c r="AD166" i="245"/>
  <c r="AD165" i="245"/>
  <c r="V134" i="245"/>
  <c r="V135" i="245" s="1"/>
  <c r="V136" i="245" s="1"/>
  <c r="V137" i="245"/>
  <c r="AC132" i="245"/>
  <c r="AC131" i="245"/>
  <c r="T148" i="245"/>
  <c r="T144" i="245"/>
  <c r="T145" i="245" s="1"/>
  <c r="T146" i="245" s="1"/>
  <c r="T147" i="245" s="1"/>
  <c r="AT129" i="245"/>
  <c r="AT130" i="245" s="1"/>
  <c r="AQ129" i="245"/>
  <c r="AQ130" i="245" s="1"/>
  <c r="AP129" i="245"/>
  <c r="AP130" i="245" s="1"/>
  <c r="AO129" i="245"/>
  <c r="AO130" i="245" s="1"/>
  <c r="AM223" i="245"/>
  <c r="AM129" i="245"/>
  <c r="AM130" i="245" s="1"/>
  <c r="AL129" i="245"/>
  <c r="AL130" i="245" s="1"/>
  <c r="AN129" i="245"/>
  <c r="AN130" i="245" s="1"/>
  <c r="AS129" i="245"/>
  <c r="AS130" i="245" s="1"/>
  <c r="AR129" i="245"/>
  <c r="AR130" i="245" s="1"/>
  <c r="AD135" i="245"/>
  <c r="AD136" i="245" s="1"/>
  <c r="AG135" i="245"/>
  <c r="AG136" i="245" s="1"/>
  <c r="AF148" i="245"/>
  <c r="AD148" i="245"/>
  <c r="O148" i="245"/>
  <c r="H146" i="245" l="1"/>
  <c r="H147" i="245" s="1"/>
  <c r="Z144" i="245"/>
  <c r="Z145" i="245" s="1"/>
  <c r="Z146" i="245" s="1"/>
  <c r="Z147" i="245" s="1"/>
  <c r="AA144" i="245"/>
  <c r="AA145" i="245" s="1"/>
  <c r="AA146" i="245" s="1"/>
  <c r="AA147" i="245" s="1"/>
  <c r="S144" i="245"/>
  <c r="S145" i="245" s="1"/>
  <c r="S146" i="245" s="1"/>
  <c r="S147" i="245" s="1"/>
  <c r="Y144" i="245"/>
  <c r="Y145" i="245" s="1"/>
  <c r="Y146" i="245" s="1"/>
  <c r="Y147" i="245" s="1"/>
  <c r="AJ148" i="245"/>
  <c r="V144" i="245"/>
  <c r="V145" i="245" s="1"/>
  <c r="V146" i="245" s="1"/>
  <c r="V147" i="245" s="1"/>
  <c r="M148" i="245"/>
  <c r="Q148" i="245"/>
  <c r="P148" i="245"/>
  <c r="L148" i="245"/>
  <c r="AE148" i="245"/>
  <c r="AC148" i="245"/>
  <c r="N148" i="245"/>
  <c r="I148" i="245"/>
  <c r="AK148" i="245"/>
  <c r="W148" i="245"/>
  <c r="W144" i="245"/>
  <c r="W145" i="245" s="1"/>
  <c r="W146" i="245" s="1"/>
  <c r="W147" i="245" s="1"/>
  <c r="AL134" i="245"/>
  <c r="AL135" i="245" s="1"/>
  <c r="AL136" i="245" s="1"/>
  <c r="AL137" i="245"/>
  <c r="AS131" i="245"/>
  <c r="AS132" i="245"/>
  <c r="AM134" i="245"/>
  <c r="AM135" i="245" s="1"/>
  <c r="AM136" i="245" s="1"/>
  <c r="AM137" i="245"/>
  <c r="AN134" i="245"/>
  <c r="AN135" i="245" s="1"/>
  <c r="AN136" i="245" s="1"/>
  <c r="AN137" i="245"/>
  <c r="AR131" i="245"/>
  <c r="AR132" i="245"/>
  <c r="K148" i="245"/>
  <c r="AQ134" i="245"/>
  <c r="AQ135" i="245" s="1"/>
  <c r="AQ136" i="245" s="1"/>
  <c r="AQ137" i="245"/>
  <c r="AR134" i="245"/>
  <c r="AR135" i="245" s="1"/>
  <c r="AR136" i="245" s="1"/>
  <c r="AR137" i="245"/>
  <c r="AN131" i="245"/>
  <c r="AN132" i="245"/>
  <c r="AT134" i="245"/>
  <c r="AT135" i="245" s="1"/>
  <c r="AT136" i="245" s="1"/>
  <c r="AT137" i="245"/>
  <c r="AM143" i="245"/>
  <c r="AM148" i="245" s="1"/>
  <c r="AM165" i="245"/>
  <c r="AM166" i="245"/>
  <c r="AL131" i="245"/>
  <c r="AL132" i="245"/>
  <c r="J148" i="245"/>
  <c r="U144" i="245"/>
  <c r="U145" i="245" s="1"/>
  <c r="U146" i="245" s="1"/>
  <c r="U147" i="245" s="1"/>
  <c r="AM131" i="245"/>
  <c r="AM132" i="245"/>
  <c r="AO131" i="245"/>
  <c r="AO132" i="245"/>
  <c r="AS134" i="245"/>
  <c r="AS135" i="245" s="1"/>
  <c r="AS136" i="245" s="1"/>
  <c r="AS137" i="245"/>
  <c r="AP131" i="245"/>
  <c r="AP132" i="245"/>
  <c r="AL143" i="245"/>
  <c r="AL144" i="245" s="1"/>
  <c r="AL145" i="245" s="1"/>
  <c r="AL146" i="245" s="1"/>
  <c r="AL147" i="245" s="1"/>
  <c r="AL165" i="245"/>
  <c r="AL166" i="245"/>
  <c r="AG148" i="245"/>
  <c r="AQ131" i="245"/>
  <c r="AQ132" i="245"/>
  <c r="R148" i="245"/>
  <c r="R144" i="245"/>
  <c r="R145" i="245" s="1"/>
  <c r="R146" i="245" s="1"/>
  <c r="R147" i="245" s="1"/>
  <c r="AT131" i="245"/>
  <c r="AT132" i="245"/>
  <c r="AP134" i="245"/>
  <c r="AP135" i="245" s="1"/>
  <c r="AP136" i="245" s="1"/>
  <c r="AP137" i="245"/>
  <c r="AH148" i="245"/>
  <c r="AI148" i="245"/>
  <c r="AO134" i="245"/>
  <c r="AO135" i="245" s="1"/>
  <c r="AO136" i="245" s="1"/>
  <c r="AO137" i="245"/>
  <c r="H148" i="245"/>
  <c r="AB144" i="245"/>
  <c r="AB145" i="245" s="1"/>
  <c r="AB146" i="245" s="1"/>
  <c r="AB147" i="245" s="1"/>
  <c r="X148" i="245"/>
  <c r="X144" i="245"/>
  <c r="X145" i="245" s="1"/>
  <c r="X146" i="245" s="1"/>
  <c r="X147" i="245" s="1"/>
  <c r="AN223" i="245"/>
  <c r="AM144" i="245" l="1"/>
  <c r="AM145" i="245" s="1"/>
  <c r="AM146" i="245" s="1"/>
  <c r="AM147" i="245" s="1"/>
  <c r="AL148" i="245"/>
  <c r="AO223" i="245"/>
  <c r="AN143" i="245" l="1"/>
  <c r="AN165" i="245"/>
  <c r="AN166" i="245"/>
  <c r="AN148" i="245"/>
  <c r="AN144" i="245"/>
  <c r="AN145" i="245" s="1"/>
  <c r="AN146" i="245" s="1"/>
  <c r="AN147" i="245" s="1"/>
  <c r="AP223" i="245"/>
  <c r="AO143" i="245" l="1"/>
  <c r="AO148" i="245" s="1"/>
  <c r="AO165" i="245"/>
  <c r="AO166" i="245"/>
  <c r="AQ223" i="245"/>
  <c r="AO144" i="245" l="1"/>
  <c r="AO145" i="245" s="1"/>
  <c r="AO146" i="245" s="1"/>
  <c r="AO147" i="245" s="1"/>
  <c r="AP143" i="245"/>
  <c r="AP148" i="245" s="1"/>
  <c r="AP165" i="245"/>
  <c r="AP166" i="245"/>
  <c r="AR223" i="245"/>
  <c r="AP144" i="245"/>
  <c r="AP145" i="245" s="1"/>
  <c r="AP146" i="245" s="1"/>
  <c r="AP147" i="245" s="1"/>
  <c r="AQ143" i="245" l="1"/>
  <c r="AQ144" i="245" s="1"/>
  <c r="AQ145" i="245" s="1"/>
  <c r="AQ146" i="245" s="1"/>
  <c r="AQ147" i="245" s="1"/>
  <c r="AQ165" i="245"/>
  <c r="AQ166" i="245"/>
  <c r="AS223" i="245"/>
  <c r="AQ148" i="245" l="1"/>
  <c r="AR143" i="245"/>
  <c r="AR144" i="245" s="1"/>
  <c r="AR145" i="245" s="1"/>
  <c r="AR146" i="245" s="1"/>
  <c r="AR147" i="245" s="1"/>
  <c r="AR165" i="245"/>
  <c r="AR166" i="245"/>
  <c r="AT223" i="245"/>
  <c r="AR148" i="245" l="1"/>
  <c r="AS143" i="245"/>
  <c r="AS144" i="245" s="1"/>
  <c r="AS145" i="245" s="1"/>
  <c r="AS146" i="245" s="1"/>
  <c r="AS147" i="245" s="1"/>
  <c r="AS165" i="245"/>
  <c r="AS166" i="245"/>
  <c r="AU223" i="245"/>
  <c r="AS148" i="245" l="1"/>
  <c r="AT143" i="245"/>
  <c r="AT144" i="245" s="1"/>
  <c r="AT145" i="245" s="1"/>
  <c r="AT146" i="245" s="1"/>
  <c r="AT147" i="245" s="1"/>
  <c r="AT166" i="245"/>
  <c r="AT165" i="245"/>
  <c r="AT148" i="245" l="1"/>
  <c r="AU143" i="245"/>
  <c r="AU148" i="245" s="1"/>
  <c r="AU165" i="245"/>
  <c r="AU166" i="245"/>
  <c r="AU144" i="245" l="1"/>
  <c r="AU145" i="245" s="1"/>
  <c r="AU146" i="245" s="1"/>
  <c r="AU147" i="245" s="1"/>
  <c r="F143" i="245" l="1"/>
  <c r="F148" i="245" l="1"/>
  <c r="F144" i="245"/>
  <c r="H26" i="245"/>
  <c r="I26" i="245"/>
  <c r="J26" i="245"/>
  <c r="K26" i="245"/>
  <c r="L26" i="245"/>
  <c r="M26" i="245"/>
  <c r="N26" i="245"/>
  <c r="O26" i="245"/>
  <c r="P26" i="245"/>
  <c r="Q26" i="245"/>
  <c r="R26" i="245"/>
  <c r="S26" i="245"/>
  <c r="T26" i="245"/>
  <c r="U26" i="245"/>
  <c r="V26" i="245"/>
  <c r="W26" i="245"/>
  <c r="X26" i="245"/>
  <c r="Y26" i="245"/>
  <c r="Z26" i="245"/>
  <c r="AA26" i="245"/>
  <c r="AB26" i="245"/>
  <c r="AC26" i="245"/>
  <c r="AD26" i="245"/>
  <c r="AE26" i="245"/>
  <c r="AF26" i="245"/>
  <c r="AG26" i="245"/>
  <c r="AH26" i="245"/>
  <c r="AI26" i="245"/>
  <c r="AJ26" i="245"/>
  <c r="AK26" i="245"/>
  <c r="AL26" i="245"/>
  <c r="AM26" i="245"/>
  <c r="AN26" i="245"/>
  <c r="AO26" i="245"/>
  <c r="AP26" i="245"/>
  <c r="AQ26" i="245"/>
  <c r="AR26" i="245"/>
  <c r="AS26" i="245"/>
  <c r="AT26" i="245"/>
  <c r="AU26" i="245"/>
  <c r="H160" i="245"/>
  <c r="I160" i="245"/>
  <c r="J160" i="245"/>
  <c r="K160" i="245"/>
  <c r="L160" i="245"/>
  <c r="M160" i="245"/>
  <c r="N160" i="245"/>
  <c r="O160" i="245"/>
  <c r="P160" i="245"/>
  <c r="Q160" i="245"/>
  <c r="R160" i="245"/>
  <c r="S160" i="245"/>
  <c r="T160" i="245"/>
  <c r="U160" i="245"/>
  <c r="V160" i="245"/>
  <c r="W160" i="245"/>
  <c r="X160" i="245"/>
  <c r="Y160" i="245"/>
  <c r="Z160" i="245"/>
  <c r="AA160" i="245"/>
  <c r="AB160" i="245"/>
  <c r="AC160" i="245"/>
  <c r="AD160" i="245"/>
  <c r="AE160" i="245"/>
  <c r="AF160" i="245"/>
  <c r="AG160" i="245"/>
  <c r="AH160" i="245"/>
  <c r="AI160" i="245"/>
  <c r="AJ160" i="245"/>
  <c r="AK160" i="245"/>
  <c r="AL160" i="245"/>
  <c r="AM160" i="245"/>
  <c r="AN160" i="245"/>
  <c r="AO160" i="245"/>
  <c r="AP160" i="245"/>
  <c r="AQ160" i="245"/>
  <c r="AR160" i="245"/>
  <c r="AS160" i="245"/>
  <c r="AT160" i="245"/>
  <c r="AU160" i="245"/>
  <c r="H161" i="245"/>
  <c r="I161" i="245"/>
  <c r="J161" i="245"/>
  <c r="K161" i="245"/>
  <c r="L161" i="245"/>
  <c r="M161" i="245"/>
  <c r="N161" i="245"/>
  <c r="O161" i="245"/>
  <c r="P161" i="245"/>
  <c r="Q161" i="245"/>
  <c r="R161" i="245"/>
  <c r="S161" i="245"/>
  <c r="T161" i="245"/>
  <c r="U161" i="245"/>
  <c r="V161" i="245"/>
  <c r="W161" i="245"/>
  <c r="X161" i="245"/>
  <c r="Y161" i="245"/>
  <c r="Z161" i="245"/>
  <c r="AA161" i="245"/>
  <c r="AB161" i="245"/>
  <c r="AC161" i="245"/>
  <c r="AD161" i="245"/>
  <c r="AE161" i="245"/>
  <c r="AF161" i="245"/>
  <c r="AG161" i="245"/>
  <c r="AH161" i="245"/>
  <c r="AI161" i="245"/>
  <c r="AJ161" i="245"/>
  <c r="AK161" i="245"/>
  <c r="AL161" i="245"/>
  <c r="AM161" i="245"/>
  <c r="AN161" i="245"/>
  <c r="AO161" i="245"/>
  <c r="AP161" i="245"/>
  <c r="AQ161" i="245"/>
  <c r="AR161" i="245"/>
  <c r="AS161" i="245"/>
  <c r="AT161" i="245"/>
  <c r="AU161" i="245"/>
  <c r="H162" i="245"/>
  <c r="I162" i="245"/>
  <c r="J162" i="245"/>
  <c r="K162" i="245"/>
  <c r="L162" i="245"/>
  <c r="M162" i="245"/>
  <c r="N162" i="245"/>
  <c r="O162" i="245"/>
  <c r="P162" i="245"/>
  <c r="Q162" i="245"/>
  <c r="R162" i="245"/>
  <c r="S162" i="245"/>
  <c r="T162" i="245"/>
  <c r="U162" i="245"/>
  <c r="V162" i="245"/>
  <c r="W162" i="245"/>
  <c r="X162" i="245"/>
  <c r="Y162" i="245"/>
  <c r="Z162" i="245"/>
  <c r="AA162" i="245"/>
  <c r="AB162" i="245"/>
  <c r="AC162" i="245"/>
  <c r="AD162" i="245"/>
  <c r="AE162" i="245"/>
  <c r="AF162" i="245"/>
  <c r="AG162" i="245"/>
  <c r="AH162" i="245"/>
  <c r="AI162" i="245"/>
  <c r="AJ162" i="245"/>
  <c r="AK162" i="245"/>
  <c r="AL162" i="245"/>
  <c r="AM162" i="245"/>
  <c r="AN162" i="245"/>
  <c r="AO162" i="245"/>
  <c r="AP162" i="245"/>
  <c r="AQ162" i="245"/>
  <c r="AR162" i="245"/>
  <c r="AS162" i="245"/>
  <c r="AT162" i="245"/>
  <c r="AU162" i="245"/>
  <c r="H163" i="245"/>
  <c r="I163" i="245"/>
  <c r="J163" i="245"/>
  <c r="K163" i="245"/>
  <c r="L163" i="245"/>
  <c r="M163" i="245"/>
  <c r="N163" i="245"/>
  <c r="O163" i="245"/>
  <c r="P163" i="245"/>
  <c r="Q163" i="245"/>
  <c r="R163" i="245"/>
  <c r="S163" i="245"/>
  <c r="T163" i="245"/>
  <c r="U163" i="245"/>
  <c r="V163" i="245"/>
  <c r="W163" i="245"/>
  <c r="X163" i="245"/>
  <c r="Y163" i="245"/>
  <c r="Z163" i="245"/>
  <c r="AA163" i="245"/>
  <c r="AB163" i="245"/>
  <c r="AC163" i="245"/>
  <c r="AD163" i="245"/>
  <c r="AE163" i="245"/>
  <c r="AF163" i="245"/>
  <c r="AG163" i="245"/>
  <c r="AH163" i="245"/>
  <c r="AI163" i="245"/>
  <c r="AJ163" i="245"/>
  <c r="AK163" i="245"/>
  <c r="AL163" i="245"/>
  <c r="AM163" i="245"/>
  <c r="AN163" i="245"/>
  <c r="AO163" i="245"/>
  <c r="AP163" i="245"/>
  <c r="AQ163" i="245"/>
  <c r="AR163" i="245"/>
  <c r="AS163" i="245"/>
  <c r="AT163" i="245"/>
  <c r="AU163" i="245"/>
  <c r="G160" i="245"/>
  <c r="G161" i="245"/>
  <c r="G162" i="245"/>
  <c r="G163" i="245"/>
  <c r="R171" i="245"/>
  <c r="S171" i="245"/>
  <c r="T171" i="245"/>
  <c r="U171" i="245"/>
  <c r="V171" i="245"/>
  <c r="W171" i="245"/>
  <c r="X171" i="245"/>
  <c r="Y171" i="245"/>
  <c r="Z171" i="245"/>
  <c r="AA171" i="245"/>
  <c r="AB171" i="245"/>
  <c r="AC171" i="245"/>
  <c r="AD171" i="245"/>
  <c r="AE171" i="245"/>
  <c r="AF171" i="245"/>
  <c r="AG171" i="245"/>
  <c r="AH171" i="245"/>
  <c r="AI171" i="245"/>
  <c r="AJ171" i="245"/>
  <c r="AK171" i="245"/>
  <c r="AL171" i="245"/>
  <c r="AM171" i="245"/>
  <c r="AN171" i="245"/>
  <c r="AO171" i="245"/>
  <c r="AP171" i="245"/>
  <c r="AQ171" i="245"/>
  <c r="AR171" i="245"/>
  <c r="AS171" i="245"/>
  <c r="AT171" i="245"/>
  <c r="AU171" i="245"/>
  <c r="S123" i="245"/>
  <c r="T123" i="245"/>
  <c r="U123" i="245"/>
  <c r="V123" i="245"/>
  <c r="W123" i="245"/>
  <c r="Y123" i="245"/>
  <c r="Z123" i="245"/>
  <c r="AA123" i="245"/>
  <c r="AB123" i="245"/>
  <c r="AC123" i="245"/>
  <c r="AD123" i="245"/>
  <c r="AE123" i="245"/>
  <c r="AF123" i="245"/>
  <c r="AG123" i="245"/>
  <c r="AH123" i="245"/>
  <c r="AI123" i="245"/>
  <c r="AJ123" i="245"/>
  <c r="AK123" i="245"/>
  <c r="AL123" i="245"/>
  <c r="AM123" i="245"/>
  <c r="AN123" i="245"/>
  <c r="AO123" i="245"/>
  <c r="AQ123" i="245"/>
  <c r="AR123" i="245"/>
  <c r="AS123" i="245"/>
  <c r="AU123" i="245"/>
  <c r="R125" i="245"/>
  <c r="R126" i="245" s="1"/>
  <c r="R127" i="245" s="1"/>
  <c r="S125" i="245"/>
  <c r="S126" i="245" s="1"/>
  <c r="S127" i="245" s="1"/>
  <c r="T125" i="245"/>
  <c r="T126" i="245" s="1"/>
  <c r="T127" i="245" s="1"/>
  <c r="U125" i="245"/>
  <c r="U126" i="245" s="1"/>
  <c r="U127" i="245" s="1"/>
  <c r="V125" i="245"/>
  <c r="V126" i="245" s="1"/>
  <c r="V127" i="245" s="1"/>
  <c r="W125" i="245"/>
  <c r="W126" i="245" s="1"/>
  <c r="W127" i="245" s="1"/>
  <c r="X125" i="245"/>
  <c r="X126" i="245" s="1"/>
  <c r="X127" i="245" s="1"/>
  <c r="Y125" i="245"/>
  <c r="Y126" i="245" s="1"/>
  <c r="Y127" i="245" s="1"/>
  <c r="Z125" i="245"/>
  <c r="Z126" i="245" s="1"/>
  <c r="Z127" i="245" s="1"/>
  <c r="AA125" i="245"/>
  <c r="AA126" i="245" s="1"/>
  <c r="AA127" i="245" s="1"/>
  <c r="AB125" i="245"/>
  <c r="AB126" i="245" s="1"/>
  <c r="AB127" i="245" s="1"/>
  <c r="AC125" i="245"/>
  <c r="AC126" i="245" s="1"/>
  <c r="AC127" i="245" s="1"/>
  <c r="AD125" i="245"/>
  <c r="AD126" i="245" s="1"/>
  <c r="AD127" i="245" s="1"/>
  <c r="AE125" i="245"/>
  <c r="AE126" i="245" s="1"/>
  <c r="AE127" i="245" s="1"/>
  <c r="AF125" i="245"/>
  <c r="AF126" i="245" s="1"/>
  <c r="AF127" i="245" s="1"/>
  <c r="AG125" i="245"/>
  <c r="AG126" i="245" s="1"/>
  <c r="AG127" i="245" s="1"/>
  <c r="AH125" i="245"/>
  <c r="AH126" i="245" s="1"/>
  <c r="AH127" i="245" s="1"/>
  <c r="AI125" i="245"/>
  <c r="AI126" i="245" s="1"/>
  <c r="AI127" i="245" s="1"/>
  <c r="AJ125" i="245"/>
  <c r="AJ126" i="245" s="1"/>
  <c r="AJ127" i="245" s="1"/>
  <c r="AK125" i="245"/>
  <c r="AK126" i="245" s="1"/>
  <c r="AK127" i="245" s="1"/>
  <c r="AL125" i="245"/>
  <c r="AL126" i="245" s="1"/>
  <c r="AL127" i="245" s="1"/>
  <c r="AM125" i="245"/>
  <c r="AM126" i="245" s="1"/>
  <c r="AM127" i="245" s="1"/>
  <c r="AN125" i="245"/>
  <c r="AN126" i="245" s="1"/>
  <c r="AN127" i="245" s="1"/>
  <c r="AO125" i="245"/>
  <c r="AO126" i="245" s="1"/>
  <c r="AO127" i="245" s="1"/>
  <c r="AP125" i="245"/>
  <c r="AP126" i="245" s="1"/>
  <c r="AP127" i="245" s="1"/>
  <c r="AQ125" i="245"/>
  <c r="AQ126" i="245" s="1"/>
  <c r="AQ127" i="245" s="1"/>
  <c r="AR125" i="245"/>
  <c r="AR126" i="245" s="1"/>
  <c r="AR127" i="245" s="1"/>
  <c r="AS125" i="245"/>
  <c r="AS126" i="245" s="1"/>
  <c r="AS127" i="245" s="1"/>
  <c r="AT125" i="245"/>
  <c r="AT126" i="245" s="1"/>
  <c r="AT127" i="245" s="1"/>
  <c r="AU125" i="245"/>
  <c r="AU126" i="245" s="1"/>
  <c r="AU127" i="245" s="1"/>
  <c r="R149" i="245"/>
  <c r="S149" i="245"/>
  <c r="T149" i="245"/>
  <c r="U149" i="245"/>
  <c r="V149" i="245"/>
  <c r="W149" i="245"/>
  <c r="X149" i="245"/>
  <c r="Y149" i="245"/>
  <c r="Z149" i="245"/>
  <c r="AA149" i="245"/>
  <c r="AB149" i="245"/>
  <c r="AC149" i="245"/>
  <c r="AD149" i="245"/>
  <c r="AE149" i="245"/>
  <c r="AF149" i="245"/>
  <c r="AG149" i="245"/>
  <c r="AH149" i="245"/>
  <c r="AI149" i="245"/>
  <c r="AJ149" i="245"/>
  <c r="AK149" i="245"/>
  <c r="AL149" i="245"/>
  <c r="AM149" i="245"/>
  <c r="AN149" i="245"/>
  <c r="AO149" i="245"/>
  <c r="AP149" i="245"/>
  <c r="AQ149" i="245"/>
  <c r="AR149" i="245"/>
  <c r="AS149" i="245"/>
  <c r="AT149" i="245"/>
  <c r="AU149" i="245"/>
  <c r="R153" i="245"/>
  <c r="S153" i="245"/>
  <c r="T153" i="245"/>
  <c r="U153" i="245"/>
  <c r="V153" i="245"/>
  <c r="W153" i="245"/>
  <c r="X153" i="245"/>
  <c r="Y153" i="245"/>
  <c r="Z153" i="245"/>
  <c r="AA153" i="245"/>
  <c r="AB153" i="245"/>
  <c r="AC153" i="245"/>
  <c r="AD153" i="245"/>
  <c r="AE153" i="245"/>
  <c r="AF153" i="245"/>
  <c r="AG153" i="245"/>
  <c r="AH153" i="245"/>
  <c r="AI153" i="245"/>
  <c r="AJ153" i="245"/>
  <c r="AK153" i="245"/>
  <c r="AL153" i="245"/>
  <c r="AM153" i="245"/>
  <c r="AN153" i="245"/>
  <c r="AO153" i="245"/>
  <c r="AP153" i="245"/>
  <c r="AQ153" i="245"/>
  <c r="AR153" i="245"/>
  <c r="AS153" i="245"/>
  <c r="AT153" i="245"/>
  <c r="AU153" i="245"/>
  <c r="Q171" i="245"/>
  <c r="Q123" i="245"/>
  <c r="P125" i="245"/>
  <c r="P126" i="245" s="1"/>
  <c r="P127" i="245" s="1"/>
  <c r="Q125" i="245"/>
  <c r="Q126" i="245" s="1"/>
  <c r="Q127" i="245" s="1"/>
  <c r="P149" i="245"/>
  <c r="Q149" i="245"/>
  <c r="P153" i="245"/>
  <c r="Q153" i="245"/>
  <c r="H121" i="245"/>
  <c r="H171" i="245" s="1"/>
  <c r="I121" i="245"/>
  <c r="I171" i="245" s="1"/>
  <c r="J121" i="245"/>
  <c r="J171" i="245" s="1"/>
  <c r="K121" i="245"/>
  <c r="K171" i="245" s="1"/>
  <c r="L121" i="245"/>
  <c r="L171" i="245" s="1"/>
  <c r="M121" i="245"/>
  <c r="M171" i="245" s="1"/>
  <c r="N121" i="245"/>
  <c r="N171" i="245" s="1"/>
  <c r="O171" i="245"/>
  <c r="H122" i="245"/>
  <c r="H123" i="245" s="1"/>
  <c r="I122" i="245"/>
  <c r="I123" i="245" s="1"/>
  <c r="J122" i="245"/>
  <c r="J123" i="245" s="1"/>
  <c r="K122" i="245"/>
  <c r="K123" i="245" s="1"/>
  <c r="L122" i="245"/>
  <c r="L123" i="245" s="1"/>
  <c r="M122" i="245"/>
  <c r="M123" i="245" s="1"/>
  <c r="N122" i="245"/>
  <c r="N123" i="245" s="1"/>
  <c r="O123" i="245"/>
  <c r="H124" i="245"/>
  <c r="H125" i="245" s="1"/>
  <c r="H126" i="245" s="1"/>
  <c r="H127" i="245" s="1"/>
  <c r="I124" i="245"/>
  <c r="I125" i="245" s="1"/>
  <c r="I126" i="245" s="1"/>
  <c r="I127" i="245" s="1"/>
  <c r="J124" i="245"/>
  <c r="J125" i="245" s="1"/>
  <c r="J126" i="245" s="1"/>
  <c r="J127" i="245" s="1"/>
  <c r="K124" i="245"/>
  <c r="K125" i="245" s="1"/>
  <c r="K126" i="245" s="1"/>
  <c r="K127" i="245" s="1"/>
  <c r="L124" i="245"/>
  <c r="L125" i="245" s="1"/>
  <c r="L126" i="245" s="1"/>
  <c r="L127" i="245" s="1"/>
  <c r="M124" i="245"/>
  <c r="M125" i="245" s="1"/>
  <c r="M126" i="245" s="1"/>
  <c r="M127" i="245" s="1"/>
  <c r="N124" i="245"/>
  <c r="N125" i="245" s="1"/>
  <c r="N126" i="245" s="1"/>
  <c r="N127" i="245" s="1"/>
  <c r="O125" i="245"/>
  <c r="O126" i="245" s="1"/>
  <c r="O127" i="245" s="1"/>
  <c r="H149" i="245"/>
  <c r="I149" i="245"/>
  <c r="J149" i="245"/>
  <c r="K149" i="245"/>
  <c r="L149" i="245"/>
  <c r="M149" i="245"/>
  <c r="N149" i="245"/>
  <c r="I150" i="245"/>
  <c r="J150" i="245"/>
  <c r="K150" i="245"/>
  <c r="L150" i="245"/>
  <c r="M150" i="245"/>
  <c r="N150" i="245"/>
  <c r="I151" i="245"/>
  <c r="J151" i="245"/>
  <c r="K151" i="245"/>
  <c r="L151" i="245"/>
  <c r="M151" i="245"/>
  <c r="N151" i="245"/>
  <c r="I152" i="245"/>
  <c r="I153" i="245" s="1"/>
  <c r="J152" i="245"/>
  <c r="J153" i="245" s="1"/>
  <c r="K152" i="245"/>
  <c r="K153" i="245" s="1"/>
  <c r="L152" i="245"/>
  <c r="L153" i="245" s="1"/>
  <c r="M152" i="245"/>
  <c r="M153" i="245" s="1"/>
  <c r="N152" i="245"/>
  <c r="N153" i="245" s="1"/>
  <c r="O153" i="245"/>
  <c r="G133" i="245"/>
  <c r="G137" i="245" s="1"/>
  <c r="G129" i="245"/>
  <c r="G130" i="245" s="1"/>
  <c r="G124" i="245"/>
  <c r="G125" i="245" s="1"/>
  <c r="G126" i="245" s="1"/>
  <c r="G127" i="245" s="1"/>
  <c r="G138" i="245"/>
  <c r="G142" i="245"/>
  <c r="G143" i="245" s="1"/>
  <c r="G148" i="245" s="1"/>
  <c r="G171" i="245"/>
  <c r="G232" i="245"/>
  <c r="H232" i="245"/>
  <c r="G233" i="245"/>
  <c r="H233" i="245"/>
  <c r="G234" i="245"/>
  <c r="H234" i="245"/>
  <c r="G235" i="245"/>
  <c r="H235" i="245"/>
  <c r="G236" i="245"/>
  <c r="H236" i="245"/>
  <c r="G237" i="245"/>
  <c r="H237" i="245"/>
  <c r="G238" i="245"/>
  <c r="H238" i="245"/>
  <c r="G239" i="245"/>
  <c r="H239" i="245"/>
  <c r="G240" i="245"/>
  <c r="G151" i="245" s="1"/>
  <c r="H240" i="245"/>
  <c r="H151" i="245" s="1"/>
  <c r="G241" i="245"/>
  <c r="H241" i="245"/>
  <c r="G242" i="245"/>
  <c r="H242" i="245"/>
  <c r="G243" i="245"/>
  <c r="G152" i="245" s="1"/>
  <c r="G153" i="245" s="1"/>
  <c r="H243" i="245"/>
  <c r="H152" i="245" s="1"/>
  <c r="H153" i="245" s="1"/>
  <c r="G244" i="245"/>
  <c r="H244" i="245"/>
  <c r="H231" i="245"/>
  <c r="H150" i="245" s="1"/>
  <c r="G231" i="245"/>
  <c r="G150" i="245" s="1"/>
  <c r="E57" i="231"/>
  <c r="C57" i="245" s="1"/>
  <c r="E58" i="231"/>
  <c r="C58" i="245" s="1"/>
  <c r="E59" i="231"/>
  <c r="C59" i="245" s="1"/>
  <c r="E60" i="231"/>
  <c r="C60" i="245" s="1"/>
  <c r="E61" i="231"/>
  <c r="C61" i="245" s="1"/>
  <c r="E62" i="231"/>
  <c r="C62" i="245" s="1"/>
  <c r="E63" i="231"/>
  <c r="C63" i="245" s="1"/>
  <c r="E64" i="231"/>
  <c r="C64" i="245" s="1"/>
  <c r="E65" i="231"/>
  <c r="C65" i="245" s="1"/>
  <c r="E66" i="231"/>
  <c r="C66" i="245" s="1"/>
  <c r="E67" i="231"/>
  <c r="C67" i="245" s="1"/>
  <c r="E68" i="231"/>
  <c r="C68" i="245" s="1"/>
  <c r="E69" i="231"/>
  <c r="C69" i="245" s="1"/>
  <c r="E70" i="231"/>
  <c r="C70" i="245" s="1"/>
  <c r="E71" i="231"/>
  <c r="C71" i="245" s="1"/>
  <c r="E72" i="231"/>
  <c r="C72" i="245" s="1"/>
  <c r="E73" i="231"/>
  <c r="C73" i="245" s="1"/>
  <c r="E74" i="231"/>
  <c r="C74" i="245" s="1"/>
  <c r="E56" i="231"/>
  <c r="C56" i="245" s="1"/>
  <c r="D56" i="231"/>
  <c r="B56" i="245" s="1"/>
  <c r="E56" i="245" s="1"/>
  <c r="E206" i="245"/>
  <c r="G158" i="245" s="1"/>
  <c r="G159" i="245" s="1"/>
  <c r="E205" i="245"/>
  <c r="E204" i="245"/>
  <c r="AH156" i="245" s="1"/>
  <c r="E203" i="245"/>
  <c r="H155" i="245" s="1"/>
  <c r="E202" i="245"/>
  <c r="D192" i="245"/>
  <c r="D190" i="245"/>
  <c r="D189" i="245"/>
  <c r="D188" i="245"/>
  <c r="D187" i="245"/>
  <c r="D108" i="231"/>
  <c r="B108" i="245" s="1"/>
  <c r="D108" i="245" s="1"/>
  <c r="F108" i="245" s="1"/>
  <c r="E108" i="231"/>
  <c r="C108" i="245" s="1"/>
  <c r="D109" i="231"/>
  <c r="B109" i="245" s="1"/>
  <c r="D109" i="245" s="1"/>
  <c r="F109" i="245" s="1"/>
  <c r="E109" i="231"/>
  <c r="C109" i="245" s="1"/>
  <c r="D110" i="231"/>
  <c r="B110" i="245" s="1"/>
  <c r="D110" i="245" s="1"/>
  <c r="F110" i="245" s="1"/>
  <c r="E110" i="231"/>
  <c r="C110" i="245" s="1"/>
  <c r="D111" i="231"/>
  <c r="E111" i="231"/>
  <c r="C111" i="245" s="1"/>
  <c r="D84" i="231"/>
  <c r="B84" i="245" s="1"/>
  <c r="D84" i="245" s="1"/>
  <c r="F84" i="245" s="1"/>
  <c r="E84" i="231"/>
  <c r="C84" i="245" s="1"/>
  <c r="D85" i="231"/>
  <c r="B85" i="245" s="1"/>
  <c r="D85" i="245" s="1"/>
  <c r="F85" i="245" s="1"/>
  <c r="E85" i="231"/>
  <c r="C85" i="245" s="1"/>
  <c r="D86" i="231"/>
  <c r="B86" i="245" s="1"/>
  <c r="D86" i="245" s="1"/>
  <c r="F86" i="245" s="1"/>
  <c r="E86" i="231"/>
  <c r="C86" i="245" s="1"/>
  <c r="D87" i="231"/>
  <c r="B87" i="245" s="1"/>
  <c r="D87" i="245" s="1"/>
  <c r="F87" i="245" s="1"/>
  <c r="E87" i="231"/>
  <c r="C87" i="245" s="1"/>
  <c r="D88" i="231"/>
  <c r="B88" i="245" s="1"/>
  <c r="D88" i="245" s="1"/>
  <c r="F88" i="245" s="1"/>
  <c r="E88" i="231"/>
  <c r="C88" i="245" s="1"/>
  <c r="D89" i="231"/>
  <c r="B89" i="245" s="1"/>
  <c r="D89" i="245" s="1"/>
  <c r="F89" i="245" s="1"/>
  <c r="E89" i="231"/>
  <c r="C89" i="245" s="1"/>
  <c r="D90" i="231"/>
  <c r="B90" i="245" s="1"/>
  <c r="D90" i="245" s="1"/>
  <c r="F90" i="245" s="1"/>
  <c r="E90" i="231"/>
  <c r="C90" i="245" s="1"/>
  <c r="D91" i="231"/>
  <c r="B91" i="245" s="1"/>
  <c r="D91" i="245" s="1"/>
  <c r="F91" i="245" s="1"/>
  <c r="E91" i="231"/>
  <c r="C91" i="245" s="1"/>
  <c r="D92" i="231"/>
  <c r="B92" i="245" s="1"/>
  <c r="D92" i="245" s="1"/>
  <c r="F92" i="245" s="1"/>
  <c r="E92" i="231"/>
  <c r="C92" i="245" s="1"/>
  <c r="D93" i="231"/>
  <c r="B93" i="245" s="1"/>
  <c r="D93" i="245" s="1"/>
  <c r="F93" i="245" s="1"/>
  <c r="E93" i="231"/>
  <c r="C93" i="245" s="1"/>
  <c r="D94" i="231"/>
  <c r="B94" i="245" s="1"/>
  <c r="D94" i="245" s="1"/>
  <c r="F94" i="245" s="1"/>
  <c r="E94" i="231"/>
  <c r="C94" i="245" s="1"/>
  <c r="D95" i="231"/>
  <c r="B95" i="245" s="1"/>
  <c r="D95" i="245" s="1"/>
  <c r="F95" i="245" s="1"/>
  <c r="E95" i="231"/>
  <c r="C95" i="245" s="1"/>
  <c r="D96" i="231"/>
  <c r="B96" i="245" s="1"/>
  <c r="D96" i="245" s="1"/>
  <c r="F96" i="245" s="1"/>
  <c r="E96" i="231"/>
  <c r="C96" i="245" s="1"/>
  <c r="D97" i="231"/>
  <c r="B97" i="245" s="1"/>
  <c r="D97" i="245" s="1"/>
  <c r="F97" i="245" s="1"/>
  <c r="E97" i="231"/>
  <c r="C97" i="245" s="1"/>
  <c r="D98" i="231"/>
  <c r="B98" i="245" s="1"/>
  <c r="D98" i="245" s="1"/>
  <c r="F98" i="245" s="1"/>
  <c r="E98" i="231"/>
  <c r="C98" i="245" s="1"/>
  <c r="D99" i="231"/>
  <c r="B99" i="245" s="1"/>
  <c r="D99" i="245" s="1"/>
  <c r="F99" i="245" s="1"/>
  <c r="E99" i="231"/>
  <c r="C99" i="245" s="1"/>
  <c r="D100" i="231"/>
  <c r="B100" i="245" s="1"/>
  <c r="D100" i="245" s="1"/>
  <c r="F100" i="245" s="1"/>
  <c r="E100" i="231"/>
  <c r="C100" i="245" s="1"/>
  <c r="D101" i="231"/>
  <c r="B101" i="245" s="1"/>
  <c r="D101" i="245" s="1"/>
  <c r="F101" i="245" s="1"/>
  <c r="E101" i="231"/>
  <c r="C101" i="245" s="1"/>
  <c r="D102" i="231"/>
  <c r="B102" i="245" s="1"/>
  <c r="D102" i="245" s="1"/>
  <c r="F102" i="245" s="1"/>
  <c r="E102" i="231"/>
  <c r="C102" i="245" s="1"/>
  <c r="D103" i="231"/>
  <c r="B103" i="245" s="1"/>
  <c r="D103" i="245" s="1"/>
  <c r="F103" i="245" s="1"/>
  <c r="E103" i="231"/>
  <c r="C103" i="245" s="1"/>
  <c r="D104" i="231"/>
  <c r="B104" i="245" s="1"/>
  <c r="D104" i="245" s="1"/>
  <c r="F104" i="245" s="1"/>
  <c r="E104" i="231"/>
  <c r="C104" i="245" s="1"/>
  <c r="D105" i="231"/>
  <c r="B105" i="245" s="1"/>
  <c r="D105" i="245" s="1"/>
  <c r="F105" i="245" s="1"/>
  <c r="E105" i="231"/>
  <c r="C105" i="245" s="1"/>
  <c r="D106" i="231"/>
  <c r="B106" i="245" s="1"/>
  <c r="D106" i="245" s="1"/>
  <c r="F106" i="245" s="1"/>
  <c r="E106" i="231"/>
  <c r="C106" i="245" s="1"/>
  <c r="D107" i="231"/>
  <c r="B107" i="245" s="1"/>
  <c r="D107" i="245" s="1"/>
  <c r="F107" i="245" s="1"/>
  <c r="E107" i="231"/>
  <c r="C107" i="245" s="1"/>
  <c r="E76" i="231"/>
  <c r="C76" i="245" s="1"/>
  <c r="E77" i="231"/>
  <c r="C77" i="245" s="1"/>
  <c r="E78" i="231"/>
  <c r="C78" i="245" s="1"/>
  <c r="E79" i="231"/>
  <c r="C79" i="245" s="1"/>
  <c r="E80" i="231"/>
  <c r="C80" i="245" s="1"/>
  <c r="E81" i="231"/>
  <c r="C81" i="245" s="1"/>
  <c r="E82" i="231"/>
  <c r="C82" i="245" s="1"/>
  <c r="E83" i="231"/>
  <c r="C83" i="245" s="1"/>
  <c r="E75" i="231"/>
  <c r="C75" i="245" s="1"/>
  <c r="D75" i="231"/>
  <c r="B75" i="245" s="1"/>
  <c r="D75" i="245" s="1"/>
  <c r="F75" i="245" s="1"/>
  <c r="D76" i="231"/>
  <c r="B76" i="245" s="1"/>
  <c r="D76" i="245" s="1"/>
  <c r="F76" i="245" s="1"/>
  <c r="D77" i="231"/>
  <c r="B77" i="245" s="1"/>
  <c r="D77" i="245" s="1"/>
  <c r="F77" i="245" s="1"/>
  <c r="D78" i="231"/>
  <c r="B78" i="245" s="1"/>
  <c r="D78" i="245" s="1"/>
  <c r="F78" i="245" s="1"/>
  <c r="D79" i="231"/>
  <c r="B79" i="245" s="1"/>
  <c r="D79" i="245" s="1"/>
  <c r="F79" i="245" s="1"/>
  <c r="D80" i="231"/>
  <c r="B80" i="245" s="1"/>
  <c r="D80" i="245" s="1"/>
  <c r="F80" i="245" s="1"/>
  <c r="D81" i="231"/>
  <c r="B81" i="245" s="1"/>
  <c r="D81" i="245" s="1"/>
  <c r="F81" i="245" s="1"/>
  <c r="D82" i="231"/>
  <c r="B82" i="245" s="1"/>
  <c r="D82" i="245" s="1"/>
  <c r="F82" i="245" s="1"/>
  <c r="D83" i="231"/>
  <c r="B83" i="245" s="1"/>
  <c r="D83" i="245" s="1"/>
  <c r="F83" i="245" s="1"/>
  <c r="D57" i="231"/>
  <c r="B57" i="245" s="1"/>
  <c r="E57" i="245" s="1"/>
  <c r="F57" i="245" s="1"/>
  <c r="D58" i="231"/>
  <c r="B58" i="245" s="1"/>
  <c r="E58" i="245" s="1"/>
  <c r="F58" i="245" s="1"/>
  <c r="D59" i="231"/>
  <c r="B59" i="245" s="1"/>
  <c r="E59" i="245" s="1"/>
  <c r="F59" i="245" s="1"/>
  <c r="D60" i="231"/>
  <c r="B60" i="245" s="1"/>
  <c r="E60" i="245" s="1"/>
  <c r="F60" i="245" s="1"/>
  <c r="D61" i="231"/>
  <c r="B61" i="245" s="1"/>
  <c r="E61" i="245" s="1"/>
  <c r="F61" i="245" s="1"/>
  <c r="D62" i="231"/>
  <c r="B62" i="245" s="1"/>
  <c r="E62" i="245" s="1"/>
  <c r="F62" i="245" s="1"/>
  <c r="D63" i="231"/>
  <c r="B63" i="245" s="1"/>
  <c r="E63" i="245" s="1"/>
  <c r="F63" i="245" s="1"/>
  <c r="D64" i="231"/>
  <c r="B64" i="245" s="1"/>
  <c r="E64" i="245" s="1"/>
  <c r="F64" i="245" s="1"/>
  <c r="D65" i="231"/>
  <c r="B65" i="245" s="1"/>
  <c r="E65" i="245" s="1"/>
  <c r="F65" i="245" s="1"/>
  <c r="D66" i="231"/>
  <c r="B66" i="245" s="1"/>
  <c r="E66" i="245" s="1"/>
  <c r="F66" i="245" s="1"/>
  <c r="B67" i="245"/>
  <c r="B68" i="245"/>
  <c r="D69" i="231"/>
  <c r="B69" i="245" s="1"/>
  <c r="E69" i="245" s="1"/>
  <c r="F69" i="245" s="1"/>
  <c r="D70" i="231"/>
  <c r="B70" i="245" s="1"/>
  <c r="E70" i="245" s="1"/>
  <c r="F70" i="245" s="1"/>
  <c r="D71" i="231"/>
  <c r="B71" i="245" s="1"/>
  <c r="E71" i="245" s="1"/>
  <c r="F71" i="245" s="1"/>
  <c r="D72" i="231"/>
  <c r="B72" i="245" s="1"/>
  <c r="E72" i="245" s="1"/>
  <c r="D73" i="231"/>
  <c r="B73" i="245" s="1"/>
  <c r="E73" i="245" s="1"/>
  <c r="D74" i="231"/>
  <c r="B74" i="245" s="1"/>
  <c r="E74" i="245" s="1"/>
  <c r="D40" i="231"/>
  <c r="B40" i="245" s="1"/>
  <c r="E40" i="245" s="1"/>
  <c r="F40" i="245" s="1"/>
  <c r="E40" i="231"/>
  <c r="C40" i="245" s="1"/>
  <c r="D41" i="231"/>
  <c r="B41" i="245" s="1"/>
  <c r="E41" i="245" s="1"/>
  <c r="E41" i="231"/>
  <c r="C41" i="245" s="1"/>
  <c r="D42" i="231"/>
  <c r="B42" i="245" s="1"/>
  <c r="E42" i="245" s="1"/>
  <c r="F42" i="245" s="1"/>
  <c r="E42" i="231"/>
  <c r="C42" i="245" s="1"/>
  <c r="D43" i="231"/>
  <c r="B43" i="245" s="1"/>
  <c r="E43" i="245" s="1"/>
  <c r="F43" i="245" s="1"/>
  <c r="E43" i="231"/>
  <c r="C43" i="245" s="1"/>
  <c r="D44" i="231"/>
  <c r="B44" i="245" s="1"/>
  <c r="E44" i="245" s="1"/>
  <c r="F44" i="245" s="1"/>
  <c r="E44" i="231"/>
  <c r="C44" i="245" s="1"/>
  <c r="D45" i="231"/>
  <c r="B45" i="245" s="1"/>
  <c r="E45" i="245" s="1"/>
  <c r="E45" i="231"/>
  <c r="C45" i="245" s="1"/>
  <c r="D46" i="231"/>
  <c r="B46" i="245" s="1"/>
  <c r="E46" i="245" s="1"/>
  <c r="F46" i="245" s="1"/>
  <c r="E46" i="231"/>
  <c r="C46" i="245" s="1"/>
  <c r="D47" i="231"/>
  <c r="B47" i="245" s="1"/>
  <c r="E47" i="245" s="1"/>
  <c r="F47" i="245" s="1"/>
  <c r="E47" i="231"/>
  <c r="C47" i="245" s="1"/>
  <c r="D48" i="231"/>
  <c r="B48" i="245" s="1"/>
  <c r="E48" i="245" s="1"/>
  <c r="F48" i="245" s="1"/>
  <c r="E48" i="231"/>
  <c r="C48" i="245" s="1"/>
  <c r="D49" i="231"/>
  <c r="B49" i="245" s="1"/>
  <c r="E49" i="245" s="1"/>
  <c r="F49" i="245" s="1"/>
  <c r="E49" i="231"/>
  <c r="C49" i="245" s="1"/>
  <c r="D50" i="231"/>
  <c r="B50" i="245" s="1"/>
  <c r="E50" i="245" s="1"/>
  <c r="F50" i="245" s="1"/>
  <c r="E50" i="231"/>
  <c r="C50" i="245" s="1"/>
  <c r="D51" i="231"/>
  <c r="B51" i="245" s="1"/>
  <c r="E51" i="245" s="1"/>
  <c r="F51" i="245" s="1"/>
  <c r="E51" i="231"/>
  <c r="C51" i="245" s="1"/>
  <c r="D52" i="231"/>
  <c r="B52" i="245" s="1"/>
  <c r="E52" i="245" s="1"/>
  <c r="F52" i="245" s="1"/>
  <c r="E52" i="231"/>
  <c r="C52" i="245" s="1"/>
  <c r="D53" i="231"/>
  <c r="B53" i="245" s="1"/>
  <c r="E53" i="245" s="1"/>
  <c r="F53" i="245" s="1"/>
  <c r="E53" i="231"/>
  <c r="C53" i="245" s="1"/>
  <c r="D54" i="231"/>
  <c r="B54" i="245" s="1"/>
  <c r="E54" i="245" s="1"/>
  <c r="E54" i="231"/>
  <c r="C54" i="245" s="1"/>
  <c r="D55" i="231"/>
  <c r="B55" i="245" s="1"/>
  <c r="E55" i="245" s="1"/>
  <c r="F55" i="245" s="1"/>
  <c r="E55" i="231"/>
  <c r="C55" i="245" s="1"/>
  <c r="D7" i="231"/>
  <c r="B7" i="245" s="1"/>
  <c r="E7" i="245" s="1"/>
  <c r="G7" i="245" s="1"/>
  <c r="E7" i="231"/>
  <c r="C7" i="245" s="1"/>
  <c r="D8" i="231"/>
  <c r="B8" i="245" s="1"/>
  <c r="E8" i="245" s="1"/>
  <c r="E8" i="231"/>
  <c r="C8" i="245" s="1"/>
  <c r="D9" i="231"/>
  <c r="B9" i="245" s="1"/>
  <c r="E9" i="245" s="1"/>
  <c r="K9" i="245" s="1"/>
  <c r="E9" i="231"/>
  <c r="C9" i="245" s="1"/>
  <c r="D10" i="231"/>
  <c r="B10" i="245" s="1"/>
  <c r="E10" i="245" s="1"/>
  <c r="G10" i="245" s="1"/>
  <c r="E10" i="231"/>
  <c r="C10" i="245" s="1"/>
  <c r="D11" i="231"/>
  <c r="B11" i="245" s="1"/>
  <c r="E11" i="245" s="1"/>
  <c r="AS11" i="245" s="1"/>
  <c r="E11" i="231"/>
  <c r="C11" i="245" s="1"/>
  <c r="D12" i="231"/>
  <c r="B12" i="245" s="1"/>
  <c r="E12" i="245" s="1"/>
  <c r="F12" i="245" s="1"/>
  <c r="E12" i="231"/>
  <c r="C12" i="245" s="1"/>
  <c r="D13" i="231"/>
  <c r="B13" i="245" s="1"/>
  <c r="E13" i="245" s="1"/>
  <c r="E13" i="231"/>
  <c r="C13" i="245" s="1"/>
  <c r="D14" i="231"/>
  <c r="B14" i="245" s="1"/>
  <c r="E14" i="245" s="1"/>
  <c r="F14" i="245" s="1"/>
  <c r="E14" i="231"/>
  <c r="C14" i="245" s="1"/>
  <c r="D15" i="231"/>
  <c r="B15" i="245" s="1"/>
  <c r="E15" i="245" s="1"/>
  <c r="E15" i="231"/>
  <c r="C15" i="245" s="1"/>
  <c r="D16" i="231"/>
  <c r="B16" i="245" s="1"/>
  <c r="E16" i="245" s="1"/>
  <c r="E16" i="231"/>
  <c r="C16" i="245" s="1"/>
  <c r="D17" i="231"/>
  <c r="B17" i="245" s="1"/>
  <c r="E17" i="245" s="1"/>
  <c r="E17" i="231"/>
  <c r="C17" i="245" s="1"/>
  <c r="D18" i="231"/>
  <c r="B18" i="245" s="1"/>
  <c r="E18" i="245" s="1"/>
  <c r="E18" i="231"/>
  <c r="C18" i="245" s="1"/>
  <c r="D19" i="231"/>
  <c r="B19" i="245" s="1"/>
  <c r="E19" i="245" s="1"/>
  <c r="E19" i="231"/>
  <c r="C19" i="245" s="1"/>
  <c r="D20" i="231"/>
  <c r="B20" i="245" s="1"/>
  <c r="E20" i="245" s="1"/>
  <c r="F20" i="245" s="1"/>
  <c r="E20" i="231"/>
  <c r="C20" i="245" s="1"/>
  <c r="D21" i="231"/>
  <c r="B21" i="245" s="1"/>
  <c r="E21" i="245" s="1"/>
  <c r="E21" i="231"/>
  <c r="C21" i="245" s="1"/>
  <c r="D22" i="231"/>
  <c r="B22" i="245" s="1"/>
  <c r="E22" i="245" s="1"/>
  <c r="E22" i="231"/>
  <c r="C22" i="245" s="1"/>
  <c r="D23" i="231"/>
  <c r="B23" i="245" s="1"/>
  <c r="E23" i="245" s="1"/>
  <c r="E23" i="231"/>
  <c r="C23" i="245" s="1"/>
  <c r="D24" i="231"/>
  <c r="B24" i="245" s="1"/>
  <c r="E24" i="245" s="1"/>
  <c r="E24" i="231"/>
  <c r="C24" i="245" s="1"/>
  <c r="D25" i="231"/>
  <c r="B25" i="245" s="1"/>
  <c r="E25" i="245" s="1"/>
  <c r="F25" i="245" s="1"/>
  <c r="E25" i="231"/>
  <c r="C25" i="245" s="1"/>
  <c r="D26" i="231"/>
  <c r="B26" i="245" s="1"/>
  <c r="E26" i="231"/>
  <c r="C26" i="245" s="1"/>
  <c r="D27" i="231"/>
  <c r="B27" i="245" s="1"/>
  <c r="E27" i="245" s="1"/>
  <c r="E27" i="231"/>
  <c r="C27" i="245" s="1"/>
  <c r="D28" i="231"/>
  <c r="B28" i="245" s="1"/>
  <c r="E28" i="245" s="1"/>
  <c r="E28" i="231"/>
  <c r="C28" i="245" s="1"/>
  <c r="D29" i="231"/>
  <c r="B29" i="245" s="1"/>
  <c r="E29" i="245" s="1"/>
  <c r="E29" i="231"/>
  <c r="C29" i="245" s="1"/>
  <c r="D30" i="231"/>
  <c r="B30" i="245" s="1"/>
  <c r="E30" i="245" s="1"/>
  <c r="E30" i="231"/>
  <c r="C30" i="245" s="1"/>
  <c r="D31" i="231"/>
  <c r="B31" i="245" s="1"/>
  <c r="E31" i="245" s="1"/>
  <c r="E31" i="231"/>
  <c r="C31" i="245" s="1"/>
  <c r="D32" i="231"/>
  <c r="B32" i="245" s="1"/>
  <c r="E32" i="245" s="1"/>
  <c r="E32" i="231"/>
  <c r="C32" i="245" s="1"/>
  <c r="D33" i="231"/>
  <c r="B33" i="245" s="1"/>
  <c r="E33" i="245" s="1"/>
  <c r="E33" i="231"/>
  <c r="C33" i="245" s="1"/>
  <c r="D34" i="231"/>
  <c r="B34" i="245" s="1"/>
  <c r="E34" i="245" s="1"/>
  <c r="E34" i="231"/>
  <c r="C34" i="245" s="1"/>
  <c r="D35" i="231"/>
  <c r="B35" i="245" s="1"/>
  <c r="E35" i="245" s="1"/>
  <c r="E35" i="231"/>
  <c r="C35" i="245" s="1"/>
  <c r="D36" i="231"/>
  <c r="B36" i="245" s="1"/>
  <c r="E36" i="245" s="1"/>
  <c r="E36" i="231"/>
  <c r="C36" i="245" s="1"/>
  <c r="D37" i="231"/>
  <c r="B37" i="245" s="1"/>
  <c r="E37" i="245" s="1"/>
  <c r="E37" i="231"/>
  <c r="C37" i="245" s="1"/>
  <c r="D38" i="231"/>
  <c r="B38" i="245" s="1"/>
  <c r="E38" i="245" s="1"/>
  <c r="E38" i="231"/>
  <c r="C38" i="245" s="1"/>
  <c r="D39" i="231"/>
  <c r="B39" i="245" s="1"/>
  <c r="E39" i="245" s="1"/>
  <c r="F39" i="245" s="1"/>
  <c r="E39" i="231"/>
  <c r="C39" i="245" s="1"/>
  <c r="E6" i="231"/>
  <c r="C6" i="245" s="1"/>
  <c r="D6" i="231"/>
  <c r="B6" i="245" s="1"/>
  <c r="E6" i="245" s="1"/>
  <c r="X28" i="245" l="1"/>
  <c r="F28" i="245"/>
  <c r="AS27" i="245"/>
  <c r="F27" i="245"/>
  <c r="AJ13" i="245"/>
  <c r="F13" i="245"/>
  <c r="AB30" i="245"/>
  <c r="F30" i="245"/>
  <c r="H16" i="245"/>
  <c r="F16" i="245"/>
  <c r="G56" i="245"/>
  <c r="F56" i="245"/>
  <c r="AH29" i="245"/>
  <c r="F29" i="245"/>
  <c r="J38" i="245"/>
  <c r="F38" i="245"/>
  <c r="AN22" i="245"/>
  <c r="F22" i="245"/>
  <c r="H23" i="245"/>
  <c r="F23" i="245"/>
  <c r="N21" i="245"/>
  <c r="F21" i="245"/>
  <c r="AN15" i="245"/>
  <c r="F15" i="245"/>
  <c r="AC24" i="245"/>
  <c r="F24" i="245"/>
  <c r="AH36" i="245"/>
  <c r="F36" i="245"/>
  <c r="AC35" i="245"/>
  <c r="F35" i="245"/>
  <c r="K34" i="245"/>
  <c r="F34" i="245"/>
  <c r="AA41" i="245"/>
  <c r="F41" i="245"/>
  <c r="K37" i="245"/>
  <c r="F37" i="245"/>
  <c r="AN45" i="245"/>
  <c r="F45" i="245"/>
  <c r="J33" i="245"/>
  <c r="F33" i="245"/>
  <c r="AL54" i="245"/>
  <c r="F54" i="245"/>
  <c r="AM74" i="245"/>
  <c r="F74" i="245"/>
  <c r="AJ19" i="245"/>
  <c r="F19" i="245"/>
  <c r="AL32" i="245"/>
  <c r="F32" i="245"/>
  <c r="AB18" i="245"/>
  <c r="F18" i="245"/>
  <c r="Z73" i="245"/>
  <c r="F73" i="245"/>
  <c r="K72" i="245"/>
  <c r="F72" i="245"/>
  <c r="AH17" i="245"/>
  <c r="F17" i="245"/>
  <c r="AI31" i="245"/>
  <c r="F31" i="245"/>
  <c r="G139" i="245"/>
  <c r="G140" i="245" s="1"/>
  <c r="G141" i="245"/>
  <c r="AO157" i="245"/>
  <c r="G157" i="245"/>
  <c r="H12" i="245"/>
  <c r="F149" i="245"/>
  <c r="F145" i="245"/>
  <c r="AS47" i="245"/>
  <c r="P39" i="245"/>
  <c r="K8" i="245"/>
  <c r="U49" i="245"/>
  <c r="U50" i="245" s="1"/>
  <c r="L58" i="245"/>
  <c r="AT46" i="245"/>
  <c r="T169" i="245"/>
  <c r="T170" i="245"/>
  <c r="O169" i="245"/>
  <c r="O170" i="245"/>
  <c r="AU169" i="245"/>
  <c r="AU170" i="245"/>
  <c r="S169" i="245"/>
  <c r="S170" i="245"/>
  <c r="N169" i="245"/>
  <c r="N170" i="245"/>
  <c r="AT169" i="245"/>
  <c r="AT170" i="245"/>
  <c r="R169" i="245"/>
  <c r="R61" i="245" s="1"/>
  <c r="R170" i="245"/>
  <c r="M169" i="245"/>
  <c r="M61" i="245" s="1"/>
  <c r="M170" i="245"/>
  <c r="AS169" i="245"/>
  <c r="AS170" i="245"/>
  <c r="L169" i="245"/>
  <c r="L170" i="245"/>
  <c r="AR169" i="245"/>
  <c r="AR170" i="245"/>
  <c r="AR6" i="245" s="1"/>
  <c r="K169" i="245"/>
  <c r="K170" i="245"/>
  <c r="AQ169" i="245"/>
  <c r="AQ170" i="245"/>
  <c r="J169" i="245"/>
  <c r="J170" i="245"/>
  <c r="AP169" i="245"/>
  <c r="AP170" i="245"/>
  <c r="I169" i="245"/>
  <c r="I170" i="245"/>
  <c r="AO169" i="245"/>
  <c r="AO170" i="245"/>
  <c r="AN169" i="245"/>
  <c r="AN170" i="245"/>
  <c r="AM169" i="245"/>
  <c r="AM170" i="245"/>
  <c r="H169" i="245"/>
  <c r="H170" i="245"/>
  <c r="T6" i="245"/>
  <c r="AL169" i="245"/>
  <c r="AL170" i="245"/>
  <c r="AL6" i="245" s="1"/>
  <c r="AK169" i="245"/>
  <c r="AK170" i="245"/>
  <c r="AJ169" i="245"/>
  <c r="AJ170" i="245"/>
  <c r="AJ6" i="245" s="1"/>
  <c r="AI169" i="245"/>
  <c r="AI61" i="245" s="1"/>
  <c r="AI170" i="245"/>
  <c r="AI6" i="245" s="1"/>
  <c r="AH169" i="245"/>
  <c r="AH170" i="245"/>
  <c r="AH6" i="245" s="1"/>
  <c r="AG169" i="245"/>
  <c r="AG170" i="245"/>
  <c r="Q169" i="245"/>
  <c r="Q170" i="245"/>
  <c r="AF169" i="245"/>
  <c r="AF170" i="245"/>
  <c r="P169" i="245"/>
  <c r="P170" i="245"/>
  <c r="AE169" i="245"/>
  <c r="AE170" i="245"/>
  <c r="AD169" i="245"/>
  <c r="AD170" i="245"/>
  <c r="AC169" i="245"/>
  <c r="AC170" i="245"/>
  <c r="AB169" i="245"/>
  <c r="AB170" i="245"/>
  <c r="AA169" i="245"/>
  <c r="AA170" i="245"/>
  <c r="Z169" i="245"/>
  <c r="Z170" i="245"/>
  <c r="Z6" i="245" s="1"/>
  <c r="Y169" i="245"/>
  <c r="Y170" i="245"/>
  <c r="X169" i="245"/>
  <c r="X170" i="245"/>
  <c r="X6" i="245" s="1"/>
  <c r="W169" i="245"/>
  <c r="W170" i="245"/>
  <c r="W6" i="245" s="1"/>
  <c r="V169" i="245"/>
  <c r="V61" i="245" s="1"/>
  <c r="V170" i="245"/>
  <c r="V6" i="245" s="1"/>
  <c r="U169" i="245"/>
  <c r="U170" i="245"/>
  <c r="S40" i="245"/>
  <c r="G170" i="245"/>
  <c r="G169" i="245"/>
  <c r="G166" i="245"/>
  <c r="G165" i="245"/>
  <c r="G131" i="245"/>
  <c r="G132" i="245"/>
  <c r="G134" i="245"/>
  <c r="G135" i="245" s="1"/>
  <c r="G136" i="245" s="1"/>
  <c r="G79" i="245"/>
  <c r="B111" i="245"/>
  <c r="D111" i="245" s="1"/>
  <c r="AO111" i="245" s="1"/>
  <c r="G77" i="245"/>
  <c r="G76" i="245"/>
  <c r="G75" i="245"/>
  <c r="G80" i="245"/>
  <c r="G78" i="245"/>
  <c r="AG111" i="245"/>
  <c r="AJ111" i="245"/>
  <c r="AH111" i="245"/>
  <c r="H111" i="245"/>
  <c r="AI111" i="245"/>
  <c r="AK111" i="245"/>
  <c r="AR111" i="245"/>
  <c r="Q111" i="245"/>
  <c r="AS111" i="245"/>
  <c r="Z111" i="245"/>
  <c r="L111" i="245"/>
  <c r="AP111" i="245"/>
  <c r="AU111" i="245"/>
  <c r="T111" i="245"/>
  <c r="Y111" i="245"/>
  <c r="AE111" i="245"/>
  <c r="AQ111" i="245"/>
  <c r="W111" i="245"/>
  <c r="AD111" i="245"/>
  <c r="O111" i="245"/>
  <c r="V111" i="245"/>
  <c r="AL111" i="245"/>
  <c r="AM111" i="245"/>
  <c r="AA111" i="245"/>
  <c r="AC111" i="245"/>
  <c r="K111" i="245"/>
  <c r="P110" i="245"/>
  <c r="AR110" i="245"/>
  <c r="Q110" i="245"/>
  <c r="AS110" i="245"/>
  <c r="AT110" i="245"/>
  <c r="R110" i="245"/>
  <c r="S110" i="245"/>
  <c r="AU110" i="245"/>
  <c r="T110" i="245"/>
  <c r="U110" i="245"/>
  <c r="AA110" i="245"/>
  <c r="AB110" i="245"/>
  <c r="AC110" i="245"/>
  <c r="Z110" i="245"/>
  <c r="AD110" i="245"/>
  <c r="AE110" i="245"/>
  <c r="AF110" i="245"/>
  <c r="J110" i="245"/>
  <c r="AL110" i="245"/>
  <c r="O110" i="245"/>
  <c r="V110" i="245"/>
  <c r="Y110" i="245"/>
  <c r="AG110" i="245"/>
  <c r="AO110" i="245"/>
  <c r="N110" i="245"/>
  <c r="X110" i="245"/>
  <c r="AH110" i="245"/>
  <c r="AI110" i="245"/>
  <c r="AK110" i="245"/>
  <c r="AP110" i="245"/>
  <c r="H110" i="245"/>
  <c r="AJ110" i="245"/>
  <c r="W110" i="245"/>
  <c r="I110" i="245"/>
  <c r="K110" i="245"/>
  <c r="AM110" i="245"/>
  <c r="AN110" i="245"/>
  <c r="M110" i="245"/>
  <c r="AQ110" i="245"/>
  <c r="L110" i="245"/>
  <c r="AB109" i="245"/>
  <c r="AC109" i="245"/>
  <c r="AD109" i="245"/>
  <c r="AG109" i="245"/>
  <c r="I109" i="245"/>
  <c r="J109" i="245"/>
  <c r="AE109" i="245"/>
  <c r="AF109" i="245"/>
  <c r="AL109" i="245"/>
  <c r="AK109" i="245"/>
  <c r="L109" i="245"/>
  <c r="AN109" i="245"/>
  <c r="M109" i="245"/>
  <c r="AO109" i="245"/>
  <c r="N109" i="245"/>
  <c r="AP109" i="245"/>
  <c r="O109" i="245"/>
  <c r="AQ109" i="245"/>
  <c r="AM109" i="245"/>
  <c r="P109" i="245"/>
  <c r="AR109" i="245"/>
  <c r="AU109" i="245"/>
  <c r="V109" i="245"/>
  <c r="Y109" i="245"/>
  <c r="AI109" i="245"/>
  <c r="AJ109" i="245"/>
  <c r="Q109" i="245"/>
  <c r="AS109" i="245"/>
  <c r="S109" i="245"/>
  <c r="R109" i="245"/>
  <c r="AT109" i="245"/>
  <c r="AH109" i="245"/>
  <c r="K109" i="245"/>
  <c r="T109" i="245"/>
  <c r="U109" i="245"/>
  <c r="W109" i="245"/>
  <c r="X109" i="245"/>
  <c r="Z109" i="245"/>
  <c r="AA109" i="245"/>
  <c r="H109" i="245"/>
  <c r="G84" i="245"/>
  <c r="G83" i="245"/>
  <c r="G82" i="245"/>
  <c r="G81" i="245"/>
  <c r="O158" i="245"/>
  <c r="O159" i="245" s="1"/>
  <c r="O44" i="245" s="1"/>
  <c r="G44" i="245"/>
  <c r="G149" i="245"/>
  <c r="G67" i="245" s="1"/>
  <c r="G33" i="245"/>
  <c r="AP59" i="245"/>
  <c r="H25" i="245"/>
  <c r="H57" i="245"/>
  <c r="H52" i="245"/>
  <c r="H20" i="245"/>
  <c r="L48" i="245"/>
  <c r="G14" i="245"/>
  <c r="AT54" i="245"/>
  <c r="I54" i="245"/>
  <c r="AU28" i="245"/>
  <c r="AN28" i="245"/>
  <c r="AM28" i="245"/>
  <c r="AF28" i="245"/>
  <c r="I28" i="245"/>
  <c r="AD48" i="245"/>
  <c r="AC14" i="245"/>
  <c r="V48" i="245"/>
  <c r="X14" i="245"/>
  <c r="U48" i="245"/>
  <c r="N48" i="245"/>
  <c r="M48" i="245"/>
  <c r="S45" i="245"/>
  <c r="L49" i="245"/>
  <c r="L50" i="245" s="1"/>
  <c r="AN158" i="245"/>
  <c r="AP35" i="245"/>
  <c r="AT14" i="245"/>
  <c r="R14" i="245"/>
  <c r="AC158" i="245"/>
  <c r="AJ35" i="245"/>
  <c r="AB158" i="245"/>
  <c r="AI35" i="245"/>
  <c r="J57" i="245"/>
  <c r="X158" i="245"/>
  <c r="X159" i="245" s="1"/>
  <c r="AA35" i="245"/>
  <c r="AM157" i="245"/>
  <c r="AM42" i="245" s="1"/>
  <c r="Y35" i="245"/>
  <c r="AP14" i="245"/>
  <c r="AG157" i="245"/>
  <c r="AG42" i="245" s="1"/>
  <c r="U35" i="245"/>
  <c r="AN21" i="245"/>
  <c r="X123" i="245"/>
  <c r="P157" i="245"/>
  <c r="AR33" i="245"/>
  <c r="V16" i="245"/>
  <c r="J157" i="245"/>
  <c r="J42" i="245" s="1"/>
  <c r="AQ33" i="245"/>
  <c r="AB7" i="245"/>
  <c r="H157" i="245"/>
  <c r="AH33" i="245"/>
  <c r="S57" i="245"/>
  <c r="P14" i="245"/>
  <c r="AR156" i="245"/>
  <c r="AR53" i="245" s="1"/>
  <c r="AC33" i="245"/>
  <c r="U156" i="245"/>
  <c r="U53" i="245" s="1"/>
  <c r="S33" i="245"/>
  <c r="S156" i="245"/>
  <c r="S53" i="245" s="1"/>
  <c r="O33" i="245"/>
  <c r="AT123" i="245"/>
  <c r="AT68" i="245" s="1"/>
  <c r="R123" i="245"/>
  <c r="R68" i="245" s="1"/>
  <c r="K156" i="245"/>
  <c r="I33" i="245"/>
  <c r="S155" i="245"/>
  <c r="S63" i="245" s="1"/>
  <c r="U29" i="245"/>
  <c r="P123" i="245"/>
  <c r="P68" i="245" s="1"/>
  <c r="R155" i="245"/>
  <c r="R63" i="245" s="1"/>
  <c r="R29" i="245"/>
  <c r="H29" i="245"/>
  <c r="AP123" i="245"/>
  <c r="AT25" i="245"/>
  <c r="AO11" i="245"/>
  <c r="AK14" i="245"/>
  <c r="W158" i="245"/>
  <c r="W159" i="245" s="1"/>
  <c r="M39" i="245"/>
  <c r="T35" i="245"/>
  <c r="H33" i="245"/>
  <c r="AE28" i="245"/>
  <c r="AS25" i="245"/>
  <c r="AL21" i="245"/>
  <c r="AN11" i="245"/>
  <c r="Y7" i="245"/>
  <c r="I57" i="245"/>
  <c r="N158" i="245"/>
  <c r="G29" i="245"/>
  <c r="AP40" i="245"/>
  <c r="L39" i="245"/>
  <c r="S35" i="245"/>
  <c r="AQ30" i="245"/>
  <c r="AC28" i="245"/>
  <c r="AR25" i="245"/>
  <c r="AK21" i="245"/>
  <c r="AK11" i="245"/>
  <c r="X7" i="245"/>
  <c r="L158" i="245"/>
  <c r="AU39" i="245"/>
  <c r="K39" i="245"/>
  <c r="R35" i="245"/>
  <c r="AU29" i="245"/>
  <c r="AB28" i="245"/>
  <c r="AQ25" i="245"/>
  <c r="AG21" i="245"/>
  <c r="AJ11" i="245"/>
  <c r="V7" i="245"/>
  <c r="G39" i="245"/>
  <c r="O39" i="245"/>
  <c r="K158" i="245"/>
  <c r="G25" i="245"/>
  <c r="AT39" i="245"/>
  <c r="J39" i="245"/>
  <c r="Q35" i="245"/>
  <c r="AR29" i="245"/>
  <c r="AA28" i="245"/>
  <c r="AN25" i="245"/>
  <c r="AF21" i="245"/>
  <c r="AF11" i="245"/>
  <c r="U7" i="245"/>
  <c r="J158" i="245"/>
  <c r="G19" i="245"/>
  <c r="AS39" i="245"/>
  <c r="I39" i="245"/>
  <c r="P35" i="245"/>
  <c r="AM29" i="245"/>
  <c r="W28" i="245"/>
  <c r="AF25" i="245"/>
  <c r="AC21" i="245"/>
  <c r="AE11" i="245"/>
  <c r="T7" i="245"/>
  <c r="AF14" i="245"/>
  <c r="AQ157" i="245"/>
  <c r="G15" i="245"/>
  <c r="AR39" i="245"/>
  <c r="H39" i="245"/>
  <c r="O35" i="245"/>
  <c r="AK29" i="245"/>
  <c r="V28" i="245"/>
  <c r="AE25" i="245"/>
  <c r="AB21" i="245"/>
  <c r="AD11" i="245"/>
  <c r="S7" i="245"/>
  <c r="AQ39" i="245"/>
  <c r="AO38" i="245"/>
  <c r="N35" i="245"/>
  <c r="AJ29" i="245"/>
  <c r="T28" i="245"/>
  <c r="AB25" i="245"/>
  <c r="X21" i="245"/>
  <c r="AB11" i="245"/>
  <c r="R7" i="245"/>
  <c r="W21" i="245"/>
  <c r="P7" i="245"/>
  <c r="AA25" i="245"/>
  <c r="AF157" i="245"/>
  <c r="AN54" i="245"/>
  <c r="AN39" i="245"/>
  <c r="AC36" i="245"/>
  <c r="K35" i="245"/>
  <c r="AC29" i="245"/>
  <c r="R28" i="245"/>
  <c r="Z25" i="245"/>
  <c r="V21" i="245"/>
  <c r="W11" i="245"/>
  <c r="I7" i="245"/>
  <c r="AO39" i="245"/>
  <c r="AH37" i="245"/>
  <c r="L35" i="245"/>
  <c r="AD29" i="245"/>
  <c r="S28" i="245"/>
  <c r="X11" i="245"/>
  <c r="J48" i="245"/>
  <c r="AB14" i="245"/>
  <c r="Z157" i="245"/>
  <c r="AM54" i="245"/>
  <c r="AM39" i="245"/>
  <c r="AU35" i="245"/>
  <c r="J35" i="245"/>
  <c r="Z29" i="245"/>
  <c r="Q28" i="245"/>
  <c r="Y25" i="245"/>
  <c r="T21" i="245"/>
  <c r="T11" i="245"/>
  <c r="H7" i="245"/>
  <c r="U157" i="245"/>
  <c r="AL39" i="245"/>
  <c r="AT35" i="245"/>
  <c r="I35" i="245"/>
  <c r="Y29" i="245"/>
  <c r="P28" i="245"/>
  <c r="X25" i="245"/>
  <c r="P21" i="245"/>
  <c r="R11" i="245"/>
  <c r="G58" i="245"/>
  <c r="AK39" i="245"/>
  <c r="AS35" i="245"/>
  <c r="H35" i="245"/>
  <c r="X29" i="245"/>
  <c r="N28" i="245"/>
  <c r="V25" i="245"/>
  <c r="O21" i="245"/>
  <c r="Q11" i="245"/>
  <c r="G57" i="245"/>
  <c r="L157" i="245"/>
  <c r="L42" i="245" s="1"/>
  <c r="AJ39" i="245"/>
  <c r="AR35" i="245"/>
  <c r="AT33" i="245"/>
  <c r="W29" i="245"/>
  <c r="J28" i="245"/>
  <c r="U25" i="245"/>
  <c r="L21" i="245"/>
  <c r="P11" i="245"/>
  <c r="AT58" i="245"/>
  <c r="AI39" i="245"/>
  <c r="T25" i="245"/>
  <c r="J21" i="245"/>
  <c r="O11" i="245"/>
  <c r="AN58" i="245"/>
  <c r="AF39" i="245"/>
  <c r="AO35" i="245"/>
  <c r="V27" i="245"/>
  <c r="P25" i="245"/>
  <c r="I21" i="245"/>
  <c r="L11" i="245"/>
  <c r="AK58" i="245"/>
  <c r="V14" i="245"/>
  <c r="O49" i="245"/>
  <c r="O50" i="245" s="1"/>
  <c r="AE39" i="245"/>
  <c r="AN35" i="245"/>
  <c r="AN33" i="245"/>
  <c r="Q29" i="245"/>
  <c r="O25" i="245"/>
  <c r="H21" i="245"/>
  <c r="K11" i="245"/>
  <c r="AJ58" i="245"/>
  <c r="U14" i="245"/>
  <c r="AQ156" i="245"/>
  <c r="AQ64" i="245" s="1"/>
  <c r="AM48" i="245"/>
  <c r="AD39" i="245"/>
  <c r="AM35" i="245"/>
  <c r="AM33" i="245"/>
  <c r="L29" i="245"/>
  <c r="L25" i="245"/>
  <c r="AK19" i="245"/>
  <c r="I11" i="245"/>
  <c r="AI58" i="245"/>
  <c r="T14" i="245"/>
  <c r="AM156" i="245"/>
  <c r="AM64" i="245" s="1"/>
  <c r="AJ48" i="245"/>
  <c r="AC39" i="245"/>
  <c r="AL35" i="245"/>
  <c r="AI33" i="245"/>
  <c r="J29" i="245"/>
  <c r="K25" i="245"/>
  <c r="V8" i="245"/>
  <c r="Z58" i="245"/>
  <c r="AB39" i="245"/>
  <c r="I25" i="245"/>
  <c r="AT7" i="245"/>
  <c r="Y58" i="245"/>
  <c r="Z39" i="245"/>
  <c r="AN14" i="245"/>
  <c r="AS7" i="245"/>
  <c r="AU57" i="245"/>
  <c r="AS14" i="245"/>
  <c r="AM158" i="245"/>
  <c r="AM159" i="245" s="1"/>
  <c r="AM44" i="245" s="1"/>
  <c r="Y39" i="245"/>
  <c r="AE35" i="245"/>
  <c r="AB33" i="245"/>
  <c r="AT28" i="245"/>
  <c r="K24" i="245"/>
  <c r="AI14" i="245"/>
  <c r="AO7" i="245"/>
  <c r="AK57" i="245"/>
  <c r="AD158" i="245"/>
  <c r="AD159" i="245" s="1"/>
  <c r="AJ155" i="245"/>
  <c r="AJ52" i="245" s="1"/>
  <c r="X39" i="245"/>
  <c r="AD35" i="245"/>
  <c r="AA33" i="245"/>
  <c r="AR28" i="245"/>
  <c r="AH22" i="245"/>
  <c r="S14" i="245"/>
  <c r="AN7" i="245"/>
  <c r="AI57" i="245"/>
  <c r="V39" i="245"/>
  <c r="AT21" i="245"/>
  <c r="L14" i="245"/>
  <c r="AM7" i="245"/>
  <c r="AG57" i="245"/>
  <c r="AS21" i="245"/>
  <c r="J14" i="245"/>
  <c r="AK7" i="245"/>
  <c r="AD57" i="245"/>
  <c r="U39" i="245"/>
  <c r="AO14" i="245"/>
  <c r="AA158" i="245"/>
  <c r="AA159" i="245" s="1"/>
  <c r="K155" i="245"/>
  <c r="K52" i="245" s="1"/>
  <c r="V47" i="245"/>
  <c r="R39" i="245"/>
  <c r="X35" i="245"/>
  <c r="N33" i="245"/>
  <c r="AJ28" i="245"/>
  <c r="AR21" i="245"/>
  <c r="AJ12" i="245"/>
  <c r="AJ7" i="245"/>
  <c r="X57" i="245"/>
  <c r="Z158" i="245"/>
  <c r="G45" i="245"/>
  <c r="W46" i="245"/>
  <c r="Q39" i="245"/>
  <c r="W35" i="245"/>
  <c r="L33" i="245"/>
  <c r="AI28" i="245"/>
  <c r="AQ21" i="245"/>
  <c r="AT11" i="245"/>
  <c r="AG7" i="245"/>
  <c r="U57" i="245"/>
  <c r="G42" i="245"/>
  <c r="Y158" i="245"/>
  <c r="G41" i="245"/>
  <c r="R46" i="245"/>
  <c r="V35" i="245"/>
  <c r="AG28" i="245"/>
  <c r="AP21" i="245"/>
  <c r="AF7" i="245"/>
  <c r="T57" i="245"/>
  <c r="U55" i="245"/>
  <c r="V55" i="245"/>
  <c r="W55" i="245"/>
  <c r="X55" i="245"/>
  <c r="Y55" i="245"/>
  <c r="AI55" i="245"/>
  <c r="H55" i="245"/>
  <c r="AJ55" i="245"/>
  <c r="I55" i="245"/>
  <c r="AK55" i="245"/>
  <c r="J55" i="245"/>
  <c r="AL55" i="245"/>
  <c r="K55" i="245"/>
  <c r="AM55" i="245"/>
  <c r="L55" i="245"/>
  <c r="AN55" i="245"/>
  <c r="M55" i="245"/>
  <c r="AO55" i="245"/>
  <c r="N55" i="245"/>
  <c r="AP55" i="245"/>
  <c r="R55" i="245"/>
  <c r="AT55" i="245"/>
  <c r="AQ55" i="245"/>
  <c r="AR55" i="245"/>
  <c r="AS55" i="245"/>
  <c r="AU55" i="245"/>
  <c r="O55" i="245"/>
  <c r="P55" i="245"/>
  <c r="Q55" i="245"/>
  <c r="S55" i="245"/>
  <c r="G55" i="245"/>
  <c r="T55" i="245"/>
  <c r="Z55" i="245"/>
  <c r="AA55" i="245"/>
  <c r="AB55" i="245"/>
  <c r="AC55" i="245"/>
  <c r="AD55" i="245"/>
  <c r="AE55" i="245"/>
  <c r="AF55" i="245"/>
  <c r="AG55" i="245"/>
  <c r="I18" i="245"/>
  <c r="AC6" i="245"/>
  <c r="M54" i="245"/>
  <c r="AO54" i="245"/>
  <c r="P54" i="245"/>
  <c r="AR54" i="245"/>
  <c r="AA54" i="245"/>
  <c r="AB54" i="245"/>
  <c r="AE54" i="245"/>
  <c r="AF54" i="245"/>
  <c r="AI54" i="245"/>
  <c r="AI155" i="245"/>
  <c r="AI63" i="245" s="1"/>
  <c r="AS54" i="245"/>
  <c r="H54" i="245"/>
  <c r="S49" i="245"/>
  <c r="S50" i="245" s="1"/>
  <c r="T47" i="245"/>
  <c r="V46" i="245"/>
  <c r="Q45" i="245"/>
  <c r="AO40" i="245"/>
  <c r="AN38" i="245"/>
  <c r="AG37" i="245"/>
  <c r="AB36" i="245"/>
  <c r="V34" i="245"/>
  <c r="I32" i="245"/>
  <c r="AP30" i="245"/>
  <c r="Q27" i="245"/>
  <c r="J24" i="245"/>
  <c r="AG22" i="245"/>
  <c r="AR17" i="245"/>
  <c r="S16" i="245"/>
  <c r="AG12" i="245"/>
  <c r="T8" i="245"/>
  <c r="U6" i="245"/>
  <c r="V33" i="245"/>
  <c r="AD33" i="245"/>
  <c r="AG33" i="245"/>
  <c r="AJ33" i="245"/>
  <c r="AK33" i="245"/>
  <c r="K33" i="245"/>
  <c r="AO33" i="245"/>
  <c r="Q33" i="245"/>
  <c r="AU33" i="245"/>
  <c r="R33" i="245"/>
  <c r="U33" i="245"/>
  <c r="W33" i="245"/>
  <c r="X33" i="245"/>
  <c r="Z33" i="245"/>
  <c r="AI19" i="245"/>
  <c r="U19" i="245"/>
  <c r="V19" i="245"/>
  <c r="W19" i="245"/>
  <c r="Z19" i="245"/>
  <c r="AD19" i="245"/>
  <c r="AM19" i="245"/>
  <c r="H19" i="245"/>
  <c r="AP19" i="245"/>
  <c r="I19" i="245"/>
  <c r="AQ19" i="245"/>
  <c r="K19" i="245"/>
  <c r="AS19" i="245"/>
  <c r="M19" i="245"/>
  <c r="AU19" i="245"/>
  <c r="O19" i="245"/>
  <c r="S19" i="245"/>
  <c r="X19" i="245"/>
  <c r="T19" i="245"/>
  <c r="AA19" i="245"/>
  <c r="AB19" i="245"/>
  <c r="AC19" i="245"/>
  <c r="AF19" i="245"/>
  <c r="AU156" i="245"/>
  <c r="AU64" i="245" s="1"/>
  <c r="AF155" i="245"/>
  <c r="AF52" i="245" s="1"/>
  <c r="AQ54" i="245"/>
  <c r="R49" i="245"/>
  <c r="R50" i="245" s="1"/>
  <c r="R48" i="245"/>
  <c r="S47" i="245"/>
  <c r="U46" i="245"/>
  <c r="P45" i="245"/>
  <c r="AU41" i="245"/>
  <c r="AL40" i="245"/>
  <c r="AM38" i="245"/>
  <c r="AE37" i="245"/>
  <c r="Z36" i="245"/>
  <c r="U34" i="245"/>
  <c r="M33" i="245"/>
  <c r="H32" i="245"/>
  <c r="AN30" i="245"/>
  <c r="P27" i="245"/>
  <c r="H24" i="245"/>
  <c r="AF22" i="245"/>
  <c r="AH19" i="245"/>
  <c r="AQ17" i="245"/>
  <c r="R16" i="245"/>
  <c r="AF12" i="245"/>
  <c r="AR10" i="245"/>
  <c r="O8" i="245"/>
  <c r="AT156" i="245"/>
  <c r="AT53" i="245" s="1"/>
  <c r="W155" i="245"/>
  <c r="W52" i="245" s="1"/>
  <c r="AP54" i="245"/>
  <c r="P49" i="245"/>
  <c r="P50" i="245" s="1"/>
  <c r="Q48" i="245"/>
  <c r="R47" i="245"/>
  <c r="T46" i="245"/>
  <c r="O45" i="245"/>
  <c r="AS41" i="245"/>
  <c r="AK40" i="245"/>
  <c r="AL38" i="245"/>
  <c r="AC37" i="245"/>
  <c r="U36" i="245"/>
  <c r="T34" i="245"/>
  <c r="AU31" i="245"/>
  <c r="AM30" i="245"/>
  <c r="M27" i="245"/>
  <c r="AR23" i="245"/>
  <c r="AC22" i="245"/>
  <c r="AG19" i="245"/>
  <c r="AP17" i="245"/>
  <c r="P16" i="245"/>
  <c r="AE12" i="245"/>
  <c r="AQ10" i="245"/>
  <c r="N8" i="245"/>
  <c r="Q47" i="245"/>
  <c r="N45" i="245"/>
  <c r="AQ41" i="245"/>
  <c r="AJ40" i="245"/>
  <c r="AJ38" i="245"/>
  <c r="AB37" i="245"/>
  <c r="T36" i="245"/>
  <c r="S34" i="245"/>
  <c r="AR31" i="245"/>
  <c r="AK30" i="245"/>
  <c r="L27" i="245"/>
  <c r="AP23" i="245"/>
  <c r="AB22" i="245"/>
  <c r="AE19" i="245"/>
  <c r="AO17" i="245"/>
  <c r="N16" i="245"/>
  <c r="AC12" i="245"/>
  <c r="AO10" i="245"/>
  <c r="M8" i="245"/>
  <c r="G40" i="245"/>
  <c r="N49" i="245"/>
  <c r="N50" i="245" s="1"/>
  <c r="O47" i="245"/>
  <c r="Q46" i="245"/>
  <c r="L45" i="245"/>
  <c r="AP41" i="245"/>
  <c r="AI40" i="245"/>
  <c r="AF38" i="245"/>
  <c r="Y37" i="245"/>
  <c r="Q36" i="245"/>
  <c r="Q34" i="245"/>
  <c r="AN31" i="245"/>
  <c r="AH30" i="245"/>
  <c r="H27" i="245"/>
  <c r="AM23" i="245"/>
  <c r="Y22" i="245"/>
  <c r="Y19" i="245"/>
  <c r="AN17" i="245"/>
  <c r="M16" i="245"/>
  <c r="AB12" i="245"/>
  <c r="AN10" i="245"/>
  <c r="L8" i="245"/>
  <c r="AN74" i="245"/>
  <c r="M49" i="245"/>
  <c r="M50" i="245" s="1"/>
  <c r="N47" i="245"/>
  <c r="M46" i="245"/>
  <c r="K45" i="245"/>
  <c r="AO41" i="245"/>
  <c r="AH40" i="245"/>
  <c r="AE38" i="245"/>
  <c r="X37" i="245"/>
  <c r="P36" i="245"/>
  <c r="O34" i="245"/>
  <c r="AM31" i="245"/>
  <c r="AG30" i="245"/>
  <c r="AK23" i="245"/>
  <c r="X22" i="245"/>
  <c r="R19" i="245"/>
  <c r="AL17" i="245"/>
  <c r="L16" i="245"/>
  <c r="R12" i="245"/>
  <c r="AM10" i="245"/>
  <c r="AL156" i="245"/>
  <c r="AL53" i="245" s="1"/>
  <c r="J155" i="245"/>
  <c r="J52" i="245" s="1"/>
  <c r="G38" i="245"/>
  <c r="AK54" i="245"/>
  <c r="K48" i="245"/>
  <c r="L47" i="245"/>
  <c r="L46" i="245"/>
  <c r="J45" i="245"/>
  <c r="AN41" i="245"/>
  <c r="AF40" i="245"/>
  <c r="AB38" i="245"/>
  <c r="V37" i="245"/>
  <c r="O36" i="245"/>
  <c r="AS32" i="245"/>
  <c r="AJ31" i="245"/>
  <c r="AE30" i="245"/>
  <c r="AJ23" i="245"/>
  <c r="W22" i="245"/>
  <c r="AU20" i="245"/>
  <c r="Q19" i="245"/>
  <c r="K16" i="245"/>
  <c r="L12" i="245"/>
  <c r="AL10" i="245"/>
  <c r="AA73" i="245"/>
  <c r="J34" i="245"/>
  <c r="AL34" i="245"/>
  <c r="R34" i="245"/>
  <c r="AT34" i="245"/>
  <c r="W34" i="245"/>
  <c r="Z34" i="245"/>
  <c r="AA34" i="245"/>
  <c r="AE34" i="245"/>
  <c r="AK34" i="245"/>
  <c r="H34" i="245"/>
  <c r="AM34" i="245"/>
  <c r="L34" i="245"/>
  <c r="AP34" i="245"/>
  <c r="M34" i="245"/>
  <c r="AQ34" i="245"/>
  <c r="N34" i="245"/>
  <c r="AR34" i="245"/>
  <c r="P34" i="245"/>
  <c r="AU34" i="245"/>
  <c r="AE17" i="245"/>
  <c r="Q17" i="245"/>
  <c r="AS17" i="245"/>
  <c r="R17" i="245"/>
  <c r="AT17" i="245"/>
  <c r="S17" i="245"/>
  <c r="AU17" i="245"/>
  <c r="V17" i="245"/>
  <c r="Z17" i="245"/>
  <c r="K17" i="245"/>
  <c r="N17" i="245"/>
  <c r="O17" i="245"/>
  <c r="T17" i="245"/>
  <c r="W17" i="245"/>
  <c r="Y17" i="245"/>
  <c r="AD17" i="245"/>
  <c r="AG17" i="245"/>
  <c r="AF17" i="245"/>
  <c r="AI17" i="245"/>
  <c r="AJ17" i="245"/>
  <c r="AK17" i="245"/>
  <c r="AM17" i="245"/>
  <c r="Q49" i="245"/>
  <c r="Q50" i="245" s="1"/>
  <c r="AS49" i="245"/>
  <c r="AS50" i="245" s="1"/>
  <c r="T49" i="245"/>
  <c r="T50" i="245" s="1"/>
  <c r="Y49" i="245"/>
  <c r="Y50" i="245" s="1"/>
  <c r="AE49" i="245"/>
  <c r="AE50" i="245" s="1"/>
  <c r="AF49" i="245"/>
  <c r="AF50" i="245" s="1"/>
  <c r="G49" i="245"/>
  <c r="G50" i="245" s="1"/>
  <c r="AI49" i="245"/>
  <c r="AI50" i="245" s="1"/>
  <c r="H49" i="245"/>
  <c r="H50" i="245" s="1"/>
  <c r="AJ49" i="245"/>
  <c r="AJ50" i="245" s="1"/>
  <c r="K49" i="245"/>
  <c r="K50" i="245" s="1"/>
  <c r="AM49" i="245"/>
  <c r="AM50" i="245" s="1"/>
  <c r="AP157" i="245"/>
  <c r="AP42" i="245" s="1"/>
  <c r="I155" i="245"/>
  <c r="I52" i="245" s="1"/>
  <c r="G36" i="245"/>
  <c r="AJ54" i="245"/>
  <c r="J49" i="245"/>
  <c r="J50" i="245" s="1"/>
  <c r="K47" i="245"/>
  <c r="I46" i="245"/>
  <c r="I45" i="245"/>
  <c r="AM41" i="245"/>
  <c r="AE40" i="245"/>
  <c r="AA38" i="245"/>
  <c r="U37" i="245"/>
  <c r="M36" i="245"/>
  <c r="I34" i="245"/>
  <c r="AR32" i="245"/>
  <c r="AC30" i="245"/>
  <c r="AI23" i="245"/>
  <c r="U22" i="245"/>
  <c r="AR20" i="245"/>
  <c r="P19" i="245"/>
  <c r="AC17" i="245"/>
  <c r="J12" i="245"/>
  <c r="AK10" i="245"/>
  <c r="R31" i="245"/>
  <c r="AT31" i="245"/>
  <c r="Z31" i="245"/>
  <c r="V31" i="245"/>
  <c r="Y31" i="245"/>
  <c r="AA31" i="245"/>
  <c r="AE31" i="245"/>
  <c r="AK31" i="245"/>
  <c r="H31" i="245"/>
  <c r="AL31" i="245"/>
  <c r="K31" i="245"/>
  <c r="AO31" i="245"/>
  <c r="L31" i="245"/>
  <c r="AP31" i="245"/>
  <c r="M31" i="245"/>
  <c r="AQ31" i="245"/>
  <c r="O31" i="245"/>
  <c r="AS31" i="245"/>
  <c r="J156" i="245"/>
  <c r="J64" i="245" s="1"/>
  <c r="AA156" i="245"/>
  <c r="AA53" i="245" s="1"/>
  <c r="AB156" i="245"/>
  <c r="AB53" i="245" s="1"/>
  <c r="AI156" i="245"/>
  <c r="AI53" i="245" s="1"/>
  <c r="AJ156" i="245"/>
  <c r="AJ53" i="245" s="1"/>
  <c r="AP156" i="245"/>
  <c r="AP53" i="245" s="1"/>
  <c r="J71" i="245"/>
  <c r="AL71" i="245"/>
  <c r="K71" i="245"/>
  <c r="AM71" i="245"/>
  <c r="L71" i="245"/>
  <c r="AN71" i="245"/>
  <c r="M71" i="245"/>
  <c r="AO71" i="245"/>
  <c r="N71" i="245"/>
  <c r="AP71" i="245"/>
  <c r="X71" i="245"/>
  <c r="Y71" i="245"/>
  <c r="Z71" i="245"/>
  <c r="AA71" i="245"/>
  <c r="AB71" i="245"/>
  <c r="AC71" i="245"/>
  <c r="AD71" i="245"/>
  <c r="AE71" i="245"/>
  <c r="AI71" i="245"/>
  <c r="H71" i="245"/>
  <c r="I71" i="245"/>
  <c r="O71" i="245"/>
  <c r="P71" i="245"/>
  <c r="Q71" i="245"/>
  <c r="R71" i="245"/>
  <c r="S71" i="245"/>
  <c r="T71" i="245"/>
  <c r="U71" i="245"/>
  <c r="V71" i="245"/>
  <c r="W71" i="245"/>
  <c r="G71" i="245"/>
  <c r="AF71" i="245"/>
  <c r="AG71" i="245"/>
  <c r="AH71" i="245"/>
  <c r="AJ71" i="245"/>
  <c r="AK71" i="245"/>
  <c r="AQ71" i="245"/>
  <c r="AR71" i="245"/>
  <c r="AS71" i="245"/>
  <c r="AT71" i="245"/>
  <c r="AU71" i="245"/>
  <c r="AC48" i="245"/>
  <c r="AF48" i="245"/>
  <c r="I48" i="245"/>
  <c r="AK48" i="245"/>
  <c r="O48" i="245"/>
  <c r="AQ48" i="245"/>
  <c r="G48" i="245"/>
  <c r="P48" i="245"/>
  <c r="AR48" i="245"/>
  <c r="S48" i="245"/>
  <c r="AU48" i="245"/>
  <c r="T48" i="245"/>
  <c r="W48" i="245"/>
  <c r="AH54" i="245"/>
  <c r="H48" i="245"/>
  <c r="Y38" i="245"/>
  <c r="T37" i="245"/>
  <c r="L36" i="245"/>
  <c r="AO32" i="245"/>
  <c r="AH31" i="245"/>
  <c r="AG23" i="245"/>
  <c r="T22" i="245"/>
  <c r="AO20" i="245"/>
  <c r="N19" i="245"/>
  <c r="AB17" i="245"/>
  <c r="Q10" i="245"/>
  <c r="J32" i="245"/>
  <c r="W154" i="245"/>
  <c r="W51" i="245" s="1"/>
  <c r="P154" i="245"/>
  <c r="P51" i="245" s="1"/>
  <c r="N73" i="245"/>
  <c r="AP73" i="245"/>
  <c r="O73" i="245"/>
  <c r="AQ73" i="245"/>
  <c r="P73" i="245"/>
  <c r="AR73" i="245"/>
  <c r="Q73" i="245"/>
  <c r="AS73" i="245"/>
  <c r="R73" i="245"/>
  <c r="AT73" i="245"/>
  <c r="AB73" i="245"/>
  <c r="AC73" i="245"/>
  <c r="AD73" i="245"/>
  <c r="AE73" i="245"/>
  <c r="AF73" i="245"/>
  <c r="AG73" i="245"/>
  <c r="AH73" i="245"/>
  <c r="AI73" i="245"/>
  <c r="K73" i="245"/>
  <c r="AM73" i="245"/>
  <c r="AJ73" i="245"/>
  <c r="AK73" i="245"/>
  <c r="AL73" i="245"/>
  <c r="AN73" i="245"/>
  <c r="AO73" i="245"/>
  <c r="AU73" i="245"/>
  <c r="H73" i="245"/>
  <c r="I73" i="245"/>
  <c r="G73" i="245"/>
  <c r="J73" i="245"/>
  <c r="L73" i="245"/>
  <c r="M73" i="245"/>
  <c r="S73" i="245"/>
  <c r="T73" i="245"/>
  <c r="U73" i="245"/>
  <c r="V73" i="245"/>
  <c r="W73" i="245"/>
  <c r="X73" i="245"/>
  <c r="Y73" i="245"/>
  <c r="T155" i="245"/>
  <c r="T52" i="245" s="1"/>
  <c r="V155" i="245"/>
  <c r="V52" i="245" s="1"/>
  <c r="AG155" i="245"/>
  <c r="AG63" i="245" s="1"/>
  <c r="AH155" i="245"/>
  <c r="AH63" i="245" s="1"/>
  <c r="AK155" i="245"/>
  <c r="AK52" i="245" s="1"/>
  <c r="Z72" i="245"/>
  <c r="AA72" i="245"/>
  <c r="AB72" i="245"/>
  <c r="AC72" i="245"/>
  <c r="AD72" i="245"/>
  <c r="L72" i="245"/>
  <c r="AN72" i="245"/>
  <c r="M72" i="245"/>
  <c r="AO72" i="245"/>
  <c r="N72" i="245"/>
  <c r="AP72" i="245"/>
  <c r="O72" i="245"/>
  <c r="AQ72" i="245"/>
  <c r="P72" i="245"/>
  <c r="AR72" i="245"/>
  <c r="Q72" i="245"/>
  <c r="AS72" i="245"/>
  <c r="R72" i="245"/>
  <c r="AT72" i="245"/>
  <c r="S72" i="245"/>
  <c r="AU72" i="245"/>
  <c r="W72" i="245"/>
  <c r="T72" i="245"/>
  <c r="U72" i="245"/>
  <c r="V72" i="245"/>
  <c r="X72" i="245"/>
  <c r="Y72" i="245"/>
  <c r="AE72" i="245"/>
  <c r="AF72" i="245"/>
  <c r="AG72" i="245"/>
  <c r="AH72" i="245"/>
  <c r="AI72" i="245"/>
  <c r="AJ72" i="245"/>
  <c r="AK72" i="245"/>
  <c r="AL72" i="245"/>
  <c r="AM72" i="245"/>
  <c r="G72" i="245"/>
  <c r="H72" i="245"/>
  <c r="I72" i="245"/>
  <c r="AD30" i="245"/>
  <c r="J30" i="245"/>
  <c r="AL30" i="245"/>
  <c r="AF30" i="245"/>
  <c r="AI30" i="245"/>
  <c r="AJ30" i="245"/>
  <c r="K30" i="245"/>
  <c r="AO30" i="245"/>
  <c r="Q30" i="245"/>
  <c r="AU30" i="245"/>
  <c r="R30" i="245"/>
  <c r="U30" i="245"/>
  <c r="V30" i="245"/>
  <c r="W30" i="245"/>
  <c r="Y30" i="245"/>
  <c r="O16" i="245"/>
  <c r="AQ16" i="245"/>
  <c r="AC16" i="245"/>
  <c r="AD16" i="245"/>
  <c r="AE16" i="245"/>
  <c r="AH16" i="245"/>
  <c r="J16" i="245"/>
  <c r="AL16" i="245"/>
  <c r="Q16" i="245"/>
  <c r="T16" i="245"/>
  <c r="U16" i="245"/>
  <c r="W16" i="245"/>
  <c r="Y16" i="245"/>
  <c r="AA16" i="245"/>
  <c r="AI16" i="245"/>
  <c r="AK16" i="245"/>
  <c r="AJ16" i="245"/>
  <c r="AN16" i="245"/>
  <c r="AO16" i="245"/>
  <c r="AP16" i="245"/>
  <c r="I16" i="245"/>
  <c r="AS16" i="245"/>
  <c r="I157" i="245"/>
  <c r="I42" i="245" s="1"/>
  <c r="AR157" i="245"/>
  <c r="AR42" i="245" s="1"/>
  <c r="AD157" i="245"/>
  <c r="AD42" i="245" s="1"/>
  <c r="AE157" i="245"/>
  <c r="AE42" i="245" s="1"/>
  <c r="AH157" i="245"/>
  <c r="AH42" i="245" s="1"/>
  <c r="AI157" i="245"/>
  <c r="AI42" i="245" s="1"/>
  <c r="AL157" i="245"/>
  <c r="AL42" i="245" s="1"/>
  <c r="V70" i="245"/>
  <c r="W70" i="245"/>
  <c r="X70" i="245"/>
  <c r="Y70" i="245"/>
  <c r="Z70" i="245"/>
  <c r="H70" i="245"/>
  <c r="AJ70" i="245"/>
  <c r="I70" i="245"/>
  <c r="AK70" i="245"/>
  <c r="J70" i="245"/>
  <c r="AL70" i="245"/>
  <c r="K70" i="245"/>
  <c r="AM70" i="245"/>
  <c r="L70" i="245"/>
  <c r="AN70" i="245"/>
  <c r="M70" i="245"/>
  <c r="AO70" i="245"/>
  <c r="N70" i="245"/>
  <c r="AP70" i="245"/>
  <c r="O70" i="245"/>
  <c r="AQ70" i="245"/>
  <c r="S70" i="245"/>
  <c r="AU70" i="245"/>
  <c r="AR70" i="245"/>
  <c r="AS70" i="245"/>
  <c r="AT70" i="245"/>
  <c r="G70" i="245"/>
  <c r="P70" i="245"/>
  <c r="Q70" i="245"/>
  <c r="R70" i="245"/>
  <c r="T70" i="245"/>
  <c r="U70" i="245"/>
  <c r="AA70" i="245"/>
  <c r="AB70" i="245"/>
  <c r="AC70" i="245"/>
  <c r="AD70" i="245"/>
  <c r="AE70" i="245"/>
  <c r="AF70" i="245"/>
  <c r="AG70" i="245"/>
  <c r="AG156" i="245"/>
  <c r="AG53" i="245" s="1"/>
  <c r="AU49" i="245"/>
  <c r="AU50" i="245" s="1"/>
  <c r="I49" i="245"/>
  <c r="I50" i="245" s="1"/>
  <c r="J47" i="245"/>
  <c r="H46" i="245"/>
  <c r="AJ41" i="245"/>
  <c r="AC40" i="245"/>
  <c r="AE158" i="245"/>
  <c r="AL158" i="245"/>
  <c r="AL159" i="245" s="1"/>
  <c r="AL44" i="245" s="1"/>
  <c r="AP158" i="245"/>
  <c r="AQ158" i="245"/>
  <c r="N29" i="245"/>
  <c r="AP29" i="245"/>
  <c r="V29" i="245"/>
  <c r="K29" i="245"/>
  <c r="AO29" i="245"/>
  <c r="O29" i="245"/>
  <c r="AS29" i="245"/>
  <c r="P29" i="245"/>
  <c r="AT29" i="245"/>
  <c r="T29" i="245"/>
  <c r="AA29" i="245"/>
  <c r="AB29" i="245"/>
  <c r="AE29" i="245"/>
  <c r="AF29" i="245"/>
  <c r="AG29" i="245"/>
  <c r="AI29" i="245"/>
  <c r="AA15" i="245"/>
  <c r="M15" i="245"/>
  <c r="AO15" i="245"/>
  <c r="N15" i="245"/>
  <c r="AP15" i="245"/>
  <c r="O15" i="245"/>
  <c r="AQ15" i="245"/>
  <c r="R15" i="245"/>
  <c r="AT15" i="245"/>
  <c r="V15" i="245"/>
  <c r="U15" i="245"/>
  <c r="Y15" i="245"/>
  <c r="Z15" i="245"/>
  <c r="AC15" i="245"/>
  <c r="AE15" i="245"/>
  <c r="AG15" i="245"/>
  <c r="AK15" i="245"/>
  <c r="AM15" i="245"/>
  <c r="AL15" i="245"/>
  <c r="AR15" i="245"/>
  <c r="H15" i="245"/>
  <c r="AS15" i="245"/>
  <c r="I15" i="245"/>
  <c r="AU15" i="245"/>
  <c r="K15" i="245"/>
  <c r="AH69" i="245"/>
  <c r="AI69" i="245"/>
  <c r="H69" i="245"/>
  <c r="AJ69" i="245"/>
  <c r="G69" i="245"/>
  <c r="I69" i="245"/>
  <c r="AK69" i="245"/>
  <c r="J69" i="245"/>
  <c r="AL69" i="245"/>
  <c r="T69" i="245"/>
  <c r="U69" i="245"/>
  <c r="V69" i="245"/>
  <c r="W69" i="245"/>
  <c r="X69" i="245"/>
  <c r="Y69" i="245"/>
  <c r="Z69" i="245"/>
  <c r="AA69" i="245"/>
  <c r="AE69" i="245"/>
  <c r="AB69" i="245"/>
  <c r="AC69" i="245"/>
  <c r="AD69" i="245"/>
  <c r="AF69" i="245"/>
  <c r="AG69" i="245"/>
  <c r="AM69" i="245"/>
  <c r="AN69" i="245"/>
  <c r="AO69" i="245"/>
  <c r="AP69" i="245"/>
  <c r="AQ69" i="245"/>
  <c r="AR69" i="245"/>
  <c r="AS69" i="245"/>
  <c r="AT69" i="245"/>
  <c r="AU69" i="245"/>
  <c r="K69" i="245"/>
  <c r="L69" i="245"/>
  <c r="M69" i="245"/>
  <c r="N69" i="245"/>
  <c r="O69" i="245"/>
  <c r="P69" i="245"/>
  <c r="Q69" i="245"/>
  <c r="AN157" i="245"/>
  <c r="AN42" i="245" s="1"/>
  <c r="Z156" i="245"/>
  <c r="Z64" i="245" s="1"/>
  <c r="AT154" i="245"/>
  <c r="AT51" i="245" s="1"/>
  <c r="AG54" i="245"/>
  <c r="AH53" i="245"/>
  <c r="AT49" i="245"/>
  <c r="AT50" i="245" s="1"/>
  <c r="AT48" i="245"/>
  <c r="AU47" i="245"/>
  <c r="I47" i="245"/>
  <c r="AU45" i="245"/>
  <c r="AO42" i="245"/>
  <c r="AF41" i="245"/>
  <c r="Z40" i="245"/>
  <c r="X38" i="245"/>
  <c r="S37" i="245"/>
  <c r="J36" i="245"/>
  <c r="AS33" i="245"/>
  <c r="AN32" i="245"/>
  <c r="AG31" i="245"/>
  <c r="AA30" i="245"/>
  <c r="S29" i="245"/>
  <c r="AB23" i="245"/>
  <c r="Q22" i="245"/>
  <c r="AI20" i="245"/>
  <c r="L19" i="245"/>
  <c r="AA17" i="245"/>
  <c r="AJ15" i="245"/>
  <c r="M10" i="245"/>
  <c r="J72" i="245"/>
  <c r="AF68" i="245"/>
  <c r="AU68" i="245"/>
  <c r="G68" i="245"/>
  <c r="V68" i="245"/>
  <c r="W68" i="245"/>
  <c r="X68" i="245"/>
  <c r="Y68" i="245"/>
  <c r="Z68" i="245"/>
  <c r="AA68" i="245"/>
  <c r="AB68" i="245"/>
  <c r="AC68" i="245"/>
  <c r="AH68" i="245"/>
  <c r="H68" i="245"/>
  <c r="M68" i="245"/>
  <c r="S68" i="245"/>
  <c r="U68" i="245"/>
  <c r="AD68" i="245"/>
  <c r="AE68" i="245"/>
  <c r="AG68" i="245"/>
  <c r="AJ68" i="245"/>
  <c r="AO68" i="245"/>
  <c r="Y156" i="245"/>
  <c r="Y64" i="245" s="1"/>
  <c r="AS154" i="245"/>
  <c r="AS51" i="245" s="1"/>
  <c r="G32" i="245"/>
  <c r="AD54" i="245"/>
  <c r="AR49" i="245"/>
  <c r="AR50" i="245" s="1"/>
  <c r="AS48" i="245"/>
  <c r="AT47" i="245"/>
  <c r="H47" i="245"/>
  <c r="AS45" i="245"/>
  <c r="AE41" i="245"/>
  <c r="Y40" i="245"/>
  <c r="W38" i="245"/>
  <c r="R37" i="245"/>
  <c r="I36" i="245"/>
  <c r="AM32" i="245"/>
  <c r="AF31" i="245"/>
  <c r="Z30" i="245"/>
  <c r="AR24" i="245"/>
  <c r="AA23" i="245"/>
  <c r="J22" i="245"/>
  <c r="AH20" i="245"/>
  <c r="J19" i="245"/>
  <c r="X17" i="245"/>
  <c r="AI15" i="245"/>
  <c r="AR13" i="245"/>
  <c r="J10" i="245"/>
  <c r="AI70" i="245"/>
  <c r="X34" i="245"/>
  <c r="AE74" i="245"/>
  <c r="AF74" i="245"/>
  <c r="P74" i="245"/>
  <c r="Q74" i="245"/>
  <c r="AS74" i="245"/>
  <c r="R74" i="245"/>
  <c r="AT74" i="245"/>
  <c r="S74" i="245"/>
  <c r="AU74" i="245"/>
  <c r="T74" i="245"/>
  <c r="U74" i="245"/>
  <c r="V74" i="245"/>
  <c r="W74" i="245"/>
  <c r="AA74" i="245"/>
  <c r="AO74" i="245"/>
  <c r="AP74" i="245"/>
  <c r="AQ74" i="245"/>
  <c r="AR74" i="245"/>
  <c r="H74" i="245"/>
  <c r="I74" i="245"/>
  <c r="J74" i="245"/>
  <c r="K74" i="245"/>
  <c r="L74" i="245"/>
  <c r="M74" i="245"/>
  <c r="N74" i="245"/>
  <c r="O74" i="245"/>
  <c r="X74" i="245"/>
  <c r="Y74" i="245"/>
  <c r="Z74" i="245"/>
  <c r="G74" i="245"/>
  <c r="AB74" i="245"/>
  <c r="AC74" i="245"/>
  <c r="AD74" i="245"/>
  <c r="AG74" i="245"/>
  <c r="AH74" i="245"/>
  <c r="AI74" i="245"/>
  <c r="AJ74" i="245"/>
  <c r="AK74" i="245"/>
  <c r="AL74" i="245"/>
  <c r="AL67" i="245"/>
  <c r="AF67" i="245"/>
  <c r="AH67" i="245"/>
  <c r="AI67" i="245"/>
  <c r="AJ67" i="245"/>
  <c r="AK67" i="245"/>
  <c r="H67" i="245"/>
  <c r="I67" i="245"/>
  <c r="J67" i="245"/>
  <c r="Y67" i="245"/>
  <c r="K67" i="245"/>
  <c r="L67" i="245"/>
  <c r="M67" i="245"/>
  <c r="Z67" i="245"/>
  <c r="AD67" i="245"/>
  <c r="AN67" i="245"/>
  <c r="AO67" i="245"/>
  <c r="AP67" i="245"/>
  <c r="AT67" i="245"/>
  <c r="AK157" i="245"/>
  <c r="AK42" i="245" s="1"/>
  <c r="X156" i="245"/>
  <c r="X64" i="245" s="1"/>
  <c r="AR154" i="245"/>
  <c r="AR51" i="245" s="1"/>
  <c r="G31" i="245"/>
  <c r="AC54" i="245"/>
  <c r="AQ49" i="245"/>
  <c r="AQ50" i="245" s="1"/>
  <c r="AP48" i="245"/>
  <c r="AR45" i="245"/>
  <c r="AB41" i="245"/>
  <c r="W40" i="245"/>
  <c r="U38" i="245"/>
  <c r="P37" i="245"/>
  <c r="H36" i="245"/>
  <c r="AD31" i="245"/>
  <c r="X30" i="245"/>
  <c r="AP24" i="245"/>
  <c r="Z23" i="245"/>
  <c r="I22" i="245"/>
  <c r="AF20" i="245"/>
  <c r="AT18" i="245"/>
  <c r="U17" i="245"/>
  <c r="AH15" i="245"/>
  <c r="AO13" i="245"/>
  <c r="I10" i="245"/>
  <c r="AH70" i="245"/>
  <c r="AH32" i="245"/>
  <c r="N32" i="245"/>
  <c r="AP32" i="245"/>
  <c r="L32" i="245"/>
  <c r="AQ32" i="245"/>
  <c r="P32" i="245"/>
  <c r="AT32" i="245"/>
  <c r="Q32" i="245"/>
  <c r="AU32" i="245"/>
  <c r="U32" i="245"/>
  <c r="AA32" i="245"/>
  <c r="AB32" i="245"/>
  <c r="AE32" i="245"/>
  <c r="AF32" i="245"/>
  <c r="AG32" i="245"/>
  <c r="AJ32" i="245"/>
  <c r="AA6" i="245"/>
  <c r="AB6" i="245"/>
  <c r="M6" i="245"/>
  <c r="AO6" i="245"/>
  <c r="N6" i="245"/>
  <c r="AP6" i="245"/>
  <c r="O6" i="245"/>
  <c r="AQ6" i="245"/>
  <c r="P6" i="245"/>
  <c r="S6" i="245"/>
  <c r="AU6" i="245"/>
  <c r="Y6" i="245"/>
  <c r="AE6" i="245"/>
  <c r="AF6" i="245"/>
  <c r="AG6" i="245"/>
  <c r="AK6" i="245"/>
  <c r="AM6" i="245"/>
  <c r="AN6" i="245"/>
  <c r="AS6" i="245"/>
  <c r="AT6" i="245"/>
  <c r="G6" i="245"/>
  <c r="H6" i="245"/>
  <c r="I6" i="245"/>
  <c r="J6" i="245"/>
  <c r="K6" i="245"/>
  <c r="L6" i="245"/>
  <c r="Q6" i="245"/>
  <c r="R6" i="245"/>
  <c r="M47" i="245"/>
  <c r="AO47" i="245"/>
  <c r="P47" i="245"/>
  <c r="AR47" i="245"/>
  <c r="U47" i="245"/>
  <c r="AA47" i="245"/>
  <c r="AB47" i="245"/>
  <c r="AE47" i="245"/>
  <c r="AF47" i="245"/>
  <c r="AI47" i="245"/>
  <c r="N46" i="245"/>
  <c r="Y46" i="245"/>
  <c r="AB46" i="245"/>
  <c r="AG46" i="245"/>
  <c r="J46" i="245"/>
  <c r="AM46" i="245"/>
  <c r="K46" i="245"/>
  <c r="AN46" i="245"/>
  <c r="O46" i="245"/>
  <c r="AQ46" i="245"/>
  <c r="P46" i="245"/>
  <c r="AR46" i="245"/>
  <c r="S46" i="245"/>
  <c r="AU46" i="245"/>
  <c r="AC66" i="245"/>
  <c r="AD66" i="245"/>
  <c r="AE66" i="245"/>
  <c r="AF66" i="245"/>
  <c r="AG66" i="245"/>
  <c r="O66" i="245"/>
  <c r="AQ66" i="245"/>
  <c r="P66" i="245"/>
  <c r="AR66" i="245"/>
  <c r="Q66" i="245"/>
  <c r="AS66" i="245"/>
  <c r="R66" i="245"/>
  <c r="AT66" i="245"/>
  <c r="S66" i="245"/>
  <c r="AU66" i="245"/>
  <c r="T66" i="245"/>
  <c r="U66" i="245"/>
  <c r="V66" i="245"/>
  <c r="Z66" i="245"/>
  <c r="H66" i="245"/>
  <c r="I66" i="245"/>
  <c r="J66" i="245"/>
  <c r="K66" i="245"/>
  <c r="L66" i="245"/>
  <c r="G66" i="245"/>
  <c r="M66" i="245"/>
  <c r="N66" i="245"/>
  <c r="W66" i="245"/>
  <c r="X66" i="245"/>
  <c r="Y66" i="245"/>
  <c r="AA66" i="245"/>
  <c r="AB66" i="245"/>
  <c r="AH66" i="245"/>
  <c r="AI66" i="245"/>
  <c r="AJ66" i="245"/>
  <c r="AK66" i="245"/>
  <c r="AL66" i="245"/>
  <c r="AM66" i="245"/>
  <c r="AN66" i="245"/>
  <c r="AJ157" i="245"/>
  <c r="AJ42" i="245" s="1"/>
  <c r="W156" i="245"/>
  <c r="W64" i="245" s="1"/>
  <c r="AI154" i="245"/>
  <c r="AI51" i="245" s="1"/>
  <c r="G30" i="245"/>
  <c r="Z54" i="245"/>
  <c r="AP49" i="245"/>
  <c r="AP50" i="245" s="1"/>
  <c r="AO48" i="245"/>
  <c r="AQ47" i="245"/>
  <c r="AS46" i="245"/>
  <c r="AP45" i="245"/>
  <c r="U40" i="245"/>
  <c r="T38" i="245"/>
  <c r="L37" i="245"/>
  <c r="AP33" i="245"/>
  <c r="AK32" i="245"/>
  <c r="AC31" i="245"/>
  <c r="T30" i="245"/>
  <c r="M29" i="245"/>
  <c r="AL24" i="245"/>
  <c r="W23" i="245"/>
  <c r="AE20" i="245"/>
  <c r="AS18" i="245"/>
  <c r="P17" i="245"/>
  <c r="AF15" i="245"/>
  <c r="S69" i="245"/>
  <c r="J41" i="245"/>
  <c r="AL41" i="245"/>
  <c r="R41" i="245"/>
  <c r="AT41" i="245"/>
  <c r="N41" i="245"/>
  <c r="AR41" i="245"/>
  <c r="Q41" i="245"/>
  <c r="S41" i="245"/>
  <c r="W41" i="245"/>
  <c r="AC41" i="245"/>
  <c r="AD41" i="245"/>
  <c r="AG41" i="245"/>
  <c r="AH41" i="245"/>
  <c r="AI41" i="245"/>
  <c r="AK41" i="245"/>
  <c r="W27" i="245"/>
  <c r="I27" i="245"/>
  <c r="J27" i="245"/>
  <c r="AL27" i="245"/>
  <c r="K27" i="245"/>
  <c r="AM27" i="245"/>
  <c r="R27" i="245"/>
  <c r="AT27" i="245"/>
  <c r="AD27" i="245"/>
  <c r="AG27" i="245"/>
  <c r="AH27" i="245"/>
  <c r="AN27" i="245"/>
  <c r="N27" i="245"/>
  <c r="AU27" i="245"/>
  <c r="O27" i="245"/>
  <c r="S27" i="245"/>
  <c r="T27" i="245"/>
  <c r="U27" i="245"/>
  <c r="X27" i="245"/>
  <c r="W13" i="245"/>
  <c r="I13" i="245"/>
  <c r="AK13" i="245"/>
  <c r="J13" i="245"/>
  <c r="AL13" i="245"/>
  <c r="K13" i="245"/>
  <c r="AM13" i="245"/>
  <c r="N13" i="245"/>
  <c r="AP13" i="245"/>
  <c r="R13" i="245"/>
  <c r="AT13" i="245"/>
  <c r="AC13" i="245"/>
  <c r="AF13" i="245"/>
  <c r="AG13" i="245"/>
  <c r="AI13" i="245"/>
  <c r="AN13" i="245"/>
  <c r="AQ13" i="245"/>
  <c r="AS13" i="245"/>
  <c r="H13" i="245"/>
  <c r="AU13" i="245"/>
  <c r="L13" i="245"/>
  <c r="O13" i="245"/>
  <c r="M13" i="245"/>
  <c r="Q13" i="245"/>
  <c r="S13" i="245"/>
  <c r="T13" i="245"/>
  <c r="U13" i="245"/>
  <c r="V13" i="245"/>
  <c r="M65" i="245"/>
  <c r="AO65" i="245"/>
  <c r="N65" i="245"/>
  <c r="AP65" i="245"/>
  <c r="O65" i="245"/>
  <c r="AQ65" i="245"/>
  <c r="P65" i="245"/>
  <c r="AR65" i="245"/>
  <c r="Q65" i="245"/>
  <c r="AS65" i="245"/>
  <c r="AA65" i="245"/>
  <c r="AB65" i="245"/>
  <c r="AC65" i="245"/>
  <c r="AD65" i="245"/>
  <c r="AE65" i="245"/>
  <c r="AF65" i="245"/>
  <c r="AG65" i="245"/>
  <c r="AH65" i="245"/>
  <c r="J65" i="245"/>
  <c r="AL65" i="245"/>
  <c r="AI65" i="245"/>
  <c r="AJ65" i="245"/>
  <c r="AK65" i="245"/>
  <c r="AM65" i="245"/>
  <c r="AN65" i="245"/>
  <c r="AT65" i="245"/>
  <c r="AU65" i="245"/>
  <c r="G65" i="245"/>
  <c r="H65" i="245"/>
  <c r="I65" i="245"/>
  <c r="K65" i="245"/>
  <c r="L65" i="245"/>
  <c r="R65" i="245"/>
  <c r="S65" i="245"/>
  <c r="T65" i="245"/>
  <c r="U65" i="245"/>
  <c r="V65" i="245"/>
  <c r="W65" i="245"/>
  <c r="X65" i="245"/>
  <c r="V156" i="245"/>
  <c r="V64" i="245" s="1"/>
  <c r="AH154" i="245"/>
  <c r="AH51" i="245" s="1"/>
  <c r="Y54" i="245"/>
  <c r="AO49" i="245"/>
  <c r="AO50" i="245" s="1"/>
  <c r="AN48" i="245"/>
  <c r="AP47" i="245"/>
  <c r="AP46" i="245"/>
  <c r="AO45" i="245"/>
  <c r="Z41" i="245"/>
  <c r="T40" i="245"/>
  <c r="S38" i="245"/>
  <c r="AI32" i="245"/>
  <c r="AB31" i="245"/>
  <c r="S30" i="245"/>
  <c r="AR27" i="245"/>
  <c r="AK24" i="245"/>
  <c r="V23" i="245"/>
  <c r="AD20" i="245"/>
  <c r="AQ18" i="245"/>
  <c r="M17" i="245"/>
  <c r="AD15" i="245"/>
  <c r="AH13" i="245"/>
  <c r="AU9" i="245"/>
  <c r="R69" i="245"/>
  <c r="AH55" i="245"/>
  <c r="K64" i="245"/>
  <c r="AH64" i="245"/>
  <c r="AI64" i="245"/>
  <c r="AF154" i="245"/>
  <c r="AF51" i="245" s="1"/>
  <c r="X54" i="245"/>
  <c r="AN49" i="245"/>
  <c r="AN50" i="245" s="1"/>
  <c r="AN47" i="245"/>
  <c r="AO46" i="245"/>
  <c r="AF42" i="245"/>
  <c r="Y41" i="245"/>
  <c r="O38" i="245"/>
  <c r="AU36" i="245"/>
  <c r="AD32" i="245"/>
  <c r="X31" i="245"/>
  <c r="P30" i="245"/>
  <c r="AQ27" i="245"/>
  <c r="AH24" i="245"/>
  <c r="T23" i="245"/>
  <c r="AC20" i="245"/>
  <c r="AO18" i="245"/>
  <c r="L17" i="245"/>
  <c r="AB15" i="245"/>
  <c r="AE13" i="245"/>
  <c r="AT9" i="245"/>
  <c r="AP66" i="245"/>
  <c r="R45" i="245"/>
  <c r="AT45" i="245"/>
  <c r="Z45" i="245"/>
  <c r="AI45" i="245"/>
  <c r="H45" i="245"/>
  <c r="AL45" i="245"/>
  <c r="M45" i="245"/>
  <c r="AQ45" i="245"/>
  <c r="T45" i="245"/>
  <c r="U45" i="245"/>
  <c r="X45" i="245"/>
  <c r="Y45" i="245"/>
  <c r="AC45" i="245"/>
  <c r="V40" i="245"/>
  <c r="AD40" i="245"/>
  <c r="X40" i="245"/>
  <c r="AA40" i="245"/>
  <c r="AB40" i="245"/>
  <c r="AG40" i="245"/>
  <c r="I40" i="245"/>
  <c r="AM40" i="245"/>
  <c r="J40" i="245"/>
  <c r="AN40" i="245"/>
  <c r="M40" i="245"/>
  <c r="AQ40" i="245"/>
  <c r="N40" i="245"/>
  <c r="AR40" i="245"/>
  <c r="O40" i="245"/>
  <c r="AS40" i="245"/>
  <c r="Q40" i="245"/>
  <c r="AU40" i="245"/>
  <c r="AI12" i="245"/>
  <c r="U12" i="245"/>
  <c r="V12" i="245"/>
  <c r="W12" i="245"/>
  <c r="Z12" i="245"/>
  <c r="AD12" i="245"/>
  <c r="AH12" i="245"/>
  <c r="AL12" i="245"/>
  <c r="AM12" i="245"/>
  <c r="AO12" i="245"/>
  <c r="I12" i="245"/>
  <c r="AQ12" i="245"/>
  <c r="K12" i="245"/>
  <c r="AS12" i="245"/>
  <c r="M12" i="245"/>
  <c r="AU12" i="245"/>
  <c r="N12" i="245"/>
  <c r="O12" i="245"/>
  <c r="Q12" i="245"/>
  <c r="P12" i="245"/>
  <c r="S12" i="245"/>
  <c r="T12" i="245"/>
  <c r="X12" i="245"/>
  <c r="Y12" i="245"/>
  <c r="AA12" i="245"/>
  <c r="J63" i="245"/>
  <c r="K63" i="245"/>
  <c r="W63" i="245"/>
  <c r="H63" i="245"/>
  <c r="AF63" i="245"/>
  <c r="AA157" i="245"/>
  <c r="AA42" i="245" s="1"/>
  <c r="T156" i="245"/>
  <c r="T64" i="245" s="1"/>
  <c r="AE154" i="245"/>
  <c r="AE51" i="245" s="1"/>
  <c r="W54" i="245"/>
  <c r="AL49" i="245"/>
  <c r="AL50" i="245" s="1"/>
  <c r="AL48" i="245"/>
  <c r="AM47" i="245"/>
  <c r="AL46" i="245"/>
  <c r="AM45" i="245"/>
  <c r="X41" i="245"/>
  <c r="R40" i="245"/>
  <c r="N38" i="245"/>
  <c r="AT36" i="245"/>
  <c r="AS34" i="245"/>
  <c r="AL33" i="245"/>
  <c r="AC32" i="245"/>
  <c r="W31" i="245"/>
  <c r="O30" i="245"/>
  <c r="I29" i="245"/>
  <c r="AP27" i="245"/>
  <c r="AG24" i="245"/>
  <c r="S23" i="245"/>
  <c r="AB20" i="245"/>
  <c r="AN18" i="245"/>
  <c r="J17" i="245"/>
  <c r="X15" i="245"/>
  <c r="AD13" i="245"/>
  <c r="AR9" i="245"/>
  <c r="AO66" i="245"/>
  <c r="V154" i="245"/>
  <c r="V51" i="245" s="1"/>
  <c r="V54" i="245"/>
  <c r="AL47" i="245"/>
  <c r="AK46" i="245"/>
  <c r="AK45" i="245"/>
  <c r="V41" i="245"/>
  <c r="P40" i="245"/>
  <c r="L38" i="245"/>
  <c r="AS36" i="245"/>
  <c r="AO34" i="245"/>
  <c r="Z32" i="245"/>
  <c r="U31" i="245"/>
  <c r="N30" i="245"/>
  <c r="AO27" i="245"/>
  <c r="AF24" i="245"/>
  <c r="R23" i="245"/>
  <c r="Z20" i="245"/>
  <c r="AM18" i="245"/>
  <c r="I17" i="245"/>
  <c r="W15" i="245"/>
  <c r="AB13" i="245"/>
  <c r="AQ9" i="245"/>
  <c r="Z65" i="245"/>
  <c r="AD44" i="245"/>
  <c r="W44" i="245"/>
  <c r="AK49" i="245"/>
  <c r="AK50" i="245" s="1"/>
  <c r="X157" i="245"/>
  <c r="X42" i="245" s="1"/>
  <c r="R156" i="245"/>
  <c r="R64" i="245" s="1"/>
  <c r="U154" i="245"/>
  <c r="U62" i="245" s="1"/>
  <c r="U54" i="245"/>
  <c r="AH49" i="245"/>
  <c r="AH50" i="245" s="1"/>
  <c r="AI48" i="245"/>
  <c r="AK47" i="245"/>
  <c r="AJ46" i="245"/>
  <c r="AJ45" i="245"/>
  <c r="U41" i="245"/>
  <c r="L40" i="245"/>
  <c r="K38" i="245"/>
  <c r="AR36" i="245"/>
  <c r="AN34" i="245"/>
  <c r="Y32" i="245"/>
  <c r="T31" i="245"/>
  <c r="M30" i="245"/>
  <c r="AK27" i="245"/>
  <c r="AD24" i="245"/>
  <c r="Q23" i="245"/>
  <c r="U20" i="245"/>
  <c r="AK18" i="245"/>
  <c r="H17" i="245"/>
  <c r="T15" i="245"/>
  <c r="AA13" i="245"/>
  <c r="X9" i="245"/>
  <c r="Y65" i="245"/>
  <c r="AM43" i="245"/>
  <c r="W157" i="245"/>
  <c r="W42" i="245" s="1"/>
  <c r="P156" i="245"/>
  <c r="P64" i="245" s="1"/>
  <c r="T154" i="245"/>
  <c r="T51" i="245" s="1"/>
  <c r="G22" i="245"/>
  <c r="T54" i="245"/>
  <c r="AG49" i="245"/>
  <c r="AG50" i="245" s="1"/>
  <c r="AH48" i="245"/>
  <c r="AJ47" i="245"/>
  <c r="AI46" i="245"/>
  <c r="AH45" i="245"/>
  <c r="AD43" i="245"/>
  <c r="T41" i="245"/>
  <c r="K40" i="245"/>
  <c r="AQ36" i="245"/>
  <c r="AJ34" i="245"/>
  <c r="AF33" i="245"/>
  <c r="X32" i="245"/>
  <c r="S31" i="245"/>
  <c r="L30" i="245"/>
  <c r="AJ27" i="245"/>
  <c r="P23" i="245"/>
  <c r="P20" i="245"/>
  <c r="AF18" i="245"/>
  <c r="AU16" i="245"/>
  <c r="S15" i="245"/>
  <c r="Z13" i="245"/>
  <c r="T9" i="245"/>
  <c r="R38" i="245"/>
  <c r="AT38" i="245"/>
  <c r="Z38" i="245"/>
  <c r="M38" i="245"/>
  <c r="AQ38" i="245"/>
  <c r="P38" i="245"/>
  <c r="AU38" i="245"/>
  <c r="Q38" i="245"/>
  <c r="V38" i="245"/>
  <c r="AC38" i="245"/>
  <c r="AD38" i="245"/>
  <c r="AG38" i="245"/>
  <c r="AH38" i="245"/>
  <c r="AI38" i="245"/>
  <c r="AK38" i="245"/>
  <c r="AE24" i="245"/>
  <c r="Q24" i="245"/>
  <c r="AS24" i="245"/>
  <c r="R24" i="245"/>
  <c r="AT24" i="245"/>
  <c r="S24" i="245"/>
  <c r="AU24" i="245"/>
  <c r="V24" i="245"/>
  <c r="Z24" i="245"/>
  <c r="O24" i="245"/>
  <c r="U24" i="245"/>
  <c r="W24" i="245"/>
  <c r="AB24" i="245"/>
  <c r="AI24" i="245"/>
  <c r="AJ24" i="245"/>
  <c r="AM24" i="245"/>
  <c r="G24" i="245"/>
  <c r="AN24" i="245"/>
  <c r="AO24" i="245"/>
  <c r="I24" i="245"/>
  <c r="AQ24" i="245"/>
  <c r="AF10" i="245"/>
  <c r="R10" i="245"/>
  <c r="AT10" i="245"/>
  <c r="S10" i="245"/>
  <c r="AU10" i="245"/>
  <c r="T10" i="245"/>
  <c r="W10" i="245"/>
  <c r="AA10" i="245"/>
  <c r="H10" i="245"/>
  <c r="AP10" i="245"/>
  <c r="K10" i="245"/>
  <c r="AS10" i="245"/>
  <c r="L10" i="245"/>
  <c r="N10" i="245"/>
  <c r="O10" i="245"/>
  <c r="P10" i="245"/>
  <c r="U10" i="245"/>
  <c r="V10" i="245"/>
  <c r="X10" i="245"/>
  <c r="Y10" i="245"/>
  <c r="Z10" i="245"/>
  <c r="AB10" i="245"/>
  <c r="AC10" i="245"/>
  <c r="AD10" i="245"/>
  <c r="AE10" i="245"/>
  <c r="AG10" i="245"/>
  <c r="AH10" i="245"/>
  <c r="AI10" i="245"/>
  <c r="AJ10" i="245"/>
  <c r="V157" i="245"/>
  <c r="V42" i="245" s="1"/>
  <c r="O156" i="245"/>
  <c r="O64" i="245" s="1"/>
  <c r="R154" i="245"/>
  <c r="R62" i="245" s="1"/>
  <c r="S54" i="245"/>
  <c r="AD49" i="245"/>
  <c r="AD50" i="245" s="1"/>
  <c r="AG48" i="245"/>
  <c r="AH47" i="245"/>
  <c r="AH46" i="245"/>
  <c r="AG45" i="245"/>
  <c r="P41" i="245"/>
  <c r="H40" i="245"/>
  <c r="I38" i="245"/>
  <c r="AN36" i="245"/>
  <c r="AI34" i="245"/>
  <c r="AE33" i="245"/>
  <c r="W32" i="245"/>
  <c r="Q31" i="245"/>
  <c r="I30" i="245"/>
  <c r="AI27" i="245"/>
  <c r="AA24" i="245"/>
  <c r="M23" i="245"/>
  <c r="O20" i="245"/>
  <c r="AT16" i="245"/>
  <c r="Q15" i="245"/>
  <c r="Y13" i="245"/>
  <c r="P9" i="245"/>
  <c r="S18" i="245"/>
  <c r="AU18" i="245"/>
  <c r="AG18" i="245"/>
  <c r="AH18" i="245"/>
  <c r="AI18" i="245"/>
  <c r="J18" i="245"/>
  <c r="AL18" i="245"/>
  <c r="N18" i="245"/>
  <c r="AP18" i="245"/>
  <c r="H18" i="245"/>
  <c r="AR18" i="245"/>
  <c r="L18" i="245"/>
  <c r="M18" i="245"/>
  <c r="P18" i="245"/>
  <c r="R18" i="245"/>
  <c r="U18" i="245"/>
  <c r="Y18" i="245"/>
  <c r="AA18" i="245"/>
  <c r="Z18" i="245"/>
  <c r="AC18" i="245"/>
  <c r="AD18" i="245"/>
  <c r="AE18" i="245"/>
  <c r="AJ18" i="245"/>
  <c r="N156" i="245"/>
  <c r="N64" i="245" s="1"/>
  <c r="Q154" i="245"/>
  <c r="Q51" i="245" s="1"/>
  <c r="G18" i="245"/>
  <c r="R54" i="245"/>
  <c r="AC49" i="245"/>
  <c r="AC50" i="245" s="1"/>
  <c r="AE48" i="245"/>
  <c r="AG47" i="245"/>
  <c r="AF46" i="245"/>
  <c r="AF45" i="245"/>
  <c r="AA44" i="245"/>
  <c r="U42" i="245"/>
  <c r="O41" i="245"/>
  <c r="H38" i="245"/>
  <c r="AM36" i="245"/>
  <c r="AH34" i="245"/>
  <c r="V32" i="245"/>
  <c r="P31" i="245"/>
  <c r="H30" i="245"/>
  <c r="AF27" i="245"/>
  <c r="Y24" i="245"/>
  <c r="M20" i="245"/>
  <c r="X18" i="245"/>
  <c r="AR16" i="245"/>
  <c r="P15" i="245"/>
  <c r="X13" i="245"/>
  <c r="O9" i="245"/>
  <c r="AD37" i="245"/>
  <c r="J37" i="245"/>
  <c r="AL37" i="245"/>
  <c r="W37" i="245"/>
  <c r="Z37" i="245"/>
  <c r="G37" i="245"/>
  <c r="AA37" i="245"/>
  <c r="AF37" i="245"/>
  <c r="H37" i="245"/>
  <c r="AM37" i="245"/>
  <c r="I37" i="245"/>
  <c r="AN37" i="245"/>
  <c r="M37" i="245"/>
  <c r="AQ37" i="245"/>
  <c r="N37" i="245"/>
  <c r="AR37" i="245"/>
  <c r="O37" i="245"/>
  <c r="AS37" i="245"/>
  <c r="Q37" i="245"/>
  <c r="AU37" i="245"/>
  <c r="G12" i="245"/>
  <c r="G17" i="245"/>
  <c r="Q54" i="245"/>
  <c r="AB49" i="245"/>
  <c r="AB50" i="245" s="1"/>
  <c r="AD47" i="245"/>
  <c r="AE46" i="245"/>
  <c r="AE45" i="245"/>
  <c r="M41" i="245"/>
  <c r="AT37" i="245"/>
  <c r="AL36" i="245"/>
  <c r="AG34" i="245"/>
  <c r="T32" i="245"/>
  <c r="N31" i="245"/>
  <c r="AE27" i="245"/>
  <c r="X24" i="245"/>
  <c r="AU22" i="245"/>
  <c r="W18" i="245"/>
  <c r="AM16" i="245"/>
  <c r="L15" i="245"/>
  <c r="P13" i="245"/>
  <c r="M9" i="245"/>
  <c r="O23" i="245"/>
  <c r="AQ23" i="245"/>
  <c r="AC23" i="245"/>
  <c r="AD23" i="245"/>
  <c r="AE23" i="245"/>
  <c r="AH23" i="245"/>
  <c r="J23" i="245"/>
  <c r="AL23" i="245"/>
  <c r="U23" i="245"/>
  <c r="X23" i="245"/>
  <c r="Y23" i="245"/>
  <c r="AF23" i="245"/>
  <c r="AN23" i="245"/>
  <c r="AO23" i="245"/>
  <c r="I23" i="245"/>
  <c r="AS23" i="245"/>
  <c r="K23" i="245"/>
  <c r="AT23" i="245"/>
  <c r="L23" i="245"/>
  <c r="AU23" i="245"/>
  <c r="N23" i="245"/>
  <c r="O157" i="245"/>
  <c r="O42" i="245" s="1"/>
  <c r="H156" i="245"/>
  <c r="H64" i="245" s="1"/>
  <c r="G54" i="245"/>
  <c r="G16" i="245"/>
  <c r="O54" i="245"/>
  <c r="AA49" i="245"/>
  <c r="AA50" i="245" s="1"/>
  <c r="AB48" i="245"/>
  <c r="AC47" i="245"/>
  <c r="AD46" i="245"/>
  <c r="AD45" i="245"/>
  <c r="X43" i="245"/>
  <c r="L41" i="245"/>
  <c r="AP37" i="245"/>
  <c r="AI36" i="245"/>
  <c r="AF34" i="245"/>
  <c r="S32" i="245"/>
  <c r="J31" i="245"/>
  <c r="AC27" i="245"/>
  <c r="T24" i="245"/>
  <c r="AT19" i="245"/>
  <c r="V18" i="245"/>
  <c r="AG16" i="245"/>
  <c r="J15" i="245"/>
  <c r="AT12" i="245"/>
  <c r="W20" i="245"/>
  <c r="I20" i="245"/>
  <c r="AK20" i="245"/>
  <c r="J20" i="245"/>
  <c r="AL20" i="245"/>
  <c r="K20" i="245"/>
  <c r="AM20" i="245"/>
  <c r="N20" i="245"/>
  <c r="AP20" i="245"/>
  <c r="R20" i="245"/>
  <c r="AT20" i="245"/>
  <c r="AG20" i="245"/>
  <c r="AJ20" i="245"/>
  <c r="AN20" i="245"/>
  <c r="AQ20" i="245"/>
  <c r="AS20" i="245"/>
  <c r="L20" i="245"/>
  <c r="Q20" i="245"/>
  <c r="G20" i="245"/>
  <c r="T20" i="245"/>
  <c r="S20" i="245"/>
  <c r="V20" i="245"/>
  <c r="X20" i="245"/>
  <c r="Y20" i="245"/>
  <c r="AA20" i="245"/>
  <c r="Q9" i="245"/>
  <c r="AS9" i="245"/>
  <c r="AE9" i="245"/>
  <c r="AF9" i="245"/>
  <c r="AG9" i="245"/>
  <c r="H9" i="245"/>
  <c r="AJ9" i="245"/>
  <c r="L9" i="245"/>
  <c r="AN9" i="245"/>
  <c r="N9" i="245"/>
  <c r="R9" i="245"/>
  <c r="S9" i="245"/>
  <c r="U9" i="245"/>
  <c r="V9" i="245"/>
  <c r="W9" i="245"/>
  <c r="Y9" i="245"/>
  <c r="Z9" i="245"/>
  <c r="AA9" i="245"/>
  <c r="AB9" i="245"/>
  <c r="AC9" i="245"/>
  <c r="AD9" i="245"/>
  <c r="AH9" i="245"/>
  <c r="AI9" i="245"/>
  <c r="AK9" i="245"/>
  <c r="AL9" i="245"/>
  <c r="AM9" i="245"/>
  <c r="AO9" i="245"/>
  <c r="AP9" i="245"/>
  <c r="Q60" i="245"/>
  <c r="AS60" i="245"/>
  <c r="R60" i="245"/>
  <c r="AT60" i="245"/>
  <c r="S60" i="245"/>
  <c r="AU60" i="245"/>
  <c r="T60" i="245"/>
  <c r="U60" i="245"/>
  <c r="AE60" i="245"/>
  <c r="AF60" i="245"/>
  <c r="AG60" i="245"/>
  <c r="AH60" i="245"/>
  <c r="AI60" i="245"/>
  <c r="H60" i="245"/>
  <c r="AJ60" i="245"/>
  <c r="I60" i="245"/>
  <c r="AK60" i="245"/>
  <c r="J60" i="245"/>
  <c r="AL60" i="245"/>
  <c r="N60" i="245"/>
  <c r="AP60" i="245"/>
  <c r="K60" i="245"/>
  <c r="L60" i="245"/>
  <c r="M60" i="245"/>
  <c r="O60" i="245"/>
  <c r="P60" i="245"/>
  <c r="V60" i="245"/>
  <c r="W60" i="245"/>
  <c r="G60" i="245"/>
  <c r="X60" i="245"/>
  <c r="Y60" i="245"/>
  <c r="Z60" i="245"/>
  <c r="AA60" i="245"/>
  <c r="AB60" i="245"/>
  <c r="AC60" i="245"/>
  <c r="AD60" i="245"/>
  <c r="AM60" i="245"/>
  <c r="AN60" i="245"/>
  <c r="AO60" i="245"/>
  <c r="AQ60" i="245"/>
  <c r="AR60" i="245"/>
  <c r="AA22" i="245"/>
  <c r="M22" i="245"/>
  <c r="AO22" i="245"/>
  <c r="N22" i="245"/>
  <c r="AP22" i="245"/>
  <c r="O22" i="245"/>
  <c r="AQ22" i="245"/>
  <c r="R22" i="245"/>
  <c r="AT22" i="245"/>
  <c r="V22" i="245"/>
  <c r="Z22" i="245"/>
  <c r="AD22" i="245"/>
  <c r="AE22" i="245"/>
  <c r="AI22" i="245"/>
  <c r="AR22" i="245"/>
  <c r="H22" i="245"/>
  <c r="AS22" i="245"/>
  <c r="K22" i="245"/>
  <c r="L22" i="245"/>
  <c r="P22" i="245"/>
  <c r="S22" i="245"/>
  <c r="AD8" i="245"/>
  <c r="P8" i="245"/>
  <c r="AR8" i="245"/>
  <c r="Q8" i="245"/>
  <c r="AS8" i="245"/>
  <c r="R8" i="245"/>
  <c r="AT8" i="245"/>
  <c r="U8" i="245"/>
  <c r="Y8" i="245"/>
  <c r="S8" i="245"/>
  <c r="W8" i="245"/>
  <c r="X8" i="245"/>
  <c r="Z8" i="245"/>
  <c r="AA8" i="245"/>
  <c r="AB8" i="245"/>
  <c r="AC8" i="245"/>
  <c r="AE8" i="245"/>
  <c r="AF8" i="245"/>
  <c r="AG8" i="245"/>
  <c r="AH8" i="245"/>
  <c r="AI8" i="245"/>
  <c r="AJ8" i="245"/>
  <c r="AK8" i="245"/>
  <c r="AM8" i="245"/>
  <c r="AN8" i="245"/>
  <c r="G8" i="245"/>
  <c r="AO8" i="245"/>
  <c r="H8" i="245"/>
  <c r="AP8" i="245"/>
  <c r="I8" i="245"/>
  <c r="AQ8" i="245"/>
  <c r="J8" i="245"/>
  <c r="AU8" i="245"/>
  <c r="AC59" i="245"/>
  <c r="AD59" i="245"/>
  <c r="AE59" i="245"/>
  <c r="AF59" i="245"/>
  <c r="AG59" i="245"/>
  <c r="O59" i="245"/>
  <c r="AQ59" i="245"/>
  <c r="P59" i="245"/>
  <c r="AR59" i="245"/>
  <c r="Q59" i="245"/>
  <c r="AS59" i="245"/>
  <c r="R59" i="245"/>
  <c r="AT59" i="245"/>
  <c r="S59" i="245"/>
  <c r="AU59" i="245"/>
  <c r="T59" i="245"/>
  <c r="U59" i="245"/>
  <c r="V59" i="245"/>
  <c r="G59" i="245"/>
  <c r="Z59" i="245"/>
  <c r="H59" i="245"/>
  <c r="I59" i="245"/>
  <c r="J59" i="245"/>
  <c r="K59" i="245"/>
  <c r="L59" i="245"/>
  <c r="M59" i="245"/>
  <c r="N59" i="245"/>
  <c r="W59" i="245"/>
  <c r="X59" i="245"/>
  <c r="Y59" i="245"/>
  <c r="AA59" i="245"/>
  <c r="AB59" i="245"/>
  <c r="AH59" i="245"/>
  <c r="AI59" i="245"/>
  <c r="AJ59" i="245"/>
  <c r="AK59" i="245"/>
  <c r="AL59" i="245"/>
  <c r="AM59" i="245"/>
  <c r="AN59" i="245"/>
  <c r="AO59" i="245"/>
  <c r="N157" i="245"/>
  <c r="N42" i="245" s="1"/>
  <c r="AU155" i="245"/>
  <c r="AU52" i="245" s="1"/>
  <c r="N54" i="245"/>
  <c r="Z49" i="245"/>
  <c r="Z50" i="245" s="1"/>
  <c r="AA48" i="245"/>
  <c r="Z47" i="245"/>
  <c r="AC46" i="245"/>
  <c r="AB45" i="245"/>
  <c r="X44" i="245"/>
  <c r="W43" i="245"/>
  <c r="P42" i="245"/>
  <c r="K41" i="245"/>
  <c r="AO37" i="245"/>
  <c r="AD34" i="245"/>
  <c r="Y33" i="245"/>
  <c r="R32" i="245"/>
  <c r="I31" i="245"/>
  <c r="AQ29" i="245"/>
  <c r="AB27" i="245"/>
  <c r="P24" i="245"/>
  <c r="AM22" i="245"/>
  <c r="AR19" i="245"/>
  <c r="T18" i="245"/>
  <c r="AF16" i="245"/>
  <c r="AR12" i="245"/>
  <c r="J9" i="245"/>
  <c r="AG61" i="245"/>
  <c r="H61" i="245"/>
  <c r="AJ61" i="245"/>
  <c r="I61" i="245"/>
  <c r="AK61" i="245"/>
  <c r="S61" i="245"/>
  <c r="AU61" i="245"/>
  <c r="T61" i="245"/>
  <c r="U61" i="245"/>
  <c r="W61" i="245"/>
  <c r="X61" i="245"/>
  <c r="Y61" i="245"/>
  <c r="Z61" i="245"/>
  <c r="AD61" i="245"/>
  <c r="AA61" i="245"/>
  <c r="AB61" i="245"/>
  <c r="AC61" i="245"/>
  <c r="AE61" i="245"/>
  <c r="AF61" i="245"/>
  <c r="AL61" i="245"/>
  <c r="AM61" i="245"/>
  <c r="AN61" i="245"/>
  <c r="G61" i="245"/>
  <c r="AO61" i="245"/>
  <c r="AP61" i="245"/>
  <c r="AQ61" i="245"/>
  <c r="AS61" i="245"/>
  <c r="AT61" i="245"/>
  <c r="J61" i="245"/>
  <c r="L61" i="245"/>
  <c r="N61" i="245"/>
  <c r="O61" i="245"/>
  <c r="P61" i="245"/>
  <c r="Q61" i="245"/>
  <c r="N36" i="245"/>
  <c r="AP36" i="245"/>
  <c r="V36" i="245"/>
  <c r="AG36" i="245"/>
  <c r="AJ36" i="245"/>
  <c r="AK36" i="245"/>
  <c r="K36" i="245"/>
  <c r="AO36" i="245"/>
  <c r="R36" i="245"/>
  <c r="S36" i="245"/>
  <c r="W36" i="245"/>
  <c r="X36" i="245"/>
  <c r="Y36" i="245"/>
  <c r="AA36" i="245"/>
  <c r="M157" i="245"/>
  <c r="M42" i="245" s="1"/>
  <c r="AT155" i="245"/>
  <c r="AT52" i="245" s="1"/>
  <c r="L54" i="245"/>
  <c r="X49" i="245"/>
  <c r="X50" i="245" s="1"/>
  <c r="Z48" i="245"/>
  <c r="Y47" i="245"/>
  <c r="AA46" i="245"/>
  <c r="AA45" i="245"/>
  <c r="I41" i="245"/>
  <c r="AS38" i="245"/>
  <c r="AK37" i="245"/>
  <c r="AF36" i="245"/>
  <c r="AC34" i="245"/>
  <c r="T33" i="245"/>
  <c r="O32" i="245"/>
  <c r="AT30" i="245"/>
  <c r="AN29" i="245"/>
  <c r="AA27" i="245"/>
  <c r="N24" i="245"/>
  <c r="AL22" i="245"/>
  <c r="AO19" i="245"/>
  <c r="Q18" i="245"/>
  <c r="AB16" i="245"/>
  <c r="AP12" i="245"/>
  <c r="I9" i="245"/>
  <c r="AM155" i="245"/>
  <c r="AM63" i="245" s="1"/>
  <c r="G47" i="245"/>
  <c r="G13" i="245"/>
  <c r="K54" i="245"/>
  <c r="W49" i="245"/>
  <c r="W50" i="245" s="1"/>
  <c r="Y48" i="245"/>
  <c r="X47" i="245"/>
  <c r="Z46" i="245"/>
  <c r="W45" i="245"/>
  <c r="H41" i="245"/>
  <c r="AR38" i="245"/>
  <c r="AJ37" i="245"/>
  <c r="AE36" i="245"/>
  <c r="AB34" i="245"/>
  <c r="M32" i="245"/>
  <c r="AS30" i="245"/>
  <c r="Z27" i="245"/>
  <c r="M24" i="245"/>
  <c r="AK22" i="245"/>
  <c r="AN19" i="245"/>
  <c r="O18" i="245"/>
  <c r="Z16" i="245"/>
  <c r="AN12" i="245"/>
  <c r="G9" i="245"/>
  <c r="Z42" i="245"/>
  <c r="H42" i="245"/>
  <c r="AQ42" i="245"/>
  <c r="K53" i="245"/>
  <c r="AM53" i="245"/>
  <c r="AQ53" i="245"/>
  <c r="AU53" i="245"/>
  <c r="I56" i="245"/>
  <c r="AK56" i="245"/>
  <c r="J56" i="245"/>
  <c r="AL56" i="245"/>
  <c r="K56" i="245"/>
  <c r="AM56" i="245"/>
  <c r="L56" i="245"/>
  <c r="AN56" i="245"/>
  <c r="M56" i="245"/>
  <c r="AO56" i="245"/>
  <c r="W56" i="245"/>
  <c r="X56" i="245"/>
  <c r="Y56" i="245"/>
  <c r="Z56" i="245"/>
  <c r="AA56" i="245"/>
  <c r="AB56" i="245"/>
  <c r="AC56" i="245"/>
  <c r="AD56" i="245"/>
  <c r="AH56" i="245"/>
  <c r="H56" i="245"/>
  <c r="N56" i="245"/>
  <c r="O56" i="245"/>
  <c r="P56" i="245"/>
  <c r="Q56" i="245"/>
  <c r="R56" i="245"/>
  <c r="S56" i="245"/>
  <c r="T56" i="245"/>
  <c r="U56" i="245"/>
  <c r="V56" i="245"/>
  <c r="AE56" i="245"/>
  <c r="AF56" i="245"/>
  <c r="AG56" i="245"/>
  <c r="AI56" i="245"/>
  <c r="AJ56" i="245"/>
  <c r="AP56" i="245"/>
  <c r="AQ56" i="245"/>
  <c r="AR56" i="245"/>
  <c r="AS56" i="245"/>
  <c r="AT56" i="245"/>
  <c r="AU56" i="245"/>
  <c r="G155" i="245"/>
  <c r="G63" i="245" s="1"/>
  <c r="K157" i="245"/>
  <c r="K42" i="245" s="1"/>
  <c r="AL155" i="245"/>
  <c r="AL52" i="245" s="1"/>
  <c r="G46" i="245"/>
  <c r="AU54" i="245"/>
  <c r="J54" i="245"/>
  <c r="V49" i="245"/>
  <c r="V50" i="245" s="1"/>
  <c r="X48" i="245"/>
  <c r="W47" i="245"/>
  <c r="X46" i="245"/>
  <c r="V45" i="245"/>
  <c r="AT40" i="245"/>
  <c r="AP38" i="245"/>
  <c r="AI37" i="245"/>
  <c r="AD36" i="245"/>
  <c r="Y34" i="245"/>
  <c r="P33" i="245"/>
  <c r="K32" i="245"/>
  <c r="AR30" i="245"/>
  <c r="AL29" i="245"/>
  <c r="Y27" i="245"/>
  <c r="L24" i="245"/>
  <c r="AJ22" i="245"/>
  <c r="AL19" i="245"/>
  <c r="K18" i="245"/>
  <c r="X16" i="245"/>
  <c r="AK12" i="245"/>
  <c r="AL8" i="245"/>
  <c r="AD6" i="245"/>
  <c r="AH39" i="245"/>
  <c r="N39" i="245"/>
  <c r="AP39" i="245"/>
  <c r="S25" i="245"/>
  <c r="AU25" i="245"/>
  <c r="AG25" i="245"/>
  <c r="AH25" i="245"/>
  <c r="AI25" i="245"/>
  <c r="J25" i="245"/>
  <c r="AL25" i="245"/>
  <c r="N25" i="245"/>
  <c r="AP25" i="245"/>
  <c r="S11" i="245"/>
  <c r="AU11" i="245"/>
  <c r="AG11" i="245"/>
  <c r="AH11" i="245"/>
  <c r="G11" i="245"/>
  <c r="AI11" i="245"/>
  <c r="J11" i="245"/>
  <c r="AL11" i="245"/>
  <c r="N11" i="245"/>
  <c r="AP11" i="245"/>
  <c r="G28" i="245"/>
  <c r="AA39" i="245"/>
  <c r="AK35" i="245"/>
  <c r="AS28" i="245"/>
  <c r="O28" i="245"/>
  <c r="AO25" i="245"/>
  <c r="U21" i="245"/>
  <c r="Q14" i="245"/>
  <c r="AC11" i="245"/>
  <c r="Q7" i="245"/>
  <c r="X58" i="245"/>
  <c r="W58" i="245"/>
  <c r="AQ28" i="245"/>
  <c r="M28" i="245"/>
  <c r="AM25" i="245"/>
  <c r="S21" i="245"/>
  <c r="O14" i="245"/>
  <c r="AA11" i="245"/>
  <c r="M7" i="245"/>
  <c r="V58" i="245"/>
  <c r="AG35" i="245"/>
  <c r="AP28" i="245"/>
  <c r="L28" i="245"/>
  <c r="AK25" i="245"/>
  <c r="R21" i="245"/>
  <c r="N14" i="245"/>
  <c r="Z11" i="245"/>
  <c r="L7" i="245"/>
  <c r="U58" i="245"/>
  <c r="W39" i="245"/>
  <c r="AF35" i="245"/>
  <c r="AO28" i="245"/>
  <c r="K28" i="245"/>
  <c r="AJ25" i="245"/>
  <c r="Q21" i="245"/>
  <c r="AU14" i="245"/>
  <c r="M14" i="245"/>
  <c r="Y11" i="245"/>
  <c r="AU7" i="245"/>
  <c r="K7" i="245"/>
  <c r="T58" i="245"/>
  <c r="S58" i="245"/>
  <c r="R58" i="245"/>
  <c r="G21" i="245"/>
  <c r="T39" i="245"/>
  <c r="AL28" i="245"/>
  <c r="H28" i="245"/>
  <c r="AD25" i="245"/>
  <c r="AR14" i="245"/>
  <c r="I14" i="245"/>
  <c r="V11" i="245"/>
  <c r="AR7" i="245"/>
  <c r="M58" i="245"/>
  <c r="AO58" i="245"/>
  <c r="N58" i="245"/>
  <c r="AP58" i="245"/>
  <c r="O58" i="245"/>
  <c r="AQ58" i="245"/>
  <c r="P58" i="245"/>
  <c r="AR58" i="245"/>
  <c r="Q58" i="245"/>
  <c r="AS58" i="245"/>
  <c r="AA58" i="245"/>
  <c r="AB58" i="245"/>
  <c r="AC58" i="245"/>
  <c r="AD58" i="245"/>
  <c r="AE58" i="245"/>
  <c r="AF58" i="245"/>
  <c r="AG58" i="245"/>
  <c r="AH58" i="245"/>
  <c r="J58" i="245"/>
  <c r="AL58" i="245"/>
  <c r="Z35" i="245"/>
  <c r="AH35" i="245"/>
  <c r="K21" i="245"/>
  <c r="AM21" i="245"/>
  <c r="Y21" i="245"/>
  <c r="Z21" i="245"/>
  <c r="AA21" i="245"/>
  <c r="AD21" i="245"/>
  <c r="AH21" i="245"/>
  <c r="N7" i="245"/>
  <c r="O7" i="245"/>
  <c r="AQ7" i="245"/>
  <c r="AC7" i="245"/>
  <c r="AD7" i="245"/>
  <c r="AE7" i="245"/>
  <c r="AH7" i="245"/>
  <c r="J7" i="245"/>
  <c r="AL7" i="245"/>
  <c r="Y57" i="245"/>
  <c r="Z57" i="245"/>
  <c r="AA57" i="245"/>
  <c r="AB57" i="245"/>
  <c r="AC57" i="245"/>
  <c r="K57" i="245"/>
  <c r="AM57" i="245"/>
  <c r="L57" i="245"/>
  <c r="AN57" i="245"/>
  <c r="M57" i="245"/>
  <c r="AO57" i="245"/>
  <c r="N57" i="245"/>
  <c r="AP57" i="245"/>
  <c r="O57" i="245"/>
  <c r="AQ57" i="245"/>
  <c r="P57" i="245"/>
  <c r="AR57" i="245"/>
  <c r="Q57" i="245"/>
  <c r="AS57" i="245"/>
  <c r="R57" i="245"/>
  <c r="AT57" i="245"/>
  <c r="V57" i="245"/>
  <c r="S39" i="245"/>
  <c r="AB35" i="245"/>
  <c r="AK28" i="245"/>
  <c r="AC25" i="245"/>
  <c r="AU21" i="245"/>
  <c r="M21" i="245"/>
  <c r="AQ14" i="245"/>
  <c r="H14" i="245"/>
  <c r="U11" i="245"/>
  <c r="AP7" i="245"/>
  <c r="K58" i="245"/>
  <c r="I58" i="245"/>
  <c r="H58" i="245"/>
  <c r="AL14" i="245"/>
  <c r="AL57" i="245"/>
  <c r="AD28" i="245"/>
  <c r="W25" i="245"/>
  <c r="AO21" i="245"/>
  <c r="AJ14" i="245"/>
  <c r="M11" i="245"/>
  <c r="AI7" i="245"/>
  <c r="AJ57" i="245"/>
  <c r="AG14" i="245"/>
  <c r="AH57" i="245"/>
  <c r="Y28" i="245"/>
  <c r="R25" i="245"/>
  <c r="AJ21" i="245"/>
  <c r="AE14" i="245"/>
  <c r="AR11" i="245"/>
  <c r="H11" i="245"/>
  <c r="AA7" i="245"/>
  <c r="AF57" i="245"/>
  <c r="Q25" i="245"/>
  <c r="AI21" i="245"/>
  <c r="AQ11" i="245"/>
  <c r="Z7" i="245"/>
  <c r="AU58" i="245"/>
  <c r="AE57" i="245"/>
  <c r="Z28" i="245"/>
  <c r="AH28" i="245"/>
  <c r="K14" i="245"/>
  <c r="AM14" i="245"/>
  <c r="Y14" i="245"/>
  <c r="Z14" i="245"/>
  <c r="AA14" i="245"/>
  <c r="AD14" i="245"/>
  <c r="AH14" i="245"/>
  <c r="AG39" i="245"/>
  <c r="AQ35" i="245"/>
  <c r="M35" i="245"/>
  <c r="U28" i="245"/>
  <c r="M25" i="245"/>
  <c r="AE21" i="245"/>
  <c r="W14" i="245"/>
  <c r="AM11" i="245"/>
  <c r="W7" i="245"/>
  <c r="AM58" i="245"/>
  <c r="W57" i="245"/>
  <c r="AG67" i="245"/>
  <c r="AC67" i="245"/>
  <c r="X67" i="245"/>
  <c r="V67" i="245"/>
  <c r="U67" i="245"/>
  <c r="T67" i="245"/>
  <c r="R67" i="245"/>
  <c r="N67" i="245"/>
  <c r="AM67" i="245"/>
  <c r="T68" i="245"/>
  <c r="AS68" i="245"/>
  <c r="Q68" i="245"/>
  <c r="AR68" i="245"/>
  <c r="AQ68" i="245"/>
  <c r="O68" i="245"/>
  <c r="AP68" i="245"/>
  <c r="N68" i="245"/>
  <c r="AN68" i="245"/>
  <c r="L68" i="245"/>
  <c r="AM68" i="245"/>
  <c r="K68" i="245"/>
  <c r="AL68" i="245"/>
  <c r="J68" i="245"/>
  <c r="AK68" i="245"/>
  <c r="I68" i="245"/>
  <c r="AI68" i="245"/>
  <c r="AB67" i="245"/>
  <c r="AA67" i="245"/>
  <c r="W67" i="245"/>
  <c r="AU67" i="245"/>
  <c r="S67" i="245"/>
  <c r="AS67" i="245"/>
  <c r="Q67" i="245"/>
  <c r="AR67" i="245"/>
  <c r="P67" i="245"/>
  <c r="AQ67" i="245"/>
  <c r="O67" i="245"/>
  <c r="AE67" i="245"/>
  <c r="AU154" i="245"/>
  <c r="AU62" i="245" s="1"/>
  <c r="S154" i="245"/>
  <c r="S62" i="245" s="1"/>
  <c r="AE155" i="245"/>
  <c r="AE63" i="245" s="1"/>
  <c r="AQ154" i="245"/>
  <c r="AQ51" i="245" s="1"/>
  <c r="O154" i="245"/>
  <c r="O62" i="245" s="1"/>
  <c r="V158" i="245"/>
  <c r="AD155" i="245"/>
  <c r="AD63" i="245" s="1"/>
  <c r="AP154" i="245"/>
  <c r="AP51" i="245" s="1"/>
  <c r="N154" i="245"/>
  <c r="N51" i="245" s="1"/>
  <c r="U158" i="245"/>
  <c r="AS156" i="245"/>
  <c r="AS53" i="245" s="1"/>
  <c r="Q156" i="245"/>
  <c r="Q53" i="245" s="1"/>
  <c r="AC155" i="245"/>
  <c r="AC63" i="245" s="1"/>
  <c r="AO154" i="245"/>
  <c r="AO51" i="245" s="1"/>
  <c r="M154" i="245"/>
  <c r="M51" i="245" s="1"/>
  <c r="G154" i="245"/>
  <c r="G62" i="245" s="1"/>
  <c r="T158" i="245"/>
  <c r="AB155" i="245"/>
  <c r="AB52" i="245" s="1"/>
  <c r="AN154" i="245"/>
  <c r="AN51" i="245" s="1"/>
  <c r="L154" i="245"/>
  <c r="L51" i="245" s="1"/>
  <c r="AU158" i="245"/>
  <c r="S158" i="245"/>
  <c r="AA155" i="245"/>
  <c r="AA52" i="245" s="1"/>
  <c r="AM154" i="245"/>
  <c r="AM51" i="245" s="1"/>
  <c r="K154" i="245"/>
  <c r="K51" i="245" s="1"/>
  <c r="AT158" i="245"/>
  <c r="R158" i="245"/>
  <c r="Z155" i="245"/>
  <c r="Z52" i="245" s="1"/>
  <c r="AL154" i="245"/>
  <c r="AL51" i="245" s="1"/>
  <c r="J154" i="245"/>
  <c r="J51" i="245" s="1"/>
  <c r="AS158" i="245"/>
  <c r="Q158" i="245"/>
  <c r="AC157" i="245"/>
  <c r="AC42" i="245" s="1"/>
  <c r="AO156" i="245"/>
  <c r="AO53" i="245" s="1"/>
  <c r="M156" i="245"/>
  <c r="M53" i="245" s="1"/>
  <c r="Y155" i="245"/>
  <c r="Y52" i="245" s="1"/>
  <c r="AK154" i="245"/>
  <c r="AK62" i="245" s="1"/>
  <c r="I154" i="245"/>
  <c r="I51" i="245" s="1"/>
  <c r="AR158" i="245"/>
  <c r="P158" i="245"/>
  <c r="AB157" i="245"/>
  <c r="AB42" i="245" s="1"/>
  <c r="AN156" i="245"/>
  <c r="AN64" i="245" s="1"/>
  <c r="L156" i="245"/>
  <c r="L64" i="245" s="1"/>
  <c r="X155" i="245"/>
  <c r="X52" i="245" s="1"/>
  <c r="AJ154" i="245"/>
  <c r="AJ51" i="245" s="1"/>
  <c r="H154" i="245"/>
  <c r="H51" i="245" s="1"/>
  <c r="G156" i="245"/>
  <c r="G53" i="245" s="1"/>
  <c r="AO158" i="245"/>
  <c r="M158" i="245"/>
  <c r="Y157" i="245"/>
  <c r="Y42" i="245" s="1"/>
  <c r="AK156" i="245"/>
  <c r="AK64" i="245" s="1"/>
  <c r="I156" i="245"/>
  <c r="I53" i="245" s="1"/>
  <c r="U155" i="245"/>
  <c r="U63" i="245" s="1"/>
  <c r="AG154" i="245"/>
  <c r="AG51" i="245" s="1"/>
  <c r="AD154" i="245"/>
  <c r="AD62" i="245" s="1"/>
  <c r="AJ158" i="245"/>
  <c r="H158" i="245"/>
  <c r="T157" i="245"/>
  <c r="T42" i="245" s="1"/>
  <c r="AF156" i="245"/>
  <c r="AF64" i="245" s="1"/>
  <c r="AR155" i="245"/>
  <c r="AR52" i="245" s="1"/>
  <c r="P155" i="245"/>
  <c r="P52" i="245" s="1"/>
  <c r="AB154" i="245"/>
  <c r="AB51" i="245" s="1"/>
  <c r="AK158" i="245"/>
  <c r="I158" i="245"/>
  <c r="AS155" i="245"/>
  <c r="AS52" i="245" s="1"/>
  <c r="Q155" i="245"/>
  <c r="Q52" i="245" s="1"/>
  <c r="AC154" i="245"/>
  <c r="AC51" i="245" s="1"/>
  <c r="AI158" i="245"/>
  <c r="AU157" i="245"/>
  <c r="AU42" i="245" s="1"/>
  <c r="S157" i="245"/>
  <c r="S42" i="245" s="1"/>
  <c r="AE156" i="245"/>
  <c r="AE53" i="245" s="1"/>
  <c r="AQ155" i="245"/>
  <c r="AQ52" i="245" s="1"/>
  <c r="O155" i="245"/>
  <c r="O63" i="245" s="1"/>
  <c r="AA154" i="245"/>
  <c r="AA62" i="245" s="1"/>
  <c r="AH158" i="245"/>
  <c r="AT157" i="245"/>
  <c r="AT42" i="245" s="1"/>
  <c r="R157" i="245"/>
  <c r="R42" i="245" s="1"/>
  <c r="AD156" i="245"/>
  <c r="AD64" i="245" s="1"/>
  <c r="AP155" i="245"/>
  <c r="AP52" i="245" s="1"/>
  <c r="N155" i="245"/>
  <c r="N52" i="245" s="1"/>
  <c r="Z154" i="245"/>
  <c r="Z62" i="245" s="1"/>
  <c r="AG158" i="245"/>
  <c r="AS157" i="245"/>
  <c r="AS42" i="245" s="1"/>
  <c r="Q157" i="245"/>
  <c r="Q42" i="245" s="1"/>
  <c r="AC156" i="245"/>
  <c r="AC64" i="245" s="1"/>
  <c r="AO155" i="245"/>
  <c r="AO52" i="245" s="1"/>
  <c r="M155" i="245"/>
  <c r="M52" i="245" s="1"/>
  <c r="Y154" i="245"/>
  <c r="Y62" i="245" s="1"/>
  <c r="AF158" i="245"/>
  <c r="AN155" i="245"/>
  <c r="AN63" i="245" s="1"/>
  <c r="L155" i="245"/>
  <c r="L63" i="245" s="1"/>
  <c r="X154" i="245"/>
  <c r="X62" i="245" s="1"/>
  <c r="AT111" i="245" l="1"/>
  <c r="F111" i="245"/>
  <c r="U111" i="245"/>
  <c r="S111" i="245"/>
  <c r="AN111" i="245"/>
  <c r="X111" i="245"/>
  <c r="N111" i="245"/>
  <c r="AF111" i="245"/>
  <c r="M111" i="245"/>
  <c r="AB111" i="245"/>
  <c r="I111" i="245"/>
  <c r="O43" i="245"/>
  <c r="AH61" i="245"/>
  <c r="AR61" i="245"/>
  <c r="AR64" i="245"/>
  <c r="R111" i="245"/>
  <c r="AJ64" i="245"/>
  <c r="G43" i="245"/>
  <c r="U64" i="245"/>
  <c r="K61" i="245"/>
  <c r="AL43" i="245"/>
  <c r="AA43" i="245"/>
  <c r="J111" i="245"/>
  <c r="P111" i="245"/>
  <c r="AI52" i="245"/>
  <c r="T63" i="245"/>
  <c r="AG52" i="245"/>
  <c r="AB64" i="245"/>
  <c r="J43" i="245"/>
  <c r="J159" i="245"/>
  <c r="J44" i="245" s="1"/>
  <c r="M43" i="245"/>
  <c r="M159" i="245"/>
  <c r="M44" i="245" s="1"/>
  <c r="AU43" i="245"/>
  <c r="AU159" i="245"/>
  <c r="AU44" i="245" s="1"/>
  <c r="AO43" i="245"/>
  <c r="AO159" i="245"/>
  <c r="AO44" i="245" s="1"/>
  <c r="AH43" i="245"/>
  <c r="AH159" i="245"/>
  <c r="AH44" i="245" s="1"/>
  <c r="S43" i="245"/>
  <c r="S159" i="245"/>
  <c r="S44" i="245" s="1"/>
  <c r="AB43" i="245"/>
  <c r="AB159" i="245"/>
  <c r="AB44" i="245" s="1"/>
  <c r="N43" i="245"/>
  <c r="N159" i="245"/>
  <c r="N44" i="245" s="1"/>
  <c r="AC43" i="245"/>
  <c r="AC159" i="245"/>
  <c r="AC44" i="245" s="1"/>
  <c r="Y43" i="245"/>
  <c r="Y159" i="245"/>
  <c r="Y44" i="245" s="1"/>
  <c r="T43" i="245"/>
  <c r="T159" i="245"/>
  <c r="T44" i="245" s="1"/>
  <c r="Z43" i="245"/>
  <c r="Z159" i="245"/>
  <c r="Z44" i="245" s="1"/>
  <c r="AN43" i="245"/>
  <c r="AN159" i="245"/>
  <c r="AN44" i="245" s="1"/>
  <c r="U43" i="245"/>
  <c r="U159" i="245"/>
  <c r="U44" i="245" s="1"/>
  <c r="K43" i="245"/>
  <c r="K159" i="245"/>
  <c r="K44" i="245" s="1"/>
  <c r="I43" i="245"/>
  <c r="I159" i="245"/>
  <c r="I44" i="245" s="1"/>
  <c r="AI43" i="245"/>
  <c r="AI159" i="245"/>
  <c r="AI44" i="245" s="1"/>
  <c r="AR43" i="245"/>
  <c r="AR159" i="245"/>
  <c r="AR44" i="245" s="1"/>
  <c r="AK43" i="245"/>
  <c r="AK159" i="245"/>
  <c r="AK44" i="245" s="1"/>
  <c r="V43" i="245"/>
  <c r="V159" i="245"/>
  <c r="V44" i="245" s="1"/>
  <c r="P43" i="245"/>
  <c r="P159" i="245"/>
  <c r="P44" i="245" s="1"/>
  <c r="AS43" i="245"/>
  <c r="AS159" i="245"/>
  <c r="AS44" i="245" s="1"/>
  <c r="AQ43" i="245"/>
  <c r="AQ159" i="245"/>
  <c r="AQ44" i="245" s="1"/>
  <c r="AP43" i="245"/>
  <c r="AP159" i="245"/>
  <c r="AP44" i="245" s="1"/>
  <c r="AF43" i="245"/>
  <c r="AF159" i="245"/>
  <c r="AF44" i="245" s="1"/>
  <c r="Q43" i="245"/>
  <c r="Q159" i="245"/>
  <c r="Q44" i="245" s="1"/>
  <c r="H43" i="245"/>
  <c r="H159" i="245"/>
  <c r="H44" i="245" s="1"/>
  <c r="AJ43" i="245"/>
  <c r="AJ159" i="245"/>
  <c r="AJ44" i="245" s="1"/>
  <c r="R43" i="245"/>
  <c r="R159" i="245"/>
  <c r="R44" i="245" s="1"/>
  <c r="AG43" i="245"/>
  <c r="AG159" i="245"/>
  <c r="AG44" i="245" s="1"/>
  <c r="AT43" i="245"/>
  <c r="AT159" i="245"/>
  <c r="AT44" i="245" s="1"/>
  <c r="AE43" i="245"/>
  <c r="AE159" i="245"/>
  <c r="AE44" i="245" s="1"/>
  <c r="L43" i="245"/>
  <c r="L159" i="245"/>
  <c r="L44" i="245" s="1"/>
  <c r="X53" i="245"/>
  <c r="AA64" i="245"/>
  <c r="AJ63" i="245"/>
  <c r="W53" i="245"/>
  <c r="V63" i="245"/>
  <c r="G23" i="245"/>
  <c r="G144" i="245"/>
  <c r="Y53" i="245"/>
  <c r="R52" i="245"/>
  <c r="J53" i="245"/>
  <c r="AG64" i="245"/>
  <c r="AH52" i="245"/>
  <c r="AT64" i="245"/>
  <c r="AS62" i="245"/>
  <c r="AI62" i="245"/>
  <c r="R53" i="245"/>
  <c r="AK63" i="245"/>
  <c r="W62" i="245"/>
  <c r="Z53" i="245"/>
  <c r="S64" i="245"/>
  <c r="T53" i="245"/>
  <c r="P53" i="245"/>
  <c r="R51" i="245"/>
  <c r="AF62" i="245"/>
  <c r="AP64" i="245"/>
  <c r="O53" i="245"/>
  <c r="AR62" i="245"/>
  <c r="V53" i="245"/>
  <c r="S52" i="245"/>
  <c r="P62" i="245"/>
  <c r="AT62" i="245"/>
  <c r="V62" i="245"/>
  <c r="AN53" i="245"/>
  <c r="O52" i="245"/>
  <c r="L53" i="245"/>
  <c r="AD53" i="245"/>
  <c r="AB63" i="245"/>
  <c r="X63" i="245"/>
  <c r="AQ62" i="245"/>
  <c r="AL63" i="245"/>
  <c r="AO62" i="245"/>
  <c r="M62" i="245"/>
  <c r="I63" i="245"/>
  <c r="AL64" i="245"/>
  <c r="N53" i="245"/>
  <c r="AU63" i="245"/>
  <c r="AT63" i="245"/>
  <c r="AH62" i="245"/>
  <c r="AE52" i="245"/>
  <c r="G51" i="245"/>
  <c r="AA63" i="245"/>
  <c r="X51" i="245"/>
  <c r="Z63" i="245"/>
  <c r="U51" i="245"/>
  <c r="G52" i="245"/>
  <c r="AP62" i="245"/>
  <c r="Y63" i="245"/>
  <c r="N62" i="245"/>
  <c r="AS63" i="245"/>
  <c r="AK51" i="245"/>
  <c r="AD51" i="245"/>
  <c r="AR63" i="245"/>
  <c r="AO63" i="245"/>
  <c r="AM52" i="245"/>
  <c r="AN52" i="245"/>
  <c r="AC52" i="245"/>
  <c r="AN62" i="245"/>
  <c r="AQ63" i="245"/>
  <c r="M63" i="245"/>
  <c r="AF53" i="245"/>
  <c r="L52" i="245"/>
  <c r="AP63" i="245"/>
  <c r="AM62" i="245"/>
  <c r="Z51" i="245"/>
  <c r="L62" i="245"/>
  <c r="U52" i="245"/>
  <c r="AA51" i="245"/>
  <c r="AS64" i="245"/>
  <c r="I64" i="245"/>
  <c r="K62" i="245"/>
  <c r="Q64" i="245"/>
  <c r="AG62" i="245"/>
  <c r="AL62" i="245"/>
  <c r="J62" i="245"/>
  <c r="Y51" i="245"/>
  <c r="AE62" i="245"/>
  <c r="AC53" i="245"/>
  <c r="I62" i="245"/>
  <c r="H53" i="245"/>
  <c r="AC62" i="245"/>
  <c r="AJ62" i="245"/>
  <c r="AB62" i="245"/>
  <c r="H62" i="245"/>
  <c r="AO64" i="245"/>
  <c r="AK53" i="245"/>
  <c r="M64" i="245"/>
  <c r="AU51" i="245"/>
  <c r="T62" i="245"/>
  <c r="Q63" i="245"/>
  <c r="S51" i="245"/>
  <c r="P63" i="245"/>
  <c r="Q62" i="245"/>
  <c r="O51" i="245"/>
  <c r="N63" i="245"/>
  <c r="G64" i="245"/>
  <c r="AD52" i="245"/>
  <c r="AE64" i="245"/>
  <c r="G34" i="245" l="1"/>
  <c r="G145" i="245"/>
  <c r="E94" i="216"/>
  <c r="F94" i="216"/>
  <c r="E129" i="231" s="1"/>
  <c r="E95" i="216"/>
  <c r="F95" i="216"/>
  <c r="E130" i="231" s="1"/>
  <c r="E96" i="216"/>
  <c r="F96" i="216"/>
  <c r="E131" i="231" s="1"/>
  <c r="E97" i="216"/>
  <c r="F97" i="216"/>
  <c r="E132" i="231" s="1"/>
  <c r="E98" i="216"/>
  <c r="F98" i="216"/>
  <c r="E133" i="231" s="1"/>
  <c r="E99" i="216"/>
  <c r="F99" i="216"/>
  <c r="E134" i="231" s="1"/>
  <c r="E100" i="216"/>
  <c r="F100" i="216"/>
  <c r="E135" i="231" s="1"/>
  <c r="E101" i="216"/>
  <c r="F101" i="216"/>
  <c r="E136" i="231" s="1"/>
  <c r="E102" i="216"/>
  <c r="F102" i="216"/>
  <c r="E137" i="231" s="1"/>
  <c r="E103" i="216"/>
  <c r="F103" i="216"/>
  <c r="E138" i="231" s="1"/>
  <c r="E104" i="216"/>
  <c r="F104" i="216"/>
  <c r="E139" i="231" s="1"/>
  <c r="E105" i="216"/>
  <c r="F105" i="216"/>
  <c r="E140" i="231" s="1"/>
  <c r="E106" i="216"/>
  <c r="F106" i="216"/>
  <c r="E141" i="231" s="1"/>
  <c r="E107" i="216"/>
  <c r="F107" i="216"/>
  <c r="E142" i="231" s="1"/>
  <c r="E108" i="216"/>
  <c r="F108" i="216"/>
  <c r="E143" i="231" s="1"/>
  <c r="E81" i="216"/>
  <c r="F81" i="216"/>
  <c r="E116" i="231" s="1"/>
  <c r="E82" i="216"/>
  <c r="F82" i="216"/>
  <c r="E117" i="231" s="1"/>
  <c r="E83" i="216"/>
  <c r="F83" i="216"/>
  <c r="E118" i="231" s="1"/>
  <c r="E84" i="216"/>
  <c r="F84" i="216"/>
  <c r="E119" i="231" s="1"/>
  <c r="E85" i="216"/>
  <c r="F85" i="216"/>
  <c r="E120" i="231" s="1"/>
  <c r="E86" i="216"/>
  <c r="F86" i="216"/>
  <c r="E121" i="231" s="1"/>
  <c r="E87" i="216"/>
  <c r="F87" i="216"/>
  <c r="E122" i="231" s="1"/>
  <c r="E88" i="216"/>
  <c r="F88" i="216"/>
  <c r="E123" i="231" s="1"/>
  <c r="E89" i="216"/>
  <c r="F89" i="216"/>
  <c r="E124" i="231" s="1"/>
  <c r="E90" i="216"/>
  <c r="F90" i="216"/>
  <c r="E125" i="231" s="1"/>
  <c r="E91" i="216"/>
  <c r="F91" i="216"/>
  <c r="E126" i="231" s="1"/>
  <c r="E92" i="216"/>
  <c r="F92" i="216"/>
  <c r="E127" i="231" s="1"/>
  <c r="E93" i="216"/>
  <c r="F93" i="216"/>
  <c r="E128" i="231" s="1"/>
  <c r="F80" i="216"/>
  <c r="E115" i="231" s="1"/>
  <c r="E80" i="216"/>
  <c r="F59" i="239" s="1"/>
  <c r="B47" i="237" l="1"/>
  <c r="E47" i="237"/>
  <c r="D135" i="231"/>
  <c r="B29" i="237" s="1"/>
  <c r="E29" i="237"/>
  <c r="D29" i="237" s="1"/>
  <c r="D134" i="231"/>
  <c r="B28" i="237" s="1"/>
  <c r="E28" i="237"/>
  <c r="D28" i="237" s="1"/>
  <c r="D133" i="231"/>
  <c r="B27" i="237" s="1"/>
  <c r="E27" i="237"/>
  <c r="D27" i="237" s="1"/>
  <c r="D132" i="231"/>
  <c r="B26" i="237" s="1"/>
  <c r="E26" i="237"/>
  <c r="D26" i="237" s="1"/>
  <c r="D137" i="231"/>
  <c r="B31" i="237" s="1"/>
  <c r="E31" i="237"/>
  <c r="D31" i="237" s="1"/>
  <c r="D120" i="231"/>
  <c r="B14" i="237" s="1"/>
  <c r="E14" i="237"/>
  <c r="D14" i="237" s="1"/>
  <c r="D131" i="231"/>
  <c r="B25" i="237" s="1"/>
  <c r="E25" i="237"/>
  <c r="D25" i="237" s="1"/>
  <c r="D125" i="231"/>
  <c r="B19" i="237" s="1"/>
  <c r="E19" i="237"/>
  <c r="D19" i="237" s="1"/>
  <c r="D126" i="231"/>
  <c r="B20" i="237" s="1"/>
  <c r="E20" i="237"/>
  <c r="D20" i="237" s="1"/>
  <c r="B44" i="237"/>
  <c r="E44" i="237"/>
  <c r="D121" i="231"/>
  <c r="B15" i="237" s="1"/>
  <c r="E15" i="237"/>
  <c r="D15" i="237" s="1"/>
  <c r="D117" i="231"/>
  <c r="B11" i="237" s="1"/>
  <c r="E11" i="237"/>
  <c r="D11" i="237" s="1"/>
  <c r="B38" i="237"/>
  <c r="E38" i="237"/>
  <c r="D130" i="231"/>
  <c r="B24" i="237" s="1"/>
  <c r="E24" i="237"/>
  <c r="D24" i="237" s="1"/>
  <c r="D136" i="231"/>
  <c r="B30" i="237" s="1"/>
  <c r="E30" i="237"/>
  <c r="D30" i="237" s="1"/>
  <c r="B41" i="237"/>
  <c r="E41" i="237"/>
  <c r="D143" i="231"/>
  <c r="B37" i="237" s="1"/>
  <c r="E37" i="237"/>
  <c r="D37" i="237" s="1"/>
  <c r="D129" i="231"/>
  <c r="B23" i="237" s="1"/>
  <c r="E23" i="237"/>
  <c r="D23" i="237" s="1"/>
  <c r="D118" i="231"/>
  <c r="B12" i="237" s="1"/>
  <c r="E12" i="237"/>
  <c r="D12" i="237" s="1"/>
  <c r="D116" i="231"/>
  <c r="B10" i="237" s="1"/>
  <c r="E10" i="237"/>
  <c r="D10" i="237" s="1"/>
  <c r="D115" i="231"/>
  <c r="B9" i="237" s="1"/>
  <c r="E9" i="237"/>
  <c r="D9" i="237" s="1"/>
  <c r="B50" i="237"/>
  <c r="E50" i="237" s="1"/>
  <c r="D142" i="231"/>
  <c r="B36" i="237" s="1"/>
  <c r="E36" i="237"/>
  <c r="D36" i="237" s="1"/>
  <c r="D138" i="231"/>
  <c r="B32" i="237" s="1"/>
  <c r="E32" i="237"/>
  <c r="D32" i="237" s="1"/>
  <c r="D119" i="231"/>
  <c r="B13" i="237" s="1"/>
  <c r="E13" i="237"/>
  <c r="D13" i="237" s="1"/>
  <c r="D141" i="231"/>
  <c r="B35" i="237" s="1"/>
  <c r="E35" i="237"/>
  <c r="D35" i="237" s="1"/>
  <c r="D139" i="231"/>
  <c r="B33" i="237" s="1"/>
  <c r="E33" i="237"/>
  <c r="D33" i="237" s="1"/>
  <c r="D123" i="231"/>
  <c r="B17" i="237" s="1"/>
  <c r="E17" i="237"/>
  <c r="D17" i="237" s="1"/>
  <c r="D128" i="231"/>
  <c r="B22" i="237" s="1"/>
  <c r="E22" i="237"/>
  <c r="D22" i="237" s="1"/>
  <c r="D122" i="231"/>
  <c r="B16" i="237" s="1"/>
  <c r="E16" i="237"/>
  <c r="D16" i="237" s="1"/>
  <c r="D127" i="231"/>
  <c r="B21" i="237" s="1"/>
  <c r="E21" i="237"/>
  <c r="D21" i="237" s="1"/>
  <c r="D140" i="231"/>
  <c r="B34" i="237" s="1"/>
  <c r="E34" i="237"/>
  <c r="D124" i="231"/>
  <c r="B18" i="237" s="1"/>
  <c r="E18" i="237"/>
  <c r="D18" i="237" s="1"/>
  <c r="G146" i="245"/>
  <c r="G35" i="245"/>
  <c r="G107" i="216"/>
  <c r="G108" i="216"/>
  <c r="G109" i="216"/>
  <c r="G110" i="216"/>
  <c r="G111" i="216"/>
  <c r="G112" i="216"/>
  <c r="G80" i="216"/>
  <c r="G81" i="216"/>
  <c r="G82" i="216"/>
  <c r="G83" i="216"/>
  <c r="G84" i="216"/>
  <c r="G85" i="216"/>
  <c r="G86" i="216"/>
  <c r="G87" i="216"/>
  <c r="G88" i="216"/>
  <c r="G89" i="216"/>
  <c r="G90" i="216"/>
  <c r="G91" i="216"/>
  <c r="G92" i="216"/>
  <c r="G93" i="216"/>
  <c r="G94" i="216"/>
  <c r="G95" i="216"/>
  <c r="G96" i="216"/>
  <c r="G97" i="216"/>
  <c r="G98" i="216"/>
  <c r="G99" i="216"/>
  <c r="G100" i="216"/>
  <c r="G101" i="216"/>
  <c r="G102" i="216"/>
  <c r="G103" i="216"/>
  <c r="G104" i="216"/>
  <c r="G105" i="216"/>
  <c r="G106" i="216"/>
  <c r="G147" i="245" l="1"/>
  <c r="G27" i="245" s="1"/>
  <c r="G26" i="245"/>
  <c r="K24" i="242"/>
  <c r="L24" i="242" s="1"/>
  <c r="AI32" i="242"/>
  <c r="AI6" i="242" s="1"/>
  <c r="AH32" i="242"/>
  <c r="AH6" i="242" s="1"/>
  <c r="AG32" i="242"/>
  <c r="AG6" i="242" s="1"/>
  <c r="AF32" i="242"/>
  <c r="AF6" i="242" s="1"/>
  <c r="AE32" i="242"/>
  <c r="AD32" i="242"/>
  <c r="AD6" i="242" s="1"/>
  <c r="AC32" i="242"/>
  <c r="AC6" i="242" s="1"/>
  <c r="AB32" i="242"/>
  <c r="AB6" i="242" s="1"/>
  <c r="AA32" i="242"/>
  <c r="Z32" i="242"/>
  <c r="Z6" i="242" s="1"/>
  <c r="Y32" i="242"/>
  <c r="Y6" i="242" s="1"/>
  <c r="X32" i="242"/>
  <c r="X6" i="242" s="1"/>
  <c r="W32" i="242"/>
  <c r="W6" i="242" s="1"/>
  <c r="V32" i="242"/>
  <c r="V6" i="242" s="1"/>
  <c r="U32" i="242"/>
  <c r="U6" i="242" s="1"/>
  <c r="T32" i="242"/>
  <c r="S32" i="242"/>
  <c r="S6" i="242" s="1"/>
  <c r="R32" i="242"/>
  <c r="R6" i="242" s="1"/>
  <c r="Q32" i="242"/>
  <c r="Q6" i="242" s="1"/>
  <c r="P32" i="242"/>
  <c r="P6" i="242" s="1"/>
  <c r="O32" i="242"/>
  <c r="O6" i="242" s="1"/>
  <c r="N32" i="242"/>
  <c r="N6" i="242" s="1"/>
  <c r="M32" i="242"/>
  <c r="M11" i="242" s="1"/>
  <c r="M6" i="242" s="1"/>
  <c r="L32" i="242"/>
  <c r="L11" i="242" s="1"/>
  <c r="L6" i="242" s="1"/>
  <c r="D15" i="236"/>
  <c r="AE6" i="242"/>
  <c r="AA6" i="242"/>
  <c r="T6" i="242"/>
  <c r="K6" i="242"/>
  <c r="J6" i="242"/>
  <c r="I6" i="242"/>
  <c r="H6" i="242"/>
  <c r="G6" i="242"/>
  <c r="F6" i="242"/>
  <c r="E6" i="242"/>
  <c r="D16" i="236"/>
  <c r="D17" i="236"/>
  <c r="J7" i="242"/>
  <c r="I7" i="242"/>
  <c r="H7" i="242"/>
  <c r="G7" i="242"/>
  <c r="F7" i="242"/>
  <c r="E7" i="242"/>
  <c r="D18" i="236"/>
  <c r="H98" i="239"/>
  <c r="U55" i="239" s="1"/>
  <c r="H97" i="239"/>
  <c r="U54" i="239" s="1"/>
  <c r="H96" i="239"/>
  <c r="U53" i="239" s="1"/>
  <c r="H95" i="239"/>
  <c r="U52" i="239" s="1"/>
  <c r="H100" i="239"/>
  <c r="U57" i="239" s="1"/>
  <c r="H99" i="239"/>
  <c r="U56" i="239" s="1"/>
  <c r="D21" i="236"/>
  <c r="D22" i="236"/>
  <c r="D23" i="236"/>
  <c r="D24" i="236"/>
  <c r="D25" i="236"/>
  <c r="D26" i="236"/>
  <c r="D27" i="236"/>
  <c r="D28" i="236"/>
  <c r="F8" i="237"/>
  <c r="D29" i="236"/>
  <c r="D31" i="236"/>
  <c r="D32" i="236"/>
  <c r="AY15" i="235"/>
  <c r="AU9" i="235"/>
  <c r="L81" i="239"/>
  <c r="D34" i="236"/>
  <c r="D33" i="236"/>
  <c r="F7" i="237"/>
  <c r="H53" i="239"/>
  <c r="H54" i="239"/>
  <c r="H55" i="239"/>
  <c r="H56" i="239"/>
  <c r="H57" i="239"/>
  <c r="H52" i="239"/>
  <c r="G51" i="239"/>
  <c r="AZ87" i="238"/>
  <c r="AZ86" i="238"/>
  <c r="AZ85" i="238"/>
  <c r="AZ84" i="238"/>
  <c r="AZ83" i="238"/>
  <c r="AZ82" i="238"/>
  <c r="AZ81" i="238"/>
  <c r="F60" i="239"/>
  <c r="AX111" i="238"/>
  <c r="AX110" i="238"/>
  <c r="AX109" i="238"/>
  <c r="AX108" i="238"/>
  <c r="AX107" i="238"/>
  <c r="AX106" i="238"/>
  <c r="AX105" i="238"/>
  <c r="AX104" i="238"/>
  <c r="AX103" i="238"/>
  <c r="AX102" i="238"/>
  <c r="AX101" i="238"/>
  <c r="AX100" i="238"/>
  <c r="AX99" i="238"/>
  <c r="AX98" i="238"/>
  <c r="AX94" i="238"/>
  <c r="AX93" i="238"/>
  <c r="AX92" i="238"/>
  <c r="AX91" i="238"/>
  <c r="AX90" i="238"/>
  <c r="AX89" i="238"/>
  <c r="AX88" i="238"/>
  <c r="AX87" i="238"/>
  <c r="AX86" i="238"/>
  <c r="AX85" i="238"/>
  <c r="AX84" i="238"/>
  <c r="AX83" i="238"/>
  <c r="AX82" i="238"/>
  <c r="AX81" i="238"/>
  <c r="AW69" i="238"/>
  <c r="AW87" i="238" s="1"/>
  <c r="CT30" i="238" s="1"/>
  <c r="AV69" i="238"/>
  <c r="AV87" i="238" s="1"/>
  <c r="CS30" i="238" s="1"/>
  <c r="AU69" i="238"/>
  <c r="AU87" i="238" s="1"/>
  <c r="CR30" i="238" s="1"/>
  <c r="AT69" i="238"/>
  <c r="AT87" i="238" s="1"/>
  <c r="CQ30" i="238" s="1"/>
  <c r="AS69" i="238"/>
  <c r="AS87" i="238" s="1"/>
  <c r="CP30" i="238" s="1"/>
  <c r="AR69" i="238"/>
  <c r="AR87" i="238"/>
  <c r="CO30" i="238" s="1"/>
  <c r="AQ69" i="238"/>
  <c r="AQ87" i="238" s="1"/>
  <c r="CN30" i="238" s="1"/>
  <c r="AP69" i="238"/>
  <c r="AP87" i="238" s="1"/>
  <c r="CM30" i="238" s="1"/>
  <c r="AO69" i="238"/>
  <c r="AO87" i="238" s="1"/>
  <c r="CL30" i="238" s="1"/>
  <c r="AN69" i="238"/>
  <c r="AN87" i="238" s="1"/>
  <c r="CK30" i="238" s="1"/>
  <c r="AM69" i="238"/>
  <c r="AM87" i="238" s="1"/>
  <c r="CJ30" i="238" s="1"/>
  <c r="AL69" i="238"/>
  <c r="AL87" i="238" s="1"/>
  <c r="CI30" i="238" s="1"/>
  <c r="AK69" i="238"/>
  <c r="AK87" i="238" s="1"/>
  <c r="CH30" i="238" s="1"/>
  <c r="AJ69" i="238"/>
  <c r="AJ87" i="238" s="1"/>
  <c r="CG30" i="238" s="1"/>
  <c r="AI69" i="238"/>
  <c r="AI87" i="238" s="1"/>
  <c r="CF30" i="238" s="1"/>
  <c r="AH69" i="238"/>
  <c r="AH87" i="238" s="1"/>
  <c r="CE30" i="238" s="1"/>
  <c r="AG69" i="238"/>
  <c r="AG87" i="238" s="1"/>
  <c r="CD30" i="238" s="1"/>
  <c r="AF69" i="238"/>
  <c r="AF87" i="238"/>
  <c r="CC30" i="238" s="1"/>
  <c r="AE69" i="238"/>
  <c r="AE87" i="238" s="1"/>
  <c r="CB30" i="238" s="1"/>
  <c r="AD69" i="238"/>
  <c r="AD87" i="238" s="1"/>
  <c r="CA30" i="238" s="1"/>
  <c r="AC69" i="238"/>
  <c r="AC87" i="238" s="1"/>
  <c r="BZ30" i="238" s="1"/>
  <c r="AB69" i="238"/>
  <c r="AB87" i="238" s="1"/>
  <c r="BY30" i="238" s="1"/>
  <c r="AA69" i="238"/>
  <c r="AA87" i="238" s="1"/>
  <c r="BX30" i="238" s="1"/>
  <c r="Z69" i="238"/>
  <c r="Z87" i="238" s="1"/>
  <c r="BW30" i="238" s="1"/>
  <c r="Y69" i="238"/>
  <c r="Y87" i="238" s="1"/>
  <c r="BV30" i="238" s="1"/>
  <c r="X69" i="238"/>
  <c r="X87" i="238" s="1"/>
  <c r="BU30" i="238" s="1"/>
  <c r="W69" i="238"/>
  <c r="W87" i="238" s="1"/>
  <c r="BT30" i="238" s="1"/>
  <c r="V69" i="238"/>
  <c r="V87" i="238" s="1"/>
  <c r="BS30" i="238" s="1"/>
  <c r="U69" i="238"/>
  <c r="U87" i="238" s="1"/>
  <c r="BR30" i="238" s="1"/>
  <c r="T69" i="238"/>
  <c r="T87" i="238" s="1"/>
  <c r="BQ30" i="238" s="1"/>
  <c r="S69" i="238"/>
  <c r="S87" i="238" s="1"/>
  <c r="BP30" i="238" s="1"/>
  <c r="R69" i="238"/>
  <c r="R87" i="238" s="1"/>
  <c r="BO30" i="238" s="1"/>
  <c r="Q69" i="238"/>
  <c r="Q87" i="238" s="1"/>
  <c r="BN30" i="238" s="1"/>
  <c r="P69" i="238"/>
  <c r="P87" i="238" s="1"/>
  <c r="BM30" i="238" s="1"/>
  <c r="O69" i="238"/>
  <c r="O87" i="238" s="1"/>
  <c r="BL30" i="238" s="1"/>
  <c r="N69" i="238"/>
  <c r="N87" i="238"/>
  <c r="BK30" i="238" s="1"/>
  <c r="M69" i="238"/>
  <c r="M87" i="238" s="1"/>
  <c r="BJ30" i="238" s="1"/>
  <c r="L69" i="238"/>
  <c r="L87" i="238" s="1"/>
  <c r="BI30" i="238" s="1"/>
  <c r="K69" i="238"/>
  <c r="K87" i="238" s="1"/>
  <c r="BH30" i="238" s="1"/>
  <c r="J69" i="238"/>
  <c r="J87" i="238" s="1"/>
  <c r="BG30" i="238" s="1"/>
  <c r="I69" i="238"/>
  <c r="I87" i="238" s="1"/>
  <c r="BF30" i="238" s="1"/>
  <c r="H69" i="238"/>
  <c r="H87" i="238" s="1"/>
  <c r="BE30" i="238" s="1"/>
  <c r="G69" i="238"/>
  <c r="G87" i="238" s="1"/>
  <c r="BD30" i="238" s="1"/>
  <c r="F69" i="238"/>
  <c r="F87" i="238" s="1"/>
  <c r="BC30" i="238" s="1"/>
  <c r="E69" i="238"/>
  <c r="E87" i="238" s="1"/>
  <c r="BB30" i="238" s="1"/>
  <c r="D69" i="238"/>
  <c r="D87" i="238" s="1"/>
  <c r="BA30" i="238" s="1"/>
  <c r="C69" i="238"/>
  <c r="C87" i="238" s="1"/>
  <c r="AZ30" i="238" s="1"/>
  <c r="AW68" i="238"/>
  <c r="AW86" i="238" s="1"/>
  <c r="CT29" i="238" s="1"/>
  <c r="AV68" i="238"/>
  <c r="AV86" i="238" s="1"/>
  <c r="CS29" i="238" s="1"/>
  <c r="AU68" i="238"/>
  <c r="AU86" i="238" s="1"/>
  <c r="CR29" i="238" s="1"/>
  <c r="AT68" i="238"/>
  <c r="AT86" i="238" s="1"/>
  <c r="CQ29" i="238" s="1"/>
  <c r="AS68" i="238"/>
  <c r="AS86" i="238" s="1"/>
  <c r="CP29" i="238" s="1"/>
  <c r="AR68" i="238"/>
  <c r="AR86" i="238" s="1"/>
  <c r="CO29" i="238" s="1"/>
  <c r="AQ68" i="238"/>
  <c r="AQ86" i="238" s="1"/>
  <c r="CN29" i="238" s="1"/>
  <c r="AP68" i="238"/>
  <c r="AP86" i="238" s="1"/>
  <c r="CM29" i="238" s="1"/>
  <c r="AO68" i="238"/>
  <c r="AO86" i="238" s="1"/>
  <c r="CL29" i="238" s="1"/>
  <c r="AN68" i="238"/>
  <c r="AN86" i="238"/>
  <c r="CK29" i="238" s="1"/>
  <c r="AM68" i="238"/>
  <c r="AM86" i="238" s="1"/>
  <c r="CJ29" i="238" s="1"/>
  <c r="AL68" i="238"/>
  <c r="AL86" i="238" s="1"/>
  <c r="CI29" i="238" s="1"/>
  <c r="AK68" i="238"/>
  <c r="AK86" i="238" s="1"/>
  <c r="CH29" i="238" s="1"/>
  <c r="AJ68" i="238"/>
  <c r="AJ86" i="238" s="1"/>
  <c r="CG29" i="238" s="1"/>
  <c r="AI68" i="238"/>
  <c r="AI86" i="238" s="1"/>
  <c r="CF29" i="238" s="1"/>
  <c r="AH68" i="238"/>
  <c r="AH86" i="238" s="1"/>
  <c r="CE29" i="238" s="1"/>
  <c r="AG68" i="238"/>
  <c r="AG86" i="238" s="1"/>
  <c r="CD29" i="238" s="1"/>
  <c r="AF68" i="238"/>
  <c r="AF86" i="238" s="1"/>
  <c r="CC29" i="238" s="1"/>
  <c r="AE68" i="238"/>
  <c r="AE86" i="238" s="1"/>
  <c r="CB29" i="238"/>
  <c r="AD68" i="238"/>
  <c r="AD86" i="238" s="1"/>
  <c r="CA29" i="238" s="1"/>
  <c r="AC68" i="238"/>
  <c r="AC86" i="238" s="1"/>
  <c r="BZ29" i="238" s="1"/>
  <c r="AB68" i="238"/>
  <c r="AB86" i="238" s="1"/>
  <c r="BY29" i="238" s="1"/>
  <c r="AA68" i="238"/>
  <c r="AA86" i="238"/>
  <c r="BX29" i="238" s="1"/>
  <c r="Z68" i="238"/>
  <c r="Z86" i="238" s="1"/>
  <c r="BW29" i="238" s="1"/>
  <c r="Y68" i="238"/>
  <c r="Y86" i="238" s="1"/>
  <c r="BV29" i="238" s="1"/>
  <c r="X68" i="238"/>
  <c r="X86" i="238" s="1"/>
  <c r="BU29" i="238" s="1"/>
  <c r="W68" i="238"/>
  <c r="W86" i="238" s="1"/>
  <c r="BT29" i="238" s="1"/>
  <c r="V68" i="238"/>
  <c r="V86" i="238" s="1"/>
  <c r="BS29" i="238" s="1"/>
  <c r="U68" i="238"/>
  <c r="U86" i="238" s="1"/>
  <c r="BR29" i="238" s="1"/>
  <c r="T68" i="238"/>
  <c r="T86" i="238" s="1"/>
  <c r="BQ29" i="238" s="1"/>
  <c r="S68" i="238"/>
  <c r="S86" i="238" s="1"/>
  <c r="BP29" i="238" s="1"/>
  <c r="R68" i="238"/>
  <c r="R86" i="238" s="1"/>
  <c r="BO29" i="238" s="1"/>
  <c r="Q68" i="238"/>
  <c r="Q86" i="238" s="1"/>
  <c r="BN29" i="238" s="1"/>
  <c r="P68" i="238"/>
  <c r="P86" i="238" s="1"/>
  <c r="BM29" i="238" s="1"/>
  <c r="O68" i="238"/>
  <c r="O86" i="238" s="1"/>
  <c r="BL29" i="238" s="1"/>
  <c r="N68" i="238"/>
  <c r="N86" i="238" s="1"/>
  <c r="BK29" i="238" s="1"/>
  <c r="M68" i="238"/>
  <c r="M86" i="238" s="1"/>
  <c r="BJ29" i="238" s="1"/>
  <c r="L68" i="238"/>
  <c r="L86" i="238" s="1"/>
  <c r="BI29" i="238" s="1"/>
  <c r="K68" i="238"/>
  <c r="K86" i="238" s="1"/>
  <c r="BH29" i="238" s="1"/>
  <c r="J68" i="238"/>
  <c r="J86" i="238" s="1"/>
  <c r="BG29" i="238" s="1"/>
  <c r="I68" i="238"/>
  <c r="I86" i="238"/>
  <c r="BF29" i="238" s="1"/>
  <c r="H68" i="238"/>
  <c r="H86" i="238" s="1"/>
  <c r="BE29" i="238" s="1"/>
  <c r="G68" i="238"/>
  <c r="G86" i="238" s="1"/>
  <c r="BD29" i="238" s="1"/>
  <c r="F68" i="238"/>
  <c r="F86" i="238" s="1"/>
  <c r="BC29" i="238" s="1"/>
  <c r="E68" i="238"/>
  <c r="E86" i="238" s="1"/>
  <c r="BB29" i="238" s="1"/>
  <c r="D68" i="238"/>
  <c r="D86" i="238" s="1"/>
  <c r="BA29" i="238" s="1"/>
  <c r="C68" i="238"/>
  <c r="C86" i="238" s="1"/>
  <c r="AZ29" i="238" s="1"/>
  <c r="AW67" i="238"/>
  <c r="AV67" i="238"/>
  <c r="AU67" i="238"/>
  <c r="AT67" i="238"/>
  <c r="AS67" i="238"/>
  <c r="AR67" i="238"/>
  <c r="AQ67" i="238"/>
  <c r="AP67" i="238"/>
  <c r="AO67" i="238"/>
  <c r="AN67" i="238"/>
  <c r="AM67" i="238"/>
  <c r="AL67" i="238"/>
  <c r="AK67" i="238"/>
  <c r="AJ67" i="238"/>
  <c r="AI67" i="238"/>
  <c r="AH67" i="238"/>
  <c r="AG67" i="238"/>
  <c r="AF67" i="238"/>
  <c r="AE67" i="238"/>
  <c r="AD67" i="238"/>
  <c r="AC67" i="238"/>
  <c r="AB67" i="238"/>
  <c r="AA67" i="238"/>
  <c r="Z67" i="238"/>
  <c r="Y67" i="238"/>
  <c r="X67" i="238"/>
  <c r="W67" i="238"/>
  <c r="V67" i="238"/>
  <c r="U67" i="238"/>
  <c r="T67" i="238"/>
  <c r="S67" i="238"/>
  <c r="R67" i="238"/>
  <c r="Q67" i="238"/>
  <c r="P67" i="238"/>
  <c r="O67" i="238"/>
  <c r="N67" i="238"/>
  <c r="M67" i="238"/>
  <c r="L67" i="238"/>
  <c r="K67" i="238"/>
  <c r="J67" i="238"/>
  <c r="I67" i="238"/>
  <c r="H67" i="238"/>
  <c r="G67" i="238"/>
  <c r="F67" i="238"/>
  <c r="E67" i="238"/>
  <c r="D67" i="238"/>
  <c r="C67" i="238"/>
  <c r="AW66" i="238"/>
  <c r="AV66" i="238"/>
  <c r="AU66" i="238"/>
  <c r="AT66" i="238"/>
  <c r="AS66" i="238"/>
  <c r="AR66" i="238"/>
  <c r="AQ66" i="238"/>
  <c r="AP66" i="238"/>
  <c r="AO66" i="238"/>
  <c r="AN66" i="238"/>
  <c r="AM66" i="238"/>
  <c r="AL66" i="238"/>
  <c r="AK66" i="238"/>
  <c r="AJ66" i="238"/>
  <c r="AI66" i="238"/>
  <c r="AH66" i="238"/>
  <c r="AG66" i="238"/>
  <c r="AF66" i="238"/>
  <c r="AE66" i="238"/>
  <c r="AD66" i="238"/>
  <c r="AC66" i="238"/>
  <c r="AB66" i="238"/>
  <c r="AA66" i="238"/>
  <c r="Z66" i="238"/>
  <c r="Y66" i="238"/>
  <c r="X66" i="238"/>
  <c r="W66" i="238"/>
  <c r="V66" i="238"/>
  <c r="U66" i="238"/>
  <c r="T66" i="238"/>
  <c r="S66" i="238"/>
  <c r="R66" i="238"/>
  <c r="Q66" i="238"/>
  <c r="P66" i="238"/>
  <c r="O66" i="238"/>
  <c r="N66" i="238"/>
  <c r="M66" i="238"/>
  <c r="L66" i="238"/>
  <c r="K66" i="238"/>
  <c r="J66" i="238"/>
  <c r="I66" i="238"/>
  <c r="H66" i="238"/>
  <c r="G66" i="238"/>
  <c r="F66" i="238"/>
  <c r="E66" i="238"/>
  <c r="D66" i="238"/>
  <c r="C66" i="238"/>
  <c r="AW65" i="238"/>
  <c r="AV65" i="238"/>
  <c r="AU65" i="238"/>
  <c r="AT65" i="238"/>
  <c r="AS65" i="238"/>
  <c r="AR65" i="238"/>
  <c r="AQ65" i="238"/>
  <c r="AP65" i="238"/>
  <c r="AO65" i="238"/>
  <c r="AN65" i="238"/>
  <c r="AM65" i="238"/>
  <c r="AL65" i="238"/>
  <c r="AK65" i="238"/>
  <c r="AJ65" i="238"/>
  <c r="AI65" i="238"/>
  <c r="AH65" i="238"/>
  <c r="AG65" i="238"/>
  <c r="AF65" i="238"/>
  <c r="AE65" i="238"/>
  <c r="AD65" i="238"/>
  <c r="AC65" i="238"/>
  <c r="AB65" i="238"/>
  <c r="AA65" i="238"/>
  <c r="Z65" i="238"/>
  <c r="Y65" i="238"/>
  <c r="X65" i="238"/>
  <c r="W65" i="238"/>
  <c r="V65" i="238"/>
  <c r="U65" i="238"/>
  <c r="T65" i="238"/>
  <c r="S65" i="238"/>
  <c r="R65" i="238"/>
  <c r="Q65" i="238"/>
  <c r="P65" i="238"/>
  <c r="O65" i="238"/>
  <c r="N65" i="238"/>
  <c r="M65" i="238"/>
  <c r="L65" i="238"/>
  <c r="K65" i="238"/>
  <c r="J65" i="238"/>
  <c r="I65" i="238"/>
  <c r="H65" i="238"/>
  <c r="G65" i="238"/>
  <c r="F65" i="238"/>
  <c r="E65" i="238"/>
  <c r="D65" i="238"/>
  <c r="C65" i="238"/>
  <c r="AW64" i="238"/>
  <c r="AV64" i="238"/>
  <c r="CS24" i="238" s="1"/>
  <c r="AU64" i="238"/>
  <c r="AT64" i="238"/>
  <c r="AS64" i="238"/>
  <c r="AR64" i="238"/>
  <c r="AQ64" i="238"/>
  <c r="AP64" i="238"/>
  <c r="AO64" i="238"/>
  <c r="AN64" i="238"/>
  <c r="AM64" i="238"/>
  <c r="AL64" i="238"/>
  <c r="AK64" i="238"/>
  <c r="AJ64" i="238"/>
  <c r="AI64" i="238"/>
  <c r="AH64" i="238"/>
  <c r="AG64" i="238"/>
  <c r="AF64" i="238"/>
  <c r="AE64" i="238"/>
  <c r="AD64" i="238"/>
  <c r="AC64" i="238"/>
  <c r="AB64" i="238"/>
  <c r="AA64" i="238"/>
  <c r="Z64" i="238"/>
  <c r="Y64" i="238"/>
  <c r="X64" i="238"/>
  <c r="W64" i="238"/>
  <c r="V64" i="238"/>
  <c r="U64" i="238"/>
  <c r="T64" i="238"/>
  <c r="BQ26" i="238" s="1"/>
  <c r="S64" i="238"/>
  <c r="R64" i="238"/>
  <c r="Q64" i="238"/>
  <c r="P64" i="238"/>
  <c r="O64" i="238"/>
  <c r="N64" i="238"/>
  <c r="M64" i="238"/>
  <c r="L64" i="238"/>
  <c r="K64" i="238"/>
  <c r="J64" i="238"/>
  <c r="I64" i="238"/>
  <c r="H64" i="238"/>
  <c r="G64" i="238"/>
  <c r="F64" i="238"/>
  <c r="E64" i="238"/>
  <c r="D64" i="238"/>
  <c r="C64" i="238"/>
  <c r="AW63" i="238"/>
  <c r="AV63" i="238"/>
  <c r="AU63" i="238"/>
  <c r="CR33" i="238" s="1"/>
  <c r="CR35" i="238" s="1"/>
  <c r="AT63" i="238"/>
  <c r="AS63" i="238"/>
  <c r="AR63" i="238"/>
  <c r="AQ63" i="238"/>
  <c r="AP63" i="238"/>
  <c r="AO63" i="238"/>
  <c r="AN63" i="238"/>
  <c r="AM63" i="238"/>
  <c r="CJ25" i="238" s="1"/>
  <c r="AL63" i="238"/>
  <c r="AK63" i="238"/>
  <c r="AJ63" i="238"/>
  <c r="AI63" i="238"/>
  <c r="AH63" i="238"/>
  <c r="AG63" i="238"/>
  <c r="AF63" i="238"/>
  <c r="AE63" i="238"/>
  <c r="AD63" i="238"/>
  <c r="AC63" i="238"/>
  <c r="AB63" i="238"/>
  <c r="AA63" i="238"/>
  <c r="Z63" i="238"/>
  <c r="Y63" i="238"/>
  <c r="X63" i="238"/>
  <c r="W63" i="238"/>
  <c r="V63" i="238"/>
  <c r="U63" i="238"/>
  <c r="T63" i="238"/>
  <c r="S63" i="238"/>
  <c r="R63" i="238"/>
  <c r="Q63" i="238"/>
  <c r="BN25" i="238" s="1"/>
  <c r="P63" i="238"/>
  <c r="O63" i="238"/>
  <c r="N63" i="238"/>
  <c r="M63" i="238"/>
  <c r="L63" i="238"/>
  <c r="K63" i="238"/>
  <c r="J63" i="238"/>
  <c r="I63" i="238"/>
  <c r="H63" i="238"/>
  <c r="G63" i="238"/>
  <c r="F63" i="238"/>
  <c r="E63" i="238"/>
  <c r="D63" i="238"/>
  <c r="C63" i="238"/>
  <c r="AW62" i="238"/>
  <c r="AV62" i="238"/>
  <c r="AU62" i="238"/>
  <c r="AT62" i="238"/>
  <c r="AS62" i="238"/>
  <c r="AR62" i="238"/>
  <c r="AQ62" i="238"/>
  <c r="AP62" i="238"/>
  <c r="AO62" i="238"/>
  <c r="AN62" i="238"/>
  <c r="AM62" i="238"/>
  <c r="AL62" i="238"/>
  <c r="AK62" i="238"/>
  <c r="AJ62" i="238"/>
  <c r="AI62" i="238"/>
  <c r="AH62" i="238"/>
  <c r="AG62" i="238"/>
  <c r="CD24" i="238" s="1"/>
  <c r="AF62" i="238"/>
  <c r="AE62" i="238"/>
  <c r="AD62" i="238"/>
  <c r="AC62" i="238"/>
  <c r="AB62" i="238"/>
  <c r="AA62" i="238"/>
  <c r="Z62" i="238"/>
  <c r="Y62" i="238"/>
  <c r="X62" i="238"/>
  <c r="W62" i="238"/>
  <c r="V62" i="238"/>
  <c r="U62" i="238"/>
  <c r="T62" i="238"/>
  <c r="S62" i="238"/>
  <c r="R62" i="238"/>
  <c r="Q62" i="238"/>
  <c r="P62" i="238"/>
  <c r="O62" i="238"/>
  <c r="N62" i="238"/>
  <c r="M62" i="238"/>
  <c r="L62" i="238"/>
  <c r="K62" i="238"/>
  <c r="J62" i="238"/>
  <c r="I62" i="238"/>
  <c r="H62" i="238"/>
  <c r="G62" i="238"/>
  <c r="F62" i="238"/>
  <c r="E62" i="238"/>
  <c r="D62" i="238"/>
  <c r="C62" i="238"/>
  <c r="AW61" i="238"/>
  <c r="AV61" i="238"/>
  <c r="AU61" i="238"/>
  <c r="CR23" i="238" s="1"/>
  <c r="J54" i="239" s="1"/>
  <c r="AT61" i="238"/>
  <c r="AS61" i="238"/>
  <c r="AR61" i="238"/>
  <c r="AQ61" i="238"/>
  <c r="AP61" i="238"/>
  <c r="AO61" i="238"/>
  <c r="AN61" i="238"/>
  <c r="AM61" i="238"/>
  <c r="AL61" i="238"/>
  <c r="AK61" i="238"/>
  <c r="AJ61" i="238"/>
  <c r="AI61" i="238"/>
  <c r="AH61" i="238"/>
  <c r="AG61" i="238"/>
  <c r="AF61" i="238"/>
  <c r="AE61" i="238"/>
  <c r="AD61" i="238"/>
  <c r="AC61" i="238"/>
  <c r="AB61" i="238"/>
  <c r="AA61" i="238"/>
  <c r="BX33" i="238" s="1"/>
  <c r="Z61" i="238"/>
  <c r="Y61" i="238"/>
  <c r="BV23" i="238" s="1"/>
  <c r="X61" i="238"/>
  <c r="W61" i="238"/>
  <c r="V61" i="238"/>
  <c r="BS23" i="238" s="1"/>
  <c r="U61" i="238"/>
  <c r="BR22" i="238" s="1"/>
  <c r="T61" i="238"/>
  <c r="S61" i="238"/>
  <c r="R61" i="238"/>
  <c r="Q61" i="238"/>
  <c r="P61" i="238"/>
  <c r="O61" i="238"/>
  <c r="N61" i="238"/>
  <c r="M61" i="238"/>
  <c r="L61" i="238"/>
  <c r="K61" i="238"/>
  <c r="J61" i="238"/>
  <c r="I61" i="238"/>
  <c r="BF23" i="238" s="1"/>
  <c r="H61" i="238"/>
  <c r="G61" i="238"/>
  <c r="F61" i="238"/>
  <c r="E61" i="238"/>
  <c r="D61" i="238"/>
  <c r="C61" i="238"/>
  <c r="AW60" i="238"/>
  <c r="AV60" i="238"/>
  <c r="AU60" i="238"/>
  <c r="AT60" i="238"/>
  <c r="CQ22" i="238" s="1"/>
  <c r="AS60" i="238"/>
  <c r="AR60" i="238"/>
  <c r="AQ60" i="238"/>
  <c r="AP60" i="238"/>
  <c r="CM26" i="238" s="1"/>
  <c r="AO60" i="238"/>
  <c r="AN60" i="238"/>
  <c r="AM60" i="238"/>
  <c r="AL60" i="238"/>
  <c r="AK60" i="238"/>
  <c r="AJ60" i="238"/>
  <c r="AI60" i="238"/>
  <c r="AH60" i="238"/>
  <c r="AG60" i="238"/>
  <c r="AF60" i="238"/>
  <c r="AE60" i="238"/>
  <c r="AD60" i="238"/>
  <c r="AC60" i="238"/>
  <c r="AB60" i="238"/>
  <c r="AA60" i="238"/>
  <c r="Z60" i="238"/>
  <c r="Y60" i="238"/>
  <c r="X60" i="238"/>
  <c r="W60" i="238"/>
  <c r="V60" i="238"/>
  <c r="U60" i="238"/>
  <c r="T60" i="238"/>
  <c r="BQ23" i="238" s="1"/>
  <c r="S60" i="238"/>
  <c r="R60" i="238"/>
  <c r="Q60" i="238"/>
  <c r="P60" i="238"/>
  <c r="BM21" i="238" s="1"/>
  <c r="O60" i="238"/>
  <c r="N60" i="238"/>
  <c r="BK24" i="238" s="1"/>
  <c r="M60" i="238"/>
  <c r="L60" i="238"/>
  <c r="BI33" i="238" s="1"/>
  <c r="K60" i="238"/>
  <c r="J60" i="238"/>
  <c r="I60" i="238"/>
  <c r="H60" i="238"/>
  <c r="G60" i="238"/>
  <c r="F60" i="238"/>
  <c r="E60" i="238"/>
  <c r="D60" i="238"/>
  <c r="C60" i="238"/>
  <c r="AW59" i="238"/>
  <c r="AV59" i="238"/>
  <c r="AU59" i="238"/>
  <c r="AT59" i="238"/>
  <c r="AS59" i="238"/>
  <c r="AR59" i="238"/>
  <c r="AQ59" i="238"/>
  <c r="AP59" i="238"/>
  <c r="AO59" i="238"/>
  <c r="AN59" i="238"/>
  <c r="AM59" i="238"/>
  <c r="CJ24" i="238" s="1"/>
  <c r="AL59" i="238"/>
  <c r="AK59" i="238"/>
  <c r="CH22" i="238" s="1"/>
  <c r="AJ59" i="238"/>
  <c r="CG25" i="238" s="1"/>
  <c r="AI59" i="238"/>
  <c r="AH59" i="238"/>
  <c r="AG59" i="238"/>
  <c r="CD22" i="238" s="1"/>
  <c r="AF59" i="238"/>
  <c r="AE59" i="238"/>
  <c r="CB21" i="238" s="1"/>
  <c r="AD59" i="238"/>
  <c r="AC59" i="238"/>
  <c r="BZ24" i="238" s="1"/>
  <c r="AB59" i="238"/>
  <c r="AA59" i="238"/>
  <c r="Z59" i="238"/>
  <c r="Y59" i="238"/>
  <c r="X59" i="238"/>
  <c r="W59" i="238"/>
  <c r="V59" i="238"/>
  <c r="U59" i="238"/>
  <c r="T59" i="238"/>
  <c r="S59" i="238"/>
  <c r="R59" i="238"/>
  <c r="Q59" i="238"/>
  <c r="P59" i="238"/>
  <c r="O59" i="238"/>
  <c r="N59" i="238"/>
  <c r="M59" i="238"/>
  <c r="L59" i="238"/>
  <c r="K59" i="238"/>
  <c r="J59" i="238"/>
  <c r="I59" i="238"/>
  <c r="BF26" i="238" s="1"/>
  <c r="H59" i="238"/>
  <c r="BE23" i="238" s="1"/>
  <c r="G59" i="238"/>
  <c r="BD21" i="238" s="1"/>
  <c r="F59" i="238"/>
  <c r="BC23" i="238" s="1"/>
  <c r="E59" i="238"/>
  <c r="D59" i="238"/>
  <c r="BA33" i="238" s="1"/>
  <c r="C59" i="238"/>
  <c r="AW58" i="238"/>
  <c r="AV58" i="238"/>
  <c r="AU58" i="238"/>
  <c r="AT58" i="238"/>
  <c r="AS58" i="238"/>
  <c r="AR58" i="238"/>
  <c r="AQ58" i="238"/>
  <c r="AP58" i="238"/>
  <c r="AO58" i="238"/>
  <c r="AN58" i="238"/>
  <c r="AM58" i="238"/>
  <c r="AL58" i="238"/>
  <c r="AK58" i="238"/>
  <c r="AJ58" i="238"/>
  <c r="AI58" i="238"/>
  <c r="AH58" i="238"/>
  <c r="AG58" i="238"/>
  <c r="AF58" i="238"/>
  <c r="AE58" i="238"/>
  <c r="AD58" i="238"/>
  <c r="AC58" i="238"/>
  <c r="AB58" i="238"/>
  <c r="AA58" i="238"/>
  <c r="Z58" i="238"/>
  <c r="Y58" i="238"/>
  <c r="X58" i="238"/>
  <c r="W58" i="238"/>
  <c r="V58" i="238"/>
  <c r="U58" i="238"/>
  <c r="T58" i="238"/>
  <c r="S58" i="238"/>
  <c r="R58" i="238"/>
  <c r="Q58" i="238"/>
  <c r="P58" i="238"/>
  <c r="O58" i="238"/>
  <c r="N58" i="238"/>
  <c r="M58" i="238"/>
  <c r="L58" i="238"/>
  <c r="K58" i="238"/>
  <c r="J58" i="238"/>
  <c r="I58" i="238"/>
  <c r="H58" i="238"/>
  <c r="G58" i="238"/>
  <c r="F58" i="238"/>
  <c r="E58" i="238"/>
  <c r="D58" i="238"/>
  <c r="C58" i="238"/>
  <c r="AW57" i="238"/>
  <c r="AW75" i="238" s="1"/>
  <c r="CT27" i="238" s="1"/>
  <c r="AV57" i="238"/>
  <c r="AV75" i="238" s="1"/>
  <c r="CS27" i="238" s="1"/>
  <c r="AU57" i="238"/>
  <c r="AU75" i="238" s="1"/>
  <c r="CR27" i="238" s="1"/>
  <c r="AT57" i="238"/>
  <c r="AT75" i="238" s="1"/>
  <c r="AS57" i="238"/>
  <c r="AS75" i="238"/>
  <c r="CP27" i="238" s="1"/>
  <c r="AR57" i="238"/>
  <c r="AR75" i="238" s="1"/>
  <c r="AQ57" i="238"/>
  <c r="AQ75" i="238" s="1"/>
  <c r="CN27" i="238" s="1"/>
  <c r="AP57" i="238"/>
  <c r="AP75" i="238" s="1"/>
  <c r="CM27" i="238" s="1"/>
  <c r="AO57" i="238"/>
  <c r="AO75" i="238" s="1"/>
  <c r="AN57" i="238"/>
  <c r="AN75" i="238" s="1"/>
  <c r="CK27" i="238" s="1"/>
  <c r="AM57" i="238"/>
  <c r="AM75" i="238" s="1"/>
  <c r="CJ27" i="238" s="1"/>
  <c r="AL57" i="238"/>
  <c r="AL75" i="238" s="1"/>
  <c r="AK57" i="238"/>
  <c r="AK75" i="238" s="1"/>
  <c r="CH27" i="238" s="1"/>
  <c r="AJ57" i="238"/>
  <c r="AJ75" i="238" s="1"/>
  <c r="CG27" i="238" s="1"/>
  <c r="AI57" i="238"/>
  <c r="AI75" i="238" s="1"/>
  <c r="CF27" i="238" s="1"/>
  <c r="AH57" i="238"/>
  <c r="AH75" i="238" s="1"/>
  <c r="AG57" i="238"/>
  <c r="AG75" i="238" s="1"/>
  <c r="CD27" i="238" s="1"/>
  <c r="CD32" i="238" s="1"/>
  <c r="AF57" i="238"/>
  <c r="AF75" i="238"/>
  <c r="CC27" i="238" s="1"/>
  <c r="AE57" i="238"/>
  <c r="AE75" i="238" s="1"/>
  <c r="AD57" i="238"/>
  <c r="AD75" i="238" s="1"/>
  <c r="CA27" i="238" s="1"/>
  <c r="AC57" i="238"/>
  <c r="AC75" i="238" s="1"/>
  <c r="BZ27" i="238" s="1"/>
  <c r="AB57" i="238"/>
  <c r="AB75" i="238" s="1"/>
  <c r="BY27" i="238" s="1"/>
  <c r="AA57" i="238"/>
  <c r="AA75" i="238" s="1"/>
  <c r="BX27" i="238" s="1"/>
  <c r="Z57" i="238"/>
  <c r="Z75" i="238" s="1"/>
  <c r="BW27" i="238" s="1"/>
  <c r="Y57" i="238"/>
  <c r="Y75" i="238"/>
  <c r="X57" i="238"/>
  <c r="X75" i="238" s="1"/>
  <c r="BU27" i="238" s="1"/>
  <c r="W57" i="238"/>
  <c r="W75" i="238" s="1"/>
  <c r="BT27" i="238" s="1"/>
  <c r="V57" i="238"/>
  <c r="V75" i="238" s="1"/>
  <c r="BS27" i="238" s="1"/>
  <c r="U57" i="238"/>
  <c r="U75" i="238"/>
  <c r="BR27" i="238" s="1"/>
  <c r="BR32" i="238" s="1"/>
  <c r="T57" i="238"/>
  <c r="T75" i="238" s="1"/>
  <c r="BQ27" i="238" s="1"/>
  <c r="S57" i="238"/>
  <c r="S75" i="238" s="1"/>
  <c r="BP27" i="238" s="1"/>
  <c r="R57" i="238"/>
  <c r="R75" i="238" s="1"/>
  <c r="Q57" i="238"/>
  <c r="Q75" i="238" s="1"/>
  <c r="BN27" i="238" s="1"/>
  <c r="P57" i="238"/>
  <c r="P75" i="238" s="1"/>
  <c r="BM27" i="238" s="1"/>
  <c r="O57" i="238"/>
  <c r="O75" i="238" s="1"/>
  <c r="BL27" i="238" s="1"/>
  <c r="N57" i="238"/>
  <c r="N75" i="238" s="1"/>
  <c r="BK27" i="238"/>
  <c r="M57" i="238"/>
  <c r="M75" i="238" s="1"/>
  <c r="L57" i="238"/>
  <c r="L75" i="238" s="1"/>
  <c r="BI27" i="238" s="1"/>
  <c r="BI32" i="238" s="1"/>
  <c r="K57" i="238"/>
  <c r="K75" i="238"/>
  <c r="BH27" i="238" s="1"/>
  <c r="J57" i="238"/>
  <c r="J75" i="238"/>
  <c r="BG27" i="238" s="1"/>
  <c r="I57" i="238"/>
  <c r="I75" i="238" s="1"/>
  <c r="BF27" i="238" s="1"/>
  <c r="H57" i="238"/>
  <c r="H75" i="238" s="1"/>
  <c r="BE27" i="238" s="1"/>
  <c r="G57" i="238"/>
  <c r="G75" i="238" s="1"/>
  <c r="BD27" i="238" s="1"/>
  <c r="F57" i="238"/>
  <c r="F75" i="238" s="1"/>
  <c r="BC27" i="238" s="1"/>
  <c r="BC32" i="238" s="1"/>
  <c r="E57" i="238"/>
  <c r="E75" i="238" s="1"/>
  <c r="BB27" i="238" s="1"/>
  <c r="D57" i="238"/>
  <c r="D75" i="238" s="1"/>
  <c r="BA27" i="238" s="1"/>
  <c r="C57" i="238"/>
  <c r="C75" i="238" s="1"/>
  <c r="AZ27" i="238" s="1"/>
  <c r="AZ33" i="238" s="1"/>
  <c r="AZ35" i="238" s="1"/>
  <c r="AW56" i="238"/>
  <c r="AW74" i="238" s="1"/>
  <c r="AV56" i="238"/>
  <c r="AV74" i="238" s="1"/>
  <c r="CS28" i="238" s="1"/>
  <c r="AU56" i="238"/>
  <c r="AU74" i="238" s="1"/>
  <c r="CR28" i="238" s="1"/>
  <c r="AT56" i="238"/>
  <c r="AT74" i="238" s="1"/>
  <c r="CQ28" i="238" s="1"/>
  <c r="AS56" i="238"/>
  <c r="AS74" i="238" s="1"/>
  <c r="AR56" i="238"/>
  <c r="AR74" i="238" s="1"/>
  <c r="CO28" i="238" s="1"/>
  <c r="AQ56" i="238"/>
  <c r="AQ74" i="238" s="1"/>
  <c r="CN28" i="238" s="1"/>
  <c r="AP56" i="238"/>
  <c r="AP74" i="238" s="1"/>
  <c r="CM28" i="238" s="1"/>
  <c r="AO56" i="238"/>
  <c r="AO74" i="238" s="1"/>
  <c r="CL28" i="238" s="1"/>
  <c r="AN56" i="238"/>
  <c r="AN74" i="238" s="1"/>
  <c r="CK28" i="238" s="1"/>
  <c r="AM56" i="238"/>
  <c r="AM74" i="238" s="1"/>
  <c r="AL56" i="238"/>
  <c r="AL74" i="238" s="1"/>
  <c r="CI28" i="238" s="1"/>
  <c r="AK56" i="238"/>
  <c r="AK74" i="238" s="1"/>
  <c r="CH28" i="238" s="1"/>
  <c r="AJ56" i="238"/>
  <c r="AJ74" i="238" s="1"/>
  <c r="AI56" i="238"/>
  <c r="AI74" i="238" s="1"/>
  <c r="AH56" i="238"/>
  <c r="AH74" i="238" s="1"/>
  <c r="CE28" i="238" s="1"/>
  <c r="AG56" i="238"/>
  <c r="AG74" i="238" s="1"/>
  <c r="CD28" i="238" s="1"/>
  <c r="AF56" i="238"/>
  <c r="AF74" i="238" s="1"/>
  <c r="AE56" i="238"/>
  <c r="AE74" i="238"/>
  <c r="CB28" i="238" s="1"/>
  <c r="AD56" i="238"/>
  <c r="AD74" i="238" s="1"/>
  <c r="CA28" i="238" s="1"/>
  <c r="AC56" i="238"/>
  <c r="AC74" i="238" s="1"/>
  <c r="AB56" i="238"/>
  <c r="AB74" i="238" s="1"/>
  <c r="BY28" i="238" s="1"/>
  <c r="AA56" i="238"/>
  <c r="AA74" i="238" s="1"/>
  <c r="Z56" i="238"/>
  <c r="Z74" i="238" s="1"/>
  <c r="Y56" i="238"/>
  <c r="Y74" i="238" s="1"/>
  <c r="BV28" i="238" s="1"/>
  <c r="X56" i="238"/>
  <c r="X74" i="238" s="1"/>
  <c r="BU28" i="238" s="1"/>
  <c r="W56" i="238"/>
  <c r="W74" i="238" s="1"/>
  <c r="BT28" i="238" s="1"/>
  <c r="V56" i="238"/>
  <c r="V74" i="238" s="1"/>
  <c r="BS28" i="238" s="1"/>
  <c r="U56" i="238"/>
  <c r="U74" i="238" s="1"/>
  <c r="BR28" i="238" s="1"/>
  <c r="T56" i="238"/>
  <c r="T74" i="238" s="1"/>
  <c r="S56" i="238"/>
  <c r="S74" i="238"/>
  <c r="BP28" i="238" s="1"/>
  <c r="R56" i="238"/>
  <c r="R74" i="238" s="1"/>
  <c r="BO28" i="238" s="1"/>
  <c r="Q56" i="238"/>
  <c r="Q74" i="238" s="1"/>
  <c r="BN28" i="238" s="1"/>
  <c r="P56" i="238"/>
  <c r="P74" i="238" s="1"/>
  <c r="O56" i="238"/>
  <c r="O74" i="238" s="1"/>
  <c r="BL28" i="238" s="1"/>
  <c r="N56" i="238"/>
  <c r="N74" i="238" s="1"/>
  <c r="M56" i="238"/>
  <c r="M74" i="238" s="1"/>
  <c r="BJ28" i="238" s="1"/>
  <c r="L56" i="238"/>
  <c r="L74" i="238"/>
  <c r="BI28" i="238" s="1"/>
  <c r="K56" i="238"/>
  <c r="K74" i="238" s="1"/>
  <c r="BH28" i="238" s="1"/>
  <c r="J56" i="238"/>
  <c r="J74" i="238" s="1"/>
  <c r="I56" i="238"/>
  <c r="I74" i="238" s="1"/>
  <c r="H56" i="238"/>
  <c r="H74" i="238" s="1"/>
  <c r="G56" i="238"/>
  <c r="G74" i="238" s="1"/>
  <c r="BD28" i="238" s="1"/>
  <c r="BD32" i="238" s="1"/>
  <c r="F56" i="238"/>
  <c r="F74" i="238" s="1"/>
  <c r="BC28" i="238" s="1"/>
  <c r="E56" i="238"/>
  <c r="E74" i="238" s="1"/>
  <c r="BB28" i="238" s="1"/>
  <c r="BB32" i="238" s="1"/>
  <c r="D56" i="238"/>
  <c r="D74" i="238" s="1"/>
  <c r="C56" i="238"/>
  <c r="C74" i="238" s="1"/>
  <c r="AZ28" i="238" s="1"/>
  <c r="BC52" i="238"/>
  <c r="BB52" i="238"/>
  <c r="BA52" i="238"/>
  <c r="BF52" i="238" s="1"/>
  <c r="AY30" i="238"/>
  <c r="AY29" i="238"/>
  <c r="CL27" i="238"/>
  <c r="AW15" i="238"/>
  <c r="AV15" i="238"/>
  <c r="AU15" i="238"/>
  <c r="AT15" i="238"/>
  <c r="AS15" i="238"/>
  <c r="AR15" i="238"/>
  <c r="AQ15" i="238"/>
  <c r="AP15" i="238"/>
  <c r="AO15" i="238"/>
  <c r="AN15" i="238"/>
  <c r="AM15" i="238"/>
  <c r="AL15" i="238"/>
  <c r="AK15" i="238"/>
  <c r="AJ15" i="238"/>
  <c r="AI15" i="238"/>
  <c r="AH15" i="238"/>
  <c r="AG15" i="238"/>
  <c r="AF15" i="238"/>
  <c r="AE15" i="238"/>
  <c r="AD15" i="238"/>
  <c r="AC15" i="238"/>
  <c r="AB15" i="238"/>
  <c r="AA15" i="238"/>
  <c r="Z15" i="238"/>
  <c r="Y15" i="238"/>
  <c r="X15" i="238"/>
  <c r="W15" i="238"/>
  <c r="V15" i="238"/>
  <c r="U15" i="238"/>
  <c r="T15" i="238"/>
  <c r="S15" i="238"/>
  <c r="R15" i="238"/>
  <c r="Q15" i="238"/>
  <c r="P15" i="238"/>
  <c r="O15" i="238"/>
  <c r="N15" i="238"/>
  <c r="M15" i="238"/>
  <c r="L15" i="238"/>
  <c r="K15" i="238"/>
  <c r="J15" i="238"/>
  <c r="I15" i="238"/>
  <c r="H15" i="238"/>
  <c r="G15" i="238"/>
  <c r="F15" i="238"/>
  <c r="E15" i="238"/>
  <c r="D15" i="238"/>
  <c r="C15" i="238"/>
  <c r="AW14" i="238"/>
  <c r="AV14" i="238"/>
  <c r="AU14" i="238"/>
  <c r="AT14" i="238"/>
  <c r="AS14" i="238"/>
  <c r="AR14" i="238"/>
  <c r="AQ14" i="238"/>
  <c r="AP14" i="238"/>
  <c r="AO14" i="238"/>
  <c r="AN14" i="238"/>
  <c r="AM14" i="238"/>
  <c r="AL14" i="238"/>
  <c r="AK14" i="238"/>
  <c r="AJ14" i="238"/>
  <c r="AI14" i="238"/>
  <c r="AH14" i="238"/>
  <c r="AG14" i="238"/>
  <c r="AF14" i="238"/>
  <c r="AE14" i="238"/>
  <c r="AD14" i="238"/>
  <c r="AC14" i="238"/>
  <c r="AB14" i="238"/>
  <c r="AA14" i="238"/>
  <c r="Z14" i="238"/>
  <c r="Y14" i="238"/>
  <c r="X14" i="238"/>
  <c r="W14" i="238"/>
  <c r="V14" i="238"/>
  <c r="U14" i="238"/>
  <c r="T14" i="238"/>
  <c r="S14" i="238"/>
  <c r="R14" i="238"/>
  <c r="Q14" i="238"/>
  <c r="P14" i="238"/>
  <c r="O14" i="238"/>
  <c r="N14" i="238"/>
  <c r="M14" i="238"/>
  <c r="L14" i="238"/>
  <c r="K14" i="238"/>
  <c r="J14" i="238"/>
  <c r="I14" i="238"/>
  <c r="H14" i="238"/>
  <c r="G14" i="238"/>
  <c r="F14" i="238"/>
  <c r="E14" i="238"/>
  <c r="D14" i="238"/>
  <c r="C14" i="238"/>
  <c r="AW13" i="238"/>
  <c r="AV13" i="238"/>
  <c r="AU13" i="238"/>
  <c r="AT13" i="238"/>
  <c r="AS13" i="238"/>
  <c r="AR13" i="238"/>
  <c r="AQ13" i="238"/>
  <c r="AP13" i="238"/>
  <c r="AO13" i="238"/>
  <c r="AN13" i="238"/>
  <c r="AM13" i="238"/>
  <c r="AL13" i="238"/>
  <c r="AK13" i="238"/>
  <c r="AJ13" i="238"/>
  <c r="AI13" i="238"/>
  <c r="AH13" i="238"/>
  <c r="AG13" i="238"/>
  <c r="AF13" i="238"/>
  <c r="AE13" i="238"/>
  <c r="AD13" i="238"/>
  <c r="AC13" i="238"/>
  <c r="AB13" i="238"/>
  <c r="AA13" i="238"/>
  <c r="Z13" i="238"/>
  <c r="Y13" i="238"/>
  <c r="X13" i="238"/>
  <c r="W13" i="238"/>
  <c r="V13" i="238"/>
  <c r="U13" i="238"/>
  <c r="T13" i="238"/>
  <c r="S13" i="238"/>
  <c r="R13" i="238"/>
  <c r="Q13" i="238"/>
  <c r="P13" i="238"/>
  <c r="O13" i="238"/>
  <c r="N13" i="238"/>
  <c r="M13" i="238"/>
  <c r="L13" i="238"/>
  <c r="K13" i="238"/>
  <c r="J13" i="238"/>
  <c r="I13" i="238"/>
  <c r="H13" i="238"/>
  <c r="G13" i="238"/>
  <c r="F13" i="238"/>
  <c r="E13" i="238"/>
  <c r="D13" i="238"/>
  <c r="C13" i="238"/>
  <c r="AY41" i="235"/>
  <c r="AY40" i="235"/>
  <c r="AY39" i="235"/>
  <c r="AY38" i="235"/>
  <c r="AY37" i="235"/>
  <c r="AY36" i="235"/>
  <c r="AY35" i="235"/>
  <c r="AY34" i="235"/>
  <c r="AY33" i="235"/>
  <c r="AY32" i="235"/>
  <c r="AY31" i="235"/>
  <c r="AY30" i="235"/>
  <c r="AY29" i="235"/>
  <c r="AY28" i="235"/>
  <c r="AY27" i="235"/>
  <c r="AY26" i="235"/>
  <c r="AY25" i="235"/>
  <c r="AY24" i="235"/>
  <c r="AY23" i="235"/>
  <c r="AY22" i="235"/>
  <c r="AY21" i="235"/>
  <c r="AY20" i="235"/>
  <c r="AY19" i="235"/>
  <c r="AY18" i="235"/>
  <c r="AY17" i="235"/>
  <c r="AY16" i="235"/>
  <c r="J3" i="235"/>
  <c r="I3" i="235"/>
  <c r="H3" i="235"/>
  <c r="G3" i="235"/>
  <c r="F3" i="235"/>
  <c r="E3" i="235"/>
  <c r="D3" i="235"/>
  <c r="B3" i="235"/>
  <c r="AB16" i="238"/>
  <c r="CJ28" i="238"/>
  <c r="CJ32" i="238" s="1"/>
  <c r="CQ21" i="238"/>
  <c r="BZ28" i="238"/>
  <c r="AC16" i="238"/>
  <c r="CI22" i="238"/>
  <c r="BZ25" i="238"/>
  <c r="BV26" i="238" l="1"/>
  <c r="BR23" i="238"/>
  <c r="BK26" i="238"/>
  <c r="CD25" i="238"/>
  <c r="CB26" i="238"/>
  <c r="AG16" i="238"/>
  <c r="CD23" i="238"/>
  <c r="CE26" i="238"/>
  <c r="CK25" i="238"/>
  <c r="CQ23" i="238"/>
  <c r="BE21" i="238"/>
  <c r="BE26" i="238"/>
  <c r="BA21" i="238"/>
  <c r="BQ21" i="238"/>
  <c r="CD26" i="238"/>
  <c r="BT32" i="238"/>
  <c r="BZ23" i="238"/>
  <c r="BQ25" i="238"/>
  <c r="BZ22" i="238"/>
  <c r="CR21" i="238"/>
  <c r="J52" i="239" s="1"/>
  <c r="BI35" i="238"/>
  <c r="CJ21" i="238"/>
  <c r="CC22" i="238"/>
  <c r="BS25" i="238"/>
  <c r="BI21" i="238"/>
  <c r="BA25" i="238"/>
  <c r="CN23" i="238"/>
  <c r="BB24" i="238"/>
  <c r="CJ22" i="238"/>
  <c r="BW26" i="238"/>
  <c r="CO23" i="238"/>
  <c r="BV24" i="238"/>
  <c r="AM16" i="238"/>
  <c r="BX25" i="238"/>
  <c r="BG22" i="238"/>
  <c r="CI26" i="238"/>
  <c r="BQ28" i="238"/>
  <c r="T16" i="238"/>
  <c r="AA16" i="238"/>
  <c r="BX28" i="238"/>
  <c r="BX32" i="238" s="1"/>
  <c r="BJ27" i="238"/>
  <c r="M16" i="238"/>
  <c r="CN25" i="238"/>
  <c r="BV25" i="238"/>
  <c r="BZ33" i="238"/>
  <c r="BZ35" i="238" s="1"/>
  <c r="CE23" i="238"/>
  <c r="BL25" i="238"/>
  <c r="CM25" i="238"/>
  <c r="BU32" i="238"/>
  <c r="CN33" i="238"/>
  <c r="CD33" i="238"/>
  <c r="CD35" i="238" s="1"/>
  <c r="CS32" i="238"/>
  <c r="CG26" i="238"/>
  <c r="AD16" i="238"/>
  <c r="CC21" i="238"/>
  <c r="K16" i="238"/>
  <c r="BG23" i="238"/>
  <c r="CI23" i="238"/>
  <c r="BP25" i="238"/>
  <c r="BI26" i="238"/>
  <c r="CK33" i="238"/>
  <c r="BR33" i="238"/>
  <c r="BR35" i="238" s="1"/>
  <c r="CS25" i="238"/>
  <c r="C16" i="238"/>
  <c r="BX23" i="238"/>
  <c r="BK21" i="238"/>
  <c r="CM22" i="238"/>
  <c r="BT25" i="238"/>
  <c r="CO22" i="238"/>
  <c r="BV21" i="238"/>
  <c r="BO26" i="238"/>
  <c r="CQ24" i="238"/>
  <c r="BX21" i="238"/>
  <c r="BW23" i="238"/>
  <c r="CS21" i="238"/>
  <c r="BQ24" i="238"/>
  <c r="BS22" i="238"/>
  <c r="BD22" i="238"/>
  <c r="AQ16" i="238"/>
  <c r="BY24" i="238"/>
  <c r="BF25" i="238"/>
  <c r="CB23" i="238"/>
  <c r="BH22" i="238"/>
  <c r="CI25" i="238"/>
  <c r="L79" i="239"/>
  <c r="CA22" i="238"/>
  <c r="CA25" i="238"/>
  <c r="CE25" i="238"/>
  <c r="CK22" i="238"/>
  <c r="BR26" i="238"/>
  <c r="BG25" i="238"/>
  <c r="BI25" i="238"/>
  <c r="BV33" i="238"/>
  <c r="W16" i="238"/>
  <c r="CI33" i="238"/>
  <c r="CI35" i="238" s="1"/>
  <c r="BR21" i="238"/>
  <c r="AV16" i="238"/>
  <c r="BI24" i="238"/>
  <c r="CC24" i="238"/>
  <c r="E16" i="238"/>
  <c r="BN32" i="238"/>
  <c r="BS32" i="238"/>
  <c r="BZ32" i="238"/>
  <c r="BN22" i="238"/>
  <c r="BZ26" i="238"/>
  <c r="BZ21" i="238"/>
  <c r="BV22" i="238"/>
  <c r="CD21" i="238"/>
  <c r="AZ24" i="238"/>
  <c r="BD24" i="238"/>
  <c r="BT24" i="238"/>
  <c r="BY26" i="238"/>
  <c r="CO26" i="238"/>
  <c r="K7" i="242"/>
  <c r="CI24" i="238"/>
  <c r="AW16" i="238"/>
  <c r="CT28" i="238"/>
  <c r="CT32" i="238" s="1"/>
  <c r="CM32" i="238"/>
  <c r="BG33" i="238"/>
  <c r="BB26" i="238"/>
  <c r="BG26" i="238"/>
  <c r="BR25" i="238"/>
  <c r="V16" i="238"/>
  <c r="BO24" i="238"/>
  <c r="U16" i="238"/>
  <c r="CQ26" i="238"/>
  <c r="BO23" i="238"/>
  <c r="G16" i="238"/>
  <c r="CI21" i="238"/>
  <c r="BR24" i="238"/>
  <c r="AP16" i="238"/>
  <c r="BG21" i="238"/>
  <c r="BQ32" i="238"/>
  <c r="CK35" i="238"/>
  <c r="CN32" i="238"/>
  <c r="AZ22" i="238"/>
  <c r="BP22" i="238"/>
  <c r="CN35" i="238"/>
  <c r="BM23" i="238"/>
  <c r="BQ33" i="238"/>
  <c r="BQ35" i="238" s="1"/>
  <c r="BQ22" i="238"/>
  <c r="AU16" i="238"/>
  <c r="CR32" i="238"/>
  <c r="BL32" i="238"/>
  <c r="CK24" i="238"/>
  <c r="F16" i="238"/>
  <c r="BN24" i="238"/>
  <c r="CH26" i="238"/>
  <c r="CP22" i="238"/>
  <c r="BM26" i="238"/>
  <c r="BX22" i="238"/>
  <c r="AQ6" i="242"/>
  <c r="AL6" i="242"/>
  <c r="AK6" i="242"/>
  <c r="AR6" i="242"/>
  <c r="AM6" i="242"/>
  <c r="AN6" i="242"/>
  <c r="AS6" i="242"/>
  <c r="AP6" i="242"/>
  <c r="AJ6" i="242"/>
  <c r="AO6" i="242"/>
  <c r="BO27" i="238"/>
  <c r="BO32" i="238" s="1"/>
  <c r="R16" i="238"/>
  <c r="CQ27" i="238"/>
  <c r="CQ32" i="238" s="1"/>
  <c r="AT16" i="238"/>
  <c r="CO27" i="238"/>
  <c r="CO32" i="238" s="1"/>
  <c r="AR16" i="238"/>
  <c r="BK28" i="238"/>
  <c r="BK32" i="238" s="1"/>
  <c r="N16" i="238"/>
  <c r="CG28" i="238"/>
  <c r="CG32" i="238" s="1"/>
  <c r="AJ16" i="238"/>
  <c r="CP28" i="238"/>
  <c r="CP32" i="238" s="1"/>
  <c r="AS16" i="238"/>
  <c r="CT24" i="238"/>
  <c r="K55" i="239" s="1"/>
  <c r="CT33" i="238"/>
  <c r="BJ24" i="238"/>
  <c r="BJ26" i="238"/>
  <c r="CL23" i="238"/>
  <c r="CL24" i="238"/>
  <c r="CL25" i="238"/>
  <c r="CL21" i="238"/>
  <c r="CL33" i="238"/>
  <c r="CL35" i="238" s="1"/>
  <c r="CT25" i="238"/>
  <c r="K56" i="239" s="1"/>
  <c r="CT23" i="238"/>
  <c r="K54" i="239" s="1"/>
  <c r="CH24" i="238"/>
  <c r="CT26" i="238"/>
  <c r="K57" i="239" s="1"/>
  <c r="BE28" i="238"/>
  <c r="BE32" i="238" s="1"/>
  <c r="H16" i="238"/>
  <c r="CA32" i="238"/>
  <c r="CI27" i="238"/>
  <c r="AL16" i="238"/>
  <c r="AZ25" i="238"/>
  <c r="BK22" i="238"/>
  <c r="CH25" i="238"/>
  <c r="BL24" i="238"/>
  <c r="O16" i="238"/>
  <c r="BH21" i="238"/>
  <c r="CA21" i="238"/>
  <c r="BJ23" i="238"/>
  <c r="BH25" i="238"/>
  <c r="BN33" i="238"/>
  <c r="BN35" i="238" s="1"/>
  <c r="CT21" i="238"/>
  <c r="K52" i="239" s="1"/>
  <c r="BL23" i="238"/>
  <c r="AO16" i="238"/>
  <c r="CE33" i="238"/>
  <c r="BH26" i="238"/>
  <c r="CL22" i="238"/>
  <c r="BK33" i="238"/>
  <c r="CB25" i="238"/>
  <c r="BP23" i="238"/>
  <c r="BG24" i="238"/>
  <c r="CT22" i="238"/>
  <c r="K53" i="239" s="1"/>
  <c r="CL32" i="238"/>
  <c r="P16" i="238"/>
  <c r="BM28" i="238"/>
  <c r="BM32" i="238" s="1"/>
  <c r="CF28" i="238"/>
  <c r="AI16" i="238"/>
  <c r="BH32" i="238"/>
  <c r="CH32" i="238"/>
  <c r="BU33" i="238"/>
  <c r="BU35" i="238" s="1"/>
  <c r="BU22" i="238"/>
  <c r="BU21" i="238"/>
  <c r="BU23" i="238"/>
  <c r="BU26" i="238"/>
  <c r="BU24" i="238"/>
  <c r="X16" i="238"/>
  <c r="BY22" i="238"/>
  <c r="BY21" i="238"/>
  <c r="BY23" i="238"/>
  <c r="BY33" i="238"/>
  <c r="BY35" i="238" s="1"/>
  <c r="BY25" i="238"/>
  <c r="CC25" i="238"/>
  <c r="CC26" i="238"/>
  <c r="CC33" i="238"/>
  <c r="CG33" i="238"/>
  <c r="CG21" i="238"/>
  <c r="CG24" i="238"/>
  <c r="CG22" i="238"/>
  <c r="CJ33" i="238"/>
  <c r="CJ35" i="238" s="1"/>
  <c r="CJ26" i="238"/>
  <c r="CN21" i="238"/>
  <c r="CN26" i="238"/>
  <c r="CR25" i="238"/>
  <c r="J56" i="239" s="1"/>
  <c r="CR24" i="238"/>
  <c r="J55" i="239" s="1"/>
  <c r="BA22" i="238"/>
  <c r="BA24" i="238"/>
  <c r="BE24" i="238"/>
  <c r="BE33" i="238"/>
  <c r="BE22" i="238"/>
  <c r="BE25" i="238"/>
  <c r="BI22" i="238"/>
  <c r="L16" i="238"/>
  <c r="BI23" i="238"/>
  <c r="BP24" i="238"/>
  <c r="BP21" i="238"/>
  <c r="S16" i="238"/>
  <c r="BT21" i="238"/>
  <c r="BT22" i="238"/>
  <c r="BT33" i="238"/>
  <c r="BT35" i="238" s="1"/>
  <c r="CO24" i="238"/>
  <c r="CO25" i="238"/>
  <c r="CS22" i="238"/>
  <c r="CS23" i="238"/>
  <c r="BB22" i="238"/>
  <c r="BB23" i="238"/>
  <c r="BB33" i="238"/>
  <c r="BB21" i="238"/>
  <c r="BF33" i="238"/>
  <c r="BF24" i="238"/>
  <c r="BF21" i="238"/>
  <c r="BF22" i="238"/>
  <c r="CK26" i="238"/>
  <c r="CK21" i="238"/>
  <c r="CO33" i="238"/>
  <c r="CR26" i="238"/>
  <c r="J57" i="239" s="1"/>
  <c r="P51" i="239"/>
  <c r="L60" i="239" s="1"/>
  <c r="R51" i="239"/>
  <c r="O65" i="239"/>
  <c r="CK32" i="238"/>
  <c r="BC24" i="238"/>
  <c r="BC22" i="238"/>
  <c r="BC21" i="238"/>
  <c r="BC25" i="238"/>
  <c r="BC26" i="238"/>
  <c r="Q16" i="238"/>
  <c r="BN23" i="238"/>
  <c r="CH21" i="238"/>
  <c r="CH23" i="238"/>
  <c r="AK16" i="238"/>
  <c r="CP25" i="238"/>
  <c r="CP21" i="238"/>
  <c r="CP24" i="238"/>
  <c r="CP23" i="238"/>
  <c r="CP33" i="238"/>
  <c r="CP26" i="238"/>
  <c r="BJ21" i="238"/>
  <c r="BJ25" i="238"/>
  <c r="CC28" i="238"/>
  <c r="CC32" i="238" s="1"/>
  <c r="AF16" i="238"/>
  <c r="CE27" i="238"/>
  <c r="CE32" i="238" s="1"/>
  <c r="AH16" i="238"/>
  <c r="BK25" i="238"/>
  <c r="BK23" i="238"/>
  <c r="BD25" i="238"/>
  <c r="CE21" i="238"/>
  <c r="CE24" i="238"/>
  <c r="CE22" i="238"/>
  <c r="CL26" i="238"/>
  <c r="AN16" i="238"/>
  <c r="AZ32" i="238"/>
  <c r="BA28" i="238"/>
  <c r="BA35" i="238" s="1"/>
  <c r="D16" i="238"/>
  <c r="BF28" i="238"/>
  <c r="BF32" i="238" s="1"/>
  <c r="I16" i="238"/>
  <c r="BW28" i="238"/>
  <c r="BW32" i="238" s="1"/>
  <c r="Z16" i="238"/>
  <c r="BV27" i="238"/>
  <c r="Y16" i="238"/>
  <c r="CB27" i="238"/>
  <c r="CB32" i="238" s="1"/>
  <c r="AE16" i="238"/>
  <c r="BP33" i="238"/>
  <c r="BP35" i="238" s="1"/>
  <c r="CB22" i="238"/>
  <c r="CB33" i="238"/>
  <c r="CF33" i="238"/>
  <c r="CF21" i="238"/>
  <c r="CF26" i="238"/>
  <c r="CF25" i="238"/>
  <c r="CF23" i="238"/>
  <c r="CF24" i="238"/>
  <c r="CF22" i="238"/>
  <c r="CM33" i="238"/>
  <c r="CM35" i="238" s="1"/>
  <c r="CM21" i="238"/>
  <c r="CM24" i="238"/>
  <c r="CM23" i="238"/>
  <c r="CQ25" i="238"/>
  <c r="CQ33" i="238"/>
  <c r="AZ21" i="238"/>
  <c r="AZ26" i="238"/>
  <c r="BD23" i="238"/>
  <c r="BD33" i="238"/>
  <c r="BD35" i="238" s="1"/>
  <c r="BD26" i="238"/>
  <c r="BH23" i="238"/>
  <c r="BH33" i="238"/>
  <c r="BH35" i="238" s="1"/>
  <c r="BH24" i="238"/>
  <c r="BL22" i="238"/>
  <c r="BL33" i="238"/>
  <c r="BL35" i="238" s="1"/>
  <c r="BL26" i="238"/>
  <c r="BL21" i="238"/>
  <c r="BO22" i="238"/>
  <c r="BO21" i="238"/>
  <c r="BO25" i="238"/>
  <c r="BO33" i="238"/>
  <c r="BS21" i="238"/>
  <c r="BS24" i="238"/>
  <c r="BS33" i="238"/>
  <c r="BS35" i="238" s="1"/>
  <c r="BW25" i="238"/>
  <c r="BW24" i="238"/>
  <c r="BW21" i="238"/>
  <c r="BW22" i="238"/>
  <c r="BW33" i="238"/>
  <c r="CA26" i="238"/>
  <c r="CA33" i="238"/>
  <c r="CA35" i="238" s="1"/>
  <c r="CA23" i="238"/>
  <c r="CA24" i="238"/>
  <c r="AZ23" i="238"/>
  <c r="BM24" i="238"/>
  <c r="BM33" i="238"/>
  <c r="BM22" i="238"/>
  <c r="BT26" i="238"/>
  <c r="BX26" i="238"/>
  <c r="BX24" i="238"/>
  <c r="L7" i="242"/>
  <c r="M24" i="242"/>
  <c r="BJ32" i="238"/>
  <c r="BC33" i="238"/>
  <c r="BC35" i="238" s="1"/>
  <c r="CH33" i="238"/>
  <c r="CH35" i="238" s="1"/>
  <c r="CO21" i="238"/>
  <c r="CC23" i="238"/>
  <c r="CG23" i="238"/>
  <c r="CK23" i="238"/>
  <c r="BB25" i="238"/>
  <c r="BA26" i="238"/>
  <c r="BP26" i="238"/>
  <c r="BS26" i="238"/>
  <c r="J16" i="238"/>
  <c r="BG28" i="238"/>
  <c r="BG32" i="238" s="1"/>
  <c r="BP32" i="238"/>
  <c r="BY32" i="238"/>
  <c r="BJ33" i="238"/>
  <c r="BJ35" i="238" s="1"/>
  <c r="BJ22" i="238"/>
  <c r="BN26" i="238"/>
  <c r="BN21" i="238"/>
  <c r="CS33" i="238"/>
  <c r="CS35" i="238" s="1"/>
  <c r="CN22" i="238"/>
  <c r="CR22" i="238"/>
  <c r="J53" i="239" s="1"/>
  <c r="BA23" i="238"/>
  <c r="BT23" i="238"/>
  <c r="CJ23" i="238"/>
  <c r="CB24" i="238"/>
  <c r="CN24" i="238"/>
  <c r="BM25" i="238"/>
  <c r="BU25" i="238"/>
  <c r="CS26" i="238"/>
  <c r="L78" i="239"/>
  <c r="L80" i="239"/>
  <c r="CG35" i="238" l="1"/>
  <c r="L59" i="239"/>
  <c r="BM35" i="238"/>
  <c r="BE35" i="238"/>
  <c r="CO35" i="238"/>
  <c r="BX35" i="238"/>
  <c r="CB35" i="238"/>
  <c r="Q51" i="239"/>
  <c r="P65" i="239"/>
  <c r="S51" i="239"/>
  <c r="CV22" i="238"/>
  <c r="DB27" i="238"/>
  <c r="BG35" i="238"/>
  <c r="CW30" i="238"/>
  <c r="CW24" i="238"/>
  <c r="CT35" i="238"/>
  <c r="CW22" i="238"/>
  <c r="DB25" i="238"/>
  <c r="DA25" i="238"/>
  <c r="Y56" i="239" s="1"/>
  <c r="DC25" i="238"/>
  <c r="X56" i="239" s="1"/>
  <c r="CF32" i="238"/>
  <c r="DA28" i="238"/>
  <c r="DB28" i="238"/>
  <c r="DC28" i="238"/>
  <c r="M80" i="239"/>
  <c r="N80" i="239" s="1"/>
  <c r="S76" i="239" s="1"/>
  <c r="BW35" i="238"/>
  <c r="BO35" i="238"/>
  <c r="CQ35" i="238"/>
  <c r="DA23" i="238"/>
  <c r="Y54" i="239" s="1"/>
  <c r="DC23" i="238"/>
  <c r="X54" i="239" s="1"/>
  <c r="DB23" i="238"/>
  <c r="DA30" i="238"/>
  <c r="CF35" i="238"/>
  <c r="DB30" i="238"/>
  <c r="CW27" i="238"/>
  <c r="BF35" i="238"/>
  <c r="CI32" i="238"/>
  <c r="DA27" i="238"/>
  <c r="DC27" i="238"/>
  <c r="CX24" i="238"/>
  <c r="CV26" i="238"/>
  <c r="CW26" i="238"/>
  <c r="CX26" i="238"/>
  <c r="DC22" i="238"/>
  <c r="X53" i="239" s="1"/>
  <c r="DB22" i="238"/>
  <c r="DA22" i="238"/>
  <c r="Y53" i="239" s="1"/>
  <c r="DC26" i="238"/>
  <c r="X57" i="239" s="1"/>
  <c r="DB26" i="238"/>
  <c r="DA26" i="238"/>
  <c r="Y57" i="239" s="1"/>
  <c r="CP35" i="238"/>
  <c r="BA32" i="238"/>
  <c r="BB35" i="238"/>
  <c r="CV30" i="238"/>
  <c r="CC35" i="238"/>
  <c r="CE35" i="238"/>
  <c r="CV25" i="238"/>
  <c r="CW25" i="238"/>
  <c r="CX25" i="238"/>
  <c r="CX22" i="238"/>
  <c r="CV24" i="238"/>
  <c r="CW28" i="238"/>
  <c r="CV28" i="238"/>
  <c r="CX28" i="238"/>
  <c r="M7" i="242"/>
  <c r="CV23" i="238"/>
  <c r="CW23" i="238"/>
  <c r="CX23" i="238"/>
  <c r="CV21" i="238"/>
  <c r="CW21" i="238"/>
  <c r="CX21" i="238"/>
  <c r="DA24" i="238"/>
  <c r="Y55" i="239" s="1"/>
  <c r="DB24" i="238"/>
  <c r="DC24" i="238"/>
  <c r="X55" i="239" s="1"/>
  <c r="DC21" i="238"/>
  <c r="X52" i="239" s="1"/>
  <c r="DA21" i="238"/>
  <c r="Y52" i="239" s="1"/>
  <c r="DB21" i="238"/>
  <c r="BV32" i="238"/>
  <c r="BV35" i="238"/>
  <c r="CV27" i="238"/>
  <c r="CX27" i="238"/>
  <c r="O64" i="239"/>
  <c r="BK35" i="238"/>
  <c r="M79" i="239"/>
  <c r="N79" i="239" s="1"/>
  <c r="S75" i="239" s="1"/>
  <c r="M78" i="239"/>
  <c r="N78" i="239" s="1"/>
  <c r="S74" i="239" s="1"/>
  <c r="M81" i="239"/>
  <c r="N81" i="239" s="1"/>
  <c r="S77" i="239" s="1"/>
  <c r="L77" i="239"/>
  <c r="M77" i="239" s="1"/>
  <c r="N77" i="239" s="1"/>
  <c r="S73" i="239" s="1"/>
  <c r="L76" i="239"/>
  <c r="M76" i="239" s="1"/>
  <c r="N76" i="239" s="1"/>
  <c r="S72" i="239" s="1"/>
  <c r="P64" i="239" l="1"/>
  <c r="CW33" i="238"/>
  <c r="CV33" i="238"/>
  <c r="N7" i="242"/>
  <c r="DC33" i="238"/>
  <c r="DB33" i="238"/>
  <c r="DA33" i="238"/>
  <c r="CX33" i="238"/>
  <c r="AC51" i="239"/>
  <c r="AB51" i="239"/>
  <c r="O7" i="242" l="1"/>
  <c r="P7" i="242" l="1"/>
  <c r="Q7" i="242" l="1"/>
  <c r="R7" i="242" l="1"/>
  <c r="S7" i="242" l="1"/>
  <c r="T7" i="242" l="1"/>
  <c r="U7" i="242" l="1"/>
  <c r="V7" i="242" l="1"/>
  <c r="W7" i="242" l="1"/>
  <c r="X7" i="242" l="1"/>
  <c r="Y7" i="242" l="1"/>
  <c r="Z7" i="242" l="1"/>
  <c r="AA7" i="242" l="1"/>
  <c r="AB7" i="242" l="1"/>
  <c r="AC7" i="242" l="1"/>
  <c r="AD7" i="242" l="1"/>
  <c r="AE7" i="242" l="1"/>
  <c r="AF7" i="242" l="1"/>
  <c r="AG7" i="242" l="1"/>
  <c r="AH7" i="242" l="1"/>
  <c r="AI7" i="242" l="1"/>
  <c r="AJ7" i="242" l="1"/>
  <c r="AK7" i="242" l="1"/>
  <c r="AL7" i="242" l="1"/>
  <c r="AM7" i="242" l="1"/>
  <c r="AN7" i="242" l="1"/>
  <c r="AO7" i="242" l="1"/>
  <c r="AP7" i="242" l="1"/>
  <c r="AQ7" i="242" l="1"/>
  <c r="AR7" i="242" l="1"/>
  <c r="AS7" i="242"/>
  <c r="P21" i="239" l="1"/>
  <c r="Q21" i="239"/>
  <c r="R21" i="239" l="1"/>
  <c r="O21" i="239"/>
  <c r="K13" i="239" l="1"/>
  <c r="K31" i="239" s="1"/>
  <c r="P20" i="239"/>
  <c r="L13" i="239"/>
  <c r="L31" i="239" s="1"/>
  <c r="Q20" i="239"/>
  <c r="S21" i="239"/>
  <c r="M13" i="239"/>
  <c r="M31" i="239" s="1"/>
  <c r="R20" i="239"/>
  <c r="O20" i="239" l="1"/>
  <c r="S20" i="239" l="1"/>
  <c r="Y26" i="239" l="1"/>
  <c r="Y8" i="239"/>
  <c r="AB26" i="239"/>
  <c r="AB8" i="239"/>
  <c r="AA26" i="239"/>
  <c r="AA8" i="239"/>
  <c r="Z26" i="239"/>
  <c r="Z8" i="239"/>
  <c r="K10" i="239" l="1"/>
  <c r="K28" i="239" s="1"/>
  <c r="K9" i="239"/>
  <c r="K27" i="239" s="1"/>
  <c r="K11" i="239"/>
  <c r="K29" i="239" s="1"/>
  <c r="K12" i="239"/>
  <c r="K30" i="239" s="1"/>
  <c r="K14" i="239"/>
  <c r="K32" i="239" s="1"/>
  <c r="K15" i="239"/>
  <c r="K33" i="239" s="1"/>
  <c r="K16" i="239"/>
  <c r="K34" i="239" s="1"/>
  <c r="M10" i="239"/>
  <c r="M28" i="239" s="1"/>
  <c r="M9" i="239"/>
  <c r="M27" i="239" s="1"/>
  <c r="M11" i="239"/>
  <c r="M29" i="239" s="1"/>
  <c r="M12" i="239"/>
  <c r="M30" i="239" s="1"/>
  <c r="M14" i="239"/>
  <c r="M32" i="239" s="1"/>
  <c r="M15" i="239"/>
  <c r="M33" i="239" s="1"/>
  <c r="M16" i="239"/>
  <c r="M34" i="239" s="1"/>
  <c r="L10" i="239"/>
  <c r="L28" i="239" s="1"/>
  <c r="L9" i="239"/>
  <c r="L27" i="239" s="1"/>
  <c r="L11" i="239"/>
  <c r="L29" i="239" s="1"/>
  <c r="L12" i="239"/>
  <c r="L30" i="239" s="1"/>
  <c r="L14" i="239"/>
  <c r="L32" i="239" s="1"/>
  <c r="L15" i="239"/>
  <c r="L33" i="239" s="1"/>
  <c r="L16" i="239"/>
  <c r="L34" i="239" s="1"/>
  <c r="J10" i="239"/>
  <c r="J28" i="239" s="1"/>
  <c r="Q35" i="239" l="1"/>
  <c r="R35" i="239"/>
  <c r="J9" i="239"/>
  <c r="J27" i="239" s="1"/>
  <c r="J11" i="239"/>
  <c r="J29" i="239" s="1"/>
  <c r="J12" i="239"/>
  <c r="J30" i="239" s="1"/>
  <c r="J13" i="239"/>
  <c r="J31" i="239" s="1"/>
  <c r="J15" i="239"/>
  <c r="J33" i="239" s="1"/>
  <c r="J16" i="239"/>
  <c r="J34" i="239" s="1"/>
  <c r="J14" i="239"/>
  <c r="J32" i="239" s="1"/>
  <c r="P35" i="239"/>
  <c r="O35" i="239" l="1"/>
  <c r="S35" i="239"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Rikke Næraa</author>
    <author>Olexandr Balyk</author>
    <author>Kristoffer Steen Andersen</author>
    <author>Jacopo Tattini</author>
    <author>Christian Bang</author>
    <author>János Hethey</author>
  </authors>
  <commentList>
    <comment ref="G4" authorId="0" shapeId="0" xr:uid="{4AC57C30-79A0-42D5-98DC-7168080D7989}">
      <text>
        <r>
          <rPr>
            <b/>
            <sz val="9"/>
            <color indexed="81"/>
            <rFont val="Tahoma"/>
            <family val="2"/>
          </rPr>
          <t>Rikke Næraa:</t>
        </r>
        <r>
          <rPr>
            <sz val="9"/>
            <color indexed="81"/>
            <rFont val="Tahoma"/>
            <family val="2"/>
          </rPr>
          <t xml:space="preserve">
RAMSES data for 2010 ( from BF2012)
</t>
        </r>
      </text>
    </comment>
    <comment ref="G8" authorId="1" shapeId="0" xr:uid="{78DBA69C-E655-463A-933B-8D5B43B26B5B}">
      <text>
        <r>
          <rPr>
            <b/>
            <sz val="9"/>
            <color indexed="81"/>
            <rFont val="Tahoma"/>
            <family val="2"/>
          </rPr>
          <t>Olexandr Balyk:</t>
        </r>
        <r>
          <rPr>
            <sz val="9"/>
            <color indexed="81"/>
            <rFont val="Tahoma"/>
            <family val="2"/>
          </rPr>
          <t xml:space="preserve">
Same as in Ramses</t>
        </r>
      </text>
    </comment>
    <comment ref="H8" authorId="1" shapeId="0" xr:uid="{89AC9438-C987-4F5A-AFDF-7549EBB8C752}">
      <text>
        <r>
          <rPr>
            <b/>
            <sz val="9"/>
            <color indexed="81"/>
            <rFont val="Tahoma"/>
            <family val="2"/>
          </rPr>
          <t>Olexandr Balyk:</t>
        </r>
        <r>
          <rPr>
            <sz val="9"/>
            <color indexed="81"/>
            <rFont val="Tahoma"/>
            <family val="2"/>
          </rPr>
          <t xml:space="preserve">
Same as in Ramses</t>
        </r>
      </text>
    </comment>
    <comment ref="I8" authorId="1" shapeId="0" xr:uid="{65E384C6-F9A1-477C-B0F3-FFFE404DAE73}">
      <text>
        <r>
          <rPr>
            <b/>
            <sz val="9"/>
            <color indexed="81"/>
            <rFont val="Tahoma"/>
            <family val="2"/>
          </rPr>
          <t>Olexandr Balyk:</t>
        </r>
        <r>
          <rPr>
            <sz val="9"/>
            <color indexed="81"/>
            <rFont val="Tahoma"/>
            <family val="2"/>
          </rPr>
          <t xml:space="preserve">
Same as in Ramses</t>
        </r>
      </text>
    </comment>
    <comment ref="J8" authorId="1" shapeId="0" xr:uid="{81B80CA0-46B2-4B63-82A2-BBA99D5653DA}">
      <text>
        <r>
          <rPr>
            <b/>
            <sz val="9"/>
            <color indexed="81"/>
            <rFont val="Tahoma"/>
            <family val="2"/>
          </rPr>
          <t>Olexandr Balyk:</t>
        </r>
        <r>
          <rPr>
            <sz val="9"/>
            <color indexed="81"/>
            <rFont val="Tahoma"/>
            <family val="2"/>
          </rPr>
          <t xml:space="preserve">
Same as in Ramses</t>
        </r>
      </text>
    </comment>
    <comment ref="K8" authorId="1" shapeId="0" xr:uid="{74C74677-0A86-49EB-AD78-0B3E3637538B}">
      <text>
        <r>
          <rPr>
            <b/>
            <sz val="9"/>
            <color indexed="81"/>
            <rFont val="Tahoma"/>
            <family val="2"/>
          </rPr>
          <t>Olexandr Balyk:</t>
        </r>
        <r>
          <rPr>
            <sz val="9"/>
            <color indexed="81"/>
            <rFont val="Tahoma"/>
            <family val="2"/>
          </rPr>
          <t xml:space="preserve">
Same as in Ramses</t>
        </r>
      </text>
    </comment>
    <comment ref="L8" authorId="1" shapeId="0" xr:uid="{00203CC1-ECB7-4903-80B0-ED91CD347093}">
      <text>
        <r>
          <rPr>
            <b/>
            <sz val="9"/>
            <color indexed="81"/>
            <rFont val="Tahoma"/>
            <family val="2"/>
          </rPr>
          <t>Olexandr Balyk:</t>
        </r>
        <r>
          <rPr>
            <sz val="9"/>
            <color indexed="81"/>
            <rFont val="Tahoma"/>
            <family val="2"/>
          </rPr>
          <t xml:space="preserve">
Same as in Ramses</t>
        </r>
      </text>
    </comment>
    <comment ref="M8" authorId="1" shapeId="0" xr:uid="{D75A8B21-A1AF-40FE-99E4-B7D67EF948F1}">
      <text>
        <r>
          <rPr>
            <b/>
            <sz val="9"/>
            <color indexed="81"/>
            <rFont val="Tahoma"/>
            <family val="2"/>
          </rPr>
          <t>Olexandr Balyk:</t>
        </r>
        <r>
          <rPr>
            <sz val="9"/>
            <color indexed="81"/>
            <rFont val="Tahoma"/>
            <family val="2"/>
          </rPr>
          <t xml:space="preserve">
Same as in Ramses</t>
        </r>
      </text>
    </comment>
    <comment ref="N8" authorId="1" shapeId="0" xr:uid="{0CF4BCFB-4B81-4948-8B56-93F98F84BC35}">
      <text>
        <r>
          <rPr>
            <b/>
            <sz val="9"/>
            <color indexed="81"/>
            <rFont val="Tahoma"/>
            <family val="2"/>
          </rPr>
          <t>Olexandr Balyk:</t>
        </r>
        <r>
          <rPr>
            <sz val="9"/>
            <color indexed="81"/>
            <rFont val="Tahoma"/>
            <family val="2"/>
          </rPr>
          <t xml:space="preserve">
Same as in Ramses</t>
        </r>
      </text>
    </comment>
    <comment ref="O8" authorId="1" shapeId="0" xr:uid="{9FB291F2-9B92-4156-8A29-1EE5412A0DCD}">
      <text>
        <r>
          <rPr>
            <b/>
            <sz val="9"/>
            <color indexed="81"/>
            <rFont val="Tahoma"/>
            <family val="2"/>
          </rPr>
          <t>Olexandr Balyk:</t>
        </r>
        <r>
          <rPr>
            <sz val="9"/>
            <color indexed="81"/>
            <rFont val="Tahoma"/>
            <family val="2"/>
          </rPr>
          <t xml:space="preserve">
Same as in Ramses</t>
        </r>
      </text>
    </comment>
    <comment ref="G12" authorId="2" shapeId="0" xr:uid="{D9379C19-2DEB-4550-B611-BFFD37E2C752}">
      <text>
        <r>
          <rPr>
            <b/>
            <sz val="9"/>
            <color indexed="81"/>
            <rFont val="Tahoma"/>
            <family val="2"/>
          </rPr>
          <t>Kristoffer Steen Andersen:</t>
        </r>
        <r>
          <rPr>
            <sz val="9"/>
            <color indexed="81"/>
            <rFont val="Tahoma"/>
            <family val="2"/>
          </rPr>
          <t xml:space="preserve">
It is assumed that biogas is prices triple of natural gas!!</t>
        </r>
      </text>
    </comment>
    <comment ref="H12" authorId="2" shapeId="0" xr:uid="{6D49BC5F-8F94-4E1B-8DBF-9242EEBFBFEE}">
      <text>
        <r>
          <rPr>
            <b/>
            <sz val="9"/>
            <color indexed="81"/>
            <rFont val="Tahoma"/>
            <family val="2"/>
          </rPr>
          <t>Kristoffer Steen Andersen:</t>
        </r>
        <r>
          <rPr>
            <sz val="9"/>
            <color indexed="81"/>
            <rFont val="Tahoma"/>
            <family val="2"/>
          </rPr>
          <t xml:space="preserve">
It is assumed that biogas is prices double of natural gas!!</t>
        </r>
      </text>
    </comment>
    <comment ref="I12" authorId="2" shapeId="0" xr:uid="{14667FD6-100E-4D96-8E7A-7686D9490FD2}">
      <text>
        <r>
          <rPr>
            <b/>
            <sz val="9"/>
            <color indexed="81"/>
            <rFont val="Tahoma"/>
            <family val="2"/>
          </rPr>
          <t>Kristoffer Steen Andersen:</t>
        </r>
        <r>
          <rPr>
            <sz val="9"/>
            <color indexed="81"/>
            <rFont val="Tahoma"/>
            <family val="2"/>
          </rPr>
          <t xml:space="preserve">
It is assumed that biogas is prices double of natural gas!!</t>
        </r>
      </text>
    </comment>
    <comment ref="J12" authorId="2" shapeId="0" xr:uid="{49884D01-16EB-4AAB-9202-15D27A41E149}">
      <text>
        <r>
          <rPr>
            <b/>
            <sz val="9"/>
            <color indexed="81"/>
            <rFont val="Tahoma"/>
            <family val="2"/>
          </rPr>
          <t>Kristoffer Steen Andersen:</t>
        </r>
        <r>
          <rPr>
            <sz val="9"/>
            <color indexed="81"/>
            <rFont val="Tahoma"/>
            <family val="2"/>
          </rPr>
          <t xml:space="preserve">
It is assumed that biogas is prices double of natural gas!!</t>
        </r>
      </text>
    </comment>
    <comment ref="K12" authorId="2" shapeId="0" xr:uid="{A1754490-F015-459E-B400-838EB934ACBC}">
      <text>
        <r>
          <rPr>
            <b/>
            <sz val="9"/>
            <color indexed="81"/>
            <rFont val="Tahoma"/>
            <family val="2"/>
          </rPr>
          <t>Kristoffer Steen Andersen:</t>
        </r>
        <r>
          <rPr>
            <sz val="9"/>
            <color indexed="81"/>
            <rFont val="Tahoma"/>
            <family val="2"/>
          </rPr>
          <t xml:space="preserve">
It is assumed that biogas is prices double of natural gas!!</t>
        </r>
      </text>
    </comment>
    <comment ref="L12" authorId="2" shapeId="0" xr:uid="{AA27EAAC-D356-497A-8D37-61E69D86B57E}">
      <text>
        <r>
          <rPr>
            <b/>
            <sz val="9"/>
            <color indexed="81"/>
            <rFont val="Tahoma"/>
            <family val="2"/>
          </rPr>
          <t>Kristoffer Steen Andersen:</t>
        </r>
        <r>
          <rPr>
            <sz val="9"/>
            <color indexed="81"/>
            <rFont val="Tahoma"/>
            <family val="2"/>
          </rPr>
          <t xml:space="preserve">
It is assumed that biogas is prices double of natural gas!!</t>
        </r>
      </text>
    </comment>
    <comment ref="M12" authorId="2" shapeId="0" xr:uid="{9996B9F7-CE20-4788-8556-5CFC7CC6E863}">
      <text>
        <r>
          <rPr>
            <b/>
            <sz val="9"/>
            <color indexed="81"/>
            <rFont val="Tahoma"/>
            <family val="2"/>
          </rPr>
          <t>Kristoffer Steen Andersen:</t>
        </r>
        <r>
          <rPr>
            <sz val="9"/>
            <color indexed="81"/>
            <rFont val="Tahoma"/>
            <family val="2"/>
          </rPr>
          <t xml:space="preserve">
It is assumed that biogas is prices double of natural gas!!</t>
        </r>
      </text>
    </comment>
    <comment ref="N12" authorId="2" shapeId="0" xr:uid="{D5BEA34C-97BD-48FD-B766-9CFAEAC73CA8}">
      <text>
        <r>
          <rPr>
            <b/>
            <sz val="9"/>
            <color indexed="81"/>
            <rFont val="Tahoma"/>
            <family val="2"/>
          </rPr>
          <t>Kristoffer Steen Andersen:</t>
        </r>
        <r>
          <rPr>
            <sz val="9"/>
            <color indexed="81"/>
            <rFont val="Tahoma"/>
            <family val="2"/>
          </rPr>
          <t xml:space="preserve">
It is assumed that biogas is prices double of natural gas!!</t>
        </r>
      </text>
    </comment>
    <comment ref="O12" authorId="2" shapeId="0" xr:uid="{6B48086E-E0D4-445F-A222-3A074177759A}">
      <text>
        <r>
          <rPr>
            <b/>
            <sz val="9"/>
            <color indexed="81"/>
            <rFont val="Tahoma"/>
            <family val="2"/>
          </rPr>
          <t>Kristoffer Steen Andersen:</t>
        </r>
        <r>
          <rPr>
            <sz val="9"/>
            <color indexed="81"/>
            <rFont val="Tahoma"/>
            <family val="2"/>
          </rPr>
          <t xml:space="preserve">
It is assumed that biogas is prices double of natural gas!!</t>
        </r>
      </text>
    </comment>
    <comment ref="G23" authorId="2" shapeId="0" xr:uid="{00F33F2B-3180-4EC6-81ED-B98BB2CBA729}">
      <text>
        <r>
          <rPr>
            <b/>
            <sz val="9"/>
            <color indexed="81"/>
            <rFont val="Tahoma"/>
            <family val="2"/>
          </rPr>
          <t>Kristoffer Steen Andersen:</t>
        </r>
        <r>
          <rPr>
            <sz val="9"/>
            <color indexed="81"/>
            <rFont val="Tahoma"/>
            <family val="2"/>
          </rPr>
          <t xml:space="preserve">
It is assumed that LPG is prices double of natural gas!!</t>
        </r>
      </text>
    </comment>
    <comment ref="G65" authorId="3" shapeId="0" xr:uid="{EF0CA724-8DD5-4BAD-9BFA-3D5FBFED7A8E}">
      <text>
        <r>
          <rPr>
            <b/>
            <sz val="9"/>
            <color indexed="81"/>
            <rFont val="Tahoma"/>
            <family val="2"/>
          </rPr>
          <t>Jacopo Tattini:</t>
        </r>
        <r>
          <rPr>
            <sz val="9"/>
            <color indexed="81"/>
            <rFont val="Tahoma"/>
            <family val="2"/>
          </rPr>
          <t xml:space="preserve">
Calculated with respect to gasoline price normalizing with ratio between aviation and normal gasoline (1.7)</t>
        </r>
      </text>
    </comment>
    <comment ref="G120" authorId="0" shapeId="0" xr:uid="{E90E2A77-6901-4E05-8390-094738F776B9}">
      <text>
        <r>
          <rPr>
            <b/>
            <sz val="9"/>
            <color indexed="81"/>
            <rFont val="Tahoma"/>
            <family val="2"/>
          </rPr>
          <t>Rikke Næraa:</t>
        </r>
        <r>
          <rPr>
            <sz val="9"/>
            <color indexed="81"/>
            <rFont val="Tahoma"/>
            <family val="2"/>
          </rPr>
          <t xml:space="preserve">
RAMSES data for 2010 ( from BF2012)
</t>
        </r>
      </text>
    </comment>
    <comment ref="J234" authorId="4" shapeId="0" xr:uid="{C49D38E3-43F5-4ECA-BC16-5F96D4B0B59D}">
      <text>
        <r>
          <rPr>
            <b/>
            <sz val="9"/>
            <color indexed="81"/>
            <rFont val="Tahoma"/>
            <family val="2"/>
          </rPr>
          <t>Christian Bang:</t>
        </r>
        <r>
          <rPr>
            <sz val="9"/>
            <color indexed="81"/>
            <rFont val="Tahoma"/>
            <family val="2"/>
          </rPr>
          <t xml:space="preserve">
DDHA in 2013 DKK: 48.0</t>
        </r>
      </text>
    </comment>
    <comment ref="J238" authorId="4" shapeId="0" xr:uid="{0FB012D4-EA87-429D-9A86-2DE2B9F6C258}">
      <text>
        <r>
          <rPr>
            <b/>
            <sz val="9"/>
            <color indexed="81"/>
            <rFont val="Tahoma"/>
            <family val="2"/>
          </rPr>
          <t>Christian Bang:</t>
        </r>
        <r>
          <rPr>
            <sz val="9"/>
            <color indexed="81"/>
            <rFont val="Tahoma"/>
            <family val="2"/>
          </rPr>
          <t xml:space="preserve">
DDHA in 2013 DKK: 
Average - 72,
Weigted average a deal lower.</t>
        </r>
      </text>
    </comment>
    <comment ref="D241" authorId="4" shapeId="0" xr:uid="{BC288F9F-6F44-4AC6-BADA-3C29A9572A33}">
      <text>
        <r>
          <rPr>
            <b/>
            <sz val="9"/>
            <color indexed="81"/>
            <rFont val="Tahoma"/>
            <family val="2"/>
          </rPr>
          <t>Christian Bang:</t>
        </r>
        <r>
          <rPr>
            <sz val="9"/>
            <color indexed="81"/>
            <rFont val="Tahoma"/>
            <family val="2"/>
          </rPr>
          <t xml:space="preserve">
Has not been investigated thouroughly in this study.</t>
        </r>
      </text>
    </comment>
    <comment ref="J244" authorId="4" shapeId="0" xr:uid="{534FDFC4-5991-4811-8845-5674214CDAF1}">
      <text>
        <r>
          <rPr>
            <b/>
            <sz val="9"/>
            <color indexed="81"/>
            <rFont val="Tahoma"/>
            <family val="2"/>
          </rPr>
          <t>Christian Bang:</t>
        </r>
        <r>
          <rPr>
            <sz val="9"/>
            <color indexed="81"/>
            <rFont val="Tahoma"/>
            <family val="2"/>
          </rPr>
          <t xml:space="preserve">
DDHA in 2013 DKK: 
41.9</t>
        </r>
      </text>
    </comment>
    <comment ref="J283" authorId="5" shapeId="0" xr:uid="{E36ACFF8-B723-4185-AC8B-792B9AE79DB6}">
      <text>
        <r>
          <rPr>
            <b/>
            <sz val="9"/>
            <color indexed="81"/>
            <rFont val="Tahoma"/>
            <family val="2"/>
          </rPr>
          <t>János Hethey:</t>
        </r>
        <r>
          <rPr>
            <sz val="9"/>
            <color indexed="81"/>
            <rFont val="Tahoma"/>
            <family val="2"/>
          </rPr>
          <t xml:space="preserve">
Forskel jf. ENS forudsætninger
</t>
        </r>
      </text>
    </comment>
    <comment ref="K283" authorId="5" shapeId="0" xr:uid="{4C32CF4E-B45C-437A-AA72-5FC10883DF40}">
      <text>
        <r>
          <rPr>
            <b/>
            <sz val="9"/>
            <color indexed="81"/>
            <rFont val="Tahoma"/>
            <family val="2"/>
          </rPr>
          <t>János Hethey:</t>
        </r>
        <r>
          <rPr>
            <sz val="9"/>
            <color indexed="81"/>
            <rFont val="Tahoma"/>
            <family val="2"/>
          </rPr>
          <t xml:space="preserve">
Forskel jf. ENS forudsætninger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Rikke Næraa</author>
    <author>Jannick Hauschildt Buhl</author>
  </authors>
  <commentList>
    <comment ref="F4" authorId="0" shapeId="0" xr:uid="{00000000-0006-0000-0500-000001000000}">
      <text>
        <r>
          <rPr>
            <b/>
            <sz val="9"/>
            <color indexed="81"/>
            <rFont val="Tahoma"/>
            <family val="2"/>
          </rPr>
          <t>Rikke Næraa:</t>
        </r>
        <r>
          <rPr>
            <sz val="9"/>
            <color indexed="81"/>
            <rFont val="Tahoma"/>
            <family val="2"/>
          </rPr>
          <t xml:space="preserve">
RAMSES data for 2010 ( from BF2012)
</t>
        </r>
      </text>
    </comment>
    <comment ref="G4" authorId="0" shapeId="0" xr:uid="{00000000-0006-0000-0500-000002000000}">
      <text>
        <r>
          <rPr>
            <b/>
            <sz val="9"/>
            <color indexed="81"/>
            <rFont val="Tahoma"/>
            <family val="2"/>
          </rPr>
          <t>Rikke Næraa:</t>
        </r>
        <r>
          <rPr>
            <sz val="9"/>
            <color indexed="81"/>
            <rFont val="Tahoma"/>
            <family val="2"/>
          </rPr>
          <t xml:space="preserve">
RAMSES data for 2010 ( from BF2012)
</t>
        </r>
      </text>
    </comment>
    <comment ref="H4" authorId="0" shapeId="0" xr:uid="{00000000-0006-0000-0500-000003000000}">
      <text>
        <r>
          <rPr>
            <b/>
            <sz val="9"/>
            <color indexed="81"/>
            <rFont val="Tahoma"/>
            <family val="2"/>
          </rPr>
          <t>Rikke Næraa:</t>
        </r>
        <r>
          <rPr>
            <sz val="9"/>
            <color indexed="81"/>
            <rFont val="Tahoma"/>
            <family val="2"/>
          </rPr>
          <t xml:space="preserve">
RAMSES data for 2010 ( from BF2012)
</t>
        </r>
      </text>
    </comment>
    <comment ref="I4" authorId="0" shapeId="0" xr:uid="{00000000-0006-0000-0500-000004000000}">
      <text>
        <r>
          <rPr>
            <b/>
            <sz val="9"/>
            <color indexed="81"/>
            <rFont val="Tahoma"/>
            <family val="2"/>
          </rPr>
          <t>Rikke Næraa:</t>
        </r>
        <r>
          <rPr>
            <sz val="9"/>
            <color indexed="81"/>
            <rFont val="Tahoma"/>
            <family val="2"/>
          </rPr>
          <t xml:space="preserve">
RAMSES data for 2010 ( from BF2012)
</t>
        </r>
      </text>
    </comment>
    <comment ref="J4" authorId="0" shapeId="0" xr:uid="{00000000-0006-0000-0500-000005000000}">
      <text>
        <r>
          <rPr>
            <b/>
            <sz val="9"/>
            <color indexed="81"/>
            <rFont val="Tahoma"/>
            <family val="2"/>
          </rPr>
          <t>Rikke Næraa:</t>
        </r>
        <r>
          <rPr>
            <sz val="9"/>
            <color indexed="81"/>
            <rFont val="Tahoma"/>
            <family val="2"/>
          </rPr>
          <t xml:space="preserve">
RAMSES data for 2010 ( from BF2012)
</t>
        </r>
      </text>
    </comment>
    <comment ref="K4" authorId="0" shapeId="0" xr:uid="{00000000-0006-0000-0500-000006000000}">
      <text>
        <r>
          <rPr>
            <b/>
            <sz val="9"/>
            <color indexed="81"/>
            <rFont val="Tahoma"/>
            <family val="2"/>
          </rPr>
          <t>Rikke Næraa:</t>
        </r>
        <r>
          <rPr>
            <sz val="9"/>
            <color indexed="81"/>
            <rFont val="Tahoma"/>
            <family val="2"/>
          </rPr>
          <t xml:space="preserve">
RAMSES data for 2010 ( from BF2012)
</t>
        </r>
      </text>
    </comment>
    <comment ref="L4" authorId="0" shapeId="0" xr:uid="{00000000-0006-0000-0500-000007000000}">
      <text>
        <r>
          <rPr>
            <b/>
            <sz val="9"/>
            <color indexed="81"/>
            <rFont val="Tahoma"/>
            <family val="2"/>
          </rPr>
          <t>Rikke Næraa:</t>
        </r>
        <r>
          <rPr>
            <sz val="9"/>
            <color indexed="81"/>
            <rFont val="Tahoma"/>
            <family val="2"/>
          </rPr>
          <t xml:space="preserve">
RAMSES data for 2010 ( from BF2012)
</t>
        </r>
      </text>
    </comment>
    <comment ref="M4" authorId="0" shapeId="0" xr:uid="{00000000-0006-0000-0500-000008000000}">
      <text>
        <r>
          <rPr>
            <b/>
            <sz val="9"/>
            <color indexed="81"/>
            <rFont val="Tahoma"/>
            <family val="2"/>
          </rPr>
          <t>Rikke Næraa:</t>
        </r>
        <r>
          <rPr>
            <sz val="9"/>
            <color indexed="81"/>
            <rFont val="Tahoma"/>
            <family val="2"/>
          </rPr>
          <t xml:space="preserve">
RAMSES data for 2010 ( from BF2012)
</t>
        </r>
      </text>
    </comment>
    <comment ref="N4" authorId="0" shapeId="0" xr:uid="{00000000-0006-0000-0500-000009000000}">
      <text>
        <r>
          <rPr>
            <b/>
            <sz val="9"/>
            <color indexed="81"/>
            <rFont val="Tahoma"/>
            <family val="2"/>
          </rPr>
          <t>Rikke Næraa:</t>
        </r>
        <r>
          <rPr>
            <sz val="9"/>
            <color indexed="81"/>
            <rFont val="Tahoma"/>
            <family val="2"/>
          </rPr>
          <t xml:space="preserve">
RAMSES data for 2010 ( from BF2012)
</t>
        </r>
      </text>
    </comment>
    <comment ref="O4" authorId="0" shapeId="0" xr:uid="{00000000-0006-0000-0500-00000A000000}">
      <text>
        <r>
          <rPr>
            <b/>
            <sz val="9"/>
            <color indexed="81"/>
            <rFont val="Tahoma"/>
            <family val="2"/>
          </rPr>
          <t>Rikke Næraa:</t>
        </r>
        <r>
          <rPr>
            <sz val="9"/>
            <color indexed="81"/>
            <rFont val="Tahoma"/>
            <family val="2"/>
          </rPr>
          <t xml:space="preserve">
RAMSES data for 2010 ( from BF2012)
</t>
        </r>
      </text>
    </comment>
    <comment ref="P4" authorId="0" shapeId="0" xr:uid="{00000000-0006-0000-0500-00000B000000}">
      <text>
        <r>
          <rPr>
            <b/>
            <sz val="9"/>
            <color indexed="81"/>
            <rFont val="Tahoma"/>
            <family val="2"/>
          </rPr>
          <t>Rikke Næraa:</t>
        </r>
        <r>
          <rPr>
            <sz val="9"/>
            <color indexed="81"/>
            <rFont val="Tahoma"/>
            <family val="2"/>
          </rPr>
          <t xml:space="preserve">
RAMSES data for 2010 ( from BF2012)
</t>
        </r>
      </text>
    </comment>
    <comment ref="Q4" authorId="0" shapeId="0" xr:uid="{00000000-0006-0000-0500-00000C000000}">
      <text>
        <r>
          <rPr>
            <b/>
            <sz val="9"/>
            <color indexed="81"/>
            <rFont val="Tahoma"/>
            <family val="2"/>
          </rPr>
          <t>Rikke Næraa:</t>
        </r>
        <r>
          <rPr>
            <sz val="9"/>
            <color indexed="81"/>
            <rFont val="Tahoma"/>
            <family val="2"/>
          </rPr>
          <t xml:space="preserve">
RAMSES data for 2010 ( from BF2012)
</t>
        </r>
      </text>
    </comment>
    <comment ref="R4" authorId="0" shapeId="0" xr:uid="{00000000-0006-0000-0500-00000D000000}">
      <text>
        <r>
          <rPr>
            <b/>
            <sz val="9"/>
            <color indexed="81"/>
            <rFont val="Tahoma"/>
            <family val="2"/>
          </rPr>
          <t>Rikke Næraa:</t>
        </r>
        <r>
          <rPr>
            <sz val="9"/>
            <color indexed="81"/>
            <rFont val="Tahoma"/>
            <family val="2"/>
          </rPr>
          <t xml:space="preserve">
RAMSES data for 2010 ( from BF2012)
</t>
        </r>
      </text>
    </comment>
    <comment ref="S4" authorId="0" shapeId="0" xr:uid="{00000000-0006-0000-0500-00000E000000}">
      <text>
        <r>
          <rPr>
            <b/>
            <sz val="9"/>
            <color indexed="81"/>
            <rFont val="Tahoma"/>
            <family val="2"/>
          </rPr>
          <t>Rikke Næraa:</t>
        </r>
        <r>
          <rPr>
            <sz val="9"/>
            <color indexed="81"/>
            <rFont val="Tahoma"/>
            <family val="2"/>
          </rPr>
          <t xml:space="preserve">
RAMSES data for 2010 ( from BF2012)
</t>
        </r>
      </text>
    </comment>
    <comment ref="T4" authorId="0" shapeId="0" xr:uid="{00000000-0006-0000-0500-00000F000000}">
      <text>
        <r>
          <rPr>
            <b/>
            <sz val="9"/>
            <color indexed="81"/>
            <rFont val="Tahoma"/>
            <family val="2"/>
          </rPr>
          <t>Rikke Næraa:</t>
        </r>
        <r>
          <rPr>
            <sz val="9"/>
            <color indexed="81"/>
            <rFont val="Tahoma"/>
            <family val="2"/>
          </rPr>
          <t xml:space="preserve">
RAMSES data for 2010 ( from BF2012)
</t>
        </r>
      </text>
    </comment>
    <comment ref="U4" authorId="0" shapeId="0" xr:uid="{00000000-0006-0000-0500-000010000000}">
      <text>
        <r>
          <rPr>
            <b/>
            <sz val="9"/>
            <color indexed="81"/>
            <rFont val="Tahoma"/>
            <family val="2"/>
          </rPr>
          <t>Rikke Næraa:</t>
        </r>
        <r>
          <rPr>
            <sz val="9"/>
            <color indexed="81"/>
            <rFont val="Tahoma"/>
            <family val="2"/>
          </rPr>
          <t xml:space="preserve">
RAMSES data for 2010 ( from BF2012)
</t>
        </r>
      </text>
    </comment>
    <comment ref="V4" authorId="0" shapeId="0" xr:uid="{00000000-0006-0000-0500-000011000000}">
      <text>
        <r>
          <rPr>
            <b/>
            <sz val="9"/>
            <color indexed="81"/>
            <rFont val="Tahoma"/>
            <family val="2"/>
          </rPr>
          <t>Rikke Næraa:</t>
        </r>
        <r>
          <rPr>
            <sz val="9"/>
            <color indexed="81"/>
            <rFont val="Tahoma"/>
            <family val="2"/>
          </rPr>
          <t xml:space="preserve">
RAMSES data for 2010 ( from BF2012)
</t>
        </r>
      </text>
    </comment>
    <comment ref="W4" authorId="0" shapeId="0" xr:uid="{00000000-0006-0000-0500-000012000000}">
      <text>
        <r>
          <rPr>
            <b/>
            <sz val="9"/>
            <color indexed="81"/>
            <rFont val="Tahoma"/>
            <family val="2"/>
          </rPr>
          <t>Rikke Næraa:</t>
        </r>
        <r>
          <rPr>
            <sz val="9"/>
            <color indexed="81"/>
            <rFont val="Tahoma"/>
            <family val="2"/>
          </rPr>
          <t xml:space="preserve">
RAMSES data for 2010 ( from BF2012)
</t>
        </r>
      </text>
    </comment>
    <comment ref="X4" authorId="0" shapeId="0" xr:uid="{00000000-0006-0000-0500-000013000000}">
      <text>
        <r>
          <rPr>
            <b/>
            <sz val="9"/>
            <color indexed="81"/>
            <rFont val="Tahoma"/>
            <family val="2"/>
          </rPr>
          <t>Rikke Næraa:</t>
        </r>
        <r>
          <rPr>
            <sz val="9"/>
            <color indexed="81"/>
            <rFont val="Tahoma"/>
            <family val="2"/>
          </rPr>
          <t xml:space="preserve">
RAMSES data for 2010 ( from BF2012)
</t>
        </r>
      </text>
    </comment>
    <comment ref="Y4" authorId="0" shapeId="0" xr:uid="{00000000-0006-0000-0500-000014000000}">
      <text>
        <r>
          <rPr>
            <b/>
            <sz val="9"/>
            <color indexed="81"/>
            <rFont val="Tahoma"/>
            <family val="2"/>
          </rPr>
          <t>Rikke Næraa:</t>
        </r>
        <r>
          <rPr>
            <sz val="9"/>
            <color indexed="81"/>
            <rFont val="Tahoma"/>
            <family val="2"/>
          </rPr>
          <t xml:space="preserve">
RAMSES data for 2010 ( from BF2012)
</t>
        </r>
      </text>
    </comment>
    <comment ref="Z4" authorId="0" shapeId="0" xr:uid="{00000000-0006-0000-0500-000015000000}">
      <text>
        <r>
          <rPr>
            <b/>
            <sz val="9"/>
            <color indexed="81"/>
            <rFont val="Tahoma"/>
            <family val="2"/>
          </rPr>
          <t>Rikke Næraa:</t>
        </r>
        <r>
          <rPr>
            <sz val="9"/>
            <color indexed="81"/>
            <rFont val="Tahoma"/>
            <family val="2"/>
          </rPr>
          <t xml:space="preserve">
RAMSES data for 2010 ( from BF2012)
</t>
        </r>
      </text>
    </comment>
    <comment ref="AA4" authorId="0" shapeId="0" xr:uid="{00000000-0006-0000-0500-000016000000}">
      <text>
        <r>
          <rPr>
            <b/>
            <sz val="9"/>
            <color indexed="81"/>
            <rFont val="Tahoma"/>
            <family val="2"/>
          </rPr>
          <t>Rikke Næraa:</t>
        </r>
        <r>
          <rPr>
            <sz val="9"/>
            <color indexed="81"/>
            <rFont val="Tahoma"/>
            <family val="2"/>
          </rPr>
          <t xml:space="preserve">
RAMSES data for 2010 ( from BF2012)
</t>
        </r>
      </text>
    </comment>
    <comment ref="AB4" authorId="0" shapeId="0" xr:uid="{00000000-0006-0000-0500-000017000000}">
      <text>
        <r>
          <rPr>
            <b/>
            <sz val="9"/>
            <color indexed="81"/>
            <rFont val="Tahoma"/>
            <family val="2"/>
          </rPr>
          <t>Rikke Næraa:</t>
        </r>
        <r>
          <rPr>
            <sz val="9"/>
            <color indexed="81"/>
            <rFont val="Tahoma"/>
            <family val="2"/>
          </rPr>
          <t xml:space="preserve">
RAMSES data for 2010 ( from BF2012)
</t>
        </r>
      </text>
    </comment>
    <comment ref="AC4" authorId="0" shapeId="0" xr:uid="{00000000-0006-0000-0500-000018000000}">
      <text>
        <r>
          <rPr>
            <b/>
            <sz val="9"/>
            <color indexed="81"/>
            <rFont val="Tahoma"/>
            <family val="2"/>
          </rPr>
          <t>Rikke Næraa:</t>
        </r>
        <r>
          <rPr>
            <sz val="9"/>
            <color indexed="81"/>
            <rFont val="Tahoma"/>
            <family val="2"/>
          </rPr>
          <t xml:space="preserve">
RAMSES data for 2010 ( from BF2012)
</t>
        </r>
      </text>
    </comment>
    <comment ref="AD4" authorId="0" shapeId="0" xr:uid="{00000000-0006-0000-0500-000019000000}">
      <text>
        <r>
          <rPr>
            <b/>
            <sz val="9"/>
            <color indexed="81"/>
            <rFont val="Tahoma"/>
            <family val="2"/>
          </rPr>
          <t>Rikke Næraa:</t>
        </r>
        <r>
          <rPr>
            <sz val="9"/>
            <color indexed="81"/>
            <rFont val="Tahoma"/>
            <family val="2"/>
          </rPr>
          <t xml:space="preserve">
RAMSES data for 2010 ( from BF2012)
</t>
        </r>
      </text>
    </comment>
    <comment ref="AE4" authorId="0" shapeId="0" xr:uid="{00000000-0006-0000-0500-00001A000000}">
      <text>
        <r>
          <rPr>
            <b/>
            <sz val="9"/>
            <color indexed="81"/>
            <rFont val="Tahoma"/>
            <family val="2"/>
          </rPr>
          <t>Rikke Næraa:</t>
        </r>
        <r>
          <rPr>
            <sz val="9"/>
            <color indexed="81"/>
            <rFont val="Tahoma"/>
            <family val="2"/>
          </rPr>
          <t xml:space="preserve">
RAMSES data for 2010 ( from BF2012)
</t>
        </r>
      </text>
    </comment>
    <comment ref="AF4" authorId="0" shapeId="0" xr:uid="{00000000-0006-0000-0500-00001B000000}">
      <text>
        <r>
          <rPr>
            <b/>
            <sz val="9"/>
            <color indexed="81"/>
            <rFont val="Tahoma"/>
            <family val="2"/>
          </rPr>
          <t>Rikke Næraa:</t>
        </r>
        <r>
          <rPr>
            <sz val="9"/>
            <color indexed="81"/>
            <rFont val="Tahoma"/>
            <family val="2"/>
          </rPr>
          <t xml:space="preserve">
RAMSES data for 2010 ( from BF2012)
</t>
        </r>
      </text>
    </comment>
    <comment ref="AG4" authorId="0" shapeId="0" xr:uid="{00000000-0006-0000-0500-00001C000000}">
      <text>
        <r>
          <rPr>
            <b/>
            <sz val="9"/>
            <color indexed="81"/>
            <rFont val="Tahoma"/>
            <family val="2"/>
          </rPr>
          <t>Rikke Næraa:</t>
        </r>
        <r>
          <rPr>
            <sz val="9"/>
            <color indexed="81"/>
            <rFont val="Tahoma"/>
            <family val="2"/>
          </rPr>
          <t xml:space="preserve">
RAMSES data for 2010 ( from BF2012)
</t>
        </r>
      </text>
    </comment>
    <comment ref="AH4" authorId="0" shapeId="0" xr:uid="{00000000-0006-0000-0500-00001D000000}">
      <text>
        <r>
          <rPr>
            <b/>
            <sz val="9"/>
            <color indexed="81"/>
            <rFont val="Tahoma"/>
            <family val="2"/>
          </rPr>
          <t>Rikke Næraa:</t>
        </r>
        <r>
          <rPr>
            <sz val="9"/>
            <color indexed="81"/>
            <rFont val="Tahoma"/>
            <family val="2"/>
          </rPr>
          <t xml:space="preserve">
RAMSES data for 2010 ( from BF2012)
</t>
        </r>
      </text>
    </comment>
    <comment ref="AI4" authorId="0" shapeId="0" xr:uid="{00000000-0006-0000-0500-00001E000000}">
      <text>
        <r>
          <rPr>
            <b/>
            <sz val="9"/>
            <color indexed="81"/>
            <rFont val="Tahoma"/>
            <family val="2"/>
          </rPr>
          <t>Rikke Næraa:</t>
        </r>
        <r>
          <rPr>
            <sz val="9"/>
            <color indexed="81"/>
            <rFont val="Tahoma"/>
            <family val="2"/>
          </rPr>
          <t xml:space="preserve">
RAMSES data for 2010 ( from BF2012)
</t>
        </r>
      </text>
    </comment>
    <comment ref="AJ4" authorId="0" shapeId="0" xr:uid="{00000000-0006-0000-0500-00001F000000}">
      <text>
        <r>
          <rPr>
            <b/>
            <sz val="9"/>
            <color indexed="81"/>
            <rFont val="Tahoma"/>
            <family val="2"/>
          </rPr>
          <t>Rikke Næraa:</t>
        </r>
        <r>
          <rPr>
            <sz val="9"/>
            <color indexed="81"/>
            <rFont val="Tahoma"/>
            <family val="2"/>
          </rPr>
          <t xml:space="preserve">
RAMSES data for 2010 ( from BF2012)
</t>
        </r>
      </text>
    </comment>
    <comment ref="AK4" authorId="0" shapeId="0" xr:uid="{00000000-0006-0000-0500-000020000000}">
      <text>
        <r>
          <rPr>
            <b/>
            <sz val="9"/>
            <color indexed="81"/>
            <rFont val="Tahoma"/>
            <family val="2"/>
          </rPr>
          <t>Rikke Næraa:</t>
        </r>
        <r>
          <rPr>
            <sz val="9"/>
            <color indexed="81"/>
            <rFont val="Tahoma"/>
            <family val="2"/>
          </rPr>
          <t xml:space="preserve">
RAMSES data for 2010 ( from BF2012)
</t>
        </r>
      </text>
    </comment>
    <comment ref="AL4" authorId="0" shapeId="0" xr:uid="{00000000-0006-0000-0500-000021000000}">
      <text>
        <r>
          <rPr>
            <b/>
            <sz val="9"/>
            <color indexed="81"/>
            <rFont val="Tahoma"/>
            <family val="2"/>
          </rPr>
          <t>Rikke Næraa:</t>
        </r>
        <r>
          <rPr>
            <sz val="9"/>
            <color indexed="81"/>
            <rFont val="Tahoma"/>
            <family val="2"/>
          </rPr>
          <t xml:space="preserve">
RAMSES data for 2010 ( from BF2012)
</t>
        </r>
      </text>
    </comment>
    <comment ref="AM4" authorId="0" shapeId="0" xr:uid="{00000000-0006-0000-0500-000022000000}">
      <text>
        <r>
          <rPr>
            <b/>
            <sz val="9"/>
            <color indexed="81"/>
            <rFont val="Tahoma"/>
            <family val="2"/>
          </rPr>
          <t>Rikke Næraa:</t>
        </r>
        <r>
          <rPr>
            <sz val="9"/>
            <color indexed="81"/>
            <rFont val="Tahoma"/>
            <family val="2"/>
          </rPr>
          <t xml:space="preserve">
RAMSES data for 2010 ( from BF2012)
</t>
        </r>
      </text>
    </comment>
    <comment ref="AN4" authorId="0" shapeId="0" xr:uid="{00000000-0006-0000-0500-000023000000}">
      <text>
        <r>
          <rPr>
            <b/>
            <sz val="9"/>
            <color indexed="81"/>
            <rFont val="Tahoma"/>
            <family val="2"/>
          </rPr>
          <t>Rikke Næraa:</t>
        </r>
        <r>
          <rPr>
            <sz val="9"/>
            <color indexed="81"/>
            <rFont val="Tahoma"/>
            <family val="2"/>
          </rPr>
          <t xml:space="preserve">
RAMSES data for 2010 ( from BF2012)
</t>
        </r>
      </text>
    </comment>
    <comment ref="AO4" authorId="0" shapeId="0" xr:uid="{00000000-0006-0000-0500-000024000000}">
      <text>
        <r>
          <rPr>
            <b/>
            <sz val="9"/>
            <color indexed="81"/>
            <rFont val="Tahoma"/>
            <family val="2"/>
          </rPr>
          <t>Rikke Næraa:</t>
        </r>
        <r>
          <rPr>
            <sz val="9"/>
            <color indexed="81"/>
            <rFont val="Tahoma"/>
            <family val="2"/>
          </rPr>
          <t xml:space="preserve">
RAMSES data for 2010 ( from BF2012)
</t>
        </r>
      </text>
    </comment>
    <comment ref="AP4" authorId="0" shapeId="0" xr:uid="{00000000-0006-0000-0500-000025000000}">
      <text>
        <r>
          <rPr>
            <b/>
            <sz val="9"/>
            <color indexed="81"/>
            <rFont val="Tahoma"/>
            <family val="2"/>
          </rPr>
          <t>Rikke Næraa:</t>
        </r>
        <r>
          <rPr>
            <sz val="9"/>
            <color indexed="81"/>
            <rFont val="Tahoma"/>
            <family val="2"/>
          </rPr>
          <t xml:space="preserve">
RAMSES data for 2010 ( from BF2012)
</t>
        </r>
      </text>
    </comment>
    <comment ref="AQ4" authorId="0" shapeId="0" xr:uid="{00000000-0006-0000-0500-000026000000}">
      <text>
        <r>
          <rPr>
            <b/>
            <sz val="9"/>
            <color indexed="81"/>
            <rFont val="Tahoma"/>
            <family val="2"/>
          </rPr>
          <t>Rikke Næraa:</t>
        </r>
        <r>
          <rPr>
            <sz val="9"/>
            <color indexed="81"/>
            <rFont val="Tahoma"/>
            <family val="2"/>
          </rPr>
          <t xml:space="preserve">
RAMSES data for 2010 ( from BF2012)
</t>
        </r>
      </text>
    </comment>
    <comment ref="AR4" authorId="0" shapeId="0" xr:uid="{00000000-0006-0000-0500-000027000000}">
      <text>
        <r>
          <rPr>
            <b/>
            <sz val="9"/>
            <color indexed="81"/>
            <rFont val="Tahoma"/>
            <family val="2"/>
          </rPr>
          <t>Rikke Næraa:</t>
        </r>
        <r>
          <rPr>
            <sz val="9"/>
            <color indexed="81"/>
            <rFont val="Tahoma"/>
            <family val="2"/>
          </rPr>
          <t xml:space="preserve">
RAMSES data for 2010 ( from BF2012)
</t>
        </r>
      </text>
    </comment>
    <comment ref="AS4" authorId="0" shapeId="0" xr:uid="{00000000-0006-0000-0500-000028000000}">
      <text>
        <r>
          <rPr>
            <b/>
            <sz val="9"/>
            <color indexed="81"/>
            <rFont val="Tahoma"/>
            <family val="2"/>
          </rPr>
          <t>Rikke Næraa:</t>
        </r>
        <r>
          <rPr>
            <sz val="9"/>
            <color indexed="81"/>
            <rFont val="Tahoma"/>
            <family val="2"/>
          </rPr>
          <t xml:space="preserve">
RAMSES data for 2010 ( from BF2012)
</t>
        </r>
      </text>
    </comment>
    <comment ref="K24" authorId="1" shapeId="0" xr:uid="{00000000-0006-0000-0500-000029000000}">
      <text>
        <r>
          <rPr>
            <b/>
            <sz val="9"/>
            <color indexed="81"/>
            <rFont val="Tahoma"/>
            <family val="2"/>
          </rPr>
          <t>Jannick Hauschildt Buhl:</t>
        </r>
        <r>
          <rPr>
            <sz val="9"/>
            <color indexed="81"/>
            <rFont val="Tahoma"/>
            <family val="2"/>
          </rPr>
          <t xml:space="preserve">
SKM analysis nr. 3 page 32.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Rikke Næraa</author>
  </authors>
  <commentList>
    <comment ref="F22" authorId="0" shapeId="0" xr:uid="{00000000-0006-0000-0900-000001000000}">
      <text>
        <r>
          <rPr>
            <b/>
            <sz val="9"/>
            <color indexed="81"/>
            <rFont val="Tahoma"/>
            <family val="2"/>
          </rPr>
          <t>Rikke Næraa:</t>
        </r>
        <r>
          <rPr>
            <sz val="9"/>
            <color indexed="81"/>
            <rFont val="Tahoma"/>
            <family val="2"/>
          </rPr>
          <t xml:space="preserve">
RAMSES data for 2010 ( from BF2012)
</t>
        </r>
      </text>
    </comment>
  </commentList>
</comments>
</file>

<file path=xl/sharedStrings.xml><?xml version="1.0" encoding="utf-8"?>
<sst xmlns="http://schemas.openxmlformats.org/spreadsheetml/2006/main" count="2638" uniqueCount="1114">
  <si>
    <t>Region</t>
  </si>
  <si>
    <t>TechName</t>
  </si>
  <si>
    <t>TechDesc</t>
  </si>
  <si>
    <t>CommName</t>
  </si>
  <si>
    <t>CommDesc</t>
  </si>
  <si>
    <t>CSet</t>
  </si>
  <si>
    <t>Unit</t>
  </si>
  <si>
    <t>~FI_T</t>
  </si>
  <si>
    <t>~FI_Comm</t>
  </si>
  <si>
    <t>LimType</t>
  </si>
  <si>
    <t>CTSLvl</t>
  </si>
  <si>
    <t>PeakTS</t>
  </si>
  <si>
    <t>Ctype</t>
  </si>
  <si>
    <t>Comm-OUT</t>
  </si>
  <si>
    <t>~FI_Process</t>
  </si>
  <si>
    <t>Sets</t>
  </si>
  <si>
    <t>Tact</t>
  </si>
  <si>
    <t>Tcap</t>
  </si>
  <si>
    <t>Tslvl</t>
  </si>
  <si>
    <t>PrimaryCG</t>
  </si>
  <si>
    <t>Vintage</t>
  </si>
  <si>
    <t>*TechDesc</t>
  </si>
  <si>
    <t>*Unit</t>
  </si>
  <si>
    <t>*Process Set Membership</t>
  </si>
  <si>
    <t>Region Name</t>
  </si>
  <si>
    <t>Technology Name</t>
  </si>
  <si>
    <t>Technology Description</t>
  </si>
  <si>
    <t>Activity Unit</t>
  </si>
  <si>
    <t>Capacity Unit</t>
  </si>
  <si>
    <t>TimeSlice level of Process Activity</t>
  </si>
  <si>
    <t>Primary Commodity Group</t>
  </si>
  <si>
    <t>Vintage Tracking</t>
  </si>
  <si>
    <t>*Commodity Set Membership</t>
  </si>
  <si>
    <t>Commodity Name</t>
  </si>
  <si>
    <t>Commodity Description</t>
  </si>
  <si>
    <t>Sense of the Balance EQN.</t>
  </si>
  <si>
    <t>Timeslice Level</t>
  </si>
  <si>
    <t>Peak Monitoring</t>
  </si>
  <si>
    <t>Electricity Indicator</t>
  </si>
  <si>
    <t>NRG</t>
  </si>
  <si>
    <t>COA</t>
  </si>
  <si>
    <t>NGA</t>
  </si>
  <si>
    <t>WST</t>
  </si>
  <si>
    <t>STR</t>
  </si>
  <si>
    <t>HFO</t>
  </si>
  <si>
    <t>DSL</t>
  </si>
  <si>
    <t>WIN</t>
  </si>
  <si>
    <t>HYD</t>
  </si>
  <si>
    <t>SOL</t>
  </si>
  <si>
    <t>Coal</t>
  </si>
  <si>
    <t>Heavy Fuel Oil</t>
  </si>
  <si>
    <t>Diesel</t>
  </si>
  <si>
    <t>Hydro</t>
  </si>
  <si>
    <t>Wind</t>
  </si>
  <si>
    <t>Solar</t>
  </si>
  <si>
    <t>Biogas</t>
  </si>
  <si>
    <t>Waste</t>
  </si>
  <si>
    <t>Straw</t>
  </si>
  <si>
    <t>GEO</t>
  </si>
  <si>
    <t>Geothermal</t>
  </si>
  <si>
    <t>Natural Gas</t>
  </si>
  <si>
    <t>IMP</t>
  </si>
  <si>
    <t>PJ</t>
  </si>
  <si>
    <t>COST</t>
  </si>
  <si>
    <t>COST~2020</t>
  </si>
  <si>
    <t>COST~2050</t>
  </si>
  <si>
    <t>COST~2040</t>
  </si>
  <si>
    <t>COST~2030</t>
  </si>
  <si>
    <t>Metanol</t>
  </si>
  <si>
    <t>Gasoil</t>
  </si>
  <si>
    <t>NatGas</t>
  </si>
  <si>
    <t>Wood pellets</t>
  </si>
  <si>
    <t>WPE</t>
  </si>
  <si>
    <t>WCH</t>
  </si>
  <si>
    <t>Wood chips and wood waste</t>
  </si>
  <si>
    <t>LPG</t>
  </si>
  <si>
    <t>GSL</t>
  </si>
  <si>
    <t>Gasoline</t>
  </si>
  <si>
    <t>Kerosene</t>
  </si>
  <si>
    <t>KER</t>
  </si>
  <si>
    <t>Comm-IN-A</t>
  </si>
  <si>
    <t>Comm-IN</t>
  </si>
  <si>
    <t>EFF</t>
  </si>
  <si>
    <t>VAROM</t>
  </si>
  <si>
    <t>BNDACT~LO~0</t>
  </si>
  <si>
    <t>Auxilary input fuels</t>
  </si>
  <si>
    <t>Primary input fuels</t>
  </si>
  <si>
    <t>Fuel Produced</t>
  </si>
  <si>
    <t>Fuel input level</t>
  </si>
  <si>
    <t>Efficiency</t>
  </si>
  <si>
    <t>Interpolation Rule</t>
  </si>
  <si>
    <t>*Refinery Name</t>
  </si>
  <si>
    <t>Input</t>
  </si>
  <si>
    <t>CRD</t>
  </si>
  <si>
    <t>Crude Oil</t>
  </si>
  <si>
    <t>Refinery Gas</t>
  </si>
  <si>
    <t>Aviation</t>
  </si>
  <si>
    <t>RFG</t>
  </si>
  <si>
    <t>Refinery gas</t>
  </si>
  <si>
    <t>Fuel oil</t>
  </si>
  <si>
    <t>LVN</t>
  </si>
  <si>
    <t xml:space="preserve">Aktuel matrice :  </t>
  </si>
  <si>
    <t>Navn</t>
  </si>
  <si>
    <t>Indhold</t>
  </si>
  <si>
    <t>Enhed</t>
  </si>
  <si>
    <t>Antal</t>
  </si>
  <si>
    <t>Gruppe</t>
  </si>
  <si>
    <t>Første år</t>
  </si>
  <si>
    <t>Sidste år</t>
  </si>
  <si>
    <t>Rækkeaggregeringer</t>
  </si>
  <si>
    <t>Rækker</t>
  </si>
  <si>
    <t>Søjler</t>
  </si>
  <si>
    <t>Form heading!</t>
  </si>
  <si>
    <t>TilGJ</t>
  </si>
  <si>
    <t>Supply and use of energy in heating values</t>
  </si>
  <si>
    <t>GJ</t>
  </si>
  <si>
    <t>Supply_Mgd_GJ</t>
  </si>
  <si>
    <t>Energy</t>
  </si>
  <si>
    <t>000700 120 Imports</t>
  </si>
  <si>
    <t>060000 004 Extraction of oil and gas</t>
  </si>
  <si>
    <t>006000 124 Exports</t>
  </si>
  <si>
    <t>03 Refinery gas</t>
  </si>
  <si>
    <t>04 LPG</t>
  </si>
  <si>
    <t>07 Motor gasoline, colored</t>
  </si>
  <si>
    <t>10 JP4</t>
  </si>
  <si>
    <t>15 Gasoil</t>
  </si>
  <si>
    <t>18 Fuel oil</t>
  </si>
  <si>
    <t>06 LVN</t>
  </si>
  <si>
    <t>01 Crude oil</t>
  </si>
  <si>
    <t>05 LPG for transport</t>
  </si>
  <si>
    <t>08 Motor gasoline, unleaded</t>
  </si>
  <si>
    <t>11 Kerosene</t>
  </si>
  <si>
    <t>20 Waste oil</t>
  </si>
  <si>
    <t>09 Motor gasoline, leaded</t>
  </si>
  <si>
    <t>12 Aviation gasoline</t>
  </si>
  <si>
    <t>13 Jet petroleum</t>
  </si>
  <si>
    <t>Række-
aggregat</t>
  </si>
  <si>
    <t>Søjle-
aggregat</t>
  </si>
  <si>
    <t>Min</t>
  </si>
  <si>
    <t>Average</t>
  </si>
  <si>
    <t>Max</t>
  </si>
  <si>
    <t>From 1998</t>
  </si>
  <si>
    <t>Crude oil</t>
  </si>
  <si>
    <t>PRE</t>
  </si>
  <si>
    <t>Region name</t>
  </si>
  <si>
    <t>Input CRD share / 2012</t>
  </si>
  <si>
    <t>Input CRD share / Base year</t>
  </si>
  <si>
    <t>EFF~2012</t>
  </si>
  <si>
    <t>EFF~2015</t>
  </si>
  <si>
    <t>Emission Coefficient (kt/PJ)</t>
  </si>
  <si>
    <t>Share~UP~2015</t>
  </si>
  <si>
    <t>Efficiency from 2015</t>
  </si>
  <si>
    <t>Input CRD share from 2015</t>
  </si>
  <si>
    <t>kton</t>
  </si>
  <si>
    <t>East production from Statoil pdf</t>
  </si>
  <si>
    <t>West production from Shell</t>
  </si>
  <si>
    <t>Check</t>
  </si>
  <si>
    <t>ENV</t>
  </si>
  <si>
    <t>kt</t>
  </si>
  <si>
    <t>Source: Green Account Statoil and Shell</t>
  </si>
  <si>
    <t>Share~LO~2015</t>
  </si>
  <si>
    <t>Refinery relaxation factor</t>
  </si>
  <si>
    <t>%</t>
  </si>
  <si>
    <t>BNDACT~UP~0</t>
  </si>
  <si>
    <t>Efficiency (INPUT/OUTPUT)</t>
  </si>
  <si>
    <t xml:space="preserve">Navn på aggregering :  </t>
  </si>
  <si>
    <t>Supply of oil products</t>
  </si>
  <si>
    <t>Extraction (domestic)</t>
  </si>
  <si>
    <t>Imports</t>
  </si>
  <si>
    <t>Refinery feedstock</t>
  </si>
  <si>
    <t>Waste oil</t>
  </si>
  <si>
    <t>Bio oil</t>
  </si>
  <si>
    <t>Bunkring by Danish vessels operated abroad</t>
  </si>
  <si>
    <t>Unit: GJ</t>
  </si>
  <si>
    <t>Exports</t>
  </si>
  <si>
    <t>MIN</t>
  </si>
  <si>
    <t>MAX 2000-2012</t>
  </si>
  <si>
    <t>Date</t>
  </si>
  <si>
    <t>Name</t>
  </si>
  <si>
    <t>Sheet Name</t>
  </si>
  <si>
    <t xml:space="preserve">Cell no </t>
  </si>
  <si>
    <t>Explanation</t>
  </si>
  <si>
    <t>Olexandr Balyk</t>
  </si>
  <si>
    <t>Liquid petrol gas</t>
  </si>
  <si>
    <t>COMM</t>
  </si>
  <si>
    <t>Added new fuels to avoid errors in the transport sector</t>
  </si>
  <si>
    <t>$D$28:$F$29</t>
  </si>
  <si>
    <t>$E$25</t>
  </si>
  <si>
    <t>Updated fuel description as discussed</t>
  </si>
  <si>
    <t>$D$30:$D$31</t>
  </si>
  <si>
    <t>Changed fuel names, as discussed</t>
  </si>
  <si>
    <t>PROC</t>
  </si>
  <si>
    <t>Added fuel import processes for SNG and KRB</t>
  </si>
  <si>
    <t>Fuel_MIN-IMP</t>
  </si>
  <si>
    <t>$B$29:$N$30</t>
  </si>
  <si>
    <t>Added dummy prices for import processes of SNG and KRB</t>
  </si>
  <si>
    <t>BGA</t>
  </si>
  <si>
    <t>Naphtha (Petroleoum)</t>
  </si>
  <si>
    <t>DKK2014/GJ</t>
  </si>
  <si>
    <t>JP1</t>
  </si>
  <si>
    <t>Heating oil</t>
  </si>
  <si>
    <t>Gas oil</t>
  </si>
  <si>
    <t>COST~2012</t>
  </si>
  <si>
    <t>COST~2013</t>
  </si>
  <si>
    <t>COST~2014</t>
  </si>
  <si>
    <t>Kristoffer and Mauri</t>
  </si>
  <si>
    <r>
      <t xml:space="preserve">New fuel price projection. All prices are in </t>
    </r>
    <r>
      <rPr>
        <b/>
        <sz val="10"/>
        <rFont val="Arial"/>
        <family val="2"/>
      </rPr>
      <t>DKK2014</t>
    </r>
  </si>
  <si>
    <t>F7:F33;AS7:AS33</t>
  </si>
  <si>
    <t xml:space="preserve">~FI_T: </t>
  </si>
  <si>
    <t>CURR</t>
  </si>
  <si>
    <t>MKr14</t>
  </si>
  <si>
    <t>Currency unit</t>
  </si>
  <si>
    <t>Mauri</t>
  </si>
  <si>
    <t>new column CURR to specify currency. Deflactors in the SysSetting file</t>
  </si>
  <si>
    <t>column F</t>
  </si>
  <si>
    <t>RFS</t>
  </si>
  <si>
    <t>SUPELC</t>
  </si>
  <si>
    <t>SUPCO2</t>
  </si>
  <si>
    <t>*Fuel Tech</t>
  </si>
  <si>
    <t>ELCC</t>
  </si>
  <si>
    <t>HETC</t>
  </si>
  <si>
    <t>HETD</t>
  </si>
  <si>
    <t>Fuel Tech</t>
  </si>
  <si>
    <t>new sheet</t>
  </si>
  <si>
    <t>New sheet to introduce in the model SUPELC and SUPHET for the refinery</t>
  </si>
  <si>
    <t>Danish Energy Matrix dataxxxxxx</t>
  </si>
  <si>
    <t>Fuel aggregation key:</t>
  </si>
  <si>
    <t>CrudeOil</t>
  </si>
  <si>
    <t>RefFeedstock</t>
  </si>
  <si>
    <t>RefGas</t>
  </si>
  <si>
    <t>FuelOil</t>
  </si>
  <si>
    <t>Bunkring</t>
  </si>
  <si>
    <t>BioOil</t>
  </si>
  <si>
    <t>Elec</t>
  </si>
  <si>
    <t>DistHeat</t>
  </si>
  <si>
    <t>02 Refinery feedstocks</t>
  </si>
  <si>
    <t>14 Jet petroleum bunkered by Danish operated planes abroad</t>
  </si>
  <si>
    <t>42 Bio oil</t>
  </si>
  <si>
    <t>25 Natural gas 3 to industries and households</t>
  </si>
  <si>
    <t>44 Electricity</t>
  </si>
  <si>
    <t>45 District heat</t>
  </si>
  <si>
    <t>16 Diesel oil</t>
  </si>
  <si>
    <t>17 Diesel bunkered by Danish operated vehicles abroad</t>
  </si>
  <si>
    <t>19 Fuel oil bunkered by Danish operated ships abroad</t>
  </si>
  <si>
    <t>Refinery efficiency - different calcuation methods:</t>
  </si>
  <si>
    <t>Total output per input of crude oil:</t>
  </si>
  <si>
    <t>Total output per input of crude oil and ref feedstock:</t>
  </si>
  <si>
    <t>Total output/input Net balance:</t>
  </si>
  <si>
    <t>Output from refineries (TilGJ):</t>
  </si>
  <si>
    <t>1966-1997</t>
  </si>
  <si>
    <t>1998-2012</t>
  </si>
  <si>
    <t>REFINERIES</t>
  </si>
  <si>
    <t>Reffeedstock</t>
  </si>
  <si>
    <t>Electricity</t>
  </si>
  <si>
    <t>District heat</t>
  </si>
  <si>
    <t>Total input</t>
  </si>
  <si>
    <t>Total output</t>
  </si>
  <si>
    <t>Input to refineries (AnvGJ):</t>
  </si>
  <si>
    <t>Net output from refineries (GJ):</t>
  </si>
  <si>
    <t>Net input to refineries (GJ):</t>
  </si>
  <si>
    <t>Naphtha</t>
  </si>
  <si>
    <t>Variable O&amp;M (Mkr/PJ)</t>
  </si>
  <si>
    <t>Supply sector CO2</t>
  </si>
  <si>
    <t>ACTBND~0</t>
  </si>
  <si>
    <t>Interpolation</t>
  </si>
  <si>
    <t>FLO_EMIS~SUPCO2</t>
  </si>
  <si>
    <t>Resulting prices</t>
  </si>
  <si>
    <t>Wood chips</t>
  </si>
  <si>
    <t>Wood chips - CIF (imported)</t>
  </si>
  <si>
    <t>Wood chips - central powerplant</t>
  </si>
  <si>
    <t>Wood chips - decentral power plant</t>
  </si>
  <si>
    <t>Wood pellets (industrial)</t>
  </si>
  <si>
    <t>Wood pellets - CIF (imported)</t>
  </si>
  <si>
    <t>Wood pellets - central power plant</t>
  </si>
  <si>
    <t>Wood pellets - decentral power plant</t>
  </si>
  <si>
    <t>Wood pellets (residential)</t>
  </si>
  <si>
    <t>Wood pellets residential - end-user</t>
  </si>
  <si>
    <t>Staw</t>
  </si>
  <si>
    <t>Straw - central power plant</t>
  </si>
  <si>
    <t>Straw - decentral power plant</t>
  </si>
  <si>
    <t>Solid biomass prices</t>
  </si>
  <si>
    <t>Kristoffer</t>
  </si>
  <si>
    <t>MIN-IMP-EXP</t>
  </si>
  <si>
    <t>New solid biomass prices</t>
  </si>
  <si>
    <t>Data update</t>
  </si>
  <si>
    <t>FLO_COST</t>
  </si>
  <si>
    <t>Commodity Cost</t>
  </si>
  <si>
    <t xml:space="preserve">Data source on refinary costs: </t>
  </si>
  <si>
    <t>Welfare economic prices of coal, petroleum products and natural gas</t>
  </si>
  <si>
    <t>Ea Energy Analyses, 7/3-2014</t>
  </si>
  <si>
    <t>International price</t>
  </si>
  <si>
    <t>Relative import prices, GSL=1</t>
  </si>
  <si>
    <t>Diff IEA - DK</t>
  </si>
  <si>
    <t>Mkr/PJ</t>
  </si>
  <si>
    <t>Production price</t>
  </si>
  <si>
    <t>Price</t>
  </si>
  <si>
    <t>at refinery</t>
  </si>
  <si>
    <t>Refinary margin</t>
  </si>
  <si>
    <t>Refinining cost</t>
  </si>
  <si>
    <t>Average product premium</t>
  </si>
  <si>
    <t xml:space="preserve">Price </t>
  </si>
  <si>
    <t>ex refinery</t>
  </si>
  <si>
    <t>at power plant</t>
  </si>
  <si>
    <t>Distribution cost</t>
  </si>
  <si>
    <t>Refinary margin and refining costs are used as operating costs in TIMES-DK for refineries.</t>
  </si>
  <si>
    <t>To vary the cost between outputs from the plants, the import prices are used to create the variation around the average costs.</t>
  </si>
  <si>
    <t>Ref Currency</t>
  </si>
  <si>
    <t>MIN-IMP-EXP, Refineries,PROC</t>
  </si>
  <si>
    <t>Removed the commodity RFG</t>
  </si>
  <si>
    <t>Kenneth Karlsson</t>
  </si>
  <si>
    <t>Refineries</t>
  </si>
  <si>
    <t>J36:M43</t>
  </si>
  <si>
    <t>Calculating relative costs for output as a function of import prices of the products</t>
  </si>
  <si>
    <t>C32:H47</t>
  </si>
  <si>
    <t>Data used for the refinery production costs on output - DEA report, see reference in sheet</t>
  </si>
  <si>
    <t>P7:P12</t>
  </si>
  <si>
    <t>New production cost based on DEA report made by Ea Energy Analyses</t>
  </si>
  <si>
    <t>Crude level 2010 (PJ) DKE</t>
  </si>
  <si>
    <t>Crude level (PJ) DKE</t>
  </si>
  <si>
    <t>Crude level 2010 (PJ) DKW</t>
  </si>
  <si>
    <t>Crude level (PJ) DKW</t>
  </si>
  <si>
    <t>Crude max. Flow level from 2015 DKW</t>
  </si>
  <si>
    <t>Crude max. Flow level from 2015 DKE</t>
  </si>
  <si>
    <t>BNDACT~UP~DKE</t>
  </si>
  <si>
    <t>BNDACT~UP~2012~DKW</t>
  </si>
  <si>
    <t>BNDACT~UP~DKW</t>
  </si>
  <si>
    <t>BNDACT~UP~2012~DKE</t>
  </si>
  <si>
    <t>BNDACT~UP~2015~DKW</t>
  </si>
  <si>
    <t>BNDACT~UP~2015~DKE</t>
  </si>
  <si>
    <t>Share-O~UP</t>
  </si>
  <si>
    <t>Share-O~UP~2012</t>
  </si>
  <si>
    <t>EXP</t>
  </si>
  <si>
    <t>Maurizio Gargiulo</t>
  </si>
  <si>
    <t>Introduced a waste price to avoid negative marginal price in the solution - to be reviewed later</t>
  </si>
  <si>
    <t>Set waste price equal to 0.1 MKr./PJ =&gt; same as used in Ramses</t>
  </si>
  <si>
    <t xml:space="preserve">Coal </t>
  </si>
  <si>
    <t>CIF</t>
  </si>
  <si>
    <t xml:space="preserve">Gasoline </t>
  </si>
  <si>
    <t>Natural gas</t>
  </si>
  <si>
    <t>COST~2011</t>
  </si>
  <si>
    <t>Fossile fuel prices (CIF import price)</t>
  </si>
  <si>
    <t>Wood chips - at dometic producer</t>
  </si>
  <si>
    <t>Wood pellets residential - CIF (imported)</t>
  </si>
  <si>
    <t>Mining technology - Natural gas</t>
  </si>
  <si>
    <t xml:space="preserve">Source: </t>
  </si>
  <si>
    <t>Import technology - Bio Kerosene</t>
  </si>
  <si>
    <t>Import technology - Bio Synt. Nat. Gas</t>
  </si>
  <si>
    <t>Import technology - Biodiesel</t>
  </si>
  <si>
    <t>Import technology - Bioethanol</t>
  </si>
  <si>
    <t>Import technology - Naphtha (Petroleoum)</t>
  </si>
  <si>
    <t>Import technology - Biogas</t>
  </si>
  <si>
    <t>Assumption</t>
  </si>
  <si>
    <t>Source</t>
  </si>
  <si>
    <t>Guestimate</t>
  </si>
  <si>
    <t>Lisa Bjergbakke (LBJ@ENS.DK)</t>
  </si>
  <si>
    <t>kr/GJ</t>
  </si>
  <si>
    <t>factor</t>
  </si>
  <si>
    <t>Same price as LPG</t>
  </si>
  <si>
    <t>Technology</t>
  </si>
  <si>
    <t>Mining technology - Crude Oil</t>
  </si>
  <si>
    <t>Export technology (general)</t>
  </si>
  <si>
    <t>unit</t>
  </si>
  <si>
    <t>Import technology - Waste</t>
  </si>
  <si>
    <t>Same assumption as in RAMSES</t>
  </si>
  <si>
    <t>RAMSES</t>
  </si>
  <si>
    <t>Kristoffer Steen Andersen</t>
  </si>
  <si>
    <t>Table added that explicitly deals with a number of crude price assumptions</t>
  </si>
  <si>
    <t>New prices added based on World Energy Outlook 2014 and forward prices of january 2015</t>
  </si>
  <si>
    <t>Mining NGA&amp;CRD</t>
  </si>
  <si>
    <t>Official projection of North Sea oil and natural gas production added</t>
  </si>
  <si>
    <t>PROC MINNGA added and official projection of natural gas and crude oil added to the model</t>
  </si>
  <si>
    <t>NETSCO2</t>
  </si>
  <si>
    <t>Non ETS CO2</t>
  </si>
  <si>
    <t>ETSCO2</t>
  </si>
  <si>
    <t>ETS CO2</t>
  </si>
  <si>
    <t>SUPHETC</t>
  </si>
  <si>
    <t>SUPHETD</t>
  </si>
  <si>
    <t>Added ETS and NON ETS commodities</t>
  </si>
  <si>
    <t>Updated the Fule Techs for HETC and HETD</t>
  </si>
  <si>
    <t>Split the FUEL Tech in HETC and HETD</t>
  </si>
  <si>
    <t>CRN</t>
  </si>
  <si>
    <t>Corn</t>
  </si>
  <si>
    <t>RPS</t>
  </si>
  <si>
    <t>Rapeseed</t>
  </si>
  <si>
    <t>MOB1</t>
  </si>
  <si>
    <t>MOB2</t>
  </si>
  <si>
    <t>Bio Methanol G1</t>
  </si>
  <si>
    <t>Bio Methanol G2</t>
  </si>
  <si>
    <t>LNB</t>
  </si>
  <si>
    <t>Bio Naphtha (Petroleoum)</t>
  </si>
  <si>
    <t>DDGS</t>
  </si>
  <si>
    <t>Ethanol</t>
  </si>
  <si>
    <t>SGB</t>
  </si>
  <si>
    <t>Sugar Beet</t>
  </si>
  <si>
    <t>SGP</t>
  </si>
  <si>
    <t>Sugar Beet Pulp</t>
  </si>
  <si>
    <t>GLY</t>
  </si>
  <si>
    <t>Glycerol</t>
  </si>
  <si>
    <t>RPC</t>
  </si>
  <si>
    <t>Rape Cake</t>
  </si>
  <si>
    <t>Added new commodities for the biorefineries set up</t>
  </si>
  <si>
    <t>Added the new IMP and EXP processes neede to set up bioorefineries</t>
  </si>
  <si>
    <t>Description of the new IMP and EXP processes for the biorefineries</t>
  </si>
  <si>
    <t>Import technology - Corn</t>
  </si>
  <si>
    <t>Import technology - Rapeseed</t>
  </si>
  <si>
    <t>Import technology - Sugar Beet</t>
  </si>
  <si>
    <t>Import technology - Bio Methanol G1</t>
  </si>
  <si>
    <t>Import technology - Bio Methanol G2</t>
  </si>
  <si>
    <t>Feedstocks</t>
  </si>
  <si>
    <t>Summary of feedstocks</t>
  </si>
  <si>
    <t>fuels sheet rows</t>
  </si>
  <si>
    <t>Opstrøm råstof emissioner beregnet ud fra energiforbrug (men ikke LUC/iLUC)</t>
  </si>
  <si>
    <t>DKK/GJ</t>
  </si>
  <si>
    <t>kg/GJ</t>
  </si>
  <si>
    <t>Energiindh.</t>
  </si>
  <si>
    <t>SØK pris an værk</t>
  </si>
  <si>
    <t>Opstrøm energiforbr</t>
  </si>
  <si>
    <t>Opstrøm energi kilde (dvs. transport/motor form for råstoffet)</t>
  </si>
  <si>
    <t xml:space="preserve">Netto energifrembringelse </t>
  </si>
  <si>
    <t>Proces CO2 ækv.</t>
  </si>
  <si>
    <t>Proces SO2 ækv.</t>
  </si>
  <si>
    <t>Proces NOx ækv.</t>
  </si>
  <si>
    <t>Proces energi, type</t>
  </si>
  <si>
    <t>Netto virkningsgrad importerede</t>
  </si>
  <si>
    <t>LUC/iLUC CO2 ækv.</t>
  </si>
  <si>
    <t>Sensitivity LUC/iLUC</t>
  </si>
  <si>
    <t>Y</t>
  </si>
  <si>
    <t>C</t>
  </si>
  <si>
    <t>F</t>
  </si>
  <si>
    <t>G</t>
  </si>
  <si>
    <t>Drivmiddel</t>
  </si>
  <si>
    <t>GJ/unit</t>
  </si>
  <si>
    <t>DKK/unit</t>
  </si>
  <si>
    <t>Type</t>
  </si>
  <si>
    <t>Hvede</t>
  </si>
  <si>
    <t>Sugarbeets</t>
  </si>
  <si>
    <t>Halm</t>
  </si>
  <si>
    <t>Rapsfrø</t>
  </si>
  <si>
    <t>Naturgas</t>
  </si>
  <si>
    <t>Træ</t>
  </si>
  <si>
    <t>Træpiller</t>
  </si>
  <si>
    <t>Elektricitet</t>
  </si>
  <si>
    <t>Oplade-el-brændsel</t>
  </si>
  <si>
    <t>Kul</t>
  </si>
  <si>
    <t>Råolie</t>
  </si>
  <si>
    <t>Biomasse</t>
  </si>
  <si>
    <t>Ethanol på sukkerrør</t>
  </si>
  <si>
    <t>Biodiesel på palmeolie</t>
  </si>
  <si>
    <t>Total opstrøm CO? emis</t>
  </si>
  <si>
    <t>Data for Feedstocks</t>
  </si>
  <si>
    <t>Emissions from process energy use in production of feedstock</t>
  </si>
  <si>
    <t>Unit emissions from upstream process, g/GJ</t>
  </si>
  <si>
    <t>Feedstock</t>
  </si>
  <si>
    <t>NOx</t>
  </si>
  <si>
    <t>Process</t>
  </si>
  <si>
    <t>g SO2/GJ</t>
  </si>
  <si>
    <t>g NOx/g</t>
  </si>
  <si>
    <t>Lastbil, by</t>
  </si>
  <si>
    <t>Skib</t>
  </si>
  <si>
    <t>Rapeseed cake</t>
  </si>
  <si>
    <t>Process energy use in production of feedstock</t>
  </si>
  <si>
    <t>Chosen year</t>
  </si>
  <si>
    <t>Note</t>
  </si>
  <si>
    <t>GJ/ton</t>
  </si>
  <si>
    <t>5, Concawe (2011): Well-to-wheels analysis of future automotive fuels and power-trains in the European Context. November 2011.</t>
  </si>
  <si>
    <t>Assumed same as whet</t>
  </si>
  <si>
    <t>No data</t>
  </si>
  <si>
    <t>WTT appendix 1, chapter 9 + 11, egne beregninger nederst</t>
  </si>
  <si>
    <t>GJ/1000 Nm³</t>
  </si>
  <si>
    <t>WTT appendix 1, chapter 9 + 11</t>
  </si>
  <si>
    <t>Antaget samme som træ</t>
  </si>
  <si>
    <t>GJ/GJ</t>
  </si>
  <si>
    <t>WTT appendix 2, chapter 3, excl. distribution</t>
  </si>
  <si>
    <t>WTT appendix 2, chapter 4, excl. distribution</t>
  </si>
  <si>
    <t>Assumed same as wood chips</t>
  </si>
  <si>
    <t>Assumed that process energy emission profile follows Danish marginal electricity profile</t>
  </si>
  <si>
    <t>Assumed weight of biomass is 1kg/l</t>
  </si>
  <si>
    <t>WTT appendix 2, chapter 3, excl. distribution, incl. low est. of ILUC at 18g (high is 71g)</t>
  </si>
  <si>
    <t>ILUC</t>
  </si>
  <si>
    <t>Old AD</t>
  </si>
  <si>
    <t>COWI/SDU</t>
  </si>
  <si>
    <t>IFPRI</t>
  </si>
  <si>
    <t>None</t>
  </si>
  <si>
    <t>low</t>
  </si>
  <si>
    <t>high</t>
  </si>
  <si>
    <t>kg CO2e/GJ</t>
  </si>
  <si>
    <t>19, Lorie Hamelin, 2011. Modeling land use changes in consequential LCA, presentation, meta study</t>
  </si>
  <si>
    <t xml:space="preserve">Assumed same as wheat for lack of other information for some ILUC emiossions in SDU ILUC. </t>
  </si>
  <si>
    <t>58, COWI/SDU 2013: Life Cycle Assessment of bioenergy pathways for the future Danish energy system</t>
  </si>
  <si>
    <t>N/A - no land use</t>
  </si>
  <si>
    <t>Assumed same as wood for lack of information</t>
  </si>
  <si>
    <t>Accounted for in technology sheet for Biomass</t>
  </si>
  <si>
    <t>Note: COWI/SDU emissions are also including process energy in harvesting. Hence, process energy from table in row 77 is subtracted</t>
  </si>
  <si>
    <t>Assumptions on by-products, both process energy and ILUC (if selected by modeller)</t>
  </si>
  <si>
    <t>Rape seed cake</t>
  </si>
  <si>
    <t>Assumed same as rapeseed</t>
  </si>
  <si>
    <t>Assumed same as wheat</t>
  </si>
  <si>
    <t>Chosen emission factors</t>
  </si>
  <si>
    <t>Level</t>
  </si>
  <si>
    <t>Woodchips</t>
  </si>
  <si>
    <t>Not corrected for energy use for torrefication</t>
  </si>
  <si>
    <t>Upstream emissions, world market wood</t>
  </si>
  <si>
    <t>**High bioenergy_Good governance**</t>
  </si>
  <si>
    <t>**High bioenergy_Bad governance**</t>
  </si>
  <si>
    <t>**Low bioenergy_Good governance**</t>
  </si>
  <si>
    <t>**Low bioenergy_Bad governance**</t>
  </si>
  <si>
    <t>Source: Biomass project, Copy of Database pathway heat test 051013-LG-08-10 2013.xlsm, sheet Globium</t>
  </si>
  <si>
    <t>Total emissions for system, prior to energy conversion and excluding pre-treatment (g/MJ)</t>
  </si>
  <si>
    <t>GWP100 (CO2 eq.)</t>
  </si>
  <si>
    <t>Nox</t>
  </si>
  <si>
    <t>SO2</t>
  </si>
  <si>
    <t>System consideration</t>
  </si>
  <si>
    <t>upper</t>
  </si>
  <si>
    <t>lower</t>
  </si>
  <si>
    <t>central</t>
  </si>
  <si>
    <t>spring barley, when straw is removed</t>
  </si>
  <si>
    <t>displacing spring barley (short-term marginal crop), which in turn generates ILUC</t>
  </si>
  <si>
    <t>spring barley, when straw is incorporated</t>
  </si>
  <si>
    <t>winter wheat, when straw is removed</t>
  </si>
  <si>
    <t>winter wheat, when straw is incorporated</t>
  </si>
  <si>
    <t>Silage maize</t>
  </si>
  <si>
    <t>Winter rape</t>
  </si>
  <si>
    <t>wheat straw, from Danish fields</t>
  </si>
  <si>
    <t>avoided incorporation of straw to soil (and related soil C changes)</t>
  </si>
  <si>
    <t>used in animal feed</t>
  </si>
  <si>
    <t>Assmed same as wheat</t>
  </si>
  <si>
    <t>rapeseed cake</t>
  </si>
  <si>
    <t>Assumed same as rape seed</t>
  </si>
  <si>
    <t>Source: Biomass project, Copy of Database pathway heat test 051013-LG-08-10 2013.xlsm, sheet Bottom-up</t>
  </si>
  <si>
    <t>BiomassCost</t>
  </si>
  <si>
    <t>Data for biomass prices added form the "Alternative Drivmiddel Katalog 2014"</t>
  </si>
  <si>
    <t>Equals the price of wheat from the "Alternative Drivmiddel Rapport"</t>
  </si>
  <si>
    <t>Equals the price of rapeseeds from the "Alternative Drivmiddel Rapport"</t>
  </si>
  <si>
    <t>Equals the price of sugarbeets from the "Alternative Drivmiddel Rapport"</t>
  </si>
  <si>
    <t>Equals the price of ehtanol from the "Alternative Drivmiddel Rapport"</t>
  </si>
  <si>
    <t>Price data</t>
  </si>
  <si>
    <t>Inflated to chosen price year, correction with sensitivity parameters</t>
  </si>
  <si>
    <t>Data</t>
  </si>
  <si>
    <t>Til model</t>
  </si>
  <si>
    <t>Pris</t>
  </si>
  <si>
    <t>pris år</t>
  </si>
  <si>
    <t>Dataår</t>
  </si>
  <si>
    <t>Prisår</t>
  </si>
  <si>
    <t>Inflator</t>
  </si>
  <si>
    <t>Sensitivity</t>
  </si>
  <si>
    <t>kommentar</t>
  </si>
  <si>
    <t>Kilde</t>
  </si>
  <si>
    <t>omkostning emisson CO2</t>
  </si>
  <si>
    <t>kr/ton</t>
  </si>
  <si>
    <t>El-pris vægtet Nordpool</t>
  </si>
  <si>
    <t>kr/MWh</t>
  </si>
  <si>
    <t>El-pris an virksomhed (brint)</t>
  </si>
  <si>
    <t>SØK brændselspris Naturgas an værk</t>
  </si>
  <si>
    <t>El-pris an husholdning (el-bil)</t>
  </si>
  <si>
    <t>Råolie pris CIF</t>
  </si>
  <si>
    <t>Kul pris</t>
  </si>
  <si>
    <t>Naturgas importpris</t>
  </si>
  <si>
    <t>Benzin pris CIF</t>
  </si>
  <si>
    <t>Diesel pris CIF</t>
  </si>
  <si>
    <t>JP1 pris CIF</t>
  </si>
  <si>
    <t>HFO pris CIF</t>
  </si>
  <si>
    <t>Benzin distribution</t>
  </si>
  <si>
    <t>Diesel distribution</t>
  </si>
  <si>
    <t>JP1 distribution</t>
  </si>
  <si>
    <t>Electricity distribution, EV</t>
  </si>
  <si>
    <t>Difference between power price ab plant and an consumer</t>
  </si>
  <si>
    <t>Electricity distribution, hydrogen</t>
  </si>
  <si>
    <t>Naturgas distribution an værk</t>
  </si>
  <si>
    <t>Naturgas distribution an forbruger</t>
  </si>
  <si>
    <t>Assumed 2,06 time world price on natural gas</t>
  </si>
  <si>
    <t>Fjernvarme</t>
  </si>
  <si>
    <t>Tabel 7</t>
  </si>
  <si>
    <t>DLG markedspris 2013-09-27, http://www.dlg.dk/da/vegetabilske-produkter/afgroeder/noteringer/boersnotering-moellehvede/</t>
  </si>
  <si>
    <t>http://www.sukkerroer.nu/irj/portal/nordzucker/da?NavigationTarget=navurl://13b776ae053328a67b3ed6386dd63317</t>
  </si>
  <si>
    <t>DLG markedspris 27-09-2013, http://www.dlg.dk/da/vegetabilske-produkter/afgroeder/noteringer/boersnotering-raps/</t>
  </si>
  <si>
    <t>Medium estimate</t>
  </si>
  <si>
    <t>Energy input to electricity production excl. conversion loss</t>
  </si>
  <si>
    <t>aflæst fra figur, gennemsnit af 4 aflæsninger i 2010, følger olieprisudviklingen i 2020 og 2035</t>
  </si>
  <si>
    <t>Benzin bil</t>
  </si>
  <si>
    <t>kr/km</t>
  </si>
  <si>
    <t>Diesel bil</t>
  </si>
  <si>
    <t>El bil</t>
  </si>
  <si>
    <t>Diesel lastbil</t>
  </si>
  <si>
    <t>Fly</t>
  </si>
  <si>
    <t>Tog Diesel</t>
  </si>
  <si>
    <t>Tog El</t>
  </si>
  <si>
    <t>Ingen</t>
  </si>
  <si>
    <t>Prisjusteringer</t>
  </si>
  <si>
    <t>Note: 2015 er antaget samme som 2012 i kilde. 2050 er antaget sammen som 2035 i kilde 1</t>
  </si>
  <si>
    <t>kilde: 3, Transportøkonomiske enhedspriser 2010, DTU , Institut for transport</t>
  </si>
  <si>
    <t>Export technology - Ethanol</t>
  </si>
  <si>
    <t>Export technology - Glycerol</t>
  </si>
  <si>
    <t>Export technology - Bio Naphtha (Petroleoum)</t>
  </si>
  <si>
    <t>Export technology - Rape Cake</t>
  </si>
  <si>
    <t>Export technology - Sugar Beet Pulp</t>
  </si>
  <si>
    <t>Export technology - Natural gas</t>
  </si>
  <si>
    <t>Export technology - Crude oil</t>
  </si>
  <si>
    <t>Mkr14/GJ</t>
  </si>
  <si>
    <t xml:space="preserve">Guestimate to avoid excessive export </t>
  </si>
  <si>
    <t>At some point we need to find better projection for these biomass related fuels…</t>
  </si>
  <si>
    <t>Add-on to the price of diesel</t>
  </si>
  <si>
    <t>Add-on to the price of gasoline</t>
  </si>
  <si>
    <t>Biomass feedstock and fuels</t>
  </si>
  <si>
    <t>COM_TAXNET</t>
  </si>
  <si>
    <t>*Commodity Name</t>
  </si>
  <si>
    <t>Attribute</t>
  </si>
  <si>
    <t>~FI_T: COST</t>
  </si>
  <si>
    <t>ETS_NETS_Prices</t>
  </si>
  <si>
    <t>CO2 qouta added for the ETS and non-ETS…</t>
  </si>
  <si>
    <t>D58:E67</t>
  </si>
  <si>
    <t>Error in Comm-IN and Comm-OUT corrected…</t>
  </si>
  <si>
    <t>KRB1</t>
  </si>
  <si>
    <t>Bio Kerosene G1</t>
  </si>
  <si>
    <t>KRB2</t>
  </si>
  <si>
    <t>Bio Kerosene G2</t>
  </si>
  <si>
    <t>SNG1</t>
  </si>
  <si>
    <t>Bio Synt. Nat. Gas G1</t>
  </si>
  <si>
    <t>SNG2</t>
  </si>
  <si>
    <t>Bio Synt. Nat. Gas G2</t>
  </si>
  <si>
    <t>DSB1</t>
  </si>
  <si>
    <t>Biodiesel G1</t>
  </si>
  <si>
    <t>DSB2</t>
  </si>
  <si>
    <t>Biodiesel G2</t>
  </si>
  <si>
    <t>GSB1</t>
  </si>
  <si>
    <t>Bioethanol G1</t>
  </si>
  <si>
    <t>GSB2</t>
  </si>
  <si>
    <t>Bioethanol G2</t>
  </si>
  <si>
    <t>Mkr14/Kton</t>
  </si>
  <si>
    <t>&lt;-</t>
  </si>
  <si>
    <t>Costs 2013DKK</t>
  </si>
  <si>
    <t>Refinery Margin</t>
  </si>
  <si>
    <t>Refining cost</t>
  </si>
  <si>
    <t>Product premium</t>
  </si>
  <si>
    <t>Total flow cost</t>
  </si>
  <si>
    <t>Link:</t>
  </si>
  <si>
    <t>http://www.ens.dk/info/tal-kort/fremskrivninger-analyser-modeller/samfundsokonomiske-beregnings-forudsaetninger</t>
  </si>
  <si>
    <t>Source: '</t>
  </si>
  <si>
    <t>DKK 2013 / GJ</t>
  </si>
  <si>
    <t>*FLO_COST</t>
  </si>
  <si>
    <t>Welfare economic prices of coal, petroleum products and natural gas, EA Energianalyse 2014, p. 27</t>
  </si>
  <si>
    <t>Welfare economic prices of coal, petroleum products and natural gas, EA Energianalyse 2014, p. 28</t>
  </si>
  <si>
    <t>MKr13</t>
  </si>
  <si>
    <t>Modelling assumption</t>
  </si>
  <si>
    <t>To make sure that extracted crude oil is extracted …</t>
  </si>
  <si>
    <t>To vary the cost between outputs from the plants, information on average annual product premium are used</t>
  </si>
  <si>
    <t>To be deleted -&gt;</t>
  </si>
  <si>
    <t>Adjusted flow cost information on refineries based on product premiums from EA energy analyse rapport…</t>
  </si>
  <si>
    <t>(DKK2014/ton)</t>
  </si>
  <si>
    <t xml:space="preserve">ETSCO2-price </t>
  </si>
  <si>
    <t xml:space="preserve">Tabel I: </t>
  </si>
  <si>
    <t>TIMES_DK: Generic level of CO2-duty on fuels not covered by ETS</t>
  </si>
  <si>
    <t xml:space="preserve">Scen-file: </t>
  </si>
  <si>
    <t>VT_DK_SUP_V1p10</t>
  </si>
  <si>
    <t>Source:</t>
  </si>
  <si>
    <t>Ministry of Taxasion [DEA tax spreadsheet]</t>
  </si>
  <si>
    <t>Note:</t>
  </si>
  <si>
    <t>Adjustment to 2014-kr has been done using Ministry of Finance 2015 Converge programme (March of 2015)</t>
  </si>
  <si>
    <t>Dato:</t>
  </si>
  <si>
    <t>Tax name:</t>
  </si>
  <si>
    <t>CO2-afgift</t>
  </si>
  <si>
    <t>CO2-duty (NETS CO2 price)</t>
  </si>
  <si>
    <t>Set crude oil and natural gas extraction from the north sea is set to zero … instead north sea oil and naturgas extraction is handled in the scenario file "NorthSeaMining"</t>
  </si>
  <si>
    <t xml:space="preserve">Added quotas for non-ets! </t>
  </si>
  <si>
    <t>Corrected error in ETS CO2-price (somehow data for all year had been replaced by 0.14…)</t>
  </si>
  <si>
    <t>Export technology - Biofuels 1&amp;2G</t>
  </si>
  <si>
    <t xml:space="preserve">Data of extractions: 01-03-2016 / sdo@ens.dk </t>
  </si>
  <si>
    <t>Steffen Dockweiler</t>
  </si>
  <si>
    <t>C91:AU101</t>
  </si>
  <si>
    <t>Updated Fossil fuel prices (CIF import price)</t>
  </si>
  <si>
    <t xml:space="preserve">Note2:  "f:\KEO\Modelgruppen\Brændselspriser\Brændselspriser 2015 - BF2015\BF2015 2015.12.01 FM skøn\2015_11_12_Fuel add-on DK - WEO2015_dagspris.xlsm" </t>
  </si>
  <si>
    <t xml:space="preserve">Note1: The prices reflect World Energy Outlook 2015; forwards prices as of march 2015; and histocal prices from Statistics Denmark… </t>
  </si>
  <si>
    <t>Data of extractions: 01-03-2016 / sdo@ens.dk</t>
  </si>
  <si>
    <t xml:space="preserve">Note1: "f:\KEO\Modelgruppen\Brændselspriser\Brændselspriser 2015 - BF2015\Biomassepriser\2015_10_26_Biomass price model.xlsx" </t>
  </si>
  <si>
    <t>Rapsolie</t>
  </si>
  <si>
    <t>Opdateret fra Alternative Drivmiddel modellen 3.02 - d. 01-03-2016 - SDO@ens.dk</t>
  </si>
  <si>
    <t>SO₂</t>
  </si>
  <si>
    <t>64, JEC WTW study Version 4a,  2014</t>
  </si>
  <si>
    <t>Fratrukket energi i cake</t>
  </si>
  <si>
    <t>EU-mix</t>
  </si>
  <si>
    <t>14, Energistyrelsen. Energistatistik 2011.</t>
  </si>
  <si>
    <t>13, Concawe (2006): Well-to-wheels analysis of future automotive fuels and power-trains in the European Context. May 2006.</t>
  </si>
  <si>
    <t>Process CO₂ emission excluding ILUC</t>
  </si>
  <si>
    <t>57, Forudsætninger for samfundsøkonomiske analyser på energiområdet, Energistyrelsen, 2014</t>
  </si>
  <si>
    <t>23, Forudsætninger for samfundsøkonomiske analyser på energiområdet. Energistyrelsen. April 2011, opdateret dataark oktober 2012</t>
  </si>
  <si>
    <t>4, http://www.agri-outlook.org/</t>
  </si>
  <si>
    <t xml:space="preserve">41, Ea Enerrgy Analyses (2013)  "Analysis of biomass prices, future Danish prices for straw, wood chips and wood pellets (draft 21-03-2013)", </t>
  </si>
  <si>
    <t>http://www.indexmundi.com/commodities/?commodity=rapeseed-oil&amp;months=120</t>
  </si>
  <si>
    <t>Source: 29, Biogas i Danmark - status, barrierer og perspektiver, Biogas Taskforce, November 2013, Kap 8, Biogasøkonomi. Ea-energianalyser har leveret den bagvedliggende data.</t>
  </si>
  <si>
    <t>17, www.eof.dk</t>
  </si>
  <si>
    <t>Hydrogen an værk</t>
  </si>
  <si>
    <t xml:space="preserve">AD dataark </t>
  </si>
  <si>
    <t>Source: 23, Forudsætninger for samfundsøkonomiske analyser på energiområdet. Energistyrelsen. April 2011, opdateret dataark oktober 2012</t>
  </si>
  <si>
    <t>Updated Solid biomass prices</t>
  </si>
  <si>
    <t>C106-AS122</t>
  </si>
  <si>
    <t>All data</t>
  </si>
  <si>
    <t>Updated all data to the new AD model 3.02</t>
  </si>
  <si>
    <t>B10:AS24</t>
  </si>
  <si>
    <t>Updated ETS and NETS prices</t>
  </si>
  <si>
    <t>Description</t>
  </si>
  <si>
    <t>Purpose:</t>
  </si>
  <si>
    <t>Description:</t>
  </si>
  <si>
    <t>The data is based on the VMAS survey of energy services as well as the energy matrices from Statistics Denmark</t>
  </si>
  <si>
    <t>Relevant sectors</t>
  </si>
  <si>
    <t>Description of different sheets</t>
  </si>
  <si>
    <t>Processes</t>
  </si>
  <si>
    <t>Commodities</t>
  </si>
  <si>
    <t>Defines the commodities used in the processes</t>
  </si>
  <si>
    <t>SUP</t>
  </si>
  <si>
    <t>This sheet defines processes, commodities and existing stocks for upstream fuels including imports and export interface</t>
  </si>
  <si>
    <t>Defines the processes for fuel conversions</t>
  </si>
  <si>
    <t>Topology of mining, import and exports of fuels - costs</t>
  </si>
  <si>
    <t>Topology of co2 certificates - costs</t>
  </si>
  <si>
    <t>Topology for fuels used in upstream sector</t>
  </si>
  <si>
    <t>MIN-IMP-EXP Data</t>
  </si>
  <si>
    <t>Refinery data</t>
  </si>
  <si>
    <t>Topology for processes in refining of fuels</t>
  </si>
  <si>
    <t>Data for costs on biomass and other feedstocks</t>
  </si>
  <si>
    <t>Data on imports and exports of fuels (GJ) from energy matrix from Statistics Denmark</t>
  </si>
  <si>
    <t>Data on refinery production from energy matrix from Statistics Denmark</t>
  </si>
  <si>
    <t>Lars B. Termansen</t>
  </si>
  <si>
    <t>Added intro sheet. Color coded tabs</t>
  </si>
  <si>
    <t>Added the IMPWAV technology from the SubRes_ELC-Techs</t>
  </si>
  <si>
    <t>Added the WAV commodity from the SubRes_ELC-Techs</t>
  </si>
  <si>
    <t>WAV</t>
  </si>
  <si>
    <t>Wave</t>
  </si>
  <si>
    <t>Added the technology IMPWAV in the list</t>
  </si>
  <si>
    <t>Row 33</t>
  </si>
  <si>
    <t>Import technology - all second generation BIO</t>
  </si>
  <si>
    <t>+10% on 1st generation</t>
  </si>
  <si>
    <t>Introduced a 10% increase in the price of all second generation bio, guessing that second generation is more expensive than first generation.</t>
  </si>
  <si>
    <t>DME</t>
  </si>
  <si>
    <t>Dimethyl ether</t>
  </si>
  <si>
    <t>MNR</t>
  </si>
  <si>
    <t>Manure (Gylle)</t>
  </si>
  <si>
    <t>Aviation gasoline</t>
  </si>
  <si>
    <t>BIOCO2</t>
  </si>
  <si>
    <t>Biogenic CO2 emissions</t>
  </si>
  <si>
    <t>Jacopo tattini</t>
  </si>
  <si>
    <t>Com, Proc, Min-Imp-Exp</t>
  </si>
  <si>
    <t>Merged with Giada and with Jacopo</t>
  </si>
  <si>
    <t>AGSL</t>
  </si>
  <si>
    <t>MOV</t>
  </si>
  <si>
    <t>Movement - Dummy commodity for bike and walk</t>
  </si>
  <si>
    <t>Source: Energistyrelsens samfundsøkonomiske beregningsforudsætninger 2017 (til høring)</t>
  </si>
  <si>
    <t>2017-priser (kr./ton)</t>
  </si>
  <si>
    <t>CO2 kvotepris 2017kr/ton</t>
  </si>
  <si>
    <t>PYF (BVT-Deflator)</t>
  </si>
  <si>
    <t>CO2 kvotepris 2014kr/ton</t>
  </si>
  <si>
    <t>DKK/Ton</t>
  </si>
  <si>
    <t xml:space="preserve">Source: "samfundsøkonomiske beregningsforudsætninger 2017" ENS  </t>
  </si>
  <si>
    <t>Extrapolated from 2040 up till 2050 with the estimated valuyes given by the DEA</t>
  </si>
  <si>
    <t>* Values associate with commodities</t>
  </si>
  <si>
    <t>Commodity Emissions</t>
  </si>
  <si>
    <t>kg/GJ = kt/PJ</t>
  </si>
  <si>
    <t>Nat. Gas</t>
  </si>
  <si>
    <t>*Units</t>
  </si>
  <si>
    <t>SUPCO2W</t>
  </si>
  <si>
    <t>Waste CO2 emissions SUP</t>
  </si>
  <si>
    <t>ACTBND~DKE</t>
  </si>
  <si>
    <t>ACTBND~DKW</t>
  </si>
  <si>
    <t>ACTBND~2011~DKE</t>
  </si>
  <si>
    <t>ACTBND~2011~DKW</t>
  </si>
  <si>
    <t>ACTBND~2012~DKE</t>
  </si>
  <si>
    <t>ACTBND~2012~DKW</t>
  </si>
  <si>
    <t>ACTBND~2015~DKE</t>
  </si>
  <si>
    <t>ACTBND~2015~DKW</t>
  </si>
  <si>
    <t>Population shares (Statistic Denmark, 2017)</t>
  </si>
  <si>
    <t>DKE</t>
  </si>
  <si>
    <t>DKW</t>
  </si>
  <si>
    <t>Mikkel Bosack Simonsen</t>
  </si>
  <si>
    <t xml:space="preserve">Applied regional actbnd on fossil fuels, applied from Giada´s Straw analysis </t>
  </si>
  <si>
    <t>FIW</t>
  </si>
  <si>
    <t>Firewood</t>
  </si>
  <si>
    <t>Share~LO~0</t>
  </si>
  <si>
    <t>Share~UP~0</t>
  </si>
  <si>
    <t>GRS</t>
  </si>
  <si>
    <t>Grass</t>
  </si>
  <si>
    <t>~COMEMI</t>
  </si>
  <si>
    <t>SUPNGA</t>
  </si>
  <si>
    <t>SUPCOA</t>
  </si>
  <si>
    <t>SUPDSL</t>
  </si>
  <si>
    <t>SUPHFO</t>
  </si>
  <si>
    <t>SUPLPG</t>
  </si>
  <si>
    <t>SUPWST</t>
  </si>
  <si>
    <t>MCRD</t>
  </si>
  <si>
    <t>MNGA</t>
  </si>
  <si>
    <t>FT-MINNGA</t>
  </si>
  <si>
    <t>FT-MINCRD</t>
  </si>
  <si>
    <t>Mining Natural Gas</t>
  </si>
  <si>
    <t>Mining Crude Oil</t>
  </si>
  <si>
    <t>MINCO2</t>
  </si>
  <si>
    <t>Mining crude oil</t>
  </si>
  <si>
    <t>Mining Natural gas</t>
  </si>
  <si>
    <t>COST~0</t>
  </si>
  <si>
    <t>Deep Litter</t>
  </si>
  <si>
    <t>DLI</t>
  </si>
  <si>
    <t>HFB</t>
  </si>
  <si>
    <t>Heavy Fuel Bio Oil</t>
  </si>
  <si>
    <t>Fossil fuels</t>
  </si>
  <si>
    <t>Biomass</t>
  </si>
  <si>
    <t>Other renewables</t>
  </si>
  <si>
    <t>Renewable fuels</t>
  </si>
  <si>
    <t>Waste products</t>
  </si>
  <si>
    <t>Supply fuels</t>
  </si>
  <si>
    <t>H2</t>
  </si>
  <si>
    <t>Hydrogen</t>
  </si>
  <si>
    <t>H2G</t>
  </si>
  <si>
    <t>Hydrogen Gas</t>
  </si>
  <si>
    <t>MGO</t>
  </si>
  <si>
    <t>Marine Gas Oil</t>
  </si>
  <si>
    <t>AMM</t>
  </si>
  <si>
    <t>Ammonia (Liquid)</t>
  </si>
  <si>
    <t>Electro Kerosene</t>
  </si>
  <si>
    <t>KRE</t>
  </si>
  <si>
    <t>SNE</t>
  </si>
  <si>
    <t>Electro Synt. Nat. Gas</t>
  </si>
  <si>
    <t>DSE</t>
  </si>
  <si>
    <t>Electro Diesel</t>
  </si>
  <si>
    <t>GSE</t>
  </si>
  <si>
    <t>Electro Gasoline</t>
  </si>
  <si>
    <t>MOE</t>
  </si>
  <si>
    <t>Electro Methanol</t>
  </si>
  <si>
    <t>Other</t>
  </si>
  <si>
    <t>CO2SINK</t>
  </si>
  <si>
    <t>CO2 sink - non useable for fuels</t>
  </si>
  <si>
    <t>CCXCO2</t>
  </si>
  <si>
    <t>CO2 captured at plants</t>
  </si>
  <si>
    <t>Mining</t>
  </si>
  <si>
    <t>PEA</t>
  </si>
  <si>
    <t>Peat</t>
  </si>
  <si>
    <t>Added by MH for Sweden</t>
  </si>
  <si>
    <t>IWH</t>
  </si>
  <si>
    <t xml:space="preserve">Industrial waste heat </t>
  </si>
  <si>
    <t>BFG</t>
  </si>
  <si>
    <t>Blast furnace gas</t>
  </si>
  <si>
    <t>AMB</t>
  </si>
  <si>
    <t>Ambient Temperature for heat pump</t>
  </si>
  <si>
    <t>URN</t>
  </si>
  <si>
    <t>Nuclear fuel</t>
  </si>
  <si>
    <t>BLQ</t>
  </si>
  <si>
    <t>Black liquor</t>
  </si>
  <si>
    <t>Commodity</t>
  </si>
  <si>
    <t>Curr</t>
  </si>
  <si>
    <t>COST~2015</t>
  </si>
  <si>
    <t>COST~2016</t>
  </si>
  <si>
    <t>COST~2017</t>
  </si>
  <si>
    <t>COST~2018</t>
  </si>
  <si>
    <t>COST~2019</t>
  </si>
  <si>
    <t>COST~2021</t>
  </si>
  <si>
    <t>COST~2022</t>
  </si>
  <si>
    <t>COST~2023</t>
  </si>
  <si>
    <t>COST~2024</t>
  </si>
  <si>
    <t>COST~2025</t>
  </si>
  <si>
    <t>COST~2026</t>
  </si>
  <si>
    <t>COST~2027</t>
  </si>
  <si>
    <t>COST~2028</t>
  </si>
  <si>
    <t>COST~2029</t>
  </si>
  <si>
    <t>COST~2031</t>
  </si>
  <si>
    <t>COST~2032</t>
  </si>
  <si>
    <t>COST~2033</t>
  </si>
  <si>
    <t>COST~2034</t>
  </si>
  <si>
    <t>COST~2035</t>
  </si>
  <si>
    <t>COST~2036</t>
  </si>
  <si>
    <t>COST~2037</t>
  </si>
  <si>
    <t>COST~2038</t>
  </si>
  <si>
    <t>COST~2039</t>
  </si>
  <si>
    <t>COST~2041</t>
  </si>
  <si>
    <t>COST~2042</t>
  </si>
  <si>
    <t>COST~2043</t>
  </si>
  <si>
    <t>COST~2044</t>
  </si>
  <si>
    <t>COST~2045</t>
  </si>
  <si>
    <t>COST~2046</t>
  </si>
  <si>
    <t>COST~2047</t>
  </si>
  <si>
    <t>COST~2048</t>
  </si>
  <si>
    <t>COST~2049</t>
  </si>
  <si>
    <t>Tabel 4: CIF priser / priser ab producent</t>
  </si>
  <si>
    <t>2019-priser kr./GJ</t>
  </si>
  <si>
    <t>Importpriser (CIF-priser)</t>
  </si>
  <si>
    <t>ab DK producent</t>
  </si>
  <si>
    <t>Fuelolie</t>
  </si>
  <si>
    <t>Gasolie</t>
  </si>
  <si>
    <t>Benzin</t>
  </si>
  <si>
    <t>Træpiller (industri)</t>
  </si>
  <si>
    <t>Træpiller (konsum)</t>
  </si>
  <si>
    <t>Træflis</t>
  </si>
  <si>
    <t>Note: Der angives ikke en importpris for halm, da halm betragtes som en lokal ressource.</t>
  </si>
  <si>
    <t>From Danish "Samfundsøkonomiske analyseforudsætninger" made by energinet.dk and danish energy agency</t>
  </si>
  <si>
    <t>Data on fuel prices and their projections</t>
  </si>
  <si>
    <t>N/A</t>
  </si>
  <si>
    <t>similar to Export Price of fossil alternative</t>
  </si>
  <si>
    <t>Similar to Kerosene</t>
  </si>
  <si>
    <t>Double Natural Gas price</t>
  </si>
  <si>
    <t>Price from TIMES-DK (no source)</t>
  </si>
  <si>
    <t>similar to STR</t>
  </si>
  <si>
    <t>Similar to MNR</t>
  </si>
  <si>
    <t>25% of WCH</t>
  </si>
  <si>
    <t>Import technology - electro fuels</t>
  </si>
  <si>
    <t>Factor</t>
  </si>
  <si>
    <t>Semi dummy factor</t>
  </si>
  <si>
    <t>Similar factor as for bio dielsel</t>
  </si>
  <si>
    <r>
      <t>Tabel 14: Skøn for priser på CO</t>
    </r>
    <r>
      <rPr>
        <b/>
        <vertAlign val="subscript"/>
        <sz val="15"/>
        <rFont val="Calibri"/>
        <family val="2"/>
        <scheme val="minor"/>
      </rPr>
      <t>2</t>
    </r>
  </si>
  <si>
    <t>2019-priser kr./ton</t>
  </si>
  <si>
    <t>Skøn for CO2-kvotepris</t>
  </si>
  <si>
    <t>Skøn for pris på CO2-udledninger uden for kvotesektoren</t>
  </si>
  <si>
    <t xml:space="preserve">Kilder: </t>
  </si>
  <si>
    <t xml:space="preserve">Skøn for kvotepris: Finansministeriet, september 2019. </t>
  </si>
  <si>
    <r>
      <t>Skøn for omkostninger for CO</t>
    </r>
    <r>
      <rPr>
        <vertAlign val="subscript"/>
        <sz val="10"/>
        <color theme="1"/>
        <rFont val="Calibri"/>
        <family val="2"/>
        <scheme val="minor"/>
      </rPr>
      <t>2</t>
    </r>
    <r>
      <rPr>
        <sz val="10"/>
        <color theme="1"/>
        <rFont val="Calibri"/>
        <family val="2"/>
        <scheme val="minor"/>
      </rPr>
      <t>-udledning uden for kvotesektoren: EU’s Impact Assessment for 2030-pakken (http://eur-lex.europa.eu/legal-content/EN/TXT/PDF/?uri=CELEX:52014SC0015&amp;from=EN). Efter 2030 er omkostningen for CO</t>
    </r>
    <r>
      <rPr>
        <vertAlign val="subscript"/>
        <sz val="10"/>
        <color theme="1"/>
        <rFont val="Calibri"/>
        <family val="2"/>
        <scheme val="minor"/>
      </rPr>
      <t>2</t>
    </r>
    <r>
      <rPr>
        <sz val="10"/>
        <color theme="1"/>
        <rFont val="Calibri"/>
        <family val="2"/>
        <scheme val="minor"/>
      </rPr>
      <t>-udledning uden for kvotesektoren fastholdt på samme niveau, indtil kvoteprisen når dette niveau.</t>
    </r>
  </si>
  <si>
    <t>Note 1: Alle prisskøn i denne tabel er angivet i faktorpriser, og skal derfor ganges med nettoafgiftsfaktoren for at blive angivet i forbrugerpriser.</t>
  </si>
  <si>
    <t>Supply electricity</t>
  </si>
  <si>
    <t>Supply Decentral district heating</t>
  </si>
  <si>
    <t>Supply Central district heating</t>
  </si>
  <si>
    <t>Relating to wood waste</t>
  </si>
  <si>
    <t>Guestimate (based on stat)</t>
  </si>
  <si>
    <t>Same assumption as for waste</t>
  </si>
  <si>
    <t>Relating to coal price</t>
  </si>
  <si>
    <t>Free</t>
  </si>
  <si>
    <t>Elforsk, "El från nya och framtida anläggningar 2014"</t>
  </si>
  <si>
    <t>Related to Wood Waste</t>
  </si>
  <si>
    <t>Similar to waste</t>
  </si>
  <si>
    <t>SREFDK1</t>
  </si>
  <si>
    <t>Refinery Denmark 1</t>
  </si>
  <si>
    <t>SUPMOB</t>
  </si>
  <si>
    <t>SUPKRB</t>
  </si>
  <si>
    <t>SUPSNG</t>
  </si>
  <si>
    <t>SUPDSB</t>
  </si>
  <si>
    <t>SUPGSB</t>
  </si>
  <si>
    <t>Supply Bio Kerosene</t>
  </si>
  <si>
    <t>Supply Bio Synt. Nat. Gas</t>
  </si>
  <si>
    <t>Supply Biodiesel</t>
  </si>
  <si>
    <t>Supply Bioethanol</t>
  </si>
  <si>
    <t>Supply Bio Methanol</t>
  </si>
  <si>
    <t>SUPCRD</t>
  </si>
  <si>
    <t>INPUT~2012</t>
  </si>
  <si>
    <t>Danish national inventory 2020 version, based on 2018 values projected forward and backwards</t>
  </si>
  <si>
    <t>TABLE 1.A(a)  SECTORAL BACKGROUND DATA  FOR  ENERGY</t>
  </si>
  <si>
    <t>Inventory 2018</t>
  </si>
  <si>
    <t>Fuel combustion activities - sectoral approach</t>
  </si>
  <si>
    <t>Submission 2020 v5</t>
  </si>
  <si>
    <t>(Sheet 1 of 4)</t>
  </si>
  <si>
    <t>DENMARK</t>
  </si>
  <si>
    <t>GREENHOUSE GAS SOURCE AND SINK CATEGORIES</t>
  </si>
  <si>
    <t>AGGREGATE ACTIVITY DATA</t>
  </si>
  <si>
    <t>IMPLIED EMISSION FACTORS</t>
  </si>
  <si>
    <t>EMISSIONS</t>
  </si>
  <si>
    <t xml:space="preserve">Consumption </t>
  </si>
  <si>
    <r>
      <t xml:space="preserve"> CO</t>
    </r>
    <r>
      <rPr>
        <b/>
        <vertAlign val="subscript"/>
        <sz val="9"/>
        <rFont val="Times New Roman"/>
        <family val="1"/>
      </rPr>
      <t>2</t>
    </r>
    <r>
      <rPr>
        <b/>
        <vertAlign val="superscript"/>
        <sz val="9"/>
        <rFont val="Times New Roman"/>
        <family val="1"/>
      </rPr>
      <t>(1)</t>
    </r>
  </si>
  <si>
    <r>
      <t>CH</t>
    </r>
    <r>
      <rPr>
        <b/>
        <vertAlign val="subscript"/>
        <sz val="9"/>
        <rFont val="Times New Roman"/>
        <family val="1"/>
      </rPr>
      <t>4</t>
    </r>
  </si>
  <si>
    <r>
      <t>N</t>
    </r>
    <r>
      <rPr>
        <b/>
        <vertAlign val="subscript"/>
        <sz val="9"/>
        <rFont val="Times New Roman"/>
        <family val="1"/>
      </rPr>
      <t>2</t>
    </r>
    <r>
      <rPr>
        <b/>
        <sz val="9"/>
        <rFont val="Times New Roman"/>
        <family val="1"/>
      </rPr>
      <t>O</t>
    </r>
  </si>
  <si>
    <r>
      <t xml:space="preserve"> CO</t>
    </r>
    <r>
      <rPr>
        <b/>
        <vertAlign val="subscript"/>
        <sz val="9"/>
        <rFont val="Times New Roman"/>
        <family val="1"/>
      </rPr>
      <t>2</t>
    </r>
    <r>
      <rPr>
        <b/>
        <vertAlign val="superscript"/>
        <sz val="9"/>
        <rFont val="Times New Roman"/>
        <family val="1"/>
      </rPr>
      <t>(2)</t>
    </r>
  </si>
  <si>
    <r>
      <t>CO</t>
    </r>
    <r>
      <rPr>
        <b/>
        <vertAlign val="subscript"/>
        <sz val="9"/>
        <rFont val="Times New Roman"/>
        <family val="1"/>
      </rPr>
      <t>2</t>
    </r>
  </si>
  <si>
    <t>Amount captured</t>
  </si>
  <si>
    <t>(TJ)</t>
  </si>
  <si>
    <r>
      <t>NCV/GCV</t>
    </r>
    <r>
      <rPr>
        <b/>
        <vertAlign val="superscript"/>
        <sz val="9"/>
        <rFont val="Times New Roman"/>
        <family val="1"/>
      </rPr>
      <t>(3)</t>
    </r>
  </si>
  <si>
    <t>(t/TJ)</t>
  </si>
  <si>
    <t>(kg/TJ)</t>
  </si>
  <si>
    <t>(kt)</t>
  </si>
  <si>
    <t>1.A. Fuel combustion</t>
  </si>
  <si>
    <t>NCV</t>
  </si>
  <si>
    <t/>
  </si>
  <si>
    <t>NO</t>
  </si>
  <si>
    <t>Liquid fuels</t>
  </si>
  <si>
    <t>Solid fuels</t>
  </si>
  <si>
    <t>Gaseous fuels</t>
  </si>
  <si>
    <r>
      <t>Other fossil fuels</t>
    </r>
    <r>
      <rPr>
        <vertAlign val="superscript"/>
        <sz val="9"/>
        <rFont val="Times New Roman"/>
        <family val="1"/>
      </rPr>
      <t>(4)</t>
    </r>
  </si>
  <si>
    <r>
      <t>Peat</t>
    </r>
    <r>
      <rPr>
        <vertAlign val="superscript"/>
        <sz val="9"/>
        <rFont val="Times New Roman"/>
        <family val="1"/>
      </rPr>
      <t>(5)</t>
    </r>
  </si>
  <si>
    <r>
      <t>Biomass</t>
    </r>
    <r>
      <rPr>
        <vertAlign val="superscript"/>
        <sz val="9"/>
        <rFont val="Times New Roman"/>
        <family val="1"/>
      </rPr>
      <t>(6)</t>
    </r>
  </si>
  <si>
    <t>1.A.1. Energy industries</t>
  </si>
  <si>
    <r>
      <t>a.  Public electricity and heat production</t>
    </r>
    <r>
      <rPr>
        <vertAlign val="superscript"/>
        <sz val="9"/>
        <rFont val="Times New Roman"/>
        <family val="1"/>
      </rPr>
      <t>(7)</t>
    </r>
  </si>
  <si>
    <t>b.  Petroleum refining</t>
  </si>
  <si>
    <r>
      <t>c.  Manufacture of solid fuels and other energy industries</t>
    </r>
    <r>
      <rPr>
        <vertAlign val="superscript"/>
        <sz val="9"/>
        <rFont val="Times New Roman"/>
        <family val="1"/>
      </rPr>
      <t>(8)</t>
    </r>
  </si>
  <si>
    <t>1.A.1.c.ii  Oil and gas extraction</t>
  </si>
  <si>
    <t>Liquid Fuels</t>
  </si>
  <si>
    <t>Solid Fuels</t>
  </si>
  <si>
    <t>Gaseous Fuels</t>
  </si>
  <si>
    <t>Other Fossil Fuels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</si>
  <si>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</si>
  <si>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</si>
  <si>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Energibalance 2018</t>
  </si>
  <si>
    <t>Energy balance 2018</t>
  </si>
  <si>
    <t>I alt</t>
  </si>
  <si>
    <t>Råolie og halvfabrikata</t>
  </si>
  <si>
    <t>Olieprodukter</t>
  </si>
  <si>
    <t>Kul og koks</t>
  </si>
  <si>
    <t>Affald, ikke-bionedbrydeligt</t>
  </si>
  <si>
    <t>Vedvarende energi</t>
  </si>
  <si>
    <t>El</t>
  </si>
  <si>
    <t>Bygas</t>
  </si>
  <si>
    <t>Total</t>
  </si>
  <si>
    <t>Crude oil and refinery feedstocks</t>
  </si>
  <si>
    <t>Oil products</t>
  </si>
  <si>
    <t>Coal and coke</t>
  </si>
  <si>
    <t xml:space="preserve">Waste, non renewable </t>
  </si>
  <si>
    <t>Renewable energy</t>
  </si>
  <si>
    <t xml:space="preserve">District heating </t>
  </si>
  <si>
    <t>Gas works gas</t>
  </si>
  <si>
    <t>Direkte energiindhold [TJ]</t>
  </si>
  <si>
    <t xml:space="preserve">Direct energy contents [TJ] </t>
  </si>
  <si>
    <t>Energiforbrug i alt</t>
  </si>
  <si>
    <t>Total energy consumption</t>
  </si>
  <si>
    <t>-  Primær produktion</t>
  </si>
  <si>
    <t>- Primary energy production</t>
  </si>
  <si>
    <t>-  Genbrug</t>
  </si>
  <si>
    <t xml:space="preserve">- Recycling </t>
  </si>
  <si>
    <t>-  Import</t>
  </si>
  <si>
    <t>- Imports</t>
  </si>
  <si>
    <t>-  Eksport</t>
  </si>
  <si>
    <t>- Exports</t>
  </si>
  <si>
    <t>-  Grænsehandel</t>
  </si>
  <si>
    <t>- Border trade</t>
  </si>
  <si>
    <t>-  Udenrigsbunkring</t>
  </si>
  <si>
    <t>- International marine bunkers</t>
  </si>
  <si>
    <t>-  Lagertræk</t>
  </si>
  <si>
    <t>- Stock changes</t>
  </si>
  <si>
    <t>-  Statistisk difference, tilgang ved blanding</t>
  </si>
  <si>
    <t>- Statistical differences</t>
  </si>
  <si>
    <t>Energisektor</t>
  </si>
  <si>
    <t>Energy sector</t>
  </si>
  <si>
    <t>-  Udvinding og forgasning</t>
  </si>
  <si>
    <t>- Extraction and gasification</t>
  </si>
  <si>
    <t>-  Raffinaderiproduktion</t>
  </si>
  <si>
    <t>- Petroleum products</t>
  </si>
  <si>
    <t>-  Forbrug ved raffinaderiprod.</t>
  </si>
  <si>
    <t>- Used in refineries</t>
  </si>
  <si>
    <t>-  Forbrug ved distribution</t>
  </si>
  <si>
    <t>- Used in distribution</t>
  </si>
  <si>
    <t>Konverteringssektor</t>
  </si>
  <si>
    <t>Transformation</t>
  </si>
  <si>
    <t>-  Centrale anlæg</t>
  </si>
  <si>
    <t>- Large-scale units</t>
  </si>
  <si>
    <t>-  Vindmøller og vandkraftsanlæg</t>
  </si>
  <si>
    <t>- Wind turbines and hydro power plants</t>
  </si>
  <si>
    <t>-  Decentrale anlæg</t>
  </si>
  <si>
    <t>- Small-scale units</t>
  </si>
  <si>
    <t>-  Fjernvarmeanlæg</t>
  </si>
  <si>
    <t>- District heating units</t>
  </si>
  <si>
    <t>-  Sekundære producenter</t>
  </si>
  <si>
    <t>- Autoproducers</t>
  </si>
  <si>
    <t>-  Bygasværker</t>
  </si>
  <si>
    <t>- Gas works</t>
  </si>
  <si>
    <t>-  Egetforbrug ved produktion</t>
  </si>
  <si>
    <t>- Own use</t>
  </si>
  <si>
    <t>Distributionstab m.m.</t>
  </si>
  <si>
    <t>Distribution losses etc.</t>
  </si>
  <si>
    <t>Endeligt energiforbrug</t>
  </si>
  <si>
    <t>Final energy consumption</t>
  </si>
  <si>
    <t>-  Ikke energiformål</t>
  </si>
  <si>
    <t>- Non-energy use</t>
  </si>
  <si>
    <t>-  Transport</t>
  </si>
  <si>
    <t>- Transport</t>
  </si>
  <si>
    <t>-  Produktionserhverv</t>
  </si>
  <si>
    <t>- Agriculture and industry</t>
  </si>
  <si>
    <t>-  Handels- og serviceerhverv</t>
  </si>
  <si>
    <t>- Commercial and public services</t>
  </si>
  <si>
    <t>-  Husholdninger</t>
  </si>
  <si>
    <t>- Households</t>
  </si>
  <si>
    <t xml:space="preserve">Anm. Energibalancen giver et samlet overblik over forsyning, konvertering og forbrug af energi. En mere detaljeret opgørelse af tilgang (sorte tal) </t>
  </si>
  <si>
    <t xml:space="preserve">Note. The energy balance provides an overview of supply, transformation and consumption of energy.  </t>
  </si>
  <si>
    <t xml:space="preserve"> og afgang (røde tal) af de enkelte energivarer findes i tabellen Detaljeret opgørelse.</t>
  </si>
  <si>
    <t xml:space="preserve"> A more detailed account of inflows (black figures) and outflows (red figures) for each energy product may be obtained in the table Detailed Supply and Consumption.</t>
  </si>
  <si>
    <t>Produktion af primær energi</t>
  </si>
  <si>
    <t>Production of Primary Energy</t>
  </si>
  <si>
    <t>Direct Energy Contents [TJ]</t>
  </si>
  <si>
    <t>Faktisk produktion</t>
  </si>
  <si>
    <t>Observed Production</t>
  </si>
  <si>
    <t>Produktion i alt</t>
  </si>
  <si>
    <t>Total Primary Energy Production</t>
  </si>
  <si>
    <t>Eksport</t>
  </si>
  <si>
    <t>Til rådighed for raffinering og lagring</t>
  </si>
  <si>
    <t>Available for Refining and Storage</t>
  </si>
  <si>
    <t>Forbrug ved produktion *)</t>
  </si>
  <si>
    <t>Used for Production *)</t>
  </si>
  <si>
    <t>Til rådighed for indenlandsk forbrug og lagring</t>
  </si>
  <si>
    <t>Available for Domestic Consumption and Storage</t>
  </si>
  <si>
    <t>Renewable Energy</t>
  </si>
  <si>
    <t>Import</t>
  </si>
  <si>
    <t>Til rådighed for indenlandsk forbrug</t>
  </si>
  <si>
    <t>Available for domestic consumption</t>
  </si>
  <si>
    <t>Waste, Non Renewable</t>
  </si>
  <si>
    <t>*) Omfatter forbrug på platforme i Nordsøen samt forbrug til ilandtagning. Omfatter ikke afbrændt naturgas (flaring).</t>
  </si>
  <si>
    <t>1) Includes consumption on platforms in the North Sea, but excludes natural gas flared on the platforms.</t>
  </si>
  <si>
    <t>DACT~FI_T</t>
  </si>
  <si>
    <t>Old Refinery structure</t>
  </si>
  <si>
    <t>New refinery structure based on EUROstats and danish refinary data to determine overall efficiency</t>
  </si>
  <si>
    <t>Share~UP~2018</t>
  </si>
  <si>
    <t>Input~2012</t>
  </si>
  <si>
    <t>Input~2015</t>
  </si>
  <si>
    <t>Input~2018</t>
  </si>
  <si>
    <t>Input~2020</t>
  </si>
  <si>
    <t>EFF~2018</t>
  </si>
  <si>
    <t>SREFDKE</t>
  </si>
  <si>
    <t>Refinery Denmark East</t>
  </si>
  <si>
    <t>OTH</t>
  </si>
  <si>
    <t>SUPLVN</t>
  </si>
  <si>
    <t>SREFDKW</t>
  </si>
  <si>
    <t>Refinery Denmark West</t>
  </si>
  <si>
    <t>Pja</t>
  </si>
  <si>
    <t>~FI_T:</t>
  </si>
  <si>
    <t>Triple the price of kerosene</t>
  </si>
  <si>
    <t>Triple the price natural gas</t>
  </si>
  <si>
    <t>1.5 time the cost of biofuels</t>
  </si>
  <si>
    <t>Eas CIF værdier</t>
  </si>
  <si>
    <t>Inflation correction</t>
  </si>
  <si>
    <t>MKr19</t>
  </si>
  <si>
    <t>MSEK14</t>
  </si>
  <si>
    <t>TOTCO2</t>
  </si>
  <si>
    <t>Total CO2 emissions</t>
  </si>
  <si>
    <t>BNDACT~FX~2015~DKE</t>
  </si>
  <si>
    <t>BNDACT~FX~2018~DKE</t>
  </si>
  <si>
    <t>BNDACT~FX~2015~DKW</t>
  </si>
  <si>
    <t>BNDACT~FX~2018~DKW</t>
  </si>
  <si>
    <t>BNDACT~LO~2020~DKE</t>
  </si>
  <si>
    <t>BNDACT~FX~2030~DKW</t>
  </si>
  <si>
    <t>BNDACT~LO~2020~DKW</t>
  </si>
  <si>
    <t>FX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</si>
</sst>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3">
    <numFmt numFmtId="41" formatCode="_-* #,##0_-;\-* #,##0_-;_-* &quot;-&quot;_-;_-@_-"/>
    <numFmt numFmtId="43" formatCode="_-* #,##0.00_-;\-* #,##0.00_-;_-* &quot;-&quot;??_-;_-@_-"/>
    <numFmt numFmtId="164" formatCode="_(* #,##0.00_);_(* \(#,##0.00\);_(* &quot;-&quot;??_);_(@_)"/>
    <numFmt numFmtId="165" formatCode="_ * #,##0.00_ ;_ * \-#,##0.00_ ;_ * &quot;-&quot;??_ ;_ @_ "/>
    <numFmt numFmtId="166" formatCode="_-&quot;€&quot;\ * #,##0.00_-;\-&quot;€&quot;\ * #,##0.00_-;_-&quot;€&quot;\ * &quot;-&quot;??_-;_-@_-"/>
    <numFmt numFmtId="167" formatCode="#,##0;\-\ #,##0;_-\ &quot;- &quot;"/>
    <numFmt numFmtId="168" formatCode="_-[$€-2]\ * #,##0.00_-;\-[$€-2]\ * #,##0.00_-;_-[$€-2]\ * &quot;-&quot;??_-"/>
    <numFmt numFmtId="169" formatCode="0.000"/>
    <numFmt numFmtId="170" formatCode="0.0"/>
    <numFmt numFmtId="171" formatCode="\Te\x\t"/>
    <numFmt numFmtId="172" formatCode="_([$€]* #,##0.00_);_([$€]* \(#,##0.00\);_([$€]* &quot;-&quot;??_);_(@_)"/>
    <numFmt numFmtId="173" formatCode="#,##0.0"/>
    <numFmt numFmtId="174" formatCode="_ * #,##0.0_ ;_ * \-#,##0.0_ ;_ * &quot;-&quot;??_ ;_ @_ "/>
    <numFmt numFmtId="175" formatCode="_(* #,##0_);_(* \(#,##0\);_(* &quot;-&quot;??_);_(@_)"/>
    <numFmt numFmtId="176" formatCode="0.00000"/>
    <numFmt numFmtId="177" formatCode="0.0%"/>
    <numFmt numFmtId="178" formatCode="_-[$€-2]* #,##0.00_-;\-[$€-2]* #,##0.00_-;_-[$€-2]* &quot;-&quot;??_-"/>
    <numFmt numFmtId="179" formatCode="0_ ;\-0\ "/>
    <numFmt numFmtId="180" formatCode="0.0_ ;\-0.0\ "/>
    <numFmt numFmtId="181" formatCode="0.000_ ;\-0.000\ "/>
    <numFmt numFmtId="182" formatCode="0.00_ ;\-0.00\ "/>
    <numFmt numFmtId="183" formatCode="0.0000_ ;\-0.0000\ "/>
    <numFmt numFmtId="184" formatCode="0.00000_ ;\-0.00000\ "/>
    <numFmt numFmtId="185" formatCode="0.000000_ ;\-0.000000\ "/>
    <numFmt numFmtId="186" formatCode="#,##0;#\ ##0"/>
    <numFmt numFmtId="187" formatCode="0.0;\-0.0;0"/>
    <numFmt numFmtId="188" formatCode="#\ ##0;[Red]\-#\ ##0;\-"/>
    <numFmt numFmtId="189" formatCode="#\ ###\ ##0;\-#\ ###\ ##0;\-"/>
    <numFmt numFmtId="190" formatCode="\ ###\ ##0;[Red]\-###\ ##0;&quot;-&quot;"/>
    <numFmt numFmtId="191" formatCode="###\ ###\ ##0;###\ ###\ ##0;&quot;-&quot;"/>
    <numFmt numFmtId="192" formatCode="#\ ##0;[Red]\-#\ ##0"/>
    <numFmt numFmtId="193" formatCode="###\ ###\ ##0;[Red]###\ ###\ ##0;&quot;-&quot;"/>
    <numFmt numFmtId="194" formatCode="#,##0.000"/>
  </numFmts>
  <fonts count="163">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0"/>
      <name val="Arial"/>
      <family val="2"/>
    </font>
    <font>
      <b/>
      <sz val="10"/>
      <color indexed="12"/>
      <name val="Arial"/>
      <family val="2"/>
    </font>
    <font>
      <sz val="11"/>
      <color indexed="8"/>
      <name val="Calibri"/>
      <family val="2"/>
    </font>
    <font>
      <sz val="11"/>
      <color indexed="9"/>
      <name val="Calibri"/>
      <family val="2"/>
    </font>
    <font>
      <b/>
      <sz val="11"/>
      <color indexed="52"/>
      <name val="Calibri"/>
      <family val="2"/>
    </font>
    <font>
      <sz val="11"/>
      <color indexed="52"/>
      <name val="Calibri"/>
      <family val="2"/>
    </font>
    <font>
      <b/>
      <sz val="11"/>
      <color indexed="9"/>
      <name val="Calibri"/>
      <family val="2"/>
    </font>
    <font>
      <sz val="11"/>
      <color indexed="62"/>
      <name val="Calibri"/>
      <family val="2"/>
    </font>
    <font>
      <sz val="10"/>
      <name val="MS Sans Serif"/>
      <family val="2"/>
    </font>
    <font>
      <sz val="11"/>
      <color indexed="60"/>
      <name val="Calibri"/>
      <family val="2"/>
    </font>
    <font>
      <b/>
      <sz val="11"/>
      <color indexed="63"/>
      <name val="Calibri"/>
      <family val="2"/>
    </font>
    <font>
      <sz val="11"/>
      <color indexed="10"/>
      <name val="Calibri"/>
      <family val="2"/>
    </font>
    <font>
      <i/>
      <sz val="11"/>
      <color indexed="23"/>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b/>
      <sz val="11"/>
      <color indexed="8"/>
      <name val="Calibri"/>
      <family val="2"/>
    </font>
    <font>
      <sz val="11"/>
      <color indexed="20"/>
      <name val="Calibri"/>
      <family val="2"/>
    </font>
    <font>
      <sz val="11"/>
      <color indexed="17"/>
      <name val="Calibri"/>
      <family val="2"/>
    </font>
    <font>
      <sz val="8"/>
      <name val="Arial"/>
      <family val="2"/>
    </font>
    <font>
      <sz val="10"/>
      <name val="Calibri"/>
      <family val="2"/>
    </font>
    <font>
      <sz val="8"/>
      <name val="Calibri"/>
      <family val="2"/>
    </font>
    <font>
      <sz val="9"/>
      <color indexed="81"/>
      <name val="Tahoma"/>
      <family val="2"/>
    </font>
    <font>
      <b/>
      <sz val="9"/>
      <color indexed="81"/>
      <name val="Tahoma"/>
      <family val="2"/>
    </font>
    <font>
      <sz val="10"/>
      <name val="Helv"/>
    </font>
    <font>
      <sz val="11"/>
      <name val="Calibri"/>
      <family val="2"/>
    </font>
    <font>
      <sz val="10"/>
      <name val="Arial"/>
      <family val="2"/>
    </font>
    <font>
      <sz val="10"/>
      <name val="Arial"/>
      <family val="2"/>
      <charset val="204"/>
    </font>
    <font>
      <sz val="10"/>
      <name val="Courier"/>
      <family val="3"/>
    </font>
    <font>
      <sz val="9"/>
      <color indexed="8"/>
      <name val="Times New Roman"/>
      <family val="1"/>
    </font>
    <font>
      <sz val="9"/>
      <name val="Times New Roman"/>
      <family val="1"/>
    </font>
    <font>
      <b/>
      <sz val="9"/>
      <name val="Times New Roman"/>
      <family val="1"/>
    </font>
    <font>
      <b/>
      <sz val="10"/>
      <name val="Arial"/>
      <family val="2"/>
    </font>
    <font>
      <sz val="9"/>
      <name val="Calibri"/>
      <family val="2"/>
    </font>
    <font>
      <sz val="7"/>
      <name val="Calibri"/>
      <family val="2"/>
    </font>
    <font>
      <sz val="11"/>
      <color indexed="8"/>
      <name val="Calibri"/>
      <family val="2"/>
    </font>
    <font>
      <b/>
      <sz val="11"/>
      <color indexed="8"/>
      <name val="Calibri"/>
      <family val="2"/>
    </font>
    <font>
      <sz val="11"/>
      <color indexed="62"/>
      <name val="Calibri"/>
      <family val="2"/>
    </font>
    <font>
      <b/>
      <sz val="10"/>
      <color indexed="62"/>
      <name val="Calibri"/>
      <family val="2"/>
    </font>
    <font>
      <sz val="10"/>
      <color indexed="62"/>
      <name val="Calibri"/>
      <family val="2"/>
    </font>
    <font>
      <b/>
      <sz val="12"/>
      <color indexed="62"/>
      <name val="Calibri"/>
      <family val="2"/>
    </font>
    <font>
      <b/>
      <sz val="11"/>
      <color indexed="62"/>
      <name val="Calibri"/>
      <family val="2"/>
    </font>
    <font>
      <b/>
      <sz val="10"/>
      <color indexed="10"/>
      <name val="Arial"/>
      <family val="2"/>
    </font>
    <font>
      <b/>
      <sz val="12"/>
      <color indexed="62"/>
      <name val="Calibri"/>
      <family val="2"/>
    </font>
    <font>
      <b/>
      <sz val="11"/>
      <color indexed="12"/>
      <name val="Calibri"/>
      <family val="2"/>
    </font>
    <font>
      <sz val="10"/>
      <color indexed="8"/>
      <name val="Calibri"/>
      <family val="2"/>
    </font>
    <font>
      <sz val="9"/>
      <name val="Geneva"/>
      <family val="2"/>
    </font>
    <font>
      <sz val="10"/>
      <name val="Arial"/>
      <family val="2"/>
    </font>
    <font>
      <i/>
      <sz val="10"/>
      <name val="Calibri"/>
      <family val="2"/>
    </font>
    <font>
      <b/>
      <sz val="11"/>
      <name val="Calibri"/>
      <family val="2"/>
    </font>
    <font>
      <u/>
      <sz val="8"/>
      <color indexed="12"/>
      <name val="Arial"/>
      <family val="2"/>
    </font>
    <font>
      <sz val="10"/>
      <name val="Arial"/>
      <family val="2"/>
    </font>
    <font>
      <sz val="11"/>
      <color theme="1"/>
      <name val="Calibri"/>
      <family val="2"/>
      <scheme val="minor"/>
    </font>
    <font>
      <sz val="10"/>
      <color rgb="FF9C0006"/>
      <name val="Calibri"/>
      <family val="2"/>
    </font>
    <font>
      <sz val="10"/>
      <color rgb="FF0000FF"/>
      <name val="Calibri"/>
      <family val="2"/>
    </font>
    <font>
      <b/>
      <sz val="11"/>
      <color rgb="FFFA7D00"/>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u/>
      <sz val="11"/>
      <color theme="10"/>
      <name val="Calibri"/>
      <family val="2"/>
      <scheme val="minor"/>
    </font>
    <font>
      <sz val="10"/>
      <color rgb="FF00B050"/>
      <name val="Calibri"/>
      <family val="2"/>
    </font>
    <font>
      <sz val="11"/>
      <color theme="1"/>
      <name val="Calibri"/>
      <family val="2"/>
    </font>
    <font>
      <sz val="10"/>
      <color theme="1"/>
      <name val="Calibri"/>
      <family val="2"/>
    </font>
    <font>
      <b/>
      <sz val="11"/>
      <color rgb="FF3F3F3F"/>
      <name val="Calibri"/>
      <family val="2"/>
      <scheme val="minor"/>
    </font>
    <font>
      <b/>
      <sz val="16"/>
      <color theme="0"/>
      <name val="Calibri"/>
      <family val="2"/>
      <scheme val="minor"/>
    </font>
    <font>
      <b/>
      <sz val="13"/>
      <color theme="0"/>
      <name val="Calibri"/>
      <family val="2"/>
      <scheme val="minor"/>
    </font>
    <font>
      <b/>
      <sz val="12"/>
      <color theme="0"/>
      <name val="Calibri"/>
      <family val="2"/>
      <scheme val="minor"/>
    </font>
    <font>
      <b/>
      <sz val="11"/>
      <color theme="1"/>
      <name val="Calibri"/>
      <family val="2"/>
      <scheme val="minor"/>
    </font>
    <font>
      <sz val="10"/>
      <color rgb="FFFF0000"/>
      <name val="Calibri"/>
      <family val="2"/>
    </font>
    <font>
      <sz val="10"/>
      <name val="Calibri"/>
      <family val="2"/>
      <scheme val="minor"/>
    </font>
    <font>
      <b/>
      <sz val="16"/>
      <color theme="0"/>
      <name val="Calibri"/>
      <family val="2"/>
    </font>
    <font>
      <b/>
      <sz val="10"/>
      <name val="Calibri"/>
      <family val="2"/>
      <scheme val="minor"/>
    </font>
    <font>
      <sz val="8"/>
      <name val="Calibri"/>
      <family val="2"/>
      <scheme val="minor"/>
    </font>
    <font>
      <b/>
      <sz val="11"/>
      <name val="Calibri"/>
      <family val="2"/>
      <scheme val="minor"/>
    </font>
    <font>
      <sz val="10"/>
      <color rgb="FF0000FF"/>
      <name val="Calibri"/>
      <family val="2"/>
      <scheme val="minor"/>
    </font>
    <font>
      <sz val="10"/>
      <color indexed="17"/>
      <name val="Calibri"/>
      <family val="2"/>
      <scheme val="minor"/>
    </font>
    <font>
      <sz val="10"/>
      <color rgb="FF00B050"/>
      <name val="Calibri"/>
      <family val="2"/>
      <scheme val="minor"/>
    </font>
    <font>
      <sz val="10"/>
      <color rgb="FF9C0006"/>
      <name val="Calibri"/>
      <family val="2"/>
      <scheme val="minor"/>
    </font>
    <font>
      <sz val="10"/>
      <color rgb="FFFF0000"/>
      <name val="Calibri"/>
      <family val="2"/>
      <scheme val="minor"/>
    </font>
    <font>
      <sz val="11"/>
      <name val="Calibri"/>
      <family val="2"/>
      <scheme val="minor"/>
    </font>
    <font>
      <sz val="9"/>
      <name val="Geneva"/>
      <family val="2"/>
    </font>
    <font>
      <i/>
      <sz val="11"/>
      <color theme="1"/>
      <name val="Calibri"/>
      <family val="2"/>
      <scheme val="minor"/>
    </font>
    <font>
      <b/>
      <sz val="18"/>
      <color theme="3"/>
      <name val="Cambria"/>
      <family val="2"/>
      <scheme val="major"/>
    </font>
    <font>
      <sz val="11"/>
      <color rgb="FF9C0006"/>
      <name val="Calibri"/>
      <family val="2"/>
      <scheme val="minor"/>
    </font>
    <font>
      <sz val="11"/>
      <color rgb="FF9C65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Arial"/>
      <family val="2"/>
    </font>
    <font>
      <sz val="8"/>
      <color indexed="8"/>
      <name val="Arial"/>
      <family val="2"/>
    </font>
    <font>
      <sz val="10"/>
      <name val="Times New Roman"/>
      <family val="1"/>
    </font>
    <font>
      <sz val="14"/>
      <color indexed="50"/>
      <name val="Arial"/>
      <family val="2"/>
    </font>
    <font>
      <sz val="6"/>
      <name val="Arial"/>
      <family val="2"/>
    </font>
    <font>
      <b/>
      <sz val="8.5"/>
      <color indexed="50"/>
      <name val="Arial"/>
      <family val="2"/>
    </font>
    <font>
      <b/>
      <sz val="7"/>
      <color indexed="9"/>
      <name val="Arial"/>
      <family val="2"/>
    </font>
    <font>
      <b/>
      <sz val="7"/>
      <name val="Arial"/>
      <family val="2"/>
    </font>
    <font>
      <sz val="7"/>
      <name val="Arial"/>
      <family val="2"/>
    </font>
    <font>
      <sz val="7"/>
      <color indexed="8"/>
      <name val="Arial"/>
      <family val="2"/>
    </font>
    <font>
      <sz val="6.5"/>
      <name val="Arial"/>
      <family val="2"/>
    </font>
    <font>
      <u/>
      <sz val="10"/>
      <color indexed="12"/>
      <name val="Arial"/>
      <family val="2"/>
    </font>
    <font>
      <sz val="18"/>
      <color theme="3"/>
      <name val="Cambria"/>
      <family val="2"/>
      <scheme val="major"/>
    </font>
    <font>
      <b/>
      <sz val="7"/>
      <color indexed="45"/>
      <name val="Arial"/>
      <family val="2"/>
    </font>
    <font>
      <sz val="7"/>
      <color indexed="45"/>
      <name val="Arial"/>
      <family val="2"/>
    </font>
    <font>
      <u/>
      <sz val="10"/>
      <color theme="10"/>
      <name val="Arial"/>
      <family val="2"/>
    </font>
    <font>
      <b/>
      <sz val="14"/>
      <color rgb="FFFF0000"/>
      <name val="Calibri"/>
      <family val="2"/>
      <scheme val="minor"/>
    </font>
    <font>
      <sz val="9"/>
      <name val="Geneva"/>
    </font>
    <font>
      <sz val="10"/>
      <color theme="1"/>
      <name val="Calibri"/>
      <family val="2"/>
      <scheme val="minor"/>
    </font>
    <font>
      <sz val="10"/>
      <color indexed="9"/>
      <name val="Calibri"/>
      <family val="2"/>
      <scheme val="minor"/>
    </font>
    <font>
      <sz val="10"/>
      <color indexed="10"/>
      <name val="Calibri"/>
      <family val="2"/>
    </font>
    <font>
      <sz val="10"/>
      <color rgb="FFFF0000"/>
      <name val="Arial"/>
      <family val="2"/>
    </font>
    <font>
      <sz val="8"/>
      <name val="Arial"/>
    </font>
    <font>
      <b/>
      <sz val="11"/>
      <color rgb="FFFF0000"/>
      <name val="Calibri"/>
      <family val="2"/>
      <scheme val="minor"/>
    </font>
    <font>
      <b/>
      <sz val="15"/>
      <name val="Calibri"/>
      <family val="2"/>
      <scheme val="minor"/>
    </font>
    <font>
      <b/>
      <sz val="9"/>
      <color theme="1"/>
      <name val="Calibri"/>
      <family val="2"/>
      <scheme val="minor"/>
    </font>
    <font>
      <sz val="9"/>
      <color theme="1"/>
      <name val="Calibri"/>
      <family val="2"/>
      <scheme val="minor"/>
    </font>
    <font>
      <sz val="11"/>
      <color rgb="FF00B050"/>
      <name val="Calibri"/>
      <family val="2"/>
      <scheme val="minor"/>
    </font>
    <font>
      <sz val="10"/>
      <color rgb="FF00B050"/>
      <name val="Arial"/>
      <family val="2"/>
    </font>
    <font>
      <b/>
      <sz val="11"/>
      <color rgb="FF00B050"/>
      <name val="Calibri"/>
      <family val="2"/>
      <scheme val="minor"/>
    </font>
    <font>
      <sz val="11"/>
      <color rgb="FF0070C0"/>
      <name val="Calibri"/>
      <family val="2"/>
      <scheme val="minor"/>
    </font>
    <font>
      <sz val="16"/>
      <name val="Arial"/>
      <family val="2"/>
    </font>
    <font>
      <b/>
      <vertAlign val="subscript"/>
      <sz val="15"/>
      <name val="Calibri"/>
      <family val="2"/>
      <scheme val="minor"/>
    </font>
    <font>
      <vertAlign val="subscript"/>
      <sz val="10"/>
      <color theme="1"/>
      <name val="Calibri"/>
      <family val="2"/>
      <scheme val="minor"/>
    </font>
    <font>
      <sz val="10"/>
      <color rgb="FF0070C0"/>
      <name val="Arial"/>
      <family val="2"/>
    </font>
    <font>
      <sz val="11"/>
      <color theme="1"/>
      <name val="Calibri"/>
      <family val="2"/>
      <charset val="186"/>
      <scheme val="minor"/>
    </font>
    <font>
      <sz val="9"/>
      <name val="Helvetica"/>
      <family val="2"/>
    </font>
    <font>
      <sz val="11"/>
      <color rgb="FF000000"/>
      <name val="Calibri"/>
      <family val="2"/>
    </font>
    <font>
      <b/>
      <sz val="12"/>
      <name val="Times New Roman"/>
      <family val="1"/>
    </font>
    <font>
      <sz val="12"/>
      <name val="Times New Roman"/>
      <family val="1"/>
    </font>
    <font>
      <b/>
      <vertAlign val="subscript"/>
      <sz val="9"/>
      <name val="Times New Roman"/>
      <family val="1"/>
    </font>
    <font>
      <b/>
      <vertAlign val="superscript"/>
      <sz val="9"/>
      <name val="Times New Roman"/>
      <family val="1"/>
    </font>
    <font>
      <vertAlign val="superscript"/>
      <sz val="9"/>
      <name val="Times New Roman"/>
      <family val="1"/>
    </font>
    <font>
      <sz val="10"/>
      <color indexed="8"/>
      <name val="Arial"/>
      <family val="2"/>
    </font>
    <font>
      <b/>
      <sz val="9"/>
      <color indexed="8"/>
      <name val="Times New Roman"/>
      <family val="1"/>
    </font>
    <font>
      <b/>
      <i/>
      <sz val="16"/>
      <name val="Helvetica"/>
      <family val="2"/>
    </font>
    <font>
      <sz val="10"/>
      <name val="Helvetica"/>
      <family val="2"/>
    </font>
    <font>
      <sz val="10"/>
      <color theme="1"/>
      <name val="Helvetica"/>
      <family val="2"/>
    </font>
    <font>
      <sz val="11"/>
      <color theme="1"/>
      <name val="Helvetica"/>
      <family val="2"/>
    </font>
    <font>
      <sz val="11"/>
      <name val="Helvetica"/>
      <family val="2"/>
    </font>
    <font>
      <b/>
      <sz val="11"/>
      <name val="Helvetica"/>
      <family val="2"/>
    </font>
    <font>
      <b/>
      <sz val="10"/>
      <name val="Helvetica"/>
      <family val="2"/>
    </font>
    <font>
      <i/>
      <sz val="11"/>
      <color theme="1"/>
      <name val="Helvetica"/>
      <family val="2"/>
    </font>
    <font>
      <b/>
      <i/>
      <sz val="16"/>
      <name val="Arial"/>
      <family val="2"/>
    </font>
    <font>
      <sz val="14"/>
      <name val="Arial"/>
      <family val="2"/>
    </font>
    <font>
      <b/>
      <sz val="16"/>
      <color theme="1"/>
      <name val="Calibri"/>
      <family val="2"/>
      <scheme val="minor"/>
    </font>
    <font>
      <b/>
      <sz val="9"/>
      <color rgb="FF808080"/>
      <name val="Calibri"/>
      <family val="2"/>
    </font>
    <font>
      <sz val="9"/>
      <color rgb="FFC00000"/>
      <name val="Calibri"/>
      <family val="2"/>
    </font>
  </fonts>
  <fills count="100">
    <fill>
      <patternFill patternType="none"/>
    </fill>
    <fill>
      <patternFill patternType="gray125"/>
    </fill>
    <fill>
      <patternFill patternType="solid">
        <fgColor indexed="9"/>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47"/>
        <bgColor indexed="64"/>
      </patternFill>
    </fill>
    <fill>
      <patternFill patternType="solid">
        <fgColor indexed="44"/>
        <bgColor indexed="64"/>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55"/>
        <bgColor indexed="64"/>
      </patternFill>
    </fill>
    <fill>
      <patternFill patternType="solid">
        <fgColor indexed="26"/>
      </patternFill>
    </fill>
    <fill>
      <patternFill patternType="solid">
        <fgColor indexed="51"/>
        <bgColor indexed="64"/>
      </patternFill>
    </fill>
    <fill>
      <patternFill patternType="solid">
        <fgColor indexed="29"/>
        <bgColor indexed="64"/>
      </patternFill>
    </fill>
    <fill>
      <patternFill patternType="solid">
        <fgColor indexed="43"/>
        <bgColor indexed="64"/>
      </patternFill>
    </fill>
    <fill>
      <patternFill patternType="solid">
        <fgColor indexed="31"/>
        <bgColor indexed="64"/>
      </patternFill>
    </fill>
    <fill>
      <patternFill patternType="solid">
        <fgColor indexed="13"/>
        <bgColor indexed="64"/>
      </patternFill>
    </fill>
    <fill>
      <patternFill patternType="solid">
        <fgColor indexed="46"/>
        <bgColor indexed="64"/>
      </patternFill>
    </fill>
    <fill>
      <patternFill patternType="solid">
        <fgColor indexed="50"/>
        <bgColor indexed="64"/>
      </patternFill>
    </fill>
    <fill>
      <patternFill patternType="solid">
        <fgColor indexed="52"/>
        <bgColor indexed="64"/>
      </patternFill>
    </fill>
    <fill>
      <patternFill patternType="solid">
        <fgColor theme="0"/>
        <bgColor indexed="64"/>
      </patternFill>
    </fill>
    <fill>
      <patternFill patternType="solid">
        <fgColor rgb="FFFFC7CE"/>
      </patternFill>
    </fill>
    <fill>
      <patternFill patternType="solid">
        <fgColor rgb="FFBED6EE"/>
        <bgColor indexed="64"/>
      </patternFill>
    </fill>
    <fill>
      <patternFill patternType="solid">
        <fgColor rgb="FFF2F2F2"/>
      </patternFill>
    </fill>
    <fill>
      <patternFill patternType="solid">
        <fgColor rgb="FFC6EFCE"/>
      </patternFill>
    </fill>
    <fill>
      <patternFill patternType="solid">
        <fgColor rgb="FFFFCC99"/>
      </patternFill>
    </fill>
    <fill>
      <patternFill patternType="solid">
        <fgColor theme="6" tint="0.59996337778862885"/>
        <bgColor indexed="64"/>
      </patternFill>
    </fill>
    <fill>
      <patternFill patternType="solid">
        <fgColor rgb="FFFFC000"/>
        <bgColor indexed="64"/>
      </patternFill>
    </fill>
    <fill>
      <patternFill patternType="solid">
        <fgColor theme="0" tint="-0.34998626667073579"/>
        <bgColor indexed="64"/>
      </patternFill>
    </fill>
    <fill>
      <patternFill patternType="solid">
        <fgColor theme="0" tint="-0.24994659260841701"/>
        <bgColor indexed="64"/>
      </patternFill>
    </fill>
    <fill>
      <patternFill patternType="solid">
        <fgColor theme="3" tint="0.59999389629810485"/>
        <bgColor indexed="64"/>
      </patternFill>
    </fill>
    <fill>
      <patternFill patternType="solid">
        <fgColor theme="5" tint="0.59999389629810485"/>
        <bgColor indexed="64"/>
      </patternFill>
    </fill>
    <fill>
      <patternFill patternType="solid">
        <fgColor rgb="FFFFFF66"/>
        <bgColor indexed="64"/>
      </patternFill>
    </fill>
    <fill>
      <patternFill patternType="solid">
        <fgColor rgb="FF9999FF"/>
        <bgColor indexed="64"/>
      </patternFill>
    </fill>
    <fill>
      <patternFill patternType="solid">
        <fgColor rgb="FFFFFF00"/>
        <bgColor indexed="64"/>
      </patternFill>
    </fill>
    <fill>
      <patternFill patternType="solid">
        <fgColor rgb="FF92D050"/>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rgb="FFFF0000"/>
        <bgColor indexed="64"/>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indexed="12"/>
        <bgColor indexed="64"/>
      </patternFill>
    </fill>
    <fill>
      <patternFill patternType="solid">
        <fgColor indexed="42"/>
        <bgColor indexed="64"/>
      </patternFill>
    </fill>
    <fill>
      <patternFill patternType="solid">
        <fgColor rgb="FF99CCFF"/>
        <bgColor indexed="64"/>
      </patternFill>
    </fill>
    <fill>
      <patternFill patternType="solid">
        <fgColor rgb="FFFFCC00"/>
        <bgColor indexed="64"/>
      </patternFill>
    </fill>
    <fill>
      <patternFill patternType="solid">
        <fgColor theme="6" tint="0.59999389629810485"/>
        <bgColor indexed="64"/>
      </patternFill>
    </fill>
    <fill>
      <patternFill patternType="solid">
        <fgColor rgb="FFCCFFCC"/>
        <bgColor indexed="64"/>
      </patternFill>
    </fill>
    <fill>
      <patternFill patternType="solid">
        <fgColor rgb="FFFFFF99"/>
        <bgColor indexed="64"/>
      </patternFill>
    </fill>
    <fill>
      <patternFill patternType="solid">
        <fgColor theme="6"/>
        <bgColor indexed="64"/>
      </patternFill>
    </fill>
    <fill>
      <patternFill patternType="solid">
        <fgColor rgb="FF969696"/>
      </patternFill>
    </fill>
    <fill>
      <patternFill patternType="solid">
        <fgColor rgb="FFFFFFFF"/>
      </patternFill>
    </fill>
    <fill>
      <patternFill patternType="solid">
        <fgColor rgb="FFCCFFFF"/>
        <bgColor indexed="64"/>
      </patternFill>
    </fill>
    <fill>
      <patternFill patternType="solid">
        <fgColor indexed="41"/>
        <bgColor indexed="64"/>
      </patternFill>
    </fill>
    <fill>
      <patternFill patternType="solid">
        <fgColor indexed="22"/>
        <bgColor indexed="64"/>
      </patternFill>
    </fill>
    <fill>
      <patternFill patternType="solid">
        <fgColor rgb="FF00B0F0"/>
        <bgColor indexed="64"/>
      </patternFill>
    </fill>
    <fill>
      <patternFill patternType="solid">
        <fgColor rgb="FFD8E4BC"/>
        <bgColor rgb="FF000000"/>
      </patternFill>
    </fill>
  </fills>
  <borders count="130">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style="thin">
        <color indexed="64"/>
      </top>
      <bottom/>
      <diagonal/>
    </border>
    <border>
      <left/>
      <right/>
      <top style="thin">
        <color indexed="64"/>
      </top>
      <bottom style="medium">
        <color indexed="64"/>
      </bottom>
      <diagonal/>
    </border>
    <border>
      <left/>
      <right/>
      <top/>
      <bottom style="thin">
        <color indexed="64"/>
      </bottom>
      <diagonal/>
    </border>
    <border>
      <left style="medium">
        <color indexed="64"/>
      </left>
      <right style="medium">
        <color indexed="64"/>
      </right>
      <top/>
      <bottom/>
      <diagonal/>
    </border>
    <border>
      <left/>
      <right style="thin">
        <color indexed="64"/>
      </right>
      <top/>
      <bottom style="thin">
        <color indexed="64"/>
      </bottom>
      <diagonal/>
    </border>
    <border>
      <left style="medium">
        <color indexed="64"/>
      </left>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thick">
        <color indexed="64"/>
      </left>
      <right style="medium">
        <color indexed="64"/>
      </right>
      <top style="thick">
        <color indexed="64"/>
      </top>
      <bottom style="medium">
        <color indexed="64"/>
      </bottom>
      <diagonal/>
    </border>
    <border>
      <left style="medium">
        <color indexed="64"/>
      </left>
      <right style="medium">
        <color indexed="64"/>
      </right>
      <top style="thick">
        <color indexed="64"/>
      </top>
      <bottom style="medium">
        <color indexed="64"/>
      </bottom>
      <diagonal/>
    </border>
    <border>
      <left/>
      <right style="thin">
        <color indexed="64"/>
      </right>
      <top style="thick">
        <color indexed="64"/>
      </top>
      <bottom style="medium">
        <color indexed="64"/>
      </bottom>
      <diagonal/>
    </border>
    <border>
      <left style="thin">
        <color indexed="64"/>
      </left>
      <right style="thin">
        <color indexed="64"/>
      </right>
      <top style="thick">
        <color indexed="64"/>
      </top>
      <bottom style="medium">
        <color indexed="64"/>
      </bottom>
      <diagonal/>
    </border>
    <border>
      <left style="thin">
        <color indexed="64"/>
      </left>
      <right style="thick">
        <color indexed="64"/>
      </right>
      <top style="thick">
        <color indexed="64"/>
      </top>
      <bottom style="medium">
        <color indexed="64"/>
      </bottom>
      <diagonal/>
    </border>
    <border>
      <left style="thick">
        <color indexed="64"/>
      </left>
      <right style="medium">
        <color indexed="64"/>
      </right>
      <top/>
      <bottom/>
      <diagonal/>
    </border>
    <border>
      <left style="thin">
        <color indexed="64"/>
      </left>
      <right style="thick">
        <color indexed="64"/>
      </right>
      <top/>
      <bottom/>
      <diagonal/>
    </border>
    <border>
      <left style="thin">
        <color indexed="64"/>
      </left>
      <right/>
      <top/>
      <bottom style="thin">
        <color indexed="64"/>
      </bottom>
      <diagonal/>
    </border>
    <border>
      <left style="thick">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ck">
        <color indexed="64"/>
      </right>
      <top style="medium">
        <color indexed="64"/>
      </top>
      <bottom style="thin">
        <color indexed="64"/>
      </bottom>
      <diagonal/>
    </border>
    <border>
      <left style="thick">
        <color indexed="64"/>
      </left>
      <right style="medium">
        <color indexed="64"/>
      </right>
      <top/>
      <bottom style="thin">
        <color indexed="64"/>
      </bottom>
      <diagonal/>
    </border>
    <border>
      <left style="medium">
        <color indexed="64"/>
      </left>
      <right style="medium">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ck">
        <color indexed="64"/>
      </right>
      <top/>
      <bottom style="thin">
        <color indexed="64"/>
      </bottom>
      <diagonal/>
    </border>
    <border>
      <left style="thick">
        <color indexed="64"/>
      </left>
      <right style="medium">
        <color indexed="64"/>
      </right>
      <top/>
      <bottom style="thick">
        <color indexed="64"/>
      </bottom>
      <diagonal/>
    </border>
    <border>
      <left style="medium">
        <color indexed="64"/>
      </left>
      <right style="medium">
        <color indexed="64"/>
      </right>
      <top/>
      <bottom style="thick">
        <color indexed="64"/>
      </bottom>
      <diagonal/>
    </border>
    <border>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thick">
        <color indexed="64"/>
      </right>
      <top/>
      <bottom style="thick">
        <color indexed="64"/>
      </bottom>
      <diagonal/>
    </border>
    <border>
      <left/>
      <right style="thin">
        <color indexed="64"/>
      </right>
      <top style="thin">
        <color indexed="64"/>
      </top>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style="thick">
        <color indexed="64"/>
      </left>
      <right style="thin">
        <color indexed="64"/>
      </right>
      <top style="thick">
        <color indexed="64"/>
      </top>
      <bottom style="medium">
        <color indexed="64"/>
      </bottom>
      <diagonal/>
    </border>
    <border>
      <left style="thick">
        <color indexed="64"/>
      </left>
      <right style="thin">
        <color indexed="64"/>
      </right>
      <top/>
      <bottom/>
      <diagonal/>
    </border>
    <border>
      <left style="thick">
        <color indexed="64"/>
      </left>
      <right style="thin">
        <color indexed="64"/>
      </right>
      <top/>
      <bottom style="thick">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right style="thin">
        <color indexed="64"/>
      </right>
      <top style="medium">
        <color indexed="64"/>
      </top>
      <bottom/>
      <diagonal/>
    </border>
    <border>
      <left style="thin">
        <color rgb="FF7F7F7F"/>
      </left>
      <right style="thin">
        <color rgb="FF7F7F7F"/>
      </right>
      <top style="thin">
        <color rgb="FF7F7F7F"/>
      </top>
      <bottom style="thin">
        <color rgb="FF7F7F7F"/>
      </bottom>
      <diagonal/>
    </border>
    <border>
      <left/>
      <right/>
      <top/>
      <bottom style="thick">
        <color theme="4"/>
      </bottom>
      <diagonal/>
    </border>
    <border>
      <left/>
      <right/>
      <top/>
      <bottom style="thick">
        <color theme="4" tint="0.499984740745262"/>
      </bottom>
      <diagonal/>
    </border>
    <border>
      <left style="thin">
        <color rgb="FF3F3F3F"/>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bottom style="medium">
        <color theme="4" tint="0.39997558519241921"/>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50"/>
      </bottom>
      <diagonal/>
    </border>
    <border>
      <left/>
      <right/>
      <top style="thin">
        <color indexed="45"/>
      </top>
      <bottom style="thin">
        <color indexed="45"/>
      </bottom>
      <diagonal/>
    </border>
    <border>
      <left/>
      <right/>
      <top/>
      <bottom style="medium">
        <color auto="1"/>
      </bottom>
      <diagonal/>
    </border>
    <border>
      <left style="medium">
        <color auto="1"/>
      </left>
      <right/>
      <top/>
      <bottom style="medium">
        <color auto="1"/>
      </bottom>
      <diagonal/>
    </border>
    <border>
      <left/>
      <right style="medium">
        <color auto="1"/>
      </right>
      <top/>
      <bottom style="medium">
        <color auto="1"/>
      </bottom>
      <diagonal/>
    </border>
    <border>
      <left/>
      <right/>
      <top style="thin">
        <color auto="1"/>
      </top>
      <bottom style="thin">
        <color auto="1"/>
      </bottom>
      <diagonal/>
    </border>
    <border>
      <left/>
      <right/>
      <top style="thin">
        <color auto="1"/>
      </top>
      <bottom style="medium">
        <color auto="1"/>
      </bottom>
      <diagonal/>
    </border>
    <border>
      <left/>
      <right/>
      <top style="thin">
        <color auto="1"/>
      </top>
      <bottom/>
      <diagonal/>
    </border>
    <border>
      <left/>
      <right/>
      <top/>
      <bottom style="thin">
        <color auto="1"/>
      </bottom>
      <diagonal/>
    </border>
    <border>
      <left/>
      <right/>
      <top/>
      <bottom style="medium">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right/>
      <top/>
      <bottom style="medium">
        <color indexed="3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medium">
        <color indexed="64"/>
      </left>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auto="1"/>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top style="thin">
        <color indexed="64"/>
      </top>
      <bottom/>
      <diagonal/>
    </border>
    <border>
      <left style="thin">
        <color auto="1"/>
      </left>
      <right style="thin">
        <color auto="1"/>
      </right>
      <top style="thin">
        <color auto="1"/>
      </top>
      <bottom style="medium">
        <color indexed="64"/>
      </bottom>
      <diagonal/>
    </border>
  </borders>
  <cellStyleXfs count="15996">
    <xf numFmtId="0" fontId="0" fillId="0" borderId="0"/>
    <xf numFmtId="178" fontId="12" fillId="0" borderId="0"/>
    <xf numFmtId="3" fontId="12" fillId="37" borderId="77" applyFont="0" applyFill="0" applyBorder="0" applyAlignment="0" applyProtection="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2" fillId="0" borderId="0" applyNumberFormat="0" applyFont="0" applyFill="0" applyBorder="0" applyProtection="0">
      <alignment horizontal="left" vertical="center" indent="5"/>
    </xf>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4" fontId="42" fillId="21" borderId="2">
      <alignment horizontal="right" vertical="center"/>
    </xf>
    <xf numFmtId="4" fontId="42" fillId="21" borderId="2">
      <alignment horizontal="right" vertical="center"/>
    </xf>
    <xf numFmtId="0" fontId="66" fillId="38" borderId="0" applyNumberFormat="0" applyBorder="0" applyAlignment="0" applyProtection="0"/>
    <xf numFmtId="3" fontId="67" fillId="39" borderId="77" applyNumberFormat="0" applyBorder="0" applyAlignment="0" applyProtection="0"/>
    <xf numFmtId="0" fontId="16" fillId="23" borderId="1" applyNumberFormat="0" applyAlignment="0" applyProtection="0"/>
    <xf numFmtId="0" fontId="68" fillId="40" borderId="77" applyNumberFormat="0" applyAlignment="0" applyProtection="0"/>
    <xf numFmtId="0" fontId="33" fillId="37" borderId="77" applyNumberFormat="0" applyBorder="0" applyAlignment="0" applyProtection="0"/>
    <xf numFmtId="0" fontId="17" fillId="0" borderId="3" applyNumberFormat="0" applyFill="0" applyAlignment="0" applyProtection="0"/>
    <xf numFmtId="0" fontId="18" fillId="24" borderId="4" applyNumberFormat="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165" fontId="40"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39" fillId="0" borderId="0" applyFont="0" applyFill="0" applyBorder="0" applyAlignment="0" applyProtection="0"/>
    <xf numFmtId="165" fontId="40" fillId="0" borderId="0" applyFont="0" applyFill="0" applyBorder="0" applyAlignment="0" applyProtection="0"/>
    <xf numFmtId="165" fontId="12" fillId="0" borderId="0" applyFont="0" applyFill="0" applyBorder="0" applyAlignment="0" applyProtection="0"/>
    <xf numFmtId="165" fontId="40" fillId="0" borderId="0" applyFont="0" applyFill="0" applyBorder="0" applyAlignment="0" applyProtection="0"/>
    <xf numFmtId="165" fontId="59" fillId="0" borderId="0" applyFont="0" applyFill="0" applyBorder="0" applyAlignment="0" applyProtection="0"/>
    <xf numFmtId="43" fontId="48" fillId="0" borderId="0" applyFont="0" applyFill="0" applyBorder="0" applyAlignment="0" applyProtection="0"/>
    <xf numFmtId="43" fontId="14" fillId="0" borderId="0" applyFont="0" applyFill="0" applyBorder="0" applyAlignment="0" applyProtection="0"/>
    <xf numFmtId="165" fontId="12" fillId="0" borderId="0" applyFont="0" applyFill="0" applyBorder="0" applyAlignment="0" applyProtection="0"/>
    <xf numFmtId="165" fontId="48" fillId="0" borderId="0" applyFont="0" applyFill="0" applyBorder="0" applyAlignment="0" applyProtection="0"/>
    <xf numFmtId="165" fontId="14" fillId="0" borderId="0" applyFont="0" applyFill="0" applyBorder="0" applyAlignment="0" applyProtection="0"/>
    <xf numFmtId="165" fontId="65" fillId="0" borderId="0" applyFont="0" applyFill="0" applyBorder="0" applyAlignment="0" applyProtection="0"/>
    <xf numFmtId="165" fontId="39" fillId="0" borderId="0" applyFont="0" applyFill="0" applyBorder="0" applyAlignment="0" applyProtection="0"/>
    <xf numFmtId="165" fontId="48" fillId="0" borderId="0" applyFont="0" applyFill="0" applyBorder="0" applyAlignment="0" applyProtection="0"/>
    <xf numFmtId="165" fontId="14" fillId="0" borderId="0" applyFont="0" applyFill="0" applyBorder="0" applyAlignment="0" applyProtection="0"/>
    <xf numFmtId="165" fontId="65"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165" fontId="12" fillId="0" borderId="0" applyFont="0" applyFill="0" applyBorder="0" applyAlignment="0" applyProtection="0"/>
    <xf numFmtId="0" fontId="37" fillId="0" borderId="0"/>
    <xf numFmtId="0" fontId="43" fillId="0" borderId="5">
      <alignment horizontal="left" vertical="center" wrapText="1" indent="2"/>
    </xf>
    <xf numFmtId="168" fontId="11"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72" fontId="12" fillId="0" borderId="0" applyFont="0" applyFill="0" applyBorder="0" applyAlignment="0" applyProtection="0"/>
    <xf numFmtId="168" fontId="12" fillId="0" borderId="0" applyFont="0" applyFill="0" applyBorder="0" applyAlignment="0" applyProtection="0"/>
    <xf numFmtId="168" fontId="12" fillId="0" borderId="0" applyFont="0" applyFill="0" applyBorder="0" applyAlignment="0" applyProtection="0"/>
    <xf numFmtId="168" fontId="39" fillId="0" borderId="0" applyFont="0" applyFill="0" applyBorder="0" applyAlignment="0" applyProtection="0"/>
    <xf numFmtId="168" fontId="40" fillId="0" borderId="0" applyFont="0" applyFill="0" applyBorder="0" applyAlignment="0" applyProtection="0"/>
    <xf numFmtId="168" fontId="12" fillId="0" borderId="0" applyFont="0" applyFill="0" applyBorder="0" applyAlignment="0" applyProtection="0"/>
    <xf numFmtId="0" fontId="12" fillId="0" borderId="0" applyFont="0" applyFill="0" applyBorder="0" applyAlignment="0" applyProtection="0"/>
    <xf numFmtId="168" fontId="39" fillId="0" borderId="0" applyFont="0" applyFill="0" applyBorder="0" applyAlignment="0" applyProtection="0"/>
    <xf numFmtId="168" fontId="12"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8" fontId="40" fillId="0" borderId="0" applyFont="0" applyFill="0" applyBorder="0" applyAlignment="0" applyProtection="0"/>
    <xf numFmtId="178" fontId="12"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166" fontId="11"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40" fillId="0" borderId="0" applyFont="0" applyFill="0" applyBorder="0" applyAlignment="0" applyProtection="0"/>
    <xf numFmtId="166" fontId="12" fillId="0" borderId="0" applyFont="0" applyFill="0" applyBorder="0" applyAlignment="0" applyProtection="0"/>
    <xf numFmtId="166" fontId="39" fillId="0" borderId="0" applyFont="0" applyFill="0" applyBorder="0" applyAlignment="0" applyProtection="0"/>
    <xf numFmtId="166" fontId="12" fillId="0" borderId="0" applyFont="0" applyFill="0" applyBorder="0" applyAlignment="0" applyProtection="0"/>
    <xf numFmtId="166" fontId="40" fillId="0" borderId="0" applyFont="0" applyFill="0" applyBorder="0" applyAlignment="0" applyProtection="0"/>
    <xf numFmtId="0" fontId="37" fillId="0" borderId="0"/>
    <xf numFmtId="0" fontId="69" fillId="41" borderId="0" applyNumberFormat="0" applyBorder="0" applyAlignment="0" applyProtection="0"/>
    <xf numFmtId="0" fontId="70" fillId="0" borderId="78" applyNumberFormat="0" applyFill="0" applyAlignment="0" applyProtection="0"/>
    <xf numFmtId="0" fontId="71" fillId="0" borderId="79" applyNumberFormat="0" applyFill="0" applyAlignment="0" applyProtection="0"/>
    <xf numFmtId="0" fontId="72" fillId="0" borderId="0" applyNumberFormat="0" applyFill="0" applyBorder="0" applyAlignment="0" applyProtection="0"/>
    <xf numFmtId="178" fontId="63" fillId="0" borderId="0" applyNumberFormat="0" applyFill="0" applyBorder="0" applyAlignment="0" applyProtection="0">
      <alignment vertical="top"/>
      <protection locked="0"/>
    </xf>
    <xf numFmtId="0" fontId="19" fillId="8" borderId="1" applyNumberFormat="0" applyAlignment="0" applyProtection="0"/>
    <xf numFmtId="0" fontId="19" fillId="8" borderId="1" applyNumberFormat="0" applyAlignment="0" applyProtection="0"/>
    <xf numFmtId="0" fontId="73" fillId="42" borderId="77" applyNumberFormat="0" applyAlignment="0" applyProtection="0"/>
    <xf numFmtId="4" fontId="43" fillId="0" borderId="0" applyBorder="0">
      <alignment horizontal="right" vertical="center"/>
    </xf>
    <xf numFmtId="165" fontId="48" fillId="0" borderId="0" applyFont="0" applyFill="0" applyBorder="0" applyAlignment="0" applyProtection="0"/>
    <xf numFmtId="165" fontId="14" fillId="0" borderId="0" applyFont="0" applyFill="0" applyBorder="0" applyAlignment="0" applyProtection="0"/>
    <xf numFmtId="43" fontId="48" fillId="0" borderId="0" applyFont="0" applyFill="0" applyBorder="0" applyAlignment="0" applyProtection="0"/>
    <xf numFmtId="43" fontId="14" fillId="0" borderId="0" applyFont="0" applyFill="0" applyBorder="0" applyAlignment="0" applyProtection="0"/>
    <xf numFmtId="165" fontId="65" fillId="0" borderId="0" applyFont="0" applyFill="0" applyBorder="0" applyAlignment="0" applyProtection="0"/>
    <xf numFmtId="165" fontId="12" fillId="0" borderId="0" applyFont="0" applyFill="0" applyBorder="0" applyAlignment="0" applyProtection="0"/>
    <xf numFmtId="0" fontId="74" fillId="0" borderId="0" applyNumberFormat="0" applyFill="0" applyBorder="0" applyAlignment="0" applyProtection="0"/>
    <xf numFmtId="179" fontId="75" fillId="43" borderId="0" applyNumberFormat="0" applyBorder="0" applyAlignment="0" applyProtection="0">
      <alignment horizontal="center" vertical="top" wrapText="1"/>
    </xf>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165" fontId="12"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40" fillId="0" borderId="0" applyFont="0" applyFill="0" applyBorder="0" applyAlignment="0" applyProtection="0"/>
    <xf numFmtId="43" fontId="12" fillId="0" borderId="0" applyFont="0" applyFill="0" applyBorder="0" applyAlignment="0" applyProtection="0"/>
    <xf numFmtId="43" fontId="39" fillId="0" borderId="0" applyFont="0" applyFill="0" applyBorder="0" applyAlignment="0" applyProtection="0"/>
    <xf numFmtId="43" fontId="12" fillId="0" borderId="0" applyFont="0" applyFill="0" applyBorder="0" applyAlignment="0" applyProtection="0"/>
    <xf numFmtId="43" fontId="40" fillId="0" borderId="0" applyFont="0" applyFill="0" applyBorder="0" applyAlignment="0" applyProtection="0"/>
    <xf numFmtId="0" fontId="21" fillId="26" borderId="0" applyNumberFormat="0" applyBorder="0" applyAlignment="0" applyProtection="0"/>
    <xf numFmtId="0" fontId="12" fillId="0" borderId="0"/>
    <xf numFmtId="0" fontId="12" fillId="0" borderId="0"/>
    <xf numFmtId="0" fontId="37" fillId="0" borderId="0"/>
    <xf numFmtId="0" fontId="12" fillId="0" borderId="0"/>
    <xf numFmtId="0" fontId="37" fillId="0" borderId="0"/>
    <xf numFmtId="0" fontId="32" fillId="0" borderId="0" applyFill="0" applyBorder="0"/>
    <xf numFmtId="0" fontId="60" fillId="0" borderId="0"/>
    <xf numFmtId="0" fontId="37" fillId="0" borderId="0"/>
    <xf numFmtId="0" fontId="65" fillId="0" borderId="0"/>
    <xf numFmtId="0" fontId="12" fillId="0" borderId="0"/>
    <xf numFmtId="0" fontId="65" fillId="0" borderId="0"/>
    <xf numFmtId="0" fontId="76" fillId="0" borderId="0"/>
    <xf numFmtId="0" fontId="12" fillId="0" borderId="0"/>
    <xf numFmtId="0" fontId="77" fillId="0" borderId="0"/>
    <xf numFmtId="0" fontId="65" fillId="0" borderId="0"/>
    <xf numFmtId="0" fontId="12" fillId="0" borderId="0"/>
    <xf numFmtId="0" fontId="77" fillId="0" borderId="0"/>
    <xf numFmtId="0" fontId="40" fillId="0" borderId="0"/>
    <xf numFmtId="0" fontId="40" fillId="0" borderId="0"/>
    <xf numFmtId="0" fontId="65" fillId="0" borderId="0"/>
    <xf numFmtId="179" fontId="33" fillId="37" borderId="0" applyNumberFormat="0" applyBorder="0" applyAlignment="0"/>
    <xf numFmtId="4" fontId="43" fillId="0" borderId="2" applyFill="0" applyBorder="0" applyProtection="0">
      <alignment horizontal="right" vertical="center"/>
    </xf>
    <xf numFmtId="0" fontId="44" fillId="0" borderId="0" applyNumberFormat="0" applyFill="0" applyBorder="0" applyProtection="0">
      <alignment horizontal="left" vertical="center"/>
    </xf>
    <xf numFmtId="0" fontId="12" fillId="27" borderId="0" applyNumberFormat="0" applyFont="0" applyBorder="0" applyAlignment="0" applyProtection="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4" fillId="0" borderId="0"/>
    <xf numFmtId="0" fontId="14"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12" fillId="0" borderId="0"/>
    <xf numFmtId="0" fontId="12" fillId="0" borderId="0"/>
    <xf numFmtId="0" fontId="12" fillId="0" borderId="0"/>
    <xf numFmtId="0" fontId="20" fillId="0" borderId="0"/>
    <xf numFmtId="0" fontId="41" fillId="0" borderId="0"/>
    <xf numFmtId="0" fontId="11" fillId="28" borderId="9" applyNumberFormat="0" applyFont="0" applyAlignment="0" applyProtection="0"/>
    <xf numFmtId="0" fontId="12" fillId="28" borderId="9" applyNumberFormat="0" applyFont="0" applyAlignment="0" applyProtection="0"/>
    <xf numFmtId="0" fontId="39" fillId="28" borderId="9" applyNumberFormat="0" applyFont="0" applyAlignment="0" applyProtection="0"/>
    <xf numFmtId="0" fontId="40" fillId="28" borderId="9" applyNumberFormat="0" applyFont="0" applyAlignment="0" applyProtection="0"/>
    <xf numFmtId="0" fontId="12" fillId="28" borderId="9" applyNumberFormat="0" applyFont="0" applyAlignment="0" applyProtection="0"/>
    <xf numFmtId="0" fontId="39" fillId="28" borderId="9" applyNumberFormat="0" applyFont="0" applyAlignment="0" applyProtection="0"/>
    <xf numFmtId="0" fontId="12" fillId="28" borderId="9" applyNumberFormat="0" applyFont="0" applyAlignment="0" applyProtection="0"/>
    <xf numFmtId="0" fontId="40" fillId="28" borderId="9" applyNumberFormat="0" applyFont="0" applyAlignment="0" applyProtection="0"/>
    <xf numFmtId="167" fontId="11"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167" fontId="11"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40" fillId="0" borderId="0" applyFont="0" applyFill="0" applyBorder="0" applyAlignment="0" applyProtection="0"/>
    <xf numFmtId="167" fontId="12" fillId="0" borderId="0" applyFont="0" applyFill="0" applyBorder="0" applyAlignment="0" applyProtection="0"/>
    <xf numFmtId="167" fontId="39" fillId="0" borderId="0" applyFont="0" applyFill="0" applyBorder="0" applyAlignment="0" applyProtection="0"/>
    <xf numFmtId="167" fontId="12" fillId="0" borderId="0" applyFont="0" applyFill="0" applyBorder="0" applyAlignment="0" applyProtection="0"/>
    <xf numFmtId="167" fontId="40" fillId="0" borderId="0" applyFont="0" applyFill="0" applyBorder="0" applyAlignment="0" applyProtection="0"/>
    <xf numFmtId="0" fontId="22" fillId="23" borderId="10" applyNumberFormat="0" applyAlignment="0" applyProtection="0"/>
    <xf numFmtId="0" fontId="22" fillId="23" borderId="10" applyNumberFormat="0" applyAlignment="0" applyProtection="0"/>
    <xf numFmtId="0" fontId="78" fillId="40" borderId="80" applyNumberFormat="0" applyAlignment="0" applyProtection="0"/>
    <xf numFmtId="0" fontId="79" fillId="44" borderId="0" applyNumberFormat="0" applyAlignment="0" applyProtection="0"/>
    <xf numFmtId="0" fontId="80" fillId="45" borderId="0" applyNumberFormat="0" applyAlignment="0" applyProtection="0"/>
    <xf numFmtId="0" fontId="81" fillId="46" borderId="0" applyNumberFormat="0" applyAlignment="0" applyProtection="0"/>
    <xf numFmtId="179" fontId="62" fillId="2" borderId="0" applyNumberFormat="0" applyFill="0" applyBorder="0" applyAlignment="0">
      <alignment horizontal="center"/>
    </xf>
    <xf numFmtId="0" fontId="37" fillId="0" borderId="0"/>
    <xf numFmtId="9" fontId="11"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40"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2"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1"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39" fillId="0" borderId="0" applyFont="0" applyFill="0" applyBorder="0" applyAlignment="0" applyProtection="0"/>
    <xf numFmtId="9" fontId="12" fillId="0" borderId="0" applyFont="0" applyFill="0" applyBorder="0" applyAlignment="0" applyProtection="0"/>
    <xf numFmtId="9" fontId="40" fillId="0" borderId="0" applyFont="0" applyFill="0" applyBorder="0" applyAlignment="0" applyProtection="0"/>
    <xf numFmtId="9" fontId="12" fillId="0" borderId="0" applyFont="0" applyFill="0" applyBorder="0" applyAlignment="0" applyProtection="0"/>
    <xf numFmtId="9" fontId="48" fillId="0" borderId="0" applyFont="0" applyFill="0" applyBorder="0" applyAlignment="0" applyProtection="0"/>
    <xf numFmtId="9" fontId="14" fillId="0" borderId="0" applyFont="0" applyFill="0" applyBorder="0" applyAlignment="0" applyProtection="0"/>
    <xf numFmtId="9" fontId="65" fillId="0" borderId="0" applyFont="0" applyFill="0" applyBorder="0" applyAlignment="0" applyProtection="0"/>
    <xf numFmtId="0" fontId="12" fillId="0" borderId="0"/>
    <xf numFmtId="0" fontId="23"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29" fillId="0" borderId="11" applyNumberFormat="0" applyFill="0" applyAlignment="0" applyProtection="0"/>
    <xf numFmtId="0" fontId="83" fillId="40" borderId="77" applyNumberFormat="0" applyFill="0" applyBorder="0" applyAlignment="0" applyProtection="0"/>
    <xf numFmtId="0" fontId="30" fillId="4" borderId="0" applyNumberFormat="0" applyBorder="0" applyAlignment="0" applyProtection="0"/>
    <xf numFmtId="0" fontId="31" fillId="5" borderId="0" applyNumberFormat="0" applyBorder="0" applyAlignment="0" applyProtection="0"/>
    <xf numFmtId="0" fontId="61" fillId="40" borderId="77" applyFill="0" applyBorder="0" applyAlignment="0" applyProtection="0"/>
    <xf numFmtId="4" fontId="43" fillId="0" borderId="0"/>
    <xf numFmtId="0" fontId="10" fillId="0" borderId="0"/>
    <xf numFmtId="165" fontId="10" fillId="0" borderId="0" applyFont="0" applyFill="0" applyBorder="0" applyAlignment="0" applyProtection="0"/>
    <xf numFmtId="0" fontId="11" fillId="0" borderId="0"/>
    <xf numFmtId="0" fontId="66" fillId="38" borderId="0" applyNumberFormat="0" applyBorder="0" applyAlignment="0" applyProtection="0"/>
    <xf numFmtId="0" fontId="68" fillId="40" borderId="77" applyNumberFormat="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77" fillId="0" borderId="0"/>
    <xf numFmtId="0" fontId="77" fillId="0" borderId="0"/>
    <xf numFmtId="0" fontId="77" fillId="0" borderId="0"/>
    <xf numFmtId="178" fontId="11" fillId="0" borderId="0"/>
    <xf numFmtId="3" fontId="11" fillId="37" borderId="77" applyFont="0" applyFill="0" applyBorder="0" applyAlignment="0" applyProtection="0"/>
    <xf numFmtId="0" fontId="11" fillId="0" borderId="0" applyNumberFormat="0" applyFont="0" applyFill="0" applyBorder="0" applyProtection="0">
      <alignment horizontal="left" vertical="center" indent="5"/>
    </xf>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9" fillId="0" borderId="0" applyFont="0" applyFill="0" applyBorder="0" applyAlignment="0" applyProtection="0"/>
    <xf numFmtId="165" fontId="11" fillId="0" borderId="0" applyFont="0" applyFill="0" applyBorder="0" applyAlignment="0" applyProtection="0"/>
    <xf numFmtId="165" fontId="9"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72"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0" fontId="11" fillId="0" borderId="0" applyFont="0" applyFill="0" applyBorder="0" applyAlignment="0" applyProtection="0"/>
    <xf numFmtId="168" fontId="11" fillId="0" borderId="0" applyFont="0" applyFill="0" applyBorder="0" applyAlignment="0" applyProtection="0"/>
    <xf numFmtId="168"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78"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6" fontId="11" fillId="0" borderId="0" applyFont="0" applyFill="0" applyBorder="0" applyAlignment="0" applyProtection="0"/>
    <xf numFmtId="165" fontId="9" fillId="0" borderId="0" applyFont="0" applyFill="0" applyBorder="0" applyAlignment="0" applyProtection="0"/>
    <xf numFmtId="165"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11" fillId="0" borderId="0"/>
    <xf numFmtId="0" fontId="11" fillId="0" borderId="0"/>
    <xf numFmtId="0" fontId="11" fillId="0" borderId="0"/>
    <xf numFmtId="0" fontId="11" fillId="0" borderId="0"/>
    <xf numFmtId="0" fontId="9" fillId="0" borderId="0"/>
    <xf numFmtId="0" fontId="11" fillId="0" borderId="0"/>
    <xf numFmtId="0" fontId="9" fillId="0" borderId="0"/>
    <xf numFmtId="0" fontId="11" fillId="0" borderId="0"/>
    <xf numFmtId="0" fontId="9" fillId="0" borderId="0"/>
    <xf numFmtId="0" fontId="11" fillId="0" borderId="0"/>
    <xf numFmtId="0" fontId="9" fillId="0" borderId="0"/>
    <xf numFmtId="0" fontId="11" fillId="27" borderId="0" applyNumberFormat="0" applyFont="0" applyBorder="0" applyAlignment="0" applyProtection="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0" borderId="0"/>
    <xf numFmtId="0" fontId="11" fillId="28" borderId="9" applyNumberFormat="0" applyFont="0" applyAlignment="0" applyProtection="0"/>
    <xf numFmtId="0" fontId="11" fillId="28" borderId="9" applyNumberFormat="0" applyFont="0" applyAlignment="0" applyProtection="0"/>
    <xf numFmtId="0" fontId="11" fillId="28" borderId="9" applyNumberFormat="0" applyFont="0" applyAlignment="0" applyProtection="0"/>
    <xf numFmtId="0" fontId="11" fillId="28" borderId="9" applyNumberFormat="0" applyFont="0" applyAlignment="0" applyProtection="0"/>
    <xf numFmtId="0" fontId="11" fillId="28" borderId="9" applyNumberFormat="0" applyFont="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167"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11" fillId="0" borderId="0" applyFont="0" applyFill="0" applyBorder="0" applyAlignment="0" applyProtection="0"/>
    <xf numFmtId="9" fontId="9" fillId="0" borderId="0" applyFont="0" applyFill="0" applyBorder="0" applyAlignment="0" applyProtection="0"/>
    <xf numFmtId="0" fontId="9" fillId="0" borderId="0"/>
    <xf numFmtId="165" fontId="9" fillId="0" borderId="0" applyFont="0" applyFill="0" applyBorder="0" applyAlignment="0" applyProtection="0"/>
    <xf numFmtId="165" fontId="40"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40" fillId="0" borderId="0" applyFont="0" applyFill="0" applyBorder="0" applyAlignment="0" applyProtection="0"/>
    <xf numFmtId="165" fontId="11" fillId="0" borderId="0" applyFont="0" applyFill="0" applyBorder="0" applyAlignment="0" applyProtection="0"/>
    <xf numFmtId="165" fontId="40" fillId="0" borderId="0" applyFont="0" applyFill="0" applyBorder="0" applyAlignment="0" applyProtection="0"/>
    <xf numFmtId="165" fontId="95" fillId="0" borderId="0" applyFont="0" applyFill="0" applyBorder="0" applyAlignment="0" applyProtection="0"/>
    <xf numFmtId="165" fontId="11"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4" fillId="0" borderId="0" applyFont="0" applyFill="0" applyBorder="0" applyAlignment="0" applyProtection="0"/>
    <xf numFmtId="165" fontId="14"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8" fillId="0" borderId="0" applyFont="0" applyFill="0" applyBorder="0" applyAlignment="0" applyProtection="0"/>
    <xf numFmtId="165" fontId="11"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165" fontId="8" fillId="0" borderId="0" applyFont="0" applyFill="0" applyBorder="0" applyAlignment="0" applyProtection="0"/>
    <xf numFmtId="0" fontId="8" fillId="0" borderId="0"/>
    <xf numFmtId="9" fontId="8" fillId="0" borderId="0" applyFont="0" applyFill="0" applyBorder="0" applyAlignment="0" applyProtection="0"/>
    <xf numFmtId="43" fontId="8" fillId="0" borderId="0" applyFont="0" applyFill="0" applyBorder="0" applyAlignment="0" applyProtection="0"/>
    <xf numFmtId="43" fontId="8" fillId="0" borderId="0" applyFont="0" applyFill="0" applyBorder="0" applyAlignment="0" applyProtection="0"/>
    <xf numFmtId="165" fontId="8" fillId="0" borderId="0" applyFont="0" applyFill="0" applyBorder="0" applyAlignment="0" applyProtection="0"/>
    <xf numFmtId="0" fontId="77" fillId="0" borderId="0"/>
    <xf numFmtId="0" fontId="66" fillId="38" borderId="0" applyNumberFormat="0" applyBorder="0" applyAlignment="0" applyProtection="0"/>
    <xf numFmtId="0" fontId="8" fillId="0" borderId="0"/>
    <xf numFmtId="0" fontId="8" fillId="0" borderId="0"/>
    <xf numFmtId="0" fontId="8" fillId="0" borderId="0"/>
    <xf numFmtId="0" fontId="8" fillId="0" borderId="0"/>
    <xf numFmtId="0" fontId="77" fillId="0" borderId="0"/>
    <xf numFmtId="0" fontId="11" fillId="0" borderId="0"/>
    <xf numFmtId="0" fontId="77" fillId="0" borderId="0"/>
    <xf numFmtId="0" fontId="8" fillId="0" borderId="0"/>
    <xf numFmtId="0" fontId="8" fillId="0" borderId="0"/>
    <xf numFmtId="0" fontId="8" fillId="0" borderId="0"/>
    <xf numFmtId="0" fontId="8" fillId="0" borderId="0"/>
    <xf numFmtId="0" fontId="97" fillId="0" borderId="0" applyNumberFormat="0" applyFill="0" applyBorder="0" applyAlignment="0" applyProtection="0"/>
    <xf numFmtId="0" fontId="98" fillId="38" borderId="0" applyNumberFormat="0" applyBorder="0" applyAlignment="0" applyProtection="0"/>
    <xf numFmtId="0" fontId="99" fillId="57" borderId="0" applyNumberFormat="0" applyBorder="0" applyAlignment="0" applyProtection="0"/>
    <xf numFmtId="0" fontId="100" fillId="0" borderId="84" applyNumberFormat="0" applyFill="0" applyAlignment="0" applyProtection="0"/>
    <xf numFmtId="0" fontId="101" fillId="58" borderId="85" applyNumberFormat="0" applyAlignment="0" applyProtection="0"/>
    <xf numFmtId="0" fontId="102" fillId="0" borderId="0" applyNumberFormat="0" applyFill="0" applyBorder="0" applyAlignment="0" applyProtection="0"/>
    <xf numFmtId="0" fontId="103" fillId="0" borderId="0" applyNumberFormat="0" applyFill="0" applyBorder="0" applyAlignment="0" applyProtection="0"/>
    <xf numFmtId="0" fontId="82" fillId="0" borderId="87" applyNumberFormat="0" applyFill="0" applyAlignment="0" applyProtection="0"/>
    <xf numFmtId="0" fontId="104" fillId="60" borderId="0" applyNumberFormat="0" applyBorder="0" applyAlignment="0" applyProtection="0"/>
    <xf numFmtId="0" fontId="7" fillId="61" borderId="0" applyNumberFormat="0" applyBorder="0" applyAlignment="0" applyProtection="0"/>
    <xf numFmtId="0" fontId="7" fillId="62" borderId="0" applyNumberFormat="0" applyBorder="0" applyAlignment="0" applyProtection="0"/>
    <xf numFmtId="0" fontId="104" fillId="63" borderId="0" applyNumberFormat="0" applyBorder="0" applyAlignment="0" applyProtection="0"/>
    <xf numFmtId="0" fontId="104" fillId="64" borderId="0" applyNumberFormat="0" applyBorder="0" applyAlignment="0" applyProtection="0"/>
    <xf numFmtId="0" fontId="7" fillId="65" borderId="0" applyNumberFormat="0" applyBorder="0" applyAlignment="0" applyProtection="0"/>
    <xf numFmtId="0" fontId="7" fillId="66" borderId="0" applyNumberFormat="0" applyBorder="0" applyAlignment="0" applyProtection="0"/>
    <xf numFmtId="0" fontId="104" fillId="67" borderId="0" applyNumberFormat="0" applyBorder="0" applyAlignment="0" applyProtection="0"/>
    <xf numFmtId="0" fontId="104" fillId="68" borderId="0" applyNumberFormat="0" applyBorder="0" applyAlignment="0" applyProtection="0"/>
    <xf numFmtId="0" fontId="7" fillId="69" borderId="0" applyNumberFormat="0" applyBorder="0" applyAlignment="0" applyProtection="0"/>
    <xf numFmtId="0" fontId="7" fillId="70" borderId="0" applyNumberFormat="0" applyBorder="0" applyAlignment="0" applyProtection="0"/>
    <xf numFmtId="0" fontId="104" fillId="71" borderId="0" applyNumberFormat="0" applyBorder="0" applyAlignment="0" applyProtection="0"/>
    <xf numFmtId="0" fontId="104" fillId="72" borderId="0" applyNumberFormat="0" applyBorder="0" applyAlignment="0" applyProtection="0"/>
    <xf numFmtId="0" fontId="7" fillId="73" borderId="0" applyNumberFormat="0" applyBorder="0" applyAlignment="0" applyProtection="0"/>
    <xf numFmtId="0" fontId="7" fillId="74" borderId="0" applyNumberFormat="0" applyBorder="0" applyAlignment="0" applyProtection="0"/>
    <xf numFmtId="0" fontId="104" fillId="75" borderId="0" applyNumberFormat="0" applyBorder="0" applyAlignment="0" applyProtection="0"/>
    <xf numFmtId="0" fontId="104" fillId="76" borderId="0" applyNumberFormat="0" applyBorder="0" applyAlignment="0" applyProtection="0"/>
    <xf numFmtId="0" fontId="7" fillId="77" borderId="0" applyNumberFormat="0" applyBorder="0" applyAlignment="0" applyProtection="0"/>
    <xf numFmtId="0" fontId="7" fillId="78" borderId="0" applyNumberFormat="0" applyBorder="0" applyAlignment="0" applyProtection="0"/>
    <xf numFmtId="0" fontId="104" fillId="79" borderId="0" applyNumberFormat="0" applyBorder="0" applyAlignment="0" applyProtection="0"/>
    <xf numFmtId="0" fontId="104" fillId="80" borderId="0" applyNumberFormat="0" applyBorder="0" applyAlignment="0" applyProtection="0"/>
    <xf numFmtId="0" fontId="7" fillId="81" borderId="0" applyNumberFormat="0" applyBorder="0" applyAlignment="0" applyProtection="0"/>
    <xf numFmtId="0" fontId="7" fillId="82" borderId="0" applyNumberFormat="0" applyBorder="0" applyAlignment="0" applyProtection="0"/>
    <xf numFmtId="0" fontId="104" fillId="83" borderId="0" applyNumberFormat="0" applyBorder="0" applyAlignment="0" applyProtection="0"/>
    <xf numFmtId="0" fontId="7" fillId="0" borderId="0"/>
    <xf numFmtId="165" fontId="7" fillId="0" borderId="0" applyFont="0" applyFill="0" applyBorder="0" applyAlignment="0" applyProtection="0"/>
    <xf numFmtId="9" fontId="7" fillId="0" borderId="0" applyFont="0" applyFill="0" applyBorder="0" applyAlignment="0" applyProtection="0"/>
    <xf numFmtId="165" fontId="95"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79" fontId="33" fillId="37" borderId="0" applyNumberFormat="0" applyBorder="0" applyAlignment="0"/>
    <xf numFmtId="179" fontId="11" fillId="0" borderId="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65" fontId="11" fillId="0" borderId="0" applyFont="0" applyFill="0" applyBorder="0" applyAlignment="0" applyProtection="0"/>
    <xf numFmtId="178" fontId="11" fillId="0" borderId="0"/>
    <xf numFmtId="178" fontId="11" fillId="0" borderId="0"/>
    <xf numFmtId="178" fontId="11" fillId="0" borderId="0"/>
    <xf numFmtId="178" fontId="107" fillId="0" borderId="0"/>
    <xf numFmtId="9" fontId="11" fillId="0" borderId="0" applyFont="0" applyFill="0" applyBorder="0" applyAlignment="0" applyProtection="0"/>
    <xf numFmtId="9" fontId="11" fillId="0" borderId="0" applyFont="0" applyFill="0" applyBorder="0" applyAlignment="0" applyProtection="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11" fillId="0" borderId="0" applyFont="0" applyFill="0" applyBorder="0" applyAlignment="0" applyProtection="0"/>
    <xf numFmtId="0" fontId="11" fillId="0" borderId="0"/>
    <xf numFmtId="0" fontId="14" fillId="3" borderId="0" applyNumberFormat="0" applyBorder="0" applyAlignment="0" applyProtection="0"/>
    <xf numFmtId="0" fontId="14" fillId="4" borderId="0" applyNumberFormat="0" applyBorder="0" applyAlignment="0" applyProtection="0"/>
    <xf numFmtId="0" fontId="14" fillId="5" borderId="0" applyNumberFormat="0" applyBorder="0" applyAlignment="0" applyProtection="0"/>
    <xf numFmtId="0" fontId="14" fillId="6" borderId="0" applyNumberFormat="0" applyBorder="0" applyAlignment="0" applyProtection="0"/>
    <xf numFmtId="0" fontId="14" fillId="7" borderId="0" applyNumberFormat="0" applyBorder="0" applyAlignment="0" applyProtection="0"/>
    <xf numFmtId="0" fontId="14" fillId="8" borderId="0" applyNumberFormat="0" applyBorder="0" applyAlignment="0" applyProtection="0"/>
    <xf numFmtId="0" fontId="14" fillId="9" borderId="0" applyNumberFormat="0" applyBorder="0" applyAlignment="0" applyProtection="0"/>
    <xf numFmtId="0" fontId="14" fillId="10" borderId="0" applyNumberFormat="0" applyBorder="0" applyAlignment="0" applyProtection="0"/>
    <xf numFmtId="0" fontId="14" fillId="11" borderId="0" applyNumberFormat="0" applyBorder="0" applyAlignment="0" applyProtection="0"/>
    <xf numFmtId="0" fontId="14" fillId="6" borderId="0" applyNumberFormat="0" applyBorder="0" applyAlignment="0" applyProtection="0"/>
    <xf numFmtId="0" fontId="14" fillId="9" borderId="0" applyNumberFormat="0" applyBorder="0" applyAlignment="0" applyProtection="0"/>
    <xf numFmtId="0" fontId="14" fillId="12" borderId="0" applyNumberFormat="0" applyBorder="0" applyAlignment="0" applyProtection="0"/>
    <xf numFmtId="0" fontId="15" fillId="13" borderId="0" applyNumberFormat="0" applyBorder="0" applyAlignment="0" applyProtection="0"/>
    <xf numFmtId="0" fontId="15" fillId="10" borderId="0" applyNumberFormat="0" applyBorder="0" applyAlignment="0" applyProtection="0"/>
    <xf numFmtId="0" fontId="15" fillId="11"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15" fillId="18" borderId="0" applyNumberFormat="0" applyBorder="0" applyAlignment="0" applyProtection="0"/>
    <xf numFmtId="0" fontId="15" fillId="19" borderId="0" applyNumberFormat="0" applyBorder="0" applyAlignment="0" applyProtection="0"/>
    <xf numFmtId="0" fontId="15" fillId="14" borderId="0" applyNumberFormat="0" applyBorder="0" applyAlignment="0" applyProtection="0"/>
    <xf numFmtId="0" fontId="15" fillId="15" borderId="0" applyNumberFormat="0" applyBorder="0" applyAlignment="0" applyProtection="0"/>
    <xf numFmtId="0" fontId="15" fillId="20" borderId="0" applyNumberFormat="0" applyBorder="0" applyAlignment="0" applyProtection="0"/>
    <xf numFmtId="0" fontId="30" fillId="4" borderId="0" applyNumberFormat="0" applyBorder="0" applyAlignment="0" applyProtection="0"/>
    <xf numFmtId="0" fontId="108" fillId="0" borderId="0"/>
    <xf numFmtId="0" fontId="109" fillId="0" borderId="0">
      <alignment horizontal="right"/>
    </xf>
    <xf numFmtId="0" fontId="110" fillId="0" borderId="0"/>
    <xf numFmtId="0" fontId="106" fillId="0" borderId="0"/>
    <xf numFmtId="0" fontId="111" fillId="0" borderId="0"/>
    <xf numFmtId="0" fontId="112" fillId="0" borderId="88" applyNumberFormat="0" applyAlignment="0"/>
    <xf numFmtId="0" fontId="113" fillId="0" borderId="0" applyAlignment="0">
      <alignment horizontal="left"/>
    </xf>
    <xf numFmtId="0" fontId="113" fillId="0" borderId="0">
      <alignment horizontal="right"/>
    </xf>
    <xf numFmtId="177" fontId="113" fillId="0" borderId="0">
      <alignment horizontal="right"/>
    </xf>
    <xf numFmtId="170" fontId="114" fillId="0" borderId="0">
      <alignment horizontal="right"/>
    </xf>
    <xf numFmtId="0" fontId="115" fillId="0" borderId="0"/>
    <xf numFmtId="0" fontId="16" fillId="23" borderId="1" applyNumberFormat="0" applyAlignment="0" applyProtection="0"/>
    <xf numFmtId="0" fontId="18" fillId="24" borderId="4" applyNumberFormat="0" applyAlignment="0" applyProtection="0"/>
    <xf numFmtId="165" fontId="11" fillId="0" borderId="0" applyFont="0" applyFill="0" applyBorder="0" applyAlignment="0" applyProtection="0"/>
    <xf numFmtId="165" fontId="95" fillId="0" borderId="0" applyFont="0" applyFill="0" applyBorder="0" applyAlignment="0" applyProtection="0"/>
    <xf numFmtId="165" fontId="95" fillId="0" borderId="0" applyFont="0" applyFill="0" applyBorder="0" applyAlignment="0" applyProtection="0"/>
    <xf numFmtId="165" fontId="95" fillId="0" borderId="0" applyFont="0" applyFill="0" applyBorder="0" applyAlignment="0" applyProtection="0"/>
    <xf numFmtId="43" fontId="14" fillId="0" borderId="0" applyFont="0" applyFill="0" applyBorder="0" applyAlignment="0" applyProtection="0"/>
    <xf numFmtId="165" fontId="95" fillId="0" borderId="0" applyFont="0" applyFill="0" applyBorder="0" applyAlignment="0" applyProtection="0"/>
    <xf numFmtId="165" fontId="95" fillId="0" borderId="0" applyFont="0" applyFill="0" applyBorder="0" applyAlignment="0" applyProtection="0"/>
    <xf numFmtId="165" fontId="95" fillId="0" borderId="0" applyFont="0" applyFill="0" applyBorder="0" applyAlignment="0" applyProtection="0"/>
    <xf numFmtId="165" fontId="7" fillId="0" borderId="0" applyFont="0" applyFill="0" applyBorder="0" applyAlignment="0" applyProtection="0"/>
    <xf numFmtId="0" fontId="24" fillId="0" borderId="0" applyNumberFormat="0" applyFill="0" applyBorder="0" applyAlignment="0" applyProtection="0"/>
    <xf numFmtId="0" fontId="31" fillId="5" borderId="0" applyNumberFormat="0" applyBorder="0" applyAlignment="0" applyProtection="0"/>
    <xf numFmtId="0" fontId="26" fillId="0" borderId="6" applyNumberFormat="0" applyFill="0" applyAlignment="0" applyProtection="0"/>
    <xf numFmtId="0" fontId="27" fillId="0" borderId="7" applyNumberFormat="0" applyFill="0" applyAlignment="0" applyProtection="0"/>
    <xf numFmtId="0" fontId="28" fillId="0" borderId="8" applyNumberFormat="0" applyFill="0" applyAlignment="0" applyProtection="0"/>
    <xf numFmtId="0" fontId="28" fillId="0" borderId="0" applyNumberFormat="0" applyFill="0" applyBorder="0" applyAlignment="0" applyProtection="0"/>
    <xf numFmtId="0" fontId="63" fillId="0" borderId="0" applyNumberFormat="0" applyFill="0" applyBorder="0" applyAlignment="0" applyProtection="0">
      <alignment vertical="top"/>
      <protection locked="0"/>
    </xf>
    <xf numFmtId="0" fontId="116" fillId="0" borderId="0" applyNumberFormat="0" applyFill="0" applyBorder="0" applyAlignment="0" applyProtection="0">
      <alignment vertical="top"/>
      <protection locked="0"/>
    </xf>
    <xf numFmtId="0" fontId="17" fillId="0" borderId="3" applyNumberFormat="0" applyFill="0" applyAlignment="0" applyProtection="0"/>
    <xf numFmtId="0" fontId="21" fillId="26" borderId="0" applyNumberFormat="0" applyBorder="0" applyAlignment="0" applyProtection="0"/>
    <xf numFmtId="0" fontId="7" fillId="0" borderId="0"/>
    <xf numFmtId="0" fontId="32" fillId="0" borderId="0" applyFill="0" applyBorder="0"/>
    <xf numFmtId="0" fontId="11" fillId="0" borderId="0"/>
    <xf numFmtId="0" fontId="11" fillId="28" borderId="9" applyNumberFormat="0" applyFont="0" applyAlignment="0" applyProtection="0"/>
    <xf numFmtId="177" fontId="95" fillId="0" borderId="0" applyFont="0" applyFill="0" applyBorder="0" applyAlignment="0" applyProtection="0"/>
    <xf numFmtId="9" fontId="7" fillId="0" borderId="0" applyFont="0" applyFill="0" applyBorder="0" applyAlignment="0" applyProtection="0"/>
    <xf numFmtId="0" fontId="117" fillId="0" borderId="0" applyNumberFormat="0" applyFill="0" applyBorder="0" applyAlignment="0" applyProtection="0"/>
    <xf numFmtId="0" fontId="25" fillId="0" borderId="0" applyNumberFormat="0" applyFill="0" applyBorder="0" applyAlignment="0" applyProtection="0"/>
    <xf numFmtId="0" fontId="29" fillId="0" borderId="11" applyNumberFormat="0" applyFill="0" applyAlignment="0" applyProtection="0"/>
    <xf numFmtId="0" fontId="23" fillId="0" borderId="0" applyNumberFormat="0" applyFill="0" applyBorder="0" applyAlignment="0" applyProtection="0"/>
    <xf numFmtId="0" fontId="118" fillId="0" borderId="89" applyNumberFormat="0">
      <alignment vertical="center"/>
    </xf>
    <xf numFmtId="186" fontId="119" fillId="0" borderId="89">
      <alignment horizontal="right" vertical="center"/>
    </xf>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37" fillId="0" borderId="0"/>
    <xf numFmtId="165" fontId="7" fillId="0" borderId="0" applyFont="0" applyFill="0" applyBorder="0" applyAlignment="0" applyProtection="0"/>
    <xf numFmtId="179" fontId="33" fillId="37" borderId="0" applyNumberFormat="0" applyBorder="0" applyAlignment="0"/>
    <xf numFmtId="0" fontId="63" fillId="0" borderId="0" applyNumberFormat="0" applyFill="0" applyBorder="0" applyAlignment="0" applyProtection="0">
      <alignment vertical="top"/>
      <protection locked="0"/>
    </xf>
    <xf numFmtId="165" fontId="11" fillId="0" borderId="0" applyFont="0" applyFill="0" applyBorder="0" applyAlignment="0" applyProtection="0"/>
    <xf numFmtId="178" fontId="107" fillId="0" borderId="0"/>
    <xf numFmtId="179" fontId="11" fillId="0" borderId="0"/>
    <xf numFmtId="165" fontId="11" fillId="0" borderId="0" applyFont="0" applyFill="0" applyBorder="0" applyAlignment="0" applyProtection="0"/>
    <xf numFmtId="9" fontId="11" fillId="0" borderId="0" applyFont="0" applyFill="0" applyBorder="0" applyAlignment="0" applyProtection="0"/>
    <xf numFmtId="0" fontId="74" fillId="0" borderId="0" applyNumberFormat="0" applyFill="0" applyBorder="0" applyAlignment="0" applyProtection="0"/>
    <xf numFmtId="0" fontId="11" fillId="0" borderId="0"/>
    <xf numFmtId="9" fontId="7" fillId="0" borderId="0" applyFont="0" applyFill="0" applyBorder="0" applyAlignment="0" applyProtection="0"/>
    <xf numFmtId="0" fontId="7" fillId="0" borderId="0"/>
    <xf numFmtId="165" fontId="7" fillId="0" borderId="0" applyFont="0" applyFill="0" applyBorder="0" applyAlignment="0" applyProtection="0"/>
    <xf numFmtId="9"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32" fillId="0" borderId="0" applyFill="0" applyBorder="0"/>
    <xf numFmtId="0" fontId="11" fillId="0" borderId="0"/>
    <xf numFmtId="0" fontId="16" fillId="23" borderId="1" applyNumberFormat="0" applyAlignment="0" applyProtection="0"/>
    <xf numFmtId="0" fontId="19" fillId="8" borderId="1" applyNumberFormat="0" applyAlignment="0" applyProtection="0"/>
    <xf numFmtId="0" fontId="11" fillId="28" borderId="9" applyNumberFormat="0" applyFont="0" applyAlignment="0" applyProtection="0"/>
    <xf numFmtId="0" fontId="22" fillId="23" borderId="10" applyNumberFormat="0" applyAlignment="0" applyProtection="0"/>
    <xf numFmtId="0" fontId="29" fillId="0" borderId="11" applyNumberFormat="0" applyFill="0" applyAlignment="0" applyProtection="0"/>
    <xf numFmtId="0" fontId="70" fillId="0" borderId="78" applyNumberFormat="0" applyFill="0" applyAlignment="0" applyProtection="0"/>
    <xf numFmtId="0" fontId="71" fillId="0" borderId="79" applyNumberFormat="0" applyFill="0" applyAlignment="0" applyProtection="0"/>
    <xf numFmtId="0" fontId="72" fillId="0" borderId="83" applyNumberFormat="0" applyFill="0" applyAlignment="0" applyProtection="0"/>
    <xf numFmtId="0" fontId="72" fillId="0" borderId="0" applyNumberFormat="0" applyFill="0" applyBorder="0" applyAlignment="0" applyProtection="0"/>
    <xf numFmtId="0" fontId="7" fillId="61"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11" fillId="59" borderId="86" applyNumberFormat="0" applyFont="0" applyAlignment="0" applyProtection="0"/>
    <xf numFmtId="0" fontId="7" fillId="59" borderId="86" applyNumberFormat="0" applyFont="0" applyAlignment="0" applyProtection="0"/>
    <xf numFmtId="0" fontId="11" fillId="59" borderId="86" applyNumberFormat="0" applyFont="0" applyAlignment="0" applyProtection="0"/>
    <xf numFmtId="0" fontId="11" fillId="59" borderId="86" applyNumberFormat="0" applyFont="0" applyAlignment="0" applyProtection="0"/>
    <xf numFmtId="0" fontId="7" fillId="59" borderId="86" applyNumberFormat="0" applyFont="0" applyAlignment="0" applyProtection="0"/>
    <xf numFmtId="0" fontId="11" fillId="59" borderId="86" applyNumberFormat="0" applyFont="0" applyAlignment="0" applyProtection="0"/>
    <xf numFmtId="0" fontId="7" fillId="59" borderId="86" applyNumberFormat="0" applyFont="0" applyAlignment="0" applyProtection="0"/>
    <xf numFmtId="165" fontId="11"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11"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120" fillId="0" borderId="0" applyNumberFormat="0" applyFill="0" applyBorder="0" applyAlignment="0" applyProtection="0"/>
    <xf numFmtId="0" fontId="74" fillId="0" borderId="0" applyNumberFormat="0" applyFill="0" applyBorder="0" applyAlignment="0" applyProtection="0"/>
    <xf numFmtId="0" fontId="120" fillId="0" borderId="0" applyNumberFormat="0" applyFill="0" applyBorder="0" applyAlignment="0" applyProtection="0"/>
    <xf numFmtId="0" fontId="74" fillId="0" borderId="0" applyNumberFormat="0" applyFill="0" applyBorder="0" applyAlignment="0" applyProtection="0"/>
    <xf numFmtId="0" fontId="120" fillId="0" borderId="0" applyNumberForma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7"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7"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11" fillId="0" borderId="0"/>
    <xf numFmtId="0" fontId="11"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0" fontId="7" fillId="0" borderId="0"/>
    <xf numFmtId="0" fontId="7" fillId="0" borderId="0"/>
    <xf numFmtId="165" fontId="7" fillId="0" borderId="0" applyFont="0" applyFill="0" applyBorder="0" applyAlignment="0" applyProtection="0"/>
    <xf numFmtId="9" fontId="7" fillId="0" borderId="0" applyFont="0" applyFill="0" applyBorder="0" applyAlignment="0" applyProtection="0"/>
    <xf numFmtId="165" fontId="7" fillId="0" borderId="0" applyFont="0" applyFill="0" applyBorder="0" applyAlignment="0" applyProtection="0"/>
    <xf numFmtId="0" fontId="7" fillId="0" borderId="0"/>
    <xf numFmtId="9" fontId="7" fillId="0" borderId="0" applyFont="0" applyFill="0" applyBorder="0" applyAlignment="0" applyProtection="0"/>
    <xf numFmtId="0" fontId="7" fillId="0" borderId="0"/>
    <xf numFmtId="165" fontId="7" fillId="0" borderId="0" applyFont="0" applyFill="0" applyBorder="0" applyAlignment="0" applyProtection="0"/>
    <xf numFmtId="9" fontId="7" fillId="0" borderId="0" applyFont="0" applyFill="0" applyBorder="0" applyAlignment="0" applyProtection="0"/>
    <xf numFmtId="0" fontId="7" fillId="0" borderId="0"/>
    <xf numFmtId="165" fontId="7" fillId="0" borderId="0" applyFont="0" applyFill="0" applyBorder="0" applyAlignment="0" applyProtection="0"/>
    <xf numFmtId="9" fontId="7" fillId="0" borderId="0" applyFont="0" applyFill="0" applyBorder="0" applyAlignment="0" applyProtection="0"/>
    <xf numFmtId="0" fontId="7" fillId="0" borderId="0"/>
    <xf numFmtId="165" fontId="7" fillId="0" borderId="0" applyFont="0" applyFill="0" applyBorder="0" applyAlignment="0" applyProtection="0"/>
    <xf numFmtId="0" fontId="7" fillId="0" borderId="0"/>
    <xf numFmtId="0" fontId="7" fillId="61" borderId="0" applyNumberFormat="0" applyBorder="0" applyAlignment="0" applyProtection="0"/>
    <xf numFmtId="0" fontId="7" fillId="62" borderId="0" applyNumberFormat="0" applyBorder="0" applyAlignment="0" applyProtection="0"/>
    <xf numFmtId="0" fontId="7" fillId="65" borderId="0" applyNumberFormat="0" applyBorder="0" applyAlignment="0" applyProtection="0"/>
    <xf numFmtId="0" fontId="7" fillId="66" borderId="0" applyNumberFormat="0" applyBorder="0" applyAlignment="0" applyProtection="0"/>
    <xf numFmtId="0" fontId="7" fillId="69" borderId="0" applyNumberFormat="0" applyBorder="0" applyAlignment="0" applyProtection="0"/>
    <xf numFmtId="0" fontId="7" fillId="70" borderId="0" applyNumberFormat="0" applyBorder="0" applyAlignment="0" applyProtection="0"/>
    <xf numFmtId="0" fontId="7" fillId="73" borderId="0" applyNumberFormat="0" applyBorder="0" applyAlignment="0" applyProtection="0"/>
    <xf numFmtId="0" fontId="7" fillId="74" borderId="0" applyNumberFormat="0" applyBorder="0" applyAlignment="0" applyProtection="0"/>
    <xf numFmtId="0" fontId="7" fillId="77" borderId="0" applyNumberFormat="0" applyBorder="0" applyAlignment="0" applyProtection="0"/>
    <xf numFmtId="0" fontId="7" fillId="78" borderId="0" applyNumberFormat="0" applyBorder="0" applyAlignment="0" applyProtection="0"/>
    <xf numFmtId="0" fontId="7" fillId="81" borderId="0" applyNumberFormat="0" applyBorder="0" applyAlignment="0" applyProtection="0"/>
    <xf numFmtId="0" fontId="7" fillId="82" borderId="0" applyNumberFormat="0" applyBorder="0" applyAlignment="0" applyProtection="0"/>
    <xf numFmtId="0" fontId="7" fillId="61"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6"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62"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81"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7"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73"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9"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5"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61"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0"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4"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78"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82" borderId="0" applyNumberFormat="0" applyBorder="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0" fontId="7" fillId="59" borderId="86" applyNumberFormat="0" applyFont="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165" fontId="7" fillId="0" borderId="0" applyFont="0" applyFill="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9" fontId="7" fillId="0" borderId="0" applyFont="0" applyFill="0" applyBorder="0" applyAlignment="0" applyProtection="0"/>
    <xf numFmtId="0" fontId="105" fillId="0" borderId="0"/>
    <xf numFmtId="0" fontId="120" fillId="0" borderId="0" applyNumberFormat="0" applyFill="0" applyBorder="0" applyAlignment="0" applyProtection="0">
      <alignment vertical="top"/>
      <protection locked="0"/>
    </xf>
    <xf numFmtId="9" fontId="105" fillId="0" borderId="0" applyFont="0" applyFill="0" applyBorder="0" applyAlignment="0" applyProtection="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105" fillId="0" borderId="0"/>
    <xf numFmtId="0" fontId="5" fillId="0" borderId="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9" fontId="5" fillId="0" borderId="0" applyFont="0" applyFill="0" applyBorder="0" applyAlignment="0" applyProtection="0"/>
    <xf numFmtId="43" fontId="5" fillId="0" borderId="0" applyFont="0" applyFill="0" applyBorder="0" applyAlignment="0" applyProtection="0"/>
    <xf numFmtId="165" fontId="5" fillId="0" borderId="0" applyFont="0" applyFill="0" applyBorder="0" applyAlignment="0" applyProtection="0"/>
    <xf numFmtId="43" fontId="5" fillId="0" borderId="0" applyFont="0" applyFill="0" applyBorder="0" applyAlignment="0" applyProtection="0"/>
    <xf numFmtId="165" fontId="37"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9" fontId="11" fillId="0" borderId="0" applyFont="0" applyFill="0" applyBorder="0" applyAlignment="0" applyProtection="0"/>
    <xf numFmtId="0" fontId="11" fillId="0" borderId="0"/>
    <xf numFmtId="165" fontId="40" fillId="0" borderId="0" applyFont="0" applyFill="0" applyBorder="0" applyAlignment="0" applyProtection="0"/>
    <xf numFmtId="165" fontId="122"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5" fontId="1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72" fontId="11" fillId="0" borderId="0" applyFont="0" applyFill="0" applyBorder="0" applyAlignment="0" applyProtection="0"/>
    <xf numFmtId="165" fontId="1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5" fontId="5"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0" fontId="37" fillId="0" borderId="0"/>
    <xf numFmtId="0" fontId="5" fillId="0" borderId="0"/>
    <xf numFmtId="0" fontId="5" fillId="0" borderId="0"/>
    <xf numFmtId="0" fontId="76" fillId="0" borderId="0"/>
    <xf numFmtId="0" fontId="5" fillId="0" borderId="0"/>
    <xf numFmtId="0" fontId="5" fillId="0" borderId="0"/>
    <xf numFmtId="9" fontId="40" fillId="0" borderId="0" applyFont="0" applyFill="0" applyBorder="0" applyAlignment="0" applyProtection="0"/>
    <xf numFmtId="9" fontId="40" fillId="0" borderId="0" applyFont="0" applyFill="0" applyBorder="0" applyAlignment="0" applyProtection="0"/>
    <xf numFmtId="9" fontId="5" fillId="0" borderId="0" applyFont="0" applyFill="0" applyBorder="0" applyAlignment="0" applyProtection="0"/>
    <xf numFmtId="0" fontId="5" fillId="0" borderId="0"/>
    <xf numFmtId="165" fontId="5"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165" fontId="5"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5" fillId="0" borderId="0"/>
    <xf numFmtId="0" fontId="5" fillId="0" borderId="0"/>
    <xf numFmtId="0" fontId="5" fillId="0" borderId="0"/>
    <xf numFmtId="0" fontId="5" fillId="0" borderId="0"/>
    <xf numFmtId="9" fontId="5" fillId="0" borderId="0" applyFont="0" applyFill="0" applyBorder="0" applyAlignment="0" applyProtection="0"/>
    <xf numFmtId="0" fontId="5" fillId="0" borderId="0"/>
    <xf numFmtId="165" fontId="5"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43" fontId="14" fillId="0" borderId="0" applyFont="0" applyFill="0" applyBorder="0" applyAlignment="0" applyProtection="0"/>
    <xf numFmtId="43" fontId="14" fillId="0" borderId="0" applyFont="0" applyFill="0" applyBorder="0" applyAlignment="0" applyProtection="0"/>
    <xf numFmtId="165" fontId="4"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40"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5" fontId="4"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1" fontId="20"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5" fontId="4" fillId="0" borderId="0" applyFont="0" applyFill="0" applyBorder="0" applyAlignment="0" applyProtection="0"/>
    <xf numFmtId="165" fontId="5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9"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61" borderId="0" applyNumberFormat="0" applyBorder="0" applyAlignment="0" applyProtection="0"/>
    <xf numFmtId="0" fontId="4" fillId="62" borderId="0" applyNumberFormat="0" applyBorder="0" applyAlignment="0" applyProtection="0"/>
    <xf numFmtId="0" fontId="4" fillId="65" borderId="0" applyNumberFormat="0" applyBorder="0" applyAlignment="0" applyProtection="0"/>
    <xf numFmtId="0" fontId="4" fillId="66" borderId="0" applyNumberFormat="0" applyBorder="0" applyAlignment="0" applyProtection="0"/>
    <xf numFmtId="0" fontId="4" fillId="69" borderId="0" applyNumberFormat="0" applyBorder="0" applyAlignment="0" applyProtection="0"/>
    <xf numFmtId="0" fontId="4" fillId="70" borderId="0" applyNumberFormat="0" applyBorder="0" applyAlignment="0" applyProtection="0"/>
    <xf numFmtId="0" fontId="4" fillId="73" borderId="0" applyNumberFormat="0" applyBorder="0" applyAlignment="0" applyProtection="0"/>
    <xf numFmtId="0" fontId="4" fillId="74" borderId="0" applyNumberFormat="0" applyBorder="0" applyAlignment="0" applyProtection="0"/>
    <xf numFmtId="0" fontId="4" fillId="77" borderId="0" applyNumberFormat="0" applyBorder="0" applyAlignment="0" applyProtection="0"/>
    <xf numFmtId="0" fontId="4" fillId="78" borderId="0" applyNumberFormat="0" applyBorder="0" applyAlignment="0" applyProtection="0"/>
    <xf numFmtId="0" fontId="4" fillId="81" borderId="0" applyNumberFormat="0" applyBorder="0" applyAlignment="0" applyProtection="0"/>
    <xf numFmtId="0" fontId="4" fillId="82" borderId="0" applyNumberFormat="0" applyBorder="0" applyAlignment="0" applyProtection="0"/>
    <xf numFmtId="0" fontId="4" fillId="0" borderId="0"/>
    <xf numFmtId="165" fontId="4" fillId="0" borderId="0" applyFont="0" applyFill="0" applyBorder="0" applyAlignment="0" applyProtection="0"/>
    <xf numFmtId="9" fontId="4" fillId="0" borderId="0" applyFont="0" applyFill="0" applyBorder="0" applyAlignment="0" applyProtection="0"/>
    <xf numFmtId="165" fontId="59"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59" fillId="0" borderId="0" applyFont="0" applyFill="0" applyBorder="0" applyAlignment="0" applyProtection="0"/>
    <xf numFmtId="165" fontId="59" fillId="0" borderId="0" applyFont="0" applyFill="0" applyBorder="0" applyAlignment="0" applyProtection="0"/>
    <xf numFmtId="165" fontId="59" fillId="0" borderId="0" applyFont="0" applyFill="0" applyBorder="0" applyAlignment="0" applyProtection="0"/>
    <xf numFmtId="43" fontId="14" fillId="0" borderId="0" applyFont="0" applyFill="0" applyBorder="0" applyAlignment="0" applyProtection="0"/>
    <xf numFmtId="165" fontId="59" fillId="0" borderId="0" applyFont="0" applyFill="0" applyBorder="0" applyAlignment="0" applyProtection="0"/>
    <xf numFmtId="165" fontId="59" fillId="0" borderId="0" applyFont="0" applyFill="0" applyBorder="0" applyAlignment="0" applyProtection="0"/>
    <xf numFmtId="165" fontId="59" fillId="0" borderId="0" applyFont="0" applyFill="0" applyBorder="0" applyAlignment="0" applyProtection="0"/>
    <xf numFmtId="165" fontId="4" fillId="0" borderId="0" applyFont="0" applyFill="0" applyBorder="0" applyAlignment="0" applyProtection="0"/>
    <xf numFmtId="0" fontId="4" fillId="0" borderId="0"/>
    <xf numFmtId="177" fontId="59"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165" fontId="4" fillId="0" borderId="0" applyFont="0" applyFill="0" applyBorder="0" applyAlignment="0" applyProtection="0"/>
    <xf numFmtId="9" fontId="4" fillId="0" borderId="0" applyFont="0" applyFill="0" applyBorder="0" applyAlignment="0" applyProtection="0"/>
    <xf numFmtId="0" fontId="4" fillId="0" borderId="0"/>
    <xf numFmtId="165" fontId="4" fillId="0" borderId="0" applyFont="0" applyFill="0" applyBorder="0" applyAlignment="0" applyProtection="0"/>
    <xf numFmtId="9"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61"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0" fontId="4" fillId="0" borderId="0"/>
    <xf numFmtId="0" fontId="4" fillId="0" borderId="0"/>
    <xf numFmtId="165" fontId="4" fillId="0" borderId="0" applyFont="0" applyFill="0" applyBorder="0" applyAlignment="0" applyProtection="0"/>
    <xf numFmtId="9" fontId="4" fillId="0" borderId="0" applyFont="0" applyFill="0" applyBorder="0" applyAlignment="0" applyProtection="0"/>
    <xf numFmtId="165" fontId="4" fillId="0" borderId="0" applyFont="0" applyFill="0" applyBorder="0" applyAlignment="0" applyProtection="0"/>
    <xf numFmtId="0" fontId="4" fillId="0" borderId="0"/>
    <xf numFmtId="9" fontId="4" fillId="0" borderId="0" applyFont="0" applyFill="0" applyBorder="0" applyAlignment="0" applyProtection="0"/>
    <xf numFmtId="0" fontId="4" fillId="0" borderId="0"/>
    <xf numFmtId="165" fontId="4" fillId="0" borderId="0" applyFont="0" applyFill="0" applyBorder="0" applyAlignment="0" applyProtection="0"/>
    <xf numFmtId="9" fontId="4" fillId="0" borderId="0" applyFont="0" applyFill="0" applyBorder="0" applyAlignment="0" applyProtection="0"/>
    <xf numFmtId="0" fontId="4" fillId="0" borderId="0"/>
    <xf numFmtId="165" fontId="4" fillId="0" borderId="0" applyFont="0" applyFill="0" applyBorder="0" applyAlignment="0" applyProtection="0"/>
    <xf numFmtId="9" fontId="4" fillId="0" borderId="0" applyFont="0" applyFill="0" applyBorder="0" applyAlignment="0" applyProtection="0"/>
    <xf numFmtId="0" fontId="4" fillId="0" borderId="0"/>
    <xf numFmtId="165" fontId="4" fillId="0" borderId="0" applyFont="0" applyFill="0" applyBorder="0" applyAlignment="0" applyProtection="0"/>
    <xf numFmtId="0" fontId="4" fillId="0" borderId="0"/>
    <xf numFmtId="0" fontId="4" fillId="61" borderId="0" applyNumberFormat="0" applyBorder="0" applyAlignment="0" applyProtection="0"/>
    <xf numFmtId="0" fontId="4" fillId="62" borderId="0" applyNumberFormat="0" applyBorder="0" applyAlignment="0" applyProtection="0"/>
    <xf numFmtId="0" fontId="4" fillId="65" borderId="0" applyNumberFormat="0" applyBorder="0" applyAlignment="0" applyProtection="0"/>
    <xf numFmtId="0" fontId="4" fillId="66" borderId="0" applyNumberFormat="0" applyBorder="0" applyAlignment="0" applyProtection="0"/>
    <xf numFmtId="0" fontId="4" fillId="69" borderId="0" applyNumberFormat="0" applyBorder="0" applyAlignment="0" applyProtection="0"/>
    <xf numFmtId="0" fontId="4" fillId="70" borderId="0" applyNumberFormat="0" applyBorder="0" applyAlignment="0" applyProtection="0"/>
    <xf numFmtId="0" fontId="4" fillId="73" borderId="0" applyNumberFormat="0" applyBorder="0" applyAlignment="0" applyProtection="0"/>
    <xf numFmtId="0" fontId="4" fillId="74" borderId="0" applyNumberFormat="0" applyBorder="0" applyAlignment="0" applyProtection="0"/>
    <xf numFmtId="0" fontId="4" fillId="77" borderId="0" applyNumberFormat="0" applyBorder="0" applyAlignment="0" applyProtection="0"/>
    <xf numFmtId="0" fontId="4" fillId="78" borderId="0" applyNumberFormat="0" applyBorder="0" applyAlignment="0" applyProtection="0"/>
    <xf numFmtId="0" fontId="4" fillId="81" borderId="0" applyNumberFormat="0" applyBorder="0" applyAlignment="0" applyProtection="0"/>
    <xf numFmtId="0" fontId="4" fillId="82" borderId="0" applyNumberFormat="0" applyBorder="0" applyAlignment="0" applyProtection="0"/>
    <xf numFmtId="0" fontId="4" fillId="61"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6"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62"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81"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7"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73"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9"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5"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61"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0"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4"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78"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82" borderId="0" applyNumberFormat="0" applyBorder="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0" fontId="4" fillId="59" borderId="86" applyNumberFormat="0" applyFont="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165" fontId="4"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16" fillId="23" borderId="100" applyNumberFormat="0" applyAlignment="0" applyProtection="0"/>
    <xf numFmtId="165" fontId="3" fillId="0" borderId="0" applyFont="0" applyFill="0" applyBorder="0" applyAlignment="0" applyProtection="0"/>
    <xf numFmtId="165" fontId="3" fillId="0" borderId="0" applyFont="0" applyFill="0" applyBorder="0" applyAlignment="0" applyProtection="0"/>
    <xf numFmtId="0" fontId="43" fillId="0" borderId="101">
      <alignment horizontal="left" vertical="center" wrapText="1" indent="2"/>
    </xf>
    <xf numFmtId="0" fontId="19" fillId="8" borderId="100" applyNumberFormat="0" applyAlignment="0" applyProtection="0"/>
    <xf numFmtId="0" fontId="19" fillId="8" borderId="100" applyNumberFormat="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4" fontId="43" fillId="0" borderId="98" applyFill="0" applyBorder="0" applyProtection="0">
      <alignment horizontal="right" vertical="center"/>
    </xf>
    <xf numFmtId="0" fontId="11" fillId="28" borderId="103" applyNumberFormat="0" applyFont="0" applyAlignment="0" applyProtection="0"/>
    <xf numFmtId="0" fontId="11" fillId="28" borderId="103" applyNumberFormat="0" applyFont="0" applyAlignment="0" applyProtection="0"/>
    <xf numFmtId="0" fontId="11" fillId="28" borderId="103" applyNumberFormat="0" applyFont="0" applyAlignment="0" applyProtection="0"/>
    <xf numFmtId="0" fontId="40" fillId="28" borderId="103" applyNumberFormat="0" applyFont="0" applyAlignment="0" applyProtection="0"/>
    <xf numFmtId="0" fontId="11" fillId="28" borderId="103" applyNumberFormat="0" applyFont="0" applyAlignment="0" applyProtection="0"/>
    <xf numFmtId="0" fontId="11" fillId="28" borderId="103" applyNumberFormat="0" applyFont="0" applyAlignment="0" applyProtection="0"/>
    <xf numFmtId="0" fontId="11" fillId="28" borderId="103" applyNumberFormat="0" applyFont="0" applyAlignment="0" applyProtection="0"/>
    <xf numFmtId="0" fontId="40" fillId="28" borderId="103" applyNumberFormat="0" applyFont="0" applyAlignment="0" applyProtection="0"/>
    <xf numFmtId="0" fontId="22" fillId="23" borderId="104" applyNumberFormat="0" applyAlignment="0" applyProtection="0"/>
    <xf numFmtId="0" fontId="22" fillId="23" borderId="104" applyNumberFormat="0" applyAlignment="0" applyProtection="0"/>
    <xf numFmtId="9" fontId="3" fillId="0" borderId="0" applyFont="0" applyFill="0" applyBorder="0" applyAlignment="0" applyProtection="0"/>
    <xf numFmtId="0" fontId="28" fillId="0" borderId="102" applyNumberFormat="0" applyFill="0" applyAlignment="0" applyProtection="0"/>
    <xf numFmtId="0" fontId="29" fillId="0" borderId="105" applyNumberFormat="0" applyFill="0" applyAlignment="0" applyProtection="0"/>
    <xf numFmtId="0" fontId="3" fillId="0" borderId="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11" fillId="28" borderId="103" applyNumberFormat="0" applyFont="0" applyAlignment="0" applyProtection="0"/>
    <xf numFmtId="0" fontId="11" fillId="28" borderId="103" applyNumberFormat="0" applyFont="0" applyAlignment="0" applyProtection="0"/>
    <xf numFmtId="0" fontId="11" fillId="28" borderId="103" applyNumberFormat="0" applyFont="0" applyAlignment="0" applyProtection="0"/>
    <xf numFmtId="0" fontId="11" fillId="28" borderId="103" applyNumberFormat="0" applyFont="0" applyAlignment="0" applyProtection="0"/>
    <xf numFmtId="0" fontId="11" fillId="28" borderId="103" applyNumberFormat="0" applyFont="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1" borderId="0" applyNumberFormat="0" applyBorder="0" applyAlignment="0" applyProtection="0"/>
    <xf numFmtId="0" fontId="3" fillId="62" borderId="0" applyNumberFormat="0" applyBorder="0" applyAlignment="0" applyProtection="0"/>
    <xf numFmtId="0" fontId="3" fillId="65" borderId="0" applyNumberFormat="0" applyBorder="0" applyAlignment="0" applyProtection="0"/>
    <xf numFmtId="0" fontId="3" fillId="66" borderId="0" applyNumberFormat="0" applyBorder="0" applyAlignment="0" applyProtection="0"/>
    <xf numFmtId="0" fontId="3" fillId="69" borderId="0" applyNumberFormat="0" applyBorder="0" applyAlignment="0" applyProtection="0"/>
    <xf numFmtId="0" fontId="3" fillId="70" borderId="0" applyNumberFormat="0" applyBorder="0" applyAlignment="0" applyProtection="0"/>
    <xf numFmtId="0" fontId="3" fillId="73" borderId="0" applyNumberFormat="0" applyBorder="0" applyAlignment="0" applyProtection="0"/>
    <xf numFmtId="0" fontId="3" fillId="74" borderId="0" applyNumberFormat="0" applyBorder="0" applyAlignment="0" applyProtection="0"/>
    <xf numFmtId="0" fontId="3" fillId="77" borderId="0" applyNumberFormat="0" applyBorder="0" applyAlignment="0" applyProtection="0"/>
    <xf numFmtId="0" fontId="3" fillId="78" borderId="0" applyNumberFormat="0" applyBorder="0" applyAlignment="0" applyProtection="0"/>
    <xf numFmtId="0" fontId="3" fillId="81" borderId="0" applyNumberFormat="0" applyBorder="0" applyAlignment="0" applyProtection="0"/>
    <xf numFmtId="0" fontId="3" fillId="82" borderId="0" applyNumberFormat="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0" fontId="16" fillId="23" borderId="100" applyNumberFormat="0" applyAlignment="0" applyProtection="0"/>
    <xf numFmtId="165" fontId="3" fillId="0" borderId="0" applyFont="0" applyFill="0" applyBorder="0" applyAlignment="0" applyProtection="0"/>
    <xf numFmtId="0" fontId="28" fillId="0" borderId="102" applyNumberFormat="0" applyFill="0" applyAlignment="0" applyProtection="0"/>
    <xf numFmtId="0" fontId="3" fillId="0" borderId="0"/>
    <xf numFmtId="0" fontId="11" fillId="28" borderId="103" applyNumberFormat="0" applyFont="0" applyAlignment="0" applyProtection="0"/>
    <xf numFmtId="9" fontId="3" fillId="0" borderId="0" applyFont="0" applyFill="0" applyBorder="0" applyAlignment="0" applyProtection="0"/>
    <xf numFmtId="0" fontId="29" fillId="0" borderId="105" applyNumberFormat="0" applyFill="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16" fillId="23" borderId="100" applyNumberFormat="0" applyAlignment="0" applyProtection="0"/>
    <xf numFmtId="0" fontId="19" fillId="8" borderId="100" applyNumberFormat="0" applyAlignment="0" applyProtection="0"/>
    <xf numFmtId="0" fontId="11" fillId="28" borderId="103" applyNumberFormat="0" applyFont="0" applyAlignment="0" applyProtection="0"/>
    <xf numFmtId="0" fontId="22" fillId="23" borderId="104" applyNumberFormat="0" applyAlignment="0" applyProtection="0"/>
    <xf numFmtId="0" fontId="29" fillId="0" borderId="105" applyNumberFormat="0" applyFill="0" applyAlignment="0" applyProtection="0"/>
    <xf numFmtId="0" fontId="3" fillId="61" borderId="0" applyNumberFormat="0" applyBorder="0" applyAlignment="0" applyProtection="0"/>
    <xf numFmtId="0" fontId="3" fillId="65" borderId="0" applyNumberFormat="0" applyBorder="0" applyAlignment="0" applyProtection="0"/>
    <xf numFmtId="0" fontId="3" fillId="61" borderId="0" applyNumberFormat="0" applyBorder="0" applyAlignment="0" applyProtection="0"/>
    <xf numFmtId="0" fontId="3" fillId="65" borderId="0" applyNumberFormat="0" applyBorder="0" applyAlignment="0" applyProtection="0"/>
    <xf numFmtId="0" fontId="3" fillId="61"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61" borderId="0" applyNumberFormat="0" applyBorder="0" applyAlignment="0" applyProtection="0"/>
    <xf numFmtId="0" fontId="3" fillId="62" borderId="0" applyNumberFormat="0" applyBorder="0" applyAlignment="0" applyProtection="0"/>
    <xf numFmtId="0" fontId="3" fillId="65" borderId="0" applyNumberFormat="0" applyBorder="0" applyAlignment="0" applyProtection="0"/>
    <xf numFmtId="0" fontId="3" fillId="66" borderId="0" applyNumberFormat="0" applyBorder="0" applyAlignment="0" applyProtection="0"/>
    <xf numFmtId="0" fontId="3" fillId="69" borderId="0" applyNumberFormat="0" applyBorder="0" applyAlignment="0" applyProtection="0"/>
    <xf numFmtId="0" fontId="3" fillId="70" borderId="0" applyNumberFormat="0" applyBorder="0" applyAlignment="0" applyProtection="0"/>
    <xf numFmtId="0" fontId="3" fillId="73" borderId="0" applyNumberFormat="0" applyBorder="0" applyAlignment="0" applyProtection="0"/>
    <xf numFmtId="0" fontId="3" fillId="74" borderId="0" applyNumberFormat="0" applyBorder="0" applyAlignment="0" applyProtection="0"/>
    <xf numFmtId="0" fontId="3" fillId="77" borderId="0" applyNumberFormat="0" applyBorder="0" applyAlignment="0" applyProtection="0"/>
    <xf numFmtId="0" fontId="3" fillId="78" borderId="0" applyNumberFormat="0" applyBorder="0" applyAlignment="0" applyProtection="0"/>
    <xf numFmtId="0" fontId="3" fillId="81" borderId="0" applyNumberFormat="0" applyBorder="0" applyAlignment="0" applyProtection="0"/>
    <xf numFmtId="0" fontId="3" fillId="82" borderId="0" applyNumberFormat="0" applyBorder="0" applyAlignment="0" applyProtection="0"/>
    <xf numFmtId="0" fontId="3" fillId="61" borderId="0" applyNumberFormat="0" applyBorder="0" applyAlignment="0" applyProtection="0"/>
    <xf numFmtId="0" fontId="3" fillId="65" borderId="0" applyNumberFormat="0" applyBorder="0" applyAlignment="0" applyProtection="0"/>
    <xf numFmtId="0" fontId="3" fillId="61" borderId="0" applyNumberFormat="0" applyBorder="0" applyAlignment="0" applyProtection="0"/>
    <xf numFmtId="0" fontId="3" fillId="65" borderId="0" applyNumberFormat="0" applyBorder="0" applyAlignment="0" applyProtection="0"/>
    <xf numFmtId="0" fontId="3" fillId="61"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9"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61" borderId="0" applyNumberFormat="0" applyBorder="0" applyAlignment="0" applyProtection="0"/>
    <xf numFmtId="0" fontId="3" fillId="62" borderId="0" applyNumberFormat="0" applyBorder="0" applyAlignment="0" applyProtection="0"/>
    <xf numFmtId="0" fontId="3" fillId="65" borderId="0" applyNumberFormat="0" applyBorder="0" applyAlignment="0" applyProtection="0"/>
    <xf numFmtId="0" fontId="3" fillId="66" borderId="0" applyNumberFormat="0" applyBorder="0" applyAlignment="0" applyProtection="0"/>
    <xf numFmtId="0" fontId="3" fillId="69" borderId="0" applyNumberFormat="0" applyBorder="0" applyAlignment="0" applyProtection="0"/>
    <xf numFmtId="0" fontId="3" fillId="70" borderId="0" applyNumberFormat="0" applyBorder="0" applyAlignment="0" applyProtection="0"/>
    <xf numFmtId="0" fontId="3" fillId="73" borderId="0" applyNumberFormat="0" applyBorder="0" applyAlignment="0" applyProtection="0"/>
    <xf numFmtId="0" fontId="3" fillId="74" borderId="0" applyNumberFormat="0" applyBorder="0" applyAlignment="0" applyProtection="0"/>
    <xf numFmtId="0" fontId="3" fillId="77" borderId="0" applyNumberFormat="0" applyBorder="0" applyAlignment="0" applyProtection="0"/>
    <xf numFmtId="0" fontId="3" fillId="78" borderId="0" applyNumberFormat="0" applyBorder="0" applyAlignment="0" applyProtection="0"/>
    <xf numFmtId="0" fontId="3" fillId="81" borderId="0" applyNumberFormat="0" applyBorder="0" applyAlignment="0" applyProtection="0"/>
    <xf numFmtId="0" fontId="3" fillId="82" borderId="0" applyNumberFormat="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61" borderId="0" applyNumberFormat="0" applyBorder="0" applyAlignment="0" applyProtection="0"/>
    <xf numFmtId="0" fontId="3" fillId="65" borderId="0" applyNumberFormat="0" applyBorder="0" applyAlignment="0" applyProtection="0"/>
    <xf numFmtId="0" fontId="3" fillId="61" borderId="0" applyNumberFormat="0" applyBorder="0" applyAlignment="0" applyProtection="0"/>
    <xf numFmtId="0" fontId="3" fillId="65" borderId="0" applyNumberFormat="0" applyBorder="0" applyAlignment="0" applyProtection="0"/>
    <xf numFmtId="0" fontId="3" fillId="61"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0" fontId="3" fillId="0" borderId="0"/>
    <xf numFmtId="0" fontId="3" fillId="0" borderId="0"/>
    <xf numFmtId="165" fontId="3" fillId="0" borderId="0" applyFont="0" applyFill="0" applyBorder="0" applyAlignment="0" applyProtection="0"/>
    <xf numFmtId="9" fontId="3" fillId="0" borderId="0" applyFont="0" applyFill="0" applyBorder="0" applyAlignment="0" applyProtection="0"/>
    <xf numFmtId="165" fontId="3" fillId="0" borderId="0" applyFont="0" applyFill="0" applyBorder="0" applyAlignment="0" applyProtection="0"/>
    <xf numFmtId="0" fontId="3" fillId="0" borderId="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9" fontId="3" fillId="0" borderId="0" applyFont="0" applyFill="0" applyBorder="0" applyAlignment="0" applyProtection="0"/>
    <xf numFmtId="0" fontId="3" fillId="0" borderId="0"/>
    <xf numFmtId="165" fontId="3" fillId="0" borderId="0" applyFont="0" applyFill="0" applyBorder="0" applyAlignment="0" applyProtection="0"/>
    <xf numFmtId="0" fontId="3" fillId="0" borderId="0"/>
    <xf numFmtId="0" fontId="3" fillId="61" borderId="0" applyNumberFormat="0" applyBorder="0" applyAlignment="0" applyProtection="0"/>
    <xf numFmtId="0" fontId="3" fillId="62" borderId="0" applyNumberFormat="0" applyBorder="0" applyAlignment="0" applyProtection="0"/>
    <xf numFmtId="0" fontId="3" fillId="65" borderId="0" applyNumberFormat="0" applyBorder="0" applyAlignment="0" applyProtection="0"/>
    <xf numFmtId="0" fontId="3" fillId="66" borderId="0" applyNumberFormat="0" applyBorder="0" applyAlignment="0" applyProtection="0"/>
    <xf numFmtId="0" fontId="3" fillId="69" borderId="0" applyNumberFormat="0" applyBorder="0" applyAlignment="0" applyProtection="0"/>
    <xf numFmtId="0" fontId="3" fillId="70" borderId="0" applyNumberFormat="0" applyBorder="0" applyAlignment="0" applyProtection="0"/>
    <xf numFmtId="0" fontId="3" fillId="73" borderId="0" applyNumberFormat="0" applyBorder="0" applyAlignment="0" applyProtection="0"/>
    <xf numFmtId="0" fontId="3" fillId="74" borderId="0" applyNumberFormat="0" applyBorder="0" applyAlignment="0" applyProtection="0"/>
    <xf numFmtId="0" fontId="3" fillId="77" borderId="0" applyNumberFormat="0" applyBorder="0" applyAlignment="0" applyProtection="0"/>
    <xf numFmtId="0" fontId="3" fillId="78" borderId="0" applyNumberFormat="0" applyBorder="0" applyAlignment="0" applyProtection="0"/>
    <xf numFmtId="0" fontId="3" fillId="81" borderId="0" applyNumberFormat="0" applyBorder="0" applyAlignment="0" applyProtection="0"/>
    <xf numFmtId="0" fontId="3" fillId="82" borderId="0" applyNumberFormat="0" applyBorder="0" applyAlignment="0" applyProtection="0"/>
    <xf numFmtId="0" fontId="3" fillId="61" borderId="0" applyNumberFormat="0" applyBorder="0" applyAlignment="0" applyProtection="0"/>
    <xf numFmtId="0" fontId="3" fillId="65" borderId="0" applyNumberFormat="0" applyBorder="0" applyAlignment="0" applyProtection="0"/>
    <xf numFmtId="0" fontId="3" fillId="61" borderId="0" applyNumberFormat="0" applyBorder="0" applyAlignment="0" applyProtection="0"/>
    <xf numFmtId="0" fontId="3" fillId="65" borderId="0" applyNumberFormat="0" applyBorder="0" applyAlignment="0" applyProtection="0"/>
    <xf numFmtId="0" fontId="3" fillId="61"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6"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62"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81"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7"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73"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9"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5"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61"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0"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4"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78"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82" borderId="0" applyNumberFormat="0" applyBorder="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0" fontId="3" fillId="59" borderId="86" applyNumberFormat="0" applyFont="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165"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1" borderId="0" applyNumberFormat="0" applyBorder="0" applyAlignment="0" applyProtection="0"/>
    <xf numFmtId="0" fontId="2" fillId="62" borderId="0" applyNumberFormat="0" applyBorder="0" applyAlignment="0" applyProtection="0"/>
    <xf numFmtId="0" fontId="2" fillId="65" borderId="0" applyNumberFormat="0" applyBorder="0" applyAlignment="0" applyProtection="0"/>
    <xf numFmtId="0" fontId="2" fillId="66" borderId="0" applyNumberFormat="0" applyBorder="0" applyAlignment="0" applyProtection="0"/>
    <xf numFmtId="0" fontId="2" fillId="69" borderId="0" applyNumberFormat="0" applyBorder="0" applyAlignment="0" applyProtection="0"/>
    <xf numFmtId="0" fontId="2" fillId="70" borderId="0" applyNumberFormat="0" applyBorder="0" applyAlignment="0" applyProtection="0"/>
    <xf numFmtId="0" fontId="2" fillId="73" borderId="0" applyNumberFormat="0" applyBorder="0" applyAlignment="0" applyProtection="0"/>
    <xf numFmtId="0" fontId="2" fillId="74" borderId="0" applyNumberFormat="0" applyBorder="0" applyAlignment="0" applyProtection="0"/>
    <xf numFmtId="0" fontId="2" fillId="77" borderId="0" applyNumberFormat="0" applyBorder="0" applyAlignment="0" applyProtection="0"/>
    <xf numFmtId="0" fontId="2" fillId="78" borderId="0" applyNumberFormat="0" applyBorder="0" applyAlignment="0" applyProtection="0"/>
    <xf numFmtId="0" fontId="2" fillId="81" borderId="0" applyNumberFormat="0" applyBorder="0" applyAlignment="0" applyProtection="0"/>
    <xf numFmtId="0" fontId="2" fillId="82" borderId="0" applyNumberFormat="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61"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61" borderId="0" applyNumberFormat="0" applyBorder="0" applyAlignment="0" applyProtection="0"/>
    <xf numFmtId="0" fontId="2" fillId="62" borderId="0" applyNumberFormat="0" applyBorder="0" applyAlignment="0" applyProtection="0"/>
    <xf numFmtId="0" fontId="2" fillId="65" borderId="0" applyNumberFormat="0" applyBorder="0" applyAlignment="0" applyProtection="0"/>
    <xf numFmtId="0" fontId="2" fillId="66" borderId="0" applyNumberFormat="0" applyBorder="0" applyAlignment="0" applyProtection="0"/>
    <xf numFmtId="0" fontId="2" fillId="69" borderId="0" applyNumberFormat="0" applyBorder="0" applyAlignment="0" applyProtection="0"/>
    <xf numFmtId="0" fontId="2" fillId="70" borderId="0" applyNumberFormat="0" applyBorder="0" applyAlignment="0" applyProtection="0"/>
    <xf numFmtId="0" fontId="2" fillId="73" borderId="0" applyNumberFormat="0" applyBorder="0" applyAlignment="0" applyProtection="0"/>
    <xf numFmtId="0" fontId="2" fillId="74" borderId="0" applyNumberFormat="0" applyBorder="0" applyAlignment="0" applyProtection="0"/>
    <xf numFmtId="0" fontId="2" fillId="77" borderId="0" applyNumberFormat="0" applyBorder="0" applyAlignment="0" applyProtection="0"/>
    <xf numFmtId="0" fontId="2" fillId="78" borderId="0" applyNumberFormat="0" applyBorder="0" applyAlignment="0" applyProtection="0"/>
    <xf numFmtId="0" fontId="2" fillId="81" borderId="0" applyNumberFormat="0" applyBorder="0" applyAlignment="0" applyProtection="0"/>
    <xf numFmtId="0" fontId="2" fillId="82" borderId="0" applyNumberFormat="0" applyBorder="0" applyAlignment="0" applyProtection="0"/>
    <xf numFmtId="0" fontId="2" fillId="61"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1" borderId="0" applyNumberFormat="0" applyBorder="0" applyAlignment="0" applyProtection="0"/>
    <xf numFmtId="0" fontId="2" fillId="62" borderId="0" applyNumberFormat="0" applyBorder="0" applyAlignment="0" applyProtection="0"/>
    <xf numFmtId="0" fontId="2" fillId="65" borderId="0" applyNumberFormat="0" applyBorder="0" applyAlignment="0" applyProtection="0"/>
    <xf numFmtId="0" fontId="2" fillId="66" borderId="0" applyNumberFormat="0" applyBorder="0" applyAlignment="0" applyProtection="0"/>
    <xf numFmtId="0" fontId="2" fillId="69" borderId="0" applyNumberFormat="0" applyBorder="0" applyAlignment="0" applyProtection="0"/>
    <xf numFmtId="0" fontId="2" fillId="70" borderId="0" applyNumberFormat="0" applyBorder="0" applyAlignment="0" applyProtection="0"/>
    <xf numFmtId="0" fontId="2" fillId="73" borderId="0" applyNumberFormat="0" applyBorder="0" applyAlignment="0" applyProtection="0"/>
    <xf numFmtId="0" fontId="2" fillId="74" borderId="0" applyNumberFormat="0" applyBorder="0" applyAlignment="0" applyProtection="0"/>
    <xf numFmtId="0" fontId="2" fillId="77" borderId="0" applyNumberFormat="0" applyBorder="0" applyAlignment="0" applyProtection="0"/>
    <xf numFmtId="0" fontId="2" fillId="78" borderId="0" applyNumberFormat="0" applyBorder="0" applyAlignment="0" applyProtection="0"/>
    <xf numFmtId="0" fontId="2" fillId="81" borderId="0" applyNumberFormat="0" applyBorder="0" applyAlignment="0" applyProtection="0"/>
    <xf numFmtId="0" fontId="2" fillId="82" borderId="0" applyNumberFormat="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61"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61" borderId="0" applyNumberFormat="0" applyBorder="0" applyAlignment="0" applyProtection="0"/>
    <xf numFmtId="0" fontId="2" fillId="62" borderId="0" applyNumberFormat="0" applyBorder="0" applyAlignment="0" applyProtection="0"/>
    <xf numFmtId="0" fontId="2" fillId="65" borderId="0" applyNumberFormat="0" applyBorder="0" applyAlignment="0" applyProtection="0"/>
    <xf numFmtId="0" fontId="2" fillId="66" borderId="0" applyNumberFormat="0" applyBorder="0" applyAlignment="0" applyProtection="0"/>
    <xf numFmtId="0" fontId="2" fillId="69" borderId="0" applyNumberFormat="0" applyBorder="0" applyAlignment="0" applyProtection="0"/>
    <xf numFmtId="0" fontId="2" fillId="70" borderId="0" applyNumberFormat="0" applyBorder="0" applyAlignment="0" applyProtection="0"/>
    <xf numFmtId="0" fontId="2" fillId="73" borderId="0" applyNumberFormat="0" applyBorder="0" applyAlignment="0" applyProtection="0"/>
    <xf numFmtId="0" fontId="2" fillId="74" borderId="0" applyNumberFormat="0" applyBorder="0" applyAlignment="0" applyProtection="0"/>
    <xf numFmtId="0" fontId="2" fillId="77" borderId="0" applyNumberFormat="0" applyBorder="0" applyAlignment="0" applyProtection="0"/>
    <xf numFmtId="0" fontId="2" fillId="78" borderId="0" applyNumberFormat="0" applyBorder="0" applyAlignment="0" applyProtection="0"/>
    <xf numFmtId="0" fontId="2" fillId="81" borderId="0" applyNumberFormat="0" applyBorder="0" applyAlignment="0" applyProtection="0"/>
    <xf numFmtId="0" fontId="2" fillId="82" borderId="0" applyNumberFormat="0" applyBorder="0" applyAlignment="0" applyProtection="0"/>
    <xf numFmtId="0" fontId="2" fillId="61"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6" fillId="23" borderId="107" applyNumberFormat="0" applyAlignment="0" applyProtection="0"/>
    <xf numFmtId="165" fontId="2" fillId="0" borderId="0" applyFont="0" applyFill="0" applyBorder="0" applyAlignment="0" applyProtection="0"/>
    <xf numFmtId="165" fontId="2" fillId="0" borderId="0" applyFont="0" applyFill="0" applyBorder="0" applyAlignment="0" applyProtection="0"/>
    <xf numFmtId="0" fontId="43" fillId="0" borderId="108">
      <alignment horizontal="left" vertical="center" wrapText="1" indent="2"/>
    </xf>
    <xf numFmtId="0" fontId="11" fillId="28" borderId="115" applyNumberFormat="0" applyFont="0" applyAlignment="0" applyProtection="0"/>
    <xf numFmtId="0" fontId="11" fillId="28" borderId="115" applyNumberFormat="0" applyFont="0" applyAlignment="0" applyProtection="0"/>
    <xf numFmtId="0" fontId="11" fillId="28" borderId="115" applyNumberFormat="0" applyFont="0" applyAlignment="0" applyProtection="0"/>
    <xf numFmtId="0" fontId="11" fillId="28" borderId="115" applyNumberFormat="0" applyFont="0" applyAlignment="0" applyProtection="0"/>
    <xf numFmtId="0" fontId="22" fillId="23" borderId="116" applyNumberFormat="0" applyAlignment="0" applyProtection="0"/>
    <xf numFmtId="0" fontId="19" fillId="8" borderId="107" applyNumberFormat="0" applyAlignment="0" applyProtection="0"/>
    <xf numFmtId="0" fontId="19" fillId="8" borderId="107" applyNumberFormat="0" applyAlignment="0" applyProtection="0"/>
    <xf numFmtId="165" fontId="2" fillId="0" borderId="0" applyFont="0" applyFill="0" applyBorder="0" applyAlignment="0" applyProtection="0"/>
    <xf numFmtId="0" fontId="16" fillId="23" borderId="113" applyNumberFormat="0" applyAlignment="0" applyProtection="0"/>
    <xf numFmtId="0" fontId="19" fillId="8" borderId="113" applyNumberFormat="0" applyAlignment="0" applyProtection="0"/>
    <xf numFmtId="0" fontId="11" fillId="28" borderId="115" applyNumberFormat="0" applyFont="0" applyAlignment="0" applyProtection="0"/>
    <xf numFmtId="0" fontId="11" fillId="28" borderId="115" applyNumberFormat="0" applyFont="0" applyAlignment="0" applyProtection="0"/>
    <xf numFmtId="0" fontId="16" fillId="23" borderId="113" applyNumberFormat="0" applyAlignment="0" applyProtection="0"/>
    <xf numFmtId="0" fontId="29" fillId="0" borderId="117" applyNumberFormat="0" applyFill="0" applyAlignment="0" applyProtection="0"/>
    <xf numFmtId="0" fontId="19" fillId="8" borderId="113" applyNumberFormat="0" applyAlignment="0" applyProtection="0"/>
    <xf numFmtId="0" fontId="2" fillId="0" borderId="0"/>
    <xf numFmtId="0" fontId="2" fillId="0" borderId="0"/>
    <xf numFmtId="0" fontId="2" fillId="0" borderId="0"/>
    <xf numFmtId="0" fontId="2" fillId="0" borderId="0"/>
    <xf numFmtId="4" fontId="43" fillId="0" borderId="106" applyFill="0" applyBorder="0" applyProtection="0">
      <alignment horizontal="right" vertical="center"/>
    </xf>
    <xf numFmtId="0" fontId="29" fillId="0" borderId="117" applyNumberFormat="0" applyFill="0" applyAlignment="0" applyProtection="0"/>
    <xf numFmtId="0" fontId="11" fillId="28" borderId="115" applyNumberFormat="0" applyFont="0" applyAlignment="0" applyProtection="0"/>
    <xf numFmtId="0" fontId="40" fillId="28" borderId="115" applyNumberFormat="0" applyFont="0" applyAlignment="0" applyProtection="0"/>
    <xf numFmtId="0" fontId="11" fillId="28" borderId="115" applyNumberFormat="0" applyFont="0" applyAlignment="0" applyProtection="0"/>
    <xf numFmtId="0" fontId="40" fillId="28" borderId="115" applyNumberFormat="0" applyFont="0" applyAlignment="0" applyProtection="0"/>
    <xf numFmtId="0" fontId="11" fillId="28" borderId="109" applyNumberFormat="0" applyFont="0" applyAlignment="0" applyProtection="0"/>
    <xf numFmtId="0" fontId="11" fillId="28" borderId="109" applyNumberFormat="0" applyFont="0" applyAlignment="0" applyProtection="0"/>
    <xf numFmtId="0" fontId="11" fillId="28" borderId="109" applyNumberFormat="0" applyFont="0" applyAlignment="0" applyProtection="0"/>
    <xf numFmtId="0" fontId="40" fillId="28" borderId="109" applyNumberFormat="0" applyFont="0" applyAlignment="0" applyProtection="0"/>
    <xf numFmtId="0" fontId="11" fillId="28" borderId="109" applyNumberFormat="0" applyFont="0" applyAlignment="0" applyProtection="0"/>
    <xf numFmtId="0" fontId="11" fillId="28" borderId="109" applyNumberFormat="0" applyFont="0" applyAlignment="0" applyProtection="0"/>
    <xf numFmtId="0" fontId="11" fillId="28" borderId="109" applyNumberFormat="0" applyFont="0" applyAlignment="0" applyProtection="0"/>
    <xf numFmtId="0" fontId="40" fillId="28" borderId="109" applyNumberFormat="0" applyFont="0" applyAlignment="0" applyProtection="0"/>
    <xf numFmtId="0" fontId="40" fillId="28" borderId="115" applyNumberFormat="0" applyFont="0" applyAlignment="0" applyProtection="0"/>
    <xf numFmtId="0" fontId="29" fillId="0" borderId="117" applyNumberFormat="0" applyFill="0" applyAlignment="0" applyProtection="0"/>
    <xf numFmtId="0" fontId="11" fillId="28" borderId="115" applyNumberFormat="0" applyFont="0" applyAlignment="0" applyProtection="0"/>
    <xf numFmtId="0" fontId="11" fillId="28" borderId="115" applyNumberFormat="0" applyFont="0" applyAlignment="0" applyProtection="0"/>
    <xf numFmtId="0" fontId="40" fillId="28" borderId="115" applyNumberFormat="0" applyFont="0" applyAlignment="0" applyProtection="0"/>
    <xf numFmtId="0" fontId="11" fillId="28" borderId="115" applyNumberFormat="0" applyFont="0" applyAlignment="0" applyProtection="0"/>
    <xf numFmtId="0" fontId="11" fillId="28" borderId="115" applyNumberFormat="0" applyFont="0" applyAlignment="0" applyProtection="0"/>
    <xf numFmtId="0" fontId="29" fillId="0" borderId="117" applyNumberFormat="0" applyFill="0" applyAlignment="0" applyProtection="0"/>
    <xf numFmtId="4" fontId="43" fillId="0" borderId="112" applyFill="0" applyBorder="0" applyProtection="0">
      <alignment horizontal="right" vertical="center"/>
    </xf>
    <xf numFmtId="0" fontId="22" fillId="23" borderId="110" applyNumberFormat="0" applyAlignment="0" applyProtection="0"/>
    <xf numFmtId="0" fontId="22" fillId="23" borderId="110" applyNumberFormat="0" applyAlignment="0" applyProtection="0"/>
    <xf numFmtId="0" fontId="11" fillId="28" borderId="115" applyNumberFormat="0" applyFont="0" applyAlignment="0" applyProtection="0"/>
    <xf numFmtId="0" fontId="19" fillId="8" borderId="113" applyNumberFormat="0" applyAlignment="0" applyProtection="0"/>
    <xf numFmtId="0" fontId="19" fillId="8" borderId="113" applyNumberFormat="0" applyAlignment="0" applyProtection="0"/>
    <xf numFmtId="0" fontId="19" fillId="8" borderId="113" applyNumberFormat="0" applyAlignment="0" applyProtection="0"/>
    <xf numFmtId="0" fontId="11" fillId="28" borderId="115" applyNumberFormat="0" applyFont="0" applyAlignment="0" applyProtection="0"/>
    <xf numFmtId="0" fontId="11" fillId="28" borderId="115" applyNumberFormat="0" applyFont="0" applyAlignment="0" applyProtection="0"/>
    <xf numFmtId="0" fontId="43" fillId="0" borderId="114">
      <alignment horizontal="left" vertical="center" wrapText="1" indent="2"/>
    </xf>
    <xf numFmtId="9" fontId="2" fillId="0" borderId="0" applyFont="0" applyFill="0" applyBorder="0" applyAlignment="0" applyProtection="0"/>
    <xf numFmtId="0" fontId="29" fillId="0" borderId="111" applyNumberFormat="0" applyFill="0" applyAlignment="0" applyProtection="0"/>
    <xf numFmtId="0" fontId="2" fillId="0" borderId="0"/>
    <xf numFmtId="165" fontId="2" fillId="0" borderId="0" applyFont="0" applyFill="0" applyBorder="0" applyAlignment="0" applyProtection="0"/>
    <xf numFmtId="0" fontId="29" fillId="0" borderId="117" applyNumberFormat="0" applyFill="0" applyAlignment="0" applyProtection="0"/>
    <xf numFmtId="165" fontId="2" fillId="0" borderId="0" applyFont="0" applyFill="0" applyBorder="0" applyAlignment="0" applyProtection="0"/>
    <xf numFmtId="165" fontId="2" fillId="0" borderId="0" applyFont="0" applyFill="0" applyBorder="0" applyAlignment="0" applyProtection="0"/>
    <xf numFmtId="0" fontId="16" fillId="23" borderId="113" applyNumberFormat="0" applyAlignment="0" applyProtection="0"/>
    <xf numFmtId="0" fontId="11" fillId="28" borderId="115" applyNumberFormat="0" applyFont="0" applyAlignment="0" applyProtection="0"/>
    <xf numFmtId="0" fontId="19" fillId="8" borderId="113" applyNumberFormat="0" applyAlignment="0" applyProtection="0"/>
    <xf numFmtId="165" fontId="2" fillId="0" borderId="0" applyFont="0" applyFill="0" applyBorder="0" applyAlignment="0" applyProtection="0"/>
    <xf numFmtId="0" fontId="11" fillId="28" borderId="115" applyNumberFormat="0" applyFont="0" applyAlignment="0" applyProtection="0"/>
    <xf numFmtId="0" fontId="11" fillId="28" borderId="115" applyNumberFormat="0" applyFont="0" applyAlignment="0" applyProtection="0"/>
    <xf numFmtId="0" fontId="11" fillId="28" borderId="115" applyNumberFormat="0" applyFont="0" applyAlignment="0" applyProtection="0"/>
    <xf numFmtId="0" fontId="11" fillId="28" borderId="115" applyNumberFormat="0" applyFont="0" applyAlignment="0" applyProtection="0"/>
    <xf numFmtId="0" fontId="11" fillId="28" borderId="115" applyNumberFormat="0" applyFont="0" applyAlignment="0" applyProtection="0"/>
    <xf numFmtId="0" fontId="11" fillId="28" borderId="115" applyNumberFormat="0" applyFont="0" applyAlignment="0" applyProtection="0"/>
    <xf numFmtId="0" fontId="2" fillId="0" borderId="0"/>
    <xf numFmtId="0" fontId="2" fillId="0" borderId="0"/>
    <xf numFmtId="0" fontId="2" fillId="0" borderId="0"/>
    <xf numFmtId="0" fontId="2" fillId="0" borderId="0"/>
    <xf numFmtId="0" fontId="11" fillId="28" borderId="115" applyNumberFormat="0" applyFont="0" applyAlignment="0" applyProtection="0"/>
    <xf numFmtId="0" fontId="40" fillId="28" borderId="115" applyNumberFormat="0" applyFont="0" applyAlignment="0" applyProtection="0"/>
    <xf numFmtId="0" fontId="40" fillId="28" borderId="115" applyNumberFormat="0" applyFont="0" applyAlignment="0" applyProtection="0"/>
    <xf numFmtId="0" fontId="22" fillId="23" borderId="116" applyNumberFormat="0" applyAlignment="0" applyProtection="0"/>
    <xf numFmtId="0" fontId="22" fillId="23" borderId="116" applyNumberFormat="0" applyAlignment="0" applyProtection="0"/>
    <xf numFmtId="0" fontId="11" fillId="28" borderId="109" applyNumberFormat="0" applyFont="0" applyAlignment="0" applyProtection="0"/>
    <xf numFmtId="0" fontId="11" fillId="28" borderId="109" applyNumberFormat="0" applyFont="0" applyAlignment="0" applyProtection="0"/>
    <xf numFmtId="0" fontId="11" fillId="28" borderId="109" applyNumberFormat="0" applyFont="0" applyAlignment="0" applyProtection="0"/>
    <xf numFmtId="0" fontId="11" fillId="28" borderId="109" applyNumberFormat="0" applyFont="0" applyAlignment="0" applyProtection="0"/>
    <xf numFmtId="0" fontId="11" fillId="28" borderId="109" applyNumberFormat="0" applyFont="0" applyAlignment="0" applyProtection="0"/>
    <xf numFmtId="0" fontId="11" fillId="28" borderId="115" applyNumberFormat="0" applyFont="0" applyAlignment="0" applyProtection="0"/>
    <xf numFmtId="0" fontId="40" fillId="28" borderId="115" applyNumberFormat="0" applyFont="0" applyAlignment="0" applyProtection="0"/>
    <xf numFmtId="0" fontId="11" fillId="28" borderId="115" applyNumberFormat="0" applyFont="0" applyAlignment="0" applyProtection="0"/>
    <xf numFmtId="0" fontId="40" fillId="28" borderId="115" applyNumberFormat="0" applyFont="0" applyAlignment="0" applyProtection="0"/>
    <xf numFmtId="0" fontId="11" fillId="28" borderId="115" applyNumberFormat="0" applyFont="0" applyAlignment="0" applyProtection="0"/>
    <xf numFmtId="0" fontId="19" fillId="8" borderId="113" applyNumberFormat="0" applyAlignment="0" applyProtection="0"/>
    <xf numFmtId="0" fontId="11" fillId="28" borderId="115" applyNumberFormat="0" applyFont="0" applyAlignment="0" applyProtection="0"/>
    <xf numFmtId="0" fontId="16" fillId="23" borderId="113" applyNumberFormat="0" applyAlignment="0" applyProtection="0"/>
    <xf numFmtId="9" fontId="2" fillId="0" borderId="0" applyFont="0" applyFill="0" applyBorder="0" applyAlignment="0" applyProtection="0"/>
    <xf numFmtId="0" fontId="2"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1" borderId="0" applyNumberFormat="0" applyBorder="0" applyAlignment="0" applyProtection="0"/>
    <xf numFmtId="0" fontId="2" fillId="62" borderId="0" applyNumberFormat="0" applyBorder="0" applyAlignment="0" applyProtection="0"/>
    <xf numFmtId="0" fontId="2" fillId="65" borderId="0" applyNumberFormat="0" applyBorder="0" applyAlignment="0" applyProtection="0"/>
    <xf numFmtId="0" fontId="2" fillId="66" borderId="0" applyNumberFormat="0" applyBorder="0" applyAlignment="0" applyProtection="0"/>
    <xf numFmtId="0" fontId="2" fillId="69" borderId="0" applyNumberFormat="0" applyBorder="0" applyAlignment="0" applyProtection="0"/>
    <xf numFmtId="0" fontId="2" fillId="70" borderId="0" applyNumberFormat="0" applyBorder="0" applyAlignment="0" applyProtection="0"/>
    <xf numFmtId="0" fontId="2" fillId="73" borderId="0" applyNumberFormat="0" applyBorder="0" applyAlignment="0" applyProtection="0"/>
    <xf numFmtId="0" fontId="2" fillId="74" borderId="0" applyNumberFormat="0" applyBorder="0" applyAlignment="0" applyProtection="0"/>
    <xf numFmtId="0" fontId="2" fillId="77" borderId="0" applyNumberFormat="0" applyBorder="0" applyAlignment="0" applyProtection="0"/>
    <xf numFmtId="0" fontId="2" fillId="78" borderId="0" applyNumberFormat="0" applyBorder="0" applyAlignment="0" applyProtection="0"/>
    <xf numFmtId="0" fontId="2" fillId="81" borderId="0" applyNumberFormat="0" applyBorder="0" applyAlignment="0" applyProtection="0"/>
    <xf numFmtId="0" fontId="2" fillId="82" borderId="0" applyNumberFormat="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0" fontId="16" fillId="23" borderId="107" applyNumberFormat="0" applyAlignment="0" applyProtection="0"/>
    <xf numFmtId="165" fontId="2" fillId="0" borderId="0" applyFont="0" applyFill="0" applyBorder="0" applyAlignment="0" applyProtection="0"/>
    <xf numFmtId="0" fontId="2" fillId="0" borderId="0"/>
    <xf numFmtId="0" fontId="11" fillId="28" borderId="109" applyNumberFormat="0" applyFont="0" applyAlignment="0" applyProtection="0"/>
    <xf numFmtId="9" fontId="2" fillId="0" borderId="0" applyFont="0" applyFill="0" applyBorder="0" applyAlignment="0" applyProtection="0"/>
    <xf numFmtId="0" fontId="29" fillId="0" borderId="111" applyNumberFormat="0" applyFill="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16" fillId="23" borderId="107" applyNumberFormat="0" applyAlignment="0" applyProtection="0"/>
    <xf numFmtId="0" fontId="19" fillId="8" borderId="107" applyNumberFormat="0" applyAlignment="0" applyProtection="0"/>
    <xf numFmtId="0" fontId="11" fillId="28" borderId="109" applyNumberFormat="0" applyFont="0" applyAlignment="0" applyProtection="0"/>
    <xf numFmtId="0" fontId="22" fillId="23" borderId="110" applyNumberFormat="0" applyAlignment="0" applyProtection="0"/>
    <xf numFmtId="0" fontId="29" fillId="0" borderId="111" applyNumberFormat="0" applyFill="0" applyAlignment="0" applyProtection="0"/>
    <xf numFmtId="0" fontId="2" fillId="61"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61" borderId="0" applyNumberFormat="0" applyBorder="0" applyAlignment="0" applyProtection="0"/>
    <xf numFmtId="0" fontId="2" fillId="62" borderId="0" applyNumberFormat="0" applyBorder="0" applyAlignment="0" applyProtection="0"/>
    <xf numFmtId="0" fontId="2" fillId="65" borderId="0" applyNumberFormat="0" applyBorder="0" applyAlignment="0" applyProtection="0"/>
    <xf numFmtId="0" fontId="2" fillId="66" borderId="0" applyNumberFormat="0" applyBorder="0" applyAlignment="0" applyProtection="0"/>
    <xf numFmtId="0" fontId="2" fillId="69" borderId="0" applyNumberFormat="0" applyBorder="0" applyAlignment="0" applyProtection="0"/>
    <xf numFmtId="0" fontId="2" fillId="70" borderId="0" applyNumberFormat="0" applyBorder="0" applyAlignment="0" applyProtection="0"/>
    <xf numFmtId="0" fontId="2" fillId="73" borderId="0" applyNumberFormat="0" applyBorder="0" applyAlignment="0" applyProtection="0"/>
    <xf numFmtId="0" fontId="2" fillId="74" borderId="0" applyNumberFormat="0" applyBorder="0" applyAlignment="0" applyProtection="0"/>
    <xf numFmtId="0" fontId="2" fillId="77" borderId="0" applyNumberFormat="0" applyBorder="0" applyAlignment="0" applyProtection="0"/>
    <xf numFmtId="0" fontId="2" fillId="78" borderId="0" applyNumberFormat="0" applyBorder="0" applyAlignment="0" applyProtection="0"/>
    <xf numFmtId="0" fontId="2" fillId="81" borderId="0" applyNumberFormat="0" applyBorder="0" applyAlignment="0" applyProtection="0"/>
    <xf numFmtId="0" fontId="2" fillId="82" borderId="0" applyNumberFormat="0" applyBorder="0" applyAlignment="0" applyProtection="0"/>
    <xf numFmtId="0" fontId="2" fillId="61"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4" fontId="43" fillId="0" borderId="112" applyFill="0" applyBorder="0" applyProtection="0">
      <alignment horizontal="right" vertical="center"/>
    </xf>
    <xf numFmtId="0" fontId="2" fillId="0" borderId="0"/>
    <xf numFmtId="0" fontId="22" fillId="23" borderId="116" applyNumberFormat="0" applyAlignment="0" applyProtection="0"/>
    <xf numFmtId="0" fontId="16" fillId="23" borderId="113" applyNumberFormat="0" applyAlignment="0" applyProtection="0"/>
    <xf numFmtId="9"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11" fillId="28" borderId="115" applyNumberFormat="0" applyFont="0" applyAlignment="0" applyProtection="0"/>
    <xf numFmtId="165" fontId="2" fillId="0" borderId="0" applyFont="0" applyFill="0" applyBorder="0" applyAlignment="0" applyProtection="0"/>
    <xf numFmtId="0" fontId="29" fillId="0" borderId="117" applyNumberFormat="0" applyFill="0" applyAlignment="0" applyProtection="0"/>
    <xf numFmtId="0" fontId="11" fillId="28" borderId="115" applyNumberFormat="0" applyFont="0" applyAlignment="0" applyProtection="0"/>
    <xf numFmtId="0" fontId="22" fillId="23" borderId="116" applyNumberFormat="0" applyAlignment="0" applyProtection="0"/>
    <xf numFmtId="0" fontId="11" fillId="28" borderId="115" applyNumberFormat="0" applyFont="0" applyAlignment="0" applyProtection="0"/>
    <xf numFmtId="0" fontId="19" fillId="8" borderId="113" applyNumberFormat="0" applyAlignment="0" applyProtection="0"/>
    <xf numFmtId="0" fontId="11" fillId="28" borderId="115" applyNumberFormat="0" applyFont="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19" fillId="8" borderId="113" applyNumberFormat="0" applyAlignment="0" applyProtection="0"/>
    <xf numFmtId="0" fontId="29" fillId="0" borderId="117" applyNumberFormat="0" applyFill="0" applyAlignment="0" applyProtection="0"/>
    <xf numFmtId="0" fontId="11" fillId="28" borderId="115" applyNumberFormat="0" applyFont="0" applyAlignment="0" applyProtection="0"/>
    <xf numFmtId="0" fontId="11" fillId="28" borderId="115" applyNumberFormat="0" applyFont="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19" fillId="8" borderId="113" applyNumberFormat="0" applyAlignment="0" applyProtection="0"/>
    <xf numFmtId="0" fontId="11" fillId="28" borderId="115" applyNumberFormat="0" applyFont="0" applyAlignment="0" applyProtection="0"/>
    <xf numFmtId="0" fontId="16" fillId="23" borderId="113" applyNumberFormat="0" applyAlignment="0" applyProtection="0"/>
    <xf numFmtId="0" fontId="22" fillId="23" borderId="116" applyNumberFormat="0" applyAlignment="0" applyProtection="0"/>
    <xf numFmtId="0" fontId="19" fillId="8" borderId="113" applyNumberFormat="0" applyAlignment="0" applyProtection="0"/>
    <xf numFmtId="4" fontId="43" fillId="0" borderId="112" applyFill="0" applyBorder="0" applyProtection="0">
      <alignment horizontal="right" vertical="center"/>
    </xf>
    <xf numFmtId="0" fontId="11" fillId="28" borderId="115" applyNumberFormat="0" applyFont="0" applyAlignment="0" applyProtection="0"/>
    <xf numFmtId="0" fontId="11" fillId="28" borderId="115" applyNumberFormat="0" applyFont="0" applyAlignment="0" applyProtection="0"/>
    <xf numFmtId="0" fontId="11" fillId="28" borderId="115" applyNumberFormat="0" applyFont="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0" fontId="29" fillId="0" borderId="117" applyNumberFormat="0" applyFill="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16" fillId="23" borderId="113" applyNumberFormat="0" applyAlignment="0" applyProtection="0"/>
    <xf numFmtId="0" fontId="11" fillId="28" borderId="115" applyNumberFormat="0" applyFont="0" applyAlignment="0" applyProtection="0"/>
    <xf numFmtId="0" fontId="22" fillId="23" borderId="116" applyNumberFormat="0" applyAlignment="0" applyProtection="0"/>
    <xf numFmtId="0" fontId="11" fillId="28" borderId="115" applyNumberFormat="0" applyFont="0" applyAlignment="0" applyProtection="0"/>
    <xf numFmtId="0" fontId="11" fillId="28" borderId="115" applyNumberFormat="0" applyFont="0" applyAlignment="0" applyProtection="0"/>
    <xf numFmtId="0" fontId="29" fillId="0" borderId="117" applyNumberFormat="0" applyFill="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0" fontId="11" fillId="28" borderId="115" applyNumberFormat="0" applyFon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9"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61" borderId="0" applyNumberFormat="0" applyBorder="0" applyAlignment="0" applyProtection="0"/>
    <xf numFmtId="0" fontId="2" fillId="62" borderId="0" applyNumberFormat="0" applyBorder="0" applyAlignment="0" applyProtection="0"/>
    <xf numFmtId="0" fontId="2" fillId="65" borderId="0" applyNumberFormat="0" applyBorder="0" applyAlignment="0" applyProtection="0"/>
    <xf numFmtId="0" fontId="2" fillId="66" borderId="0" applyNumberFormat="0" applyBorder="0" applyAlignment="0" applyProtection="0"/>
    <xf numFmtId="0" fontId="2" fillId="69" borderId="0" applyNumberFormat="0" applyBorder="0" applyAlignment="0" applyProtection="0"/>
    <xf numFmtId="0" fontId="2" fillId="70" borderId="0" applyNumberFormat="0" applyBorder="0" applyAlignment="0" applyProtection="0"/>
    <xf numFmtId="0" fontId="2" fillId="73" borderId="0" applyNumberFormat="0" applyBorder="0" applyAlignment="0" applyProtection="0"/>
    <xf numFmtId="0" fontId="2" fillId="74" borderId="0" applyNumberFormat="0" applyBorder="0" applyAlignment="0" applyProtection="0"/>
    <xf numFmtId="0" fontId="2" fillId="77" borderId="0" applyNumberFormat="0" applyBorder="0" applyAlignment="0" applyProtection="0"/>
    <xf numFmtId="0" fontId="2" fillId="78" borderId="0" applyNumberFormat="0" applyBorder="0" applyAlignment="0" applyProtection="0"/>
    <xf numFmtId="0" fontId="2" fillId="81" borderId="0" applyNumberFormat="0" applyBorder="0" applyAlignment="0" applyProtection="0"/>
    <xf numFmtId="0" fontId="2" fillId="82" borderId="0" applyNumberFormat="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61"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0" fontId="2" fillId="0" borderId="0"/>
    <xf numFmtId="0" fontId="2" fillId="0" borderId="0"/>
    <xf numFmtId="165" fontId="2" fillId="0" borderId="0" applyFont="0" applyFill="0" applyBorder="0" applyAlignment="0" applyProtection="0"/>
    <xf numFmtId="9" fontId="2" fillId="0" borderId="0" applyFont="0" applyFill="0" applyBorder="0" applyAlignment="0" applyProtection="0"/>
    <xf numFmtId="165" fontId="2" fillId="0" borderId="0" applyFont="0" applyFill="0" applyBorder="0" applyAlignment="0" applyProtection="0"/>
    <xf numFmtId="0" fontId="2" fillId="0" borderId="0"/>
    <xf numFmtId="9" fontId="2"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0" fontId="2" fillId="0" borderId="0"/>
    <xf numFmtId="165" fontId="2" fillId="0" borderId="0" applyFont="0" applyFill="0" applyBorder="0" applyAlignment="0" applyProtection="0"/>
    <xf numFmtId="9" fontId="2" fillId="0" borderId="0" applyFont="0" applyFill="0" applyBorder="0" applyAlignment="0" applyProtection="0"/>
    <xf numFmtId="0" fontId="2" fillId="0" borderId="0"/>
    <xf numFmtId="165" fontId="2" fillId="0" borderId="0" applyFont="0" applyFill="0" applyBorder="0" applyAlignment="0" applyProtection="0"/>
    <xf numFmtId="0" fontId="2" fillId="0" borderId="0"/>
    <xf numFmtId="0" fontId="2" fillId="61" borderId="0" applyNumberFormat="0" applyBorder="0" applyAlignment="0" applyProtection="0"/>
    <xf numFmtId="0" fontId="2" fillId="62" borderId="0" applyNumberFormat="0" applyBorder="0" applyAlignment="0" applyProtection="0"/>
    <xf numFmtId="0" fontId="2" fillId="65" borderId="0" applyNumberFormat="0" applyBorder="0" applyAlignment="0" applyProtection="0"/>
    <xf numFmtId="0" fontId="2" fillId="66" borderId="0" applyNumberFormat="0" applyBorder="0" applyAlignment="0" applyProtection="0"/>
    <xf numFmtId="0" fontId="2" fillId="69" borderId="0" applyNumberFormat="0" applyBorder="0" applyAlignment="0" applyProtection="0"/>
    <xf numFmtId="0" fontId="2" fillId="70" borderId="0" applyNumberFormat="0" applyBorder="0" applyAlignment="0" applyProtection="0"/>
    <xf numFmtId="0" fontId="2" fillId="73" borderId="0" applyNumberFormat="0" applyBorder="0" applyAlignment="0" applyProtection="0"/>
    <xf numFmtId="0" fontId="2" fillId="74" borderId="0" applyNumberFormat="0" applyBorder="0" applyAlignment="0" applyProtection="0"/>
    <xf numFmtId="0" fontId="2" fillId="77" borderId="0" applyNumberFormat="0" applyBorder="0" applyAlignment="0" applyProtection="0"/>
    <xf numFmtId="0" fontId="2" fillId="78" borderId="0" applyNumberFormat="0" applyBorder="0" applyAlignment="0" applyProtection="0"/>
    <xf numFmtId="0" fontId="2" fillId="81" borderId="0" applyNumberFormat="0" applyBorder="0" applyAlignment="0" applyProtection="0"/>
    <xf numFmtId="0" fontId="2" fillId="82" borderId="0" applyNumberFormat="0" applyBorder="0" applyAlignment="0" applyProtection="0"/>
    <xf numFmtId="0" fontId="2" fillId="61"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6"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62"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81"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7"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73"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9"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5"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61"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0"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4"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78"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82" borderId="0" applyNumberFormat="0" applyBorder="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0" fontId="2" fillId="59" borderId="86" applyNumberFormat="0" applyFont="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0" fontId="140" fillId="0" borderId="0"/>
    <xf numFmtId="9" fontId="14" fillId="0" borderId="0" applyFont="0" applyFill="0" applyBorder="0" applyAlignment="0" applyProtection="0"/>
    <xf numFmtId="0" fontId="2" fillId="0" borderId="0"/>
    <xf numFmtId="164" fontId="11" fillId="0" borderId="0" applyFont="0" applyFill="0" applyBorder="0" applyAlignment="0" applyProtection="0"/>
    <xf numFmtId="3" fontId="141" fillId="0" borderId="0"/>
    <xf numFmtId="0" fontId="142" fillId="0" borderId="0" applyNumberFormat="0" applyBorder="0" applyAlignment="0"/>
    <xf numFmtId="0" fontId="11" fillId="28" borderId="115" applyNumberFormat="0" applyFont="0" applyAlignment="0" applyProtection="0"/>
    <xf numFmtId="0" fontId="11" fillId="28" borderId="115" applyNumberFormat="0" applyFont="0" applyAlignment="0" applyProtection="0"/>
    <xf numFmtId="0" fontId="29" fillId="0" borderId="117" applyNumberFormat="0" applyFill="0" applyAlignment="0" applyProtection="0"/>
    <xf numFmtId="0" fontId="22" fillId="23" borderId="116" applyNumberFormat="0" applyAlignment="0" applyProtection="0"/>
    <xf numFmtId="0" fontId="16" fillId="23" borderId="113" applyNumberFormat="0" applyAlignment="0" applyProtection="0"/>
    <xf numFmtId="0" fontId="22" fillId="23" borderId="116" applyNumberFormat="0" applyAlignment="0" applyProtection="0"/>
    <xf numFmtId="0" fontId="16" fillId="23" borderId="113" applyNumberFormat="0" applyAlignment="0" applyProtection="0"/>
    <xf numFmtId="0" fontId="16" fillId="23" borderId="113" applyNumberFormat="0" applyAlignment="0" applyProtection="0"/>
    <xf numFmtId="0" fontId="43" fillId="0" borderId="114">
      <alignment horizontal="left" vertical="center" wrapText="1" indent="2"/>
    </xf>
    <xf numFmtId="0" fontId="11" fillId="28" borderId="115" applyNumberFormat="0" applyFont="0" applyAlignment="0" applyProtection="0"/>
    <xf numFmtId="0" fontId="11" fillId="28" borderId="115" applyNumberFormat="0" applyFont="0" applyAlignment="0" applyProtection="0"/>
    <xf numFmtId="0" fontId="11" fillId="28" borderId="115" applyNumberFormat="0" applyFont="0" applyAlignment="0" applyProtection="0"/>
    <xf numFmtId="0" fontId="22" fillId="23" borderId="116" applyNumberFormat="0" applyAlignment="0" applyProtection="0"/>
    <xf numFmtId="0" fontId="16" fillId="23" borderId="113" applyNumberFormat="0" applyAlignment="0" applyProtection="0"/>
    <xf numFmtId="0" fontId="11" fillId="28" borderId="115" applyNumberFormat="0" applyFont="0" applyAlignment="0" applyProtection="0"/>
    <xf numFmtId="0" fontId="11" fillId="28" borderId="115" applyNumberFormat="0" applyFont="0" applyAlignment="0" applyProtection="0"/>
    <xf numFmtId="0" fontId="11" fillId="28" borderId="115" applyNumberFormat="0" applyFont="0" applyAlignment="0" applyProtection="0"/>
    <xf numFmtId="0" fontId="19" fillId="8" borderId="113" applyNumberFormat="0" applyAlignment="0" applyProtection="0"/>
    <xf numFmtId="0" fontId="43" fillId="0" borderId="114">
      <alignment horizontal="left" vertical="center" wrapText="1" indent="2"/>
    </xf>
    <xf numFmtId="0" fontId="29" fillId="0" borderId="117" applyNumberFormat="0" applyFill="0" applyAlignment="0" applyProtection="0"/>
    <xf numFmtId="0" fontId="16" fillId="23" borderId="113" applyNumberFormat="0" applyAlignment="0" applyProtection="0"/>
    <xf numFmtId="0" fontId="22" fillId="23" borderId="116" applyNumberFormat="0" applyAlignment="0" applyProtection="0"/>
    <xf numFmtId="0" fontId="29" fillId="0" borderId="117" applyNumberFormat="0" applyFill="0" applyAlignment="0" applyProtection="0"/>
    <xf numFmtId="0" fontId="11" fillId="28" borderId="115" applyNumberFormat="0" applyFont="0" applyAlignment="0" applyProtection="0"/>
    <xf numFmtId="0" fontId="22" fillId="23" borderId="116" applyNumberFormat="0" applyAlignment="0" applyProtection="0"/>
    <xf numFmtId="4" fontId="43" fillId="0" borderId="112" applyFill="0" applyBorder="0" applyProtection="0">
      <alignment horizontal="right" vertical="center"/>
    </xf>
    <xf numFmtId="0" fontId="11" fillId="28" borderId="115" applyNumberFormat="0" applyFont="0" applyAlignment="0" applyProtection="0"/>
    <xf numFmtId="0" fontId="11" fillId="28" borderId="115" applyNumberFormat="0" applyFont="0" applyAlignment="0" applyProtection="0"/>
    <xf numFmtId="0" fontId="2" fillId="77" borderId="0" applyNumberFormat="0" applyBorder="0" applyAlignment="0" applyProtection="0"/>
    <xf numFmtId="0" fontId="2" fillId="0" borderId="0"/>
    <xf numFmtId="0" fontId="2" fillId="0" borderId="0"/>
    <xf numFmtId="0" fontId="143" fillId="0" borderId="0" applyNumberFormat="0" applyFill="0" applyBorder="0" applyAlignment="0" applyProtection="0"/>
    <xf numFmtId="0" fontId="42" fillId="0" borderId="0" applyNumberFormat="0">
      <alignment horizontal="right"/>
    </xf>
    <xf numFmtId="0" fontId="43" fillId="0" borderId="0"/>
    <xf numFmtId="0" fontId="1" fillId="0" borderId="0"/>
  </cellStyleXfs>
  <cellXfs count="871">
    <xf numFmtId="0" fontId="0" fillId="0" borderId="0" xfId="0"/>
    <xf numFmtId="0" fontId="0" fillId="0" borderId="0" xfId="0" applyBorder="1"/>
    <xf numFmtId="0" fontId="13" fillId="0" borderId="0" xfId="0" applyFont="1"/>
    <xf numFmtId="0" fontId="0" fillId="0" borderId="0" xfId="0" applyFill="1" applyBorder="1"/>
    <xf numFmtId="0" fontId="0" fillId="0" borderId="0" xfId="0" applyBorder="1" applyAlignment="1">
      <alignment horizontal="center"/>
    </xf>
    <xf numFmtId="0" fontId="13" fillId="0" borderId="0" xfId="0" applyFont="1" applyAlignment="1">
      <alignment horizontal="left"/>
    </xf>
    <xf numFmtId="0" fontId="0" fillId="0" borderId="0" xfId="0" applyBorder="1" applyAlignment="1">
      <alignment horizontal="left"/>
    </xf>
    <xf numFmtId="0" fontId="0" fillId="0" borderId="0" xfId="0" applyFill="1"/>
    <xf numFmtId="0" fontId="12" fillId="0" borderId="0" xfId="0" applyFont="1" applyFill="1" applyBorder="1" applyAlignment="1">
      <alignment horizontal="left"/>
    </xf>
    <xf numFmtId="0" fontId="0" fillId="0" borderId="0" xfId="0" applyFont="1"/>
    <xf numFmtId="0" fontId="0" fillId="30" borderId="0" xfId="0" applyFill="1"/>
    <xf numFmtId="0" fontId="33" fillId="31" borderId="12" xfId="0" applyFont="1" applyFill="1" applyBorder="1" applyAlignment="1">
      <alignment horizontal="left" vertical="center" wrapText="1"/>
    </xf>
    <xf numFmtId="0" fontId="34" fillId="29" borderId="13" xfId="0" applyFont="1" applyFill="1" applyBorder="1" applyAlignment="1">
      <alignment horizontal="left" vertical="center" wrapText="1"/>
    </xf>
    <xf numFmtId="0" fontId="12" fillId="0" borderId="0" xfId="0" applyFont="1" applyBorder="1"/>
    <xf numFmtId="171" fontId="0" fillId="30" borderId="0" xfId="0" applyNumberFormat="1" applyFill="1"/>
    <xf numFmtId="171" fontId="13" fillId="0" borderId="0" xfId="0" applyNumberFormat="1" applyFont="1"/>
    <xf numFmtId="171" fontId="0" fillId="0" borderId="0" xfId="0" applyNumberFormat="1"/>
    <xf numFmtId="171" fontId="33" fillId="31" borderId="12" xfId="0" applyNumberFormat="1" applyFont="1" applyFill="1" applyBorder="1" applyAlignment="1">
      <alignment horizontal="left" vertical="center" wrapText="1"/>
    </xf>
    <xf numFmtId="171" fontId="34" fillId="29" borderId="13" xfId="0" quotePrefix="1" applyNumberFormat="1" applyFont="1" applyFill="1" applyBorder="1" applyAlignment="1">
      <alignment horizontal="left" vertical="center" wrapText="1"/>
    </xf>
    <xf numFmtId="171" fontId="12" fillId="0" borderId="0" xfId="0" applyNumberFormat="1" applyFont="1" applyFill="1" applyBorder="1"/>
    <xf numFmtId="171" fontId="0" fillId="0" borderId="0" xfId="0" applyNumberFormat="1" applyBorder="1"/>
    <xf numFmtId="171" fontId="0" fillId="0" borderId="0" xfId="0" applyNumberFormat="1" applyFill="1" applyBorder="1"/>
    <xf numFmtId="171" fontId="0" fillId="0" borderId="0" xfId="0" applyNumberFormat="1" applyFont="1" applyFill="1" applyBorder="1"/>
    <xf numFmtId="171" fontId="0" fillId="0" borderId="0" xfId="0" applyNumberFormat="1" applyFill="1" applyBorder="1" applyAlignment="1">
      <alignment wrapText="1"/>
    </xf>
    <xf numFmtId="0" fontId="12" fillId="0" borderId="0" xfId="0" applyFont="1"/>
    <xf numFmtId="0" fontId="50" fillId="32" borderId="15" xfId="0" applyFont="1" applyFill="1" applyBorder="1"/>
    <xf numFmtId="0" fontId="51" fillId="32" borderId="16" xfId="0" applyFont="1" applyFill="1" applyBorder="1" applyAlignment="1" applyProtection="1">
      <alignment horizontal="center" vertical="center"/>
    </xf>
    <xf numFmtId="0" fontId="51" fillId="32" borderId="14" xfId="0" applyFont="1" applyFill="1" applyBorder="1" applyAlignment="1" applyProtection="1">
      <alignment horizontal="center" vertical="center"/>
    </xf>
    <xf numFmtId="0" fontId="52" fillId="32" borderId="0" xfId="0" applyFont="1" applyFill="1" applyAlignment="1" applyProtection="1">
      <alignment horizontal="right"/>
    </xf>
    <xf numFmtId="0" fontId="51" fillId="32" borderId="17" xfId="0" applyFont="1" applyFill="1" applyBorder="1" applyAlignment="1" applyProtection="1">
      <alignment horizontal="center" vertical="center"/>
    </xf>
    <xf numFmtId="0" fontId="51" fillId="32" borderId="18" xfId="0" applyFont="1" applyFill="1" applyBorder="1" applyAlignment="1" applyProtection="1">
      <alignment horizontal="center" vertical="center"/>
    </xf>
    <xf numFmtId="0" fontId="51" fillId="32" borderId="0" xfId="0" applyFont="1" applyFill="1" applyBorder="1" applyAlignment="1" applyProtection="1">
      <alignment horizontal="center" vertical="center"/>
    </xf>
    <xf numFmtId="0" fontId="51" fillId="32" borderId="19" xfId="0" applyFont="1" applyFill="1" applyBorder="1" applyAlignment="1" applyProtection="1">
      <alignment horizontal="center" vertical="center"/>
    </xf>
    <xf numFmtId="0" fontId="51" fillId="32" borderId="20" xfId="0" applyFont="1" applyFill="1" applyBorder="1" applyAlignment="1" applyProtection="1">
      <alignment horizontal="center" vertical="center"/>
    </xf>
    <xf numFmtId="0" fontId="51" fillId="32" borderId="21" xfId="0" applyFont="1" applyFill="1" applyBorder="1" applyAlignment="1" applyProtection="1">
      <alignment horizontal="center" vertical="center"/>
    </xf>
    <xf numFmtId="0" fontId="53" fillId="32" borderId="0" xfId="0" applyFont="1" applyFill="1" applyAlignment="1" applyProtection="1">
      <alignment horizontal="right" vertical="center"/>
    </xf>
    <xf numFmtId="0" fontId="51" fillId="32" borderId="22" xfId="0" applyFont="1" applyFill="1" applyBorder="1" applyAlignment="1" applyProtection="1">
      <alignment horizontal="center" vertical="center"/>
    </xf>
    <xf numFmtId="0" fontId="51" fillId="32" borderId="23" xfId="0" applyFont="1" applyFill="1" applyBorder="1" applyAlignment="1" applyProtection="1">
      <alignment vertical="center" wrapText="1"/>
    </xf>
    <xf numFmtId="0" fontId="51" fillId="32" borderId="13" xfId="0" applyFont="1" applyFill="1" applyBorder="1" applyAlignment="1" applyProtection="1">
      <alignment horizontal="center" vertical="center"/>
    </xf>
    <xf numFmtId="0" fontId="51" fillId="32" borderId="24" xfId="0" applyFont="1" applyFill="1" applyBorder="1" applyAlignment="1" applyProtection="1">
      <alignment horizontal="center" vertical="center"/>
    </xf>
    <xf numFmtId="0" fontId="51" fillId="32" borderId="25" xfId="0" applyFont="1" applyFill="1" applyBorder="1" applyAlignment="1" applyProtection="1">
      <alignment horizontal="center" vertical="center"/>
    </xf>
    <xf numFmtId="0" fontId="51" fillId="32" borderId="26" xfId="0" applyFont="1" applyFill="1" applyBorder="1" applyAlignment="1" applyProtection="1">
      <alignment horizontal="center" vertical="center"/>
    </xf>
    <xf numFmtId="0" fontId="54" fillId="32" borderId="27" xfId="0" applyFont="1" applyFill="1" applyBorder="1" applyAlignment="1">
      <alignment vertical="center" wrapText="1"/>
    </xf>
    <xf numFmtId="0" fontId="54" fillId="32" borderId="28" xfId="0" applyFont="1" applyFill="1" applyBorder="1" applyAlignment="1">
      <alignment vertical="center" wrapText="1"/>
    </xf>
    <xf numFmtId="0" fontId="54" fillId="32" borderId="29" xfId="0" applyFont="1" applyFill="1" applyBorder="1" applyAlignment="1">
      <alignment horizontal="center" vertical="center"/>
    </xf>
    <xf numFmtId="0" fontId="54" fillId="32" borderId="30" xfId="0" applyFont="1" applyFill="1" applyBorder="1" applyAlignment="1">
      <alignment horizontal="center" vertical="center"/>
    </xf>
    <xf numFmtId="0" fontId="54" fillId="32" borderId="31" xfId="0" applyFont="1" applyFill="1" applyBorder="1" applyAlignment="1">
      <alignment horizontal="center" vertical="center"/>
    </xf>
    <xf numFmtId="0" fontId="50" fillId="32" borderId="32" xfId="0" applyFont="1" applyFill="1" applyBorder="1"/>
    <xf numFmtId="3" fontId="50" fillId="32" borderId="20" xfId="0" applyNumberFormat="1" applyFont="1" applyFill="1" applyBorder="1"/>
    <xf numFmtId="3" fontId="50" fillId="32" borderId="18" xfId="0" applyNumberFormat="1" applyFont="1" applyFill="1" applyBorder="1"/>
    <xf numFmtId="3" fontId="50" fillId="32" borderId="33" xfId="0" applyNumberFormat="1" applyFont="1" applyFill="1" applyBorder="1"/>
    <xf numFmtId="3" fontId="0" fillId="0" borderId="0" xfId="0" applyNumberFormat="1"/>
    <xf numFmtId="0" fontId="69" fillId="41" borderId="0" xfId="417"/>
    <xf numFmtId="2" fontId="69" fillId="41" borderId="0" xfId="417" applyNumberFormat="1"/>
    <xf numFmtId="171" fontId="12" fillId="0" borderId="0" xfId="0" applyNumberFormat="1" applyFont="1"/>
    <xf numFmtId="0" fontId="14" fillId="6" borderId="30" xfId="6" applyBorder="1" applyAlignment="1">
      <alignment horizontal="center" vertical="center"/>
    </xf>
    <xf numFmtId="0" fontId="33" fillId="31" borderId="12" xfId="0" applyFont="1" applyFill="1" applyBorder="1" applyAlignment="1">
      <alignment horizontal="center" vertical="center" wrapText="1"/>
    </xf>
    <xf numFmtId="0" fontId="55" fillId="33" borderId="0" xfId="0" applyFont="1" applyFill="1"/>
    <xf numFmtId="0" fontId="51" fillId="32" borderId="34" xfId="0" applyFont="1" applyFill="1" applyBorder="1" applyAlignment="1" applyProtection="1">
      <alignment horizontal="center" vertical="center"/>
    </xf>
    <xf numFmtId="0" fontId="51" fillId="32" borderId="0" xfId="0" applyFont="1" applyFill="1" applyAlignment="1" applyProtection="1">
      <alignment horizontal="right" vertical="center"/>
    </xf>
    <xf numFmtId="0" fontId="50" fillId="32" borderId="35" xfId="0" applyFont="1" applyFill="1" applyBorder="1"/>
    <xf numFmtId="0" fontId="50" fillId="32" borderId="36" xfId="0" applyFont="1" applyFill="1" applyBorder="1"/>
    <xf numFmtId="3" fontId="50" fillId="32" borderId="37" xfId="0" applyNumberFormat="1" applyFont="1" applyFill="1" applyBorder="1"/>
    <xf numFmtId="3" fontId="50" fillId="32" borderId="38" xfId="0" applyNumberFormat="1" applyFont="1" applyFill="1" applyBorder="1"/>
    <xf numFmtId="3" fontId="50" fillId="32" borderId="39" xfId="0" applyNumberFormat="1" applyFont="1" applyFill="1" applyBorder="1"/>
    <xf numFmtId="0" fontId="50" fillId="32" borderId="40" xfId="0" applyFont="1" applyFill="1" applyBorder="1"/>
    <xf numFmtId="0" fontId="50" fillId="32" borderId="41" xfId="0" applyFont="1" applyFill="1" applyBorder="1"/>
    <xf numFmtId="3" fontId="50" fillId="32" borderId="16" xfId="0" applyNumberFormat="1" applyFont="1" applyFill="1" applyBorder="1"/>
    <xf numFmtId="3" fontId="50" fillId="32" borderId="42" xfId="0" applyNumberFormat="1" applyFont="1" applyFill="1" applyBorder="1"/>
    <xf numFmtId="3" fontId="50" fillId="32" borderId="43" xfId="0" applyNumberFormat="1" applyFont="1" applyFill="1" applyBorder="1"/>
    <xf numFmtId="0" fontId="56" fillId="0" borderId="2" xfId="0" applyFont="1" applyBorder="1" applyAlignment="1">
      <alignment vertical="center"/>
    </xf>
    <xf numFmtId="0" fontId="50" fillId="0" borderId="2" xfId="0" applyFont="1" applyBorder="1" applyAlignment="1" applyProtection="1">
      <alignment vertical="center"/>
    </xf>
    <xf numFmtId="0" fontId="50" fillId="0" borderId="2" xfId="0" applyFont="1" applyBorder="1" applyProtection="1"/>
    <xf numFmtId="0" fontId="50" fillId="0" borderId="2" xfId="0" applyFont="1" applyFill="1" applyBorder="1" applyProtection="1"/>
    <xf numFmtId="0" fontId="57" fillId="22" borderId="2" xfId="0" applyFont="1" applyFill="1" applyBorder="1" applyProtection="1"/>
    <xf numFmtId="0" fontId="50" fillId="32" borderId="2" xfId="0" applyFont="1" applyFill="1" applyBorder="1" applyProtection="1"/>
    <xf numFmtId="0" fontId="50" fillId="32" borderId="44" xfId="0" applyFont="1" applyFill="1" applyBorder="1"/>
    <xf numFmtId="0" fontId="50" fillId="32" borderId="45" xfId="0" applyFont="1" applyFill="1" applyBorder="1"/>
    <xf numFmtId="3" fontId="50" fillId="32" borderId="46" xfId="0" applyNumberFormat="1" applyFont="1" applyFill="1" applyBorder="1"/>
    <xf numFmtId="3" fontId="50" fillId="32" borderId="47" xfId="0" applyNumberFormat="1" applyFont="1" applyFill="1" applyBorder="1"/>
    <xf numFmtId="3" fontId="50" fillId="32" borderId="48" xfId="0" applyNumberFormat="1" applyFont="1" applyFill="1" applyBorder="1"/>
    <xf numFmtId="0" fontId="33" fillId="34" borderId="12" xfId="0" applyFont="1" applyFill="1" applyBorder="1" applyAlignment="1">
      <alignment horizontal="left" vertical="center" wrapText="1"/>
    </xf>
    <xf numFmtId="0" fontId="50" fillId="29" borderId="15" xfId="0" applyFont="1" applyFill="1" applyBorder="1"/>
    <xf numFmtId="0" fontId="50" fillId="34" borderId="15" xfId="0" applyFont="1" applyFill="1" applyBorder="1"/>
    <xf numFmtId="0" fontId="50" fillId="25" borderId="15" xfId="0" applyFont="1" applyFill="1" applyBorder="1"/>
    <xf numFmtId="3" fontId="50" fillId="25" borderId="20" xfId="0" applyNumberFormat="1" applyFont="1" applyFill="1" applyBorder="1"/>
    <xf numFmtId="3" fontId="50" fillId="25" borderId="18" xfId="0" applyNumberFormat="1" applyFont="1" applyFill="1" applyBorder="1"/>
    <xf numFmtId="3" fontId="50" fillId="25" borderId="33" xfId="0" applyNumberFormat="1" applyFont="1" applyFill="1" applyBorder="1"/>
    <xf numFmtId="3" fontId="50" fillId="34" borderId="20" xfId="0" applyNumberFormat="1" applyFont="1" applyFill="1" applyBorder="1"/>
    <xf numFmtId="3" fontId="50" fillId="34" borderId="18" xfId="0" applyNumberFormat="1" applyFont="1" applyFill="1" applyBorder="1"/>
    <xf numFmtId="3" fontId="50" fillId="34" borderId="33" xfId="0" applyNumberFormat="1" applyFont="1" applyFill="1" applyBorder="1"/>
    <xf numFmtId="0" fontId="45" fillId="0" borderId="0" xfId="993" applyFont="1"/>
    <xf numFmtId="171" fontId="45" fillId="0" borderId="0" xfId="993" applyNumberFormat="1" applyFont="1" applyFill="1" applyBorder="1"/>
    <xf numFmtId="0" fontId="40" fillId="0" borderId="0" xfId="993"/>
    <xf numFmtId="14" fontId="40" fillId="0" borderId="0" xfId="993" applyNumberFormat="1" applyFont="1" applyAlignment="1">
      <alignment horizontal="left"/>
    </xf>
    <xf numFmtId="171" fontId="40" fillId="0" borderId="0" xfId="993" applyNumberFormat="1" applyFont="1" applyFill="1" applyBorder="1" applyAlignment="1">
      <alignment horizontal="left"/>
    </xf>
    <xf numFmtId="0" fontId="40" fillId="0" borderId="0" xfId="993" applyFont="1" applyAlignment="1">
      <alignment horizontal="left"/>
    </xf>
    <xf numFmtId="171" fontId="40" fillId="0" borderId="0" xfId="993" applyNumberFormat="1" applyFill="1" applyBorder="1" applyAlignment="1">
      <alignment horizontal="left"/>
    </xf>
    <xf numFmtId="0" fontId="12" fillId="0" borderId="0" xfId="993" applyFont="1" applyFill="1" applyBorder="1" applyAlignment="1">
      <alignment horizontal="left"/>
    </xf>
    <xf numFmtId="14" fontId="40" fillId="0" borderId="0" xfId="993" applyNumberFormat="1" applyFill="1" applyAlignment="1">
      <alignment horizontal="left"/>
    </xf>
    <xf numFmtId="0" fontId="12" fillId="0" borderId="0" xfId="993" applyFont="1"/>
    <xf numFmtId="0" fontId="55" fillId="0" borderId="0" xfId="0" applyFont="1" applyFill="1"/>
    <xf numFmtId="0" fontId="0" fillId="2" borderId="0" xfId="0" applyFill="1" applyBorder="1"/>
    <xf numFmtId="0" fontId="12" fillId="0" borderId="0" xfId="0" applyFont="1" applyFill="1" applyBorder="1" applyAlignment="1"/>
    <xf numFmtId="0" fontId="12" fillId="30" borderId="0" xfId="0" applyFont="1" applyFill="1"/>
    <xf numFmtId="0" fontId="33" fillId="0" borderId="0" xfId="0" applyFont="1" applyFill="1"/>
    <xf numFmtId="0" fontId="33" fillId="31" borderId="49" xfId="0" applyFont="1" applyFill="1" applyBorder="1" applyAlignment="1">
      <alignment horizontal="left" vertical="center" wrapText="1"/>
    </xf>
    <xf numFmtId="0" fontId="46" fillId="29" borderId="13" xfId="0" applyFont="1" applyFill="1" applyBorder="1" applyAlignment="1">
      <alignment horizontal="left" vertical="center" wrapText="1"/>
    </xf>
    <xf numFmtId="0" fontId="46" fillId="29" borderId="13" xfId="0" applyFont="1" applyFill="1" applyBorder="1" applyAlignment="1">
      <alignment horizontal="right" vertical="center" wrapText="1"/>
    </xf>
    <xf numFmtId="0" fontId="46" fillId="29" borderId="25" xfId="0" applyFont="1" applyFill="1" applyBorder="1" applyAlignment="1">
      <alignment horizontal="right" vertical="center" wrapText="1"/>
    </xf>
    <xf numFmtId="0" fontId="46" fillId="29" borderId="13" xfId="0" applyFont="1" applyFill="1" applyBorder="1" applyAlignment="1">
      <alignment horizontal="center" vertical="center" wrapText="1"/>
    </xf>
    <xf numFmtId="0" fontId="46" fillId="32" borderId="13" xfId="0" applyFont="1" applyFill="1" applyBorder="1" applyAlignment="1">
      <alignment horizontal="left"/>
    </xf>
    <xf numFmtId="0" fontId="46" fillId="32" borderId="13" xfId="0" applyFont="1" applyFill="1" applyBorder="1" applyAlignment="1">
      <alignment horizontal="right"/>
    </xf>
    <xf numFmtId="0" fontId="46" fillId="32" borderId="50" xfId="0" applyFont="1" applyFill="1" applyBorder="1" applyAlignment="1">
      <alignment horizontal="right"/>
    </xf>
    <xf numFmtId="0" fontId="0" fillId="0" borderId="51" xfId="0" applyBorder="1"/>
    <xf numFmtId="0" fontId="0" fillId="0" borderId="19" xfId="0" applyBorder="1"/>
    <xf numFmtId="0" fontId="12" fillId="0" borderId="0" xfId="975" applyFill="1" applyBorder="1"/>
    <xf numFmtId="0" fontId="56" fillId="0" borderId="0" xfId="975" applyFont="1" applyFill="1" applyBorder="1" applyAlignment="1">
      <alignment vertical="center"/>
    </xf>
    <xf numFmtId="0" fontId="50" fillId="0" borderId="0" xfId="975" applyFont="1" applyFill="1" applyBorder="1" applyAlignment="1" applyProtection="1">
      <alignment vertical="center"/>
    </xf>
    <xf numFmtId="0" fontId="12" fillId="0" borderId="0" xfId="975"/>
    <xf numFmtId="0" fontId="51" fillId="0" borderId="0" xfId="975" applyFont="1" applyFill="1" applyBorder="1" applyAlignment="1" applyProtection="1">
      <alignment horizontal="center" vertical="center"/>
    </xf>
    <xf numFmtId="0" fontId="50" fillId="0" borderId="0" xfId="975" applyFont="1" applyFill="1" applyBorder="1" applyProtection="1"/>
    <xf numFmtId="0" fontId="12" fillId="0" borderId="0" xfId="975" applyFont="1"/>
    <xf numFmtId="0" fontId="49" fillId="0" borderId="0" xfId="975" applyFont="1"/>
    <xf numFmtId="0" fontId="57" fillId="22" borderId="52" xfId="975" applyFont="1" applyFill="1" applyBorder="1" applyProtection="1"/>
    <xf numFmtId="0" fontId="57" fillId="22" borderId="30" xfId="975" applyFont="1" applyFill="1" applyBorder="1" applyProtection="1"/>
    <xf numFmtId="0" fontId="57" fillId="22" borderId="31" xfId="975" applyFont="1" applyFill="1" applyBorder="1" applyProtection="1"/>
    <xf numFmtId="0" fontId="50" fillId="32" borderId="53" xfId="975" applyFont="1" applyFill="1" applyBorder="1" applyProtection="1"/>
    <xf numFmtId="0" fontId="50" fillId="32" borderId="18" xfId="975" applyFont="1" applyFill="1" applyBorder="1" applyProtection="1"/>
    <xf numFmtId="0" fontId="50" fillId="32" borderId="33" xfId="975" applyFont="1" applyFill="1" applyBorder="1" applyProtection="1"/>
    <xf numFmtId="0" fontId="50" fillId="32" borderId="54" xfId="975" applyFont="1" applyFill="1" applyBorder="1" applyProtection="1"/>
    <xf numFmtId="0" fontId="50" fillId="32" borderId="47" xfId="975" applyFont="1" applyFill="1" applyBorder="1" applyProtection="1"/>
    <xf numFmtId="0" fontId="50" fillId="32" borderId="48" xfId="975" applyFont="1" applyFill="1" applyBorder="1" applyProtection="1"/>
    <xf numFmtId="9" fontId="0" fillId="0" borderId="0" xfId="1474" applyFont="1"/>
    <xf numFmtId="0" fontId="12" fillId="33" borderId="0" xfId="975" applyFill="1"/>
    <xf numFmtId="9" fontId="12" fillId="33" borderId="0" xfId="1474" applyFont="1" applyFill="1"/>
    <xf numFmtId="0" fontId="54" fillId="32" borderId="27" xfId="975" applyFont="1" applyFill="1" applyBorder="1" applyAlignment="1">
      <alignment vertical="center" wrapText="1"/>
    </xf>
    <xf numFmtId="0" fontId="54" fillId="32" borderId="28" xfId="975" applyFont="1" applyFill="1" applyBorder="1" applyAlignment="1">
      <alignment vertical="center" wrapText="1"/>
    </xf>
    <xf numFmtId="0" fontId="54" fillId="32" borderId="29" xfId="975" applyFont="1" applyFill="1" applyBorder="1" applyAlignment="1">
      <alignment horizontal="center" vertical="center"/>
    </xf>
    <xf numFmtId="0" fontId="54" fillId="32" borderId="30" xfId="975" applyFont="1" applyFill="1" applyBorder="1" applyAlignment="1">
      <alignment horizontal="center" vertical="center"/>
    </xf>
    <xf numFmtId="0" fontId="54" fillId="32" borderId="31" xfId="975" applyFont="1" applyFill="1" applyBorder="1" applyAlignment="1">
      <alignment horizontal="center" vertical="center"/>
    </xf>
    <xf numFmtId="0" fontId="50" fillId="32" borderId="32" xfId="975" applyFont="1" applyFill="1" applyBorder="1"/>
    <xf numFmtId="0" fontId="50" fillId="32" borderId="15" xfId="975" applyFont="1" applyFill="1" applyBorder="1"/>
    <xf numFmtId="3" fontId="50" fillId="32" borderId="20" xfId="975" applyNumberFormat="1" applyFont="1" applyFill="1" applyBorder="1"/>
    <xf numFmtId="3" fontId="50" fillId="32" borderId="18" xfId="975" applyNumberFormat="1" applyFont="1" applyFill="1" applyBorder="1"/>
    <xf numFmtId="3" fontId="50" fillId="32" borderId="33" xfId="975" applyNumberFormat="1" applyFont="1" applyFill="1" applyBorder="1"/>
    <xf numFmtId="0" fontId="12" fillId="0" borderId="0" xfId="975" applyAlignment="1">
      <alignment vertical="center"/>
    </xf>
    <xf numFmtId="0" fontId="12" fillId="0" borderId="14" xfId="975" applyBorder="1" applyAlignment="1">
      <alignment vertical="center"/>
    </xf>
    <xf numFmtId="0" fontId="50" fillId="35" borderId="21" xfId="975" applyFont="1" applyFill="1" applyBorder="1"/>
    <xf numFmtId="0" fontId="50" fillId="35" borderId="15" xfId="975" applyFont="1" applyFill="1" applyBorder="1"/>
    <xf numFmtId="10" fontId="58" fillId="0" borderId="0" xfId="1474" applyNumberFormat="1" applyFont="1"/>
    <xf numFmtId="10" fontId="12" fillId="0" borderId="0" xfId="975" applyNumberFormat="1"/>
    <xf numFmtId="0" fontId="50" fillId="33" borderId="15" xfId="975" applyFont="1" applyFill="1" applyBorder="1"/>
    <xf numFmtId="3" fontId="58" fillId="33" borderId="0" xfId="1474" applyNumberFormat="1" applyFont="1" applyFill="1"/>
    <xf numFmtId="3" fontId="12" fillId="29" borderId="0" xfId="975" applyNumberFormat="1" applyFill="1"/>
    <xf numFmtId="0" fontId="12" fillId="29" borderId="0" xfId="975" applyFill="1"/>
    <xf numFmtId="0" fontId="50" fillId="33" borderId="41" xfId="975" applyFont="1" applyFill="1" applyBorder="1"/>
    <xf numFmtId="3" fontId="58" fillId="33" borderId="0" xfId="975" applyNumberFormat="1" applyFont="1" applyFill="1"/>
    <xf numFmtId="175" fontId="12" fillId="33" borderId="0" xfId="47" applyNumberFormat="1" applyFont="1" applyFill="1"/>
    <xf numFmtId="1" fontId="12" fillId="0" borderId="0" xfId="975" applyNumberFormat="1"/>
    <xf numFmtId="3" fontId="12" fillId="0" borderId="0" xfId="975" applyNumberFormat="1"/>
    <xf numFmtId="0" fontId="50" fillId="32" borderId="44" xfId="975" applyFont="1" applyFill="1" applyBorder="1"/>
    <xf numFmtId="0" fontId="50" fillId="32" borderId="45" xfId="975" applyFont="1" applyFill="1" applyBorder="1"/>
    <xf numFmtId="3" fontId="50" fillId="32" borderId="46" xfId="975" applyNumberFormat="1" applyFont="1" applyFill="1" applyBorder="1"/>
    <xf numFmtId="3" fontId="50" fillId="32" borderId="47" xfId="975" applyNumberFormat="1" applyFont="1" applyFill="1" applyBorder="1"/>
    <xf numFmtId="3" fontId="50" fillId="32" borderId="48" xfId="975" applyNumberFormat="1" applyFont="1" applyFill="1" applyBorder="1"/>
    <xf numFmtId="0" fontId="50" fillId="32" borderId="0" xfId="975" applyFont="1" applyFill="1" applyBorder="1"/>
    <xf numFmtId="1" fontId="58" fillId="0" borderId="0" xfId="1474" applyNumberFormat="1" applyFont="1"/>
    <xf numFmtId="9" fontId="12" fillId="0" borderId="0" xfId="975" applyNumberFormat="1"/>
    <xf numFmtId="0" fontId="58" fillId="0" borderId="0" xfId="975" applyFont="1"/>
    <xf numFmtId="9" fontId="58" fillId="0" borderId="0" xfId="1474" applyFont="1"/>
    <xf numFmtId="0" fontId="50" fillId="33" borderId="32" xfId="975" applyFont="1" applyFill="1" applyBorder="1"/>
    <xf numFmtId="3" fontId="50" fillId="33" borderId="20" xfId="975" applyNumberFormat="1" applyFont="1" applyFill="1" applyBorder="1"/>
    <xf numFmtId="3" fontId="50" fillId="33" borderId="18" xfId="975" applyNumberFormat="1" applyFont="1" applyFill="1" applyBorder="1"/>
    <xf numFmtId="3" fontId="50" fillId="33" borderId="33" xfId="975" applyNumberFormat="1" applyFont="1" applyFill="1" applyBorder="1"/>
    <xf numFmtId="0" fontId="58" fillId="0" borderId="0" xfId="975" applyFont="1" applyFill="1"/>
    <xf numFmtId="3" fontId="58" fillId="0" borderId="0" xfId="975" applyNumberFormat="1" applyFont="1"/>
    <xf numFmtId="10" fontId="0" fillId="0" borderId="0" xfId="1474" applyNumberFormat="1" applyFont="1"/>
    <xf numFmtId="0" fontId="12" fillId="0" borderId="0" xfId="975" applyFill="1"/>
    <xf numFmtId="0" fontId="12" fillId="0" borderId="0" xfId="975" applyAlignment="1">
      <alignment horizontal="center"/>
    </xf>
    <xf numFmtId="0" fontId="55" fillId="0" borderId="0" xfId="975" applyFont="1"/>
    <xf numFmtId="0" fontId="50" fillId="35" borderId="32" xfId="975" applyFont="1" applyFill="1" applyBorder="1"/>
    <xf numFmtId="3" fontId="50" fillId="35" borderId="20" xfId="975" applyNumberFormat="1" applyFont="1" applyFill="1" applyBorder="1"/>
    <xf numFmtId="3" fontId="50" fillId="32" borderId="55" xfId="975" applyNumberFormat="1" applyFont="1" applyFill="1" applyBorder="1"/>
    <xf numFmtId="3" fontId="50" fillId="32" borderId="56" xfId="975" applyNumberFormat="1" applyFont="1" applyFill="1" applyBorder="1"/>
    <xf numFmtId="3" fontId="50" fillId="32" borderId="57" xfId="975" applyNumberFormat="1" applyFont="1" applyFill="1" applyBorder="1"/>
    <xf numFmtId="0" fontId="50" fillId="36" borderId="32" xfId="975" applyFont="1" applyFill="1" applyBorder="1"/>
    <xf numFmtId="0" fontId="50" fillId="36" borderId="15" xfId="975" applyFont="1" applyFill="1" applyBorder="1"/>
    <xf numFmtId="3" fontId="50" fillId="36" borderId="20" xfId="975" applyNumberFormat="1" applyFont="1" applyFill="1" applyBorder="1"/>
    <xf numFmtId="3" fontId="50" fillId="36" borderId="18" xfId="975" applyNumberFormat="1" applyFont="1" applyFill="1" applyBorder="1"/>
    <xf numFmtId="3" fontId="50" fillId="36" borderId="33" xfId="975" applyNumberFormat="1" applyFont="1" applyFill="1" applyBorder="1"/>
    <xf numFmtId="0" fontId="12" fillId="0" borderId="0" xfId="975" applyFont="1" applyFill="1" applyBorder="1"/>
    <xf numFmtId="171" fontId="12" fillId="0" borderId="12" xfId="975" applyNumberFormat="1" applyFill="1" applyBorder="1"/>
    <xf numFmtId="171" fontId="12" fillId="33" borderId="0" xfId="975" applyNumberFormat="1" applyFont="1" applyFill="1" applyBorder="1"/>
    <xf numFmtId="171" fontId="12" fillId="30" borderId="14" xfId="975" applyNumberFormat="1" applyFont="1" applyFill="1" applyBorder="1"/>
    <xf numFmtId="171" fontId="12" fillId="33" borderId="14" xfId="975" applyNumberFormat="1" applyFont="1" applyFill="1" applyBorder="1"/>
    <xf numFmtId="0" fontId="50" fillId="33" borderId="44" xfId="975" applyFont="1" applyFill="1" applyBorder="1"/>
    <xf numFmtId="0" fontId="50" fillId="33" borderId="45" xfId="975" applyFont="1" applyFill="1" applyBorder="1"/>
    <xf numFmtId="3" fontId="50" fillId="33" borderId="46" xfId="975" applyNumberFormat="1" applyFont="1" applyFill="1" applyBorder="1"/>
    <xf numFmtId="0" fontId="12" fillId="0" borderId="14" xfId="975" applyFont="1" applyFill="1" applyBorder="1"/>
    <xf numFmtId="2" fontId="12" fillId="0" borderId="0" xfId="975" applyNumberFormat="1"/>
    <xf numFmtId="0" fontId="33" fillId="31" borderId="12" xfId="975" applyFont="1" applyFill="1" applyBorder="1" applyAlignment="1">
      <alignment horizontal="left" vertical="center" wrapText="1"/>
    </xf>
    <xf numFmtId="0" fontId="33" fillId="32" borderId="12" xfId="975" applyFont="1" applyFill="1" applyBorder="1" applyAlignment="1">
      <alignment horizontal="left" vertical="center" wrapText="1"/>
    </xf>
    <xf numFmtId="0" fontId="33" fillId="31" borderId="12" xfId="975" applyFont="1" applyFill="1" applyBorder="1" applyAlignment="1">
      <alignment horizontal="center" vertical="center" wrapText="1"/>
    </xf>
    <xf numFmtId="0" fontId="34" fillId="29" borderId="13" xfId="975" applyFont="1" applyFill="1" applyBorder="1" applyAlignment="1">
      <alignment horizontal="left" vertical="center" wrapText="1"/>
    </xf>
    <xf numFmtId="0" fontId="12" fillId="0" borderId="0" xfId="975" applyFont="1" applyFill="1" applyBorder="1" applyAlignment="1" applyProtection="1">
      <alignment horizontal="left"/>
      <protection locked="0"/>
    </xf>
    <xf numFmtId="2" fontId="12" fillId="0" borderId="0" xfId="975" applyNumberFormat="1" applyFont="1" applyFill="1" applyBorder="1" applyAlignment="1">
      <alignment horizontal="center"/>
    </xf>
    <xf numFmtId="2" fontId="12" fillId="0" borderId="0" xfId="975" applyNumberFormat="1" applyFont="1" applyFill="1" applyBorder="1"/>
    <xf numFmtId="2" fontId="12" fillId="31" borderId="0" xfId="975" applyNumberFormat="1" applyFont="1" applyFill="1" applyAlignment="1">
      <alignment horizontal="center"/>
    </xf>
    <xf numFmtId="9" fontId="12" fillId="0" borderId="0" xfId="975" applyNumberFormat="1" applyAlignment="1">
      <alignment horizontal="center"/>
    </xf>
    <xf numFmtId="169" fontId="12" fillId="0" borderId="0" xfId="975" applyNumberFormat="1" applyFont="1" applyFill="1" applyBorder="1" applyAlignment="1">
      <alignment horizontal="center"/>
    </xf>
    <xf numFmtId="0" fontId="12" fillId="0" borderId="0" xfId="975" applyFont="1" applyFill="1" applyAlignment="1">
      <alignment horizontal="center"/>
    </xf>
    <xf numFmtId="2" fontId="12" fillId="0" borderId="0" xfId="975" applyNumberFormat="1" applyFont="1" applyFill="1" applyAlignment="1">
      <alignment horizontal="center"/>
    </xf>
    <xf numFmtId="1" fontId="12" fillId="0" borderId="0" xfId="975" applyNumberFormat="1" applyFont="1" applyFill="1" applyBorder="1" applyAlignment="1">
      <alignment horizontal="center"/>
    </xf>
    <xf numFmtId="2" fontId="12" fillId="33" borderId="0" xfId="975" applyNumberFormat="1" applyFont="1" applyFill="1" applyBorder="1" applyAlignment="1">
      <alignment horizontal="center"/>
    </xf>
    <xf numFmtId="0" fontId="12" fillId="0" borderId="14" xfId="975" applyFont="1" applyBorder="1"/>
    <xf numFmtId="0" fontId="12" fillId="0" borderId="14" xfId="975" applyFont="1" applyFill="1" applyBorder="1" applyAlignment="1" applyProtection="1">
      <alignment horizontal="left"/>
      <protection locked="0"/>
    </xf>
    <xf numFmtId="2" fontId="12" fillId="0" borderId="14" xfId="975" applyNumberFormat="1" applyFont="1" applyFill="1" applyBorder="1" applyAlignment="1">
      <alignment horizontal="center"/>
    </xf>
    <xf numFmtId="0" fontId="12" fillId="0" borderId="14" xfId="975" applyBorder="1"/>
    <xf numFmtId="0" fontId="12" fillId="0" borderId="0" xfId="975" applyFont="1" applyBorder="1"/>
    <xf numFmtId="169" fontId="12" fillId="0" borderId="14" xfId="975" applyNumberFormat="1" applyFont="1" applyFill="1" applyBorder="1" applyAlignment="1">
      <alignment horizontal="center"/>
    </xf>
    <xf numFmtId="0" fontId="12" fillId="0" borderId="0" xfId="975" applyBorder="1"/>
    <xf numFmtId="0" fontId="34" fillId="29" borderId="14" xfId="975" applyFont="1" applyFill="1" applyBorder="1" applyAlignment="1">
      <alignment horizontal="center" vertical="center" wrapText="1"/>
    </xf>
    <xf numFmtId="169" fontId="12" fillId="0" borderId="0" xfId="975" applyNumberFormat="1" applyFont="1" applyFill="1" applyAlignment="1">
      <alignment horizontal="center"/>
    </xf>
    <xf numFmtId="169" fontId="12" fillId="0" borderId="0" xfId="975" applyNumberFormat="1" applyFont="1"/>
    <xf numFmtId="169" fontId="12" fillId="0" borderId="0" xfId="975" applyNumberFormat="1" applyFont="1" applyFill="1" applyBorder="1"/>
    <xf numFmtId="169" fontId="12" fillId="0" borderId="14" xfId="975" applyNumberFormat="1" applyFont="1" applyFill="1" applyBorder="1"/>
    <xf numFmtId="0" fontId="71" fillId="0" borderId="79" xfId="419"/>
    <xf numFmtId="0" fontId="72" fillId="0" borderId="0" xfId="420"/>
    <xf numFmtId="0" fontId="72" fillId="0" borderId="0" xfId="420" applyAlignment="1">
      <alignment horizontal="center"/>
    </xf>
    <xf numFmtId="0" fontId="70" fillId="0" borderId="78" xfId="418"/>
    <xf numFmtId="0" fontId="68" fillId="40" borderId="77" xfId="27" applyAlignment="1">
      <alignment horizontal="center"/>
    </xf>
    <xf numFmtId="170" fontId="78" fillId="40" borderId="80" xfId="1467" applyNumberFormat="1" applyAlignment="1">
      <alignment horizontal="center"/>
    </xf>
    <xf numFmtId="0" fontId="12" fillId="0" borderId="0" xfId="975" applyAlignment="1"/>
    <xf numFmtId="170" fontId="12" fillId="47" borderId="0" xfId="975" applyNumberFormat="1" applyFont="1" applyFill="1" applyAlignment="1">
      <alignment horizontal="center"/>
    </xf>
    <xf numFmtId="169" fontId="12" fillId="48" borderId="0" xfId="975" applyNumberFormat="1" applyFont="1" applyFill="1" applyBorder="1" applyAlignment="1">
      <alignment horizontal="center"/>
    </xf>
    <xf numFmtId="14" fontId="12" fillId="0" borderId="0" xfId="993" applyNumberFormat="1" applyFont="1" applyAlignment="1">
      <alignment horizontal="left"/>
    </xf>
    <xf numFmtId="171" fontId="12" fillId="0" borderId="0" xfId="993" applyNumberFormat="1" applyFont="1" applyFill="1" applyBorder="1" applyAlignment="1">
      <alignment horizontal="left"/>
    </xf>
    <xf numFmtId="0" fontId="33" fillId="49" borderId="12" xfId="975" applyFont="1" applyFill="1" applyBorder="1" applyAlignment="1">
      <alignment horizontal="left" vertical="center" wrapText="1"/>
    </xf>
    <xf numFmtId="0" fontId="33" fillId="50" borderId="12" xfId="975" applyFont="1" applyFill="1" applyBorder="1" applyAlignment="1">
      <alignment horizontal="left" vertical="center" wrapText="1"/>
    </xf>
    <xf numFmtId="176" fontId="12" fillId="0" borderId="0" xfId="975" applyNumberFormat="1"/>
    <xf numFmtId="0" fontId="12" fillId="0" borderId="0" xfId="993" applyFont="1" applyAlignment="1">
      <alignment horizontal="left"/>
    </xf>
    <xf numFmtId="0" fontId="65" fillId="37" borderId="0" xfId="983" applyFill="1" applyBorder="1"/>
    <xf numFmtId="174" fontId="65" fillId="37" borderId="0" xfId="430" applyNumberFormat="1" applyFont="1" applyFill="1" applyBorder="1"/>
    <xf numFmtId="0" fontId="65" fillId="37" borderId="14" xfId="983" applyFill="1" applyBorder="1"/>
    <xf numFmtId="0" fontId="82" fillId="37" borderId="14" xfId="983" applyFont="1" applyFill="1" applyBorder="1"/>
    <xf numFmtId="0" fontId="82" fillId="37" borderId="0" xfId="983" applyFont="1" applyFill="1" applyBorder="1"/>
    <xf numFmtId="174" fontId="65" fillId="37" borderId="14" xfId="430" applyNumberFormat="1" applyFont="1" applyFill="1" applyBorder="1"/>
    <xf numFmtId="0" fontId="65" fillId="37" borderId="0" xfId="983" applyFont="1" applyFill="1" applyBorder="1"/>
    <xf numFmtId="0" fontId="82" fillId="37" borderId="58" xfId="983" applyFont="1" applyFill="1" applyBorder="1"/>
    <xf numFmtId="0" fontId="65" fillId="37" borderId="58" xfId="983" applyFill="1" applyBorder="1"/>
    <xf numFmtId="174" fontId="65" fillId="37" borderId="58" xfId="430" applyNumberFormat="1" applyFont="1" applyFill="1" applyBorder="1"/>
    <xf numFmtId="0" fontId="65" fillId="37" borderId="58" xfId="983" applyFont="1" applyFill="1" applyBorder="1"/>
    <xf numFmtId="0" fontId="65" fillId="37" borderId="14" xfId="983" applyFont="1" applyFill="1" applyBorder="1"/>
    <xf numFmtId="0" fontId="0" fillId="0" borderId="21" xfId="0" applyBorder="1"/>
    <xf numFmtId="0" fontId="0" fillId="0" borderId="60" xfId="0" applyBorder="1"/>
    <xf numFmtId="0" fontId="0" fillId="0" borderId="61" xfId="0" applyBorder="1"/>
    <xf numFmtId="171" fontId="0" fillId="0" borderId="12" xfId="0" applyNumberFormat="1" applyBorder="1"/>
    <xf numFmtId="171" fontId="12" fillId="0" borderId="12" xfId="0" applyNumberFormat="1" applyFont="1" applyFill="1" applyBorder="1"/>
    <xf numFmtId="171" fontId="0" fillId="0" borderId="12" xfId="0" applyNumberFormat="1" applyFill="1" applyBorder="1"/>
    <xf numFmtId="0" fontId="34" fillId="29" borderId="12" xfId="0" applyFont="1" applyFill="1" applyBorder="1" applyAlignment="1">
      <alignment horizontal="left" vertical="center" wrapText="1"/>
    </xf>
    <xf numFmtId="0" fontId="47" fillId="29" borderId="12" xfId="0" applyFont="1" applyFill="1" applyBorder="1" applyAlignment="1">
      <alignment horizontal="left" vertical="center" wrapText="1"/>
    </xf>
    <xf numFmtId="0" fontId="12" fillId="0" borderId="0" xfId="0" applyFont="1" applyFill="1" applyBorder="1" applyAlignment="1">
      <alignment horizontal="center" vertical="center"/>
    </xf>
    <xf numFmtId="171" fontId="12" fillId="0" borderId="12" xfId="0" applyNumberFormat="1" applyFont="1" applyFill="1" applyBorder="1" applyAlignment="1">
      <alignment horizontal="left"/>
    </xf>
    <xf numFmtId="171" fontId="13" fillId="0" borderId="12" xfId="0" applyNumberFormat="1" applyFont="1" applyFill="1" applyBorder="1" applyAlignment="1">
      <alignment horizontal="left" wrapText="1"/>
    </xf>
    <xf numFmtId="0" fontId="0" fillId="0" borderId="17" xfId="0" applyBorder="1"/>
    <xf numFmtId="0" fontId="0" fillId="0" borderId="59" xfId="0" applyBorder="1"/>
    <xf numFmtId="2" fontId="0" fillId="0" borderId="0" xfId="0" applyNumberFormat="1" applyBorder="1"/>
    <xf numFmtId="0" fontId="13" fillId="0" borderId="63" xfId="0" applyFont="1" applyBorder="1" applyAlignment="1">
      <alignment horizontal="left"/>
    </xf>
    <xf numFmtId="0" fontId="13" fillId="0" borderId="64" xfId="0" applyFont="1" applyBorder="1" applyAlignment="1">
      <alignment horizontal="left"/>
    </xf>
    <xf numFmtId="0" fontId="13" fillId="0" borderId="65" xfId="0" applyFont="1" applyBorder="1" applyAlignment="1">
      <alignment horizontal="left"/>
    </xf>
    <xf numFmtId="9" fontId="0" fillId="0" borderId="0" xfId="1473" applyFont="1" applyBorder="1"/>
    <xf numFmtId="9" fontId="0" fillId="0" borderId="60" xfId="1473" applyFont="1" applyBorder="1"/>
    <xf numFmtId="0" fontId="12" fillId="0" borderId="60" xfId="0" applyFont="1" applyBorder="1"/>
    <xf numFmtId="0" fontId="12" fillId="0" borderId="17" xfId="0" applyFont="1" applyBorder="1"/>
    <xf numFmtId="0" fontId="12" fillId="52" borderId="66" xfId="0" applyFont="1" applyFill="1" applyBorder="1"/>
    <xf numFmtId="181" fontId="0" fillId="37" borderId="64" xfId="0" applyNumberFormat="1" applyFill="1" applyBorder="1"/>
    <xf numFmtId="0" fontId="0" fillId="37" borderId="64" xfId="0" applyFill="1" applyBorder="1"/>
    <xf numFmtId="0" fontId="0" fillId="37" borderId="63" xfId="0" applyFill="1" applyBorder="1"/>
    <xf numFmtId="0" fontId="0" fillId="37" borderId="61" xfId="0" applyFill="1" applyBorder="1"/>
    <xf numFmtId="180" fontId="0" fillId="37" borderId="60" xfId="0" applyNumberFormat="1" applyFill="1" applyBorder="1"/>
    <xf numFmtId="9" fontId="64" fillId="51" borderId="60" xfId="1987" applyFont="1" applyFill="1" applyBorder="1"/>
    <xf numFmtId="181" fontId="0" fillId="37" borderId="60" xfId="0" applyNumberFormat="1" applyFill="1" applyBorder="1"/>
    <xf numFmtId="179" fontId="0" fillId="37" borderId="60" xfId="0" applyNumberFormat="1" applyFill="1" applyBorder="1"/>
    <xf numFmtId="0" fontId="0" fillId="37" borderId="60" xfId="0" applyFill="1" applyBorder="1"/>
    <xf numFmtId="0" fontId="0" fillId="37" borderId="59" xfId="0" applyFill="1" applyBorder="1"/>
    <xf numFmtId="179" fontId="0" fillId="37" borderId="0" xfId="0" applyNumberFormat="1" applyFill="1" applyBorder="1"/>
    <xf numFmtId="0" fontId="0" fillId="37" borderId="21" xfId="0" applyFill="1" applyBorder="1"/>
    <xf numFmtId="0" fontId="84" fillId="37" borderId="0" xfId="0" applyFont="1" applyFill="1" applyBorder="1"/>
    <xf numFmtId="0" fontId="0" fillId="51" borderId="17" xfId="0" applyFill="1" applyBorder="1"/>
    <xf numFmtId="0" fontId="0" fillId="51" borderId="0" xfId="0" applyFill="1" applyBorder="1"/>
    <xf numFmtId="173" fontId="0" fillId="51" borderId="0" xfId="0" applyNumberFormat="1" applyFill="1" applyBorder="1"/>
    <xf numFmtId="180" fontId="0" fillId="37" borderId="0" xfId="0" applyNumberFormat="1" applyFill="1" applyBorder="1"/>
    <xf numFmtId="9" fontId="64" fillId="51" borderId="0" xfId="1987" applyFont="1" applyFill="1" applyBorder="1"/>
    <xf numFmtId="181" fontId="0" fillId="37" borderId="0" xfId="0" applyNumberFormat="1" applyFill="1" applyBorder="1"/>
    <xf numFmtId="0" fontId="0" fillId="37" borderId="0" xfId="0" applyFill="1" applyBorder="1"/>
    <xf numFmtId="0" fontId="0" fillId="37" borderId="17" xfId="0" applyFill="1" applyBorder="1"/>
    <xf numFmtId="0" fontId="0" fillId="52" borderId="67" xfId="0" applyFill="1" applyBorder="1"/>
    <xf numFmtId="0" fontId="0" fillId="52" borderId="66" xfId="0" applyFill="1" applyBorder="1"/>
    <xf numFmtId="0" fontId="0" fillId="52" borderId="68" xfId="0" applyFill="1" applyBorder="1"/>
    <xf numFmtId="0" fontId="0" fillId="37" borderId="0" xfId="0" applyFill="1"/>
    <xf numFmtId="0" fontId="61" fillId="53" borderId="0" xfId="0" applyFont="1" applyFill="1"/>
    <xf numFmtId="0" fontId="85" fillId="53" borderId="0" xfId="0" applyFont="1" applyFill="1"/>
    <xf numFmtId="180" fontId="0" fillId="0" borderId="60" xfId="0" applyNumberFormat="1" applyBorder="1"/>
    <xf numFmtId="0" fontId="12" fillId="0" borderId="59" xfId="0" applyFont="1" applyFill="1" applyBorder="1" applyAlignment="1">
      <alignment horizontal="left"/>
    </xf>
    <xf numFmtId="180" fontId="0" fillId="0" borderId="0" xfId="0" applyNumberFormat="1" applyBorder="1"/>
    <xf numFmtId="0" fontId="12" fillId="0" borderId="17" xfId="0" applyFont="1" applyFill="1" applyBorder="1" applyAlignment="1">
      <alignment horizontal="left"/>
    </xf>
    <xf numFmtId="179" fontId="33" fillId="37" borderId="0" xfId="995" applyFill="1"/>
    <xf numFmtId="179" fontId="81" fillId="46" borderId="0" xfId="1470" applyNumberFormat="1"/>
    <xf numFmtId="179" fontId="84" fillId="37" borderId="0" xfId="995" applyFont="1" applyFill="1"/>
    <xf numFmtId="179" fontId="86" fillId="37" borderId="0" xfId="995" applyFont="1" applyFill="1"/>
    <xf numFmtId="179" fontId="84" fillId="37" borderId="0" xfId="995" applyFont="1" applyFill="1" applyBorder="1"/>
    <xf numFmtId="179" fontId="84" fillId="2" borderId="0" xfId="995" applyFont="1" applyFill="1"/>
    <xf numFmtId="179" fontId="84" fillId="2" borderId="14" xfId="995" applyFont="1" applyFill="1" applyBorder="1" applyAlignment="1">
      <alignment horizontal="center"/>
    </xf>
    <xf numFmtId="179" fontId="86" fillId="37" borderId="2" xfId="995" applyFont="1" applyFill="1" applyBorder="1"/>
    <xf numFmtId="179" fontId="84" fillId="37" borderId="2" xfId="995" applyFont="1" applyFill="1" applyBorder="1"/>
    <xf numFmtId="181" fontId="84" fillId="37" borderId="0" xfId="995" applyNumberFormat="1" applyFont="1" applyFill="1"/>
    <xf numFmtId="179" fontId="87" fillId="2" borderId="0" xfId="995" applyFont="1" applyFill="1"/>
    <xf numFmtId="179" fontId="87" fillId="2" borderId="0" xfId="995" applyFont="1" applyFill="1" applyAlignment="1">
      <alignment horizontal="center"/>
    </xf>
    <xf numFmtId="179" fontId="84" fillId="2" borderId="12" xfId="995" applyFont="1" applyFill="1" applyBorder="1"/>
    <xf numFmtId="179" fontId="84" fillId="2" borderId="14" xfId="995" applyFont="1" applyFill="1" applyBorder="1"/>
    <xf numFmtId="181" fontId="75" fillId="37" borderId="0" xfId="433" applyNumberFormat="1" applyFill="1" applyBorder="1" applyAlignment="1"/>
    <xf numFmtId="181" fontId="75" fillId="37" borderId="60" xfId="433" applyNumberFormat="1" applyFill="1" applyBorder="1" applyAlignment="1"/>
    <xf numFmtId="181" fontId="75" fillId="37" borderId="64" xfId="433" applyNumberFormat="1" applyFill="1" applyBorder="1" applyAlignment="1"/>
    <xf numFmtId="180" fontId="75" fillId="43" borderId="0" xfId="433" applyNumberFormat="1" applyBorder="1" applyAlignment="1"/>
    <xf numFmtId="179" fontId="87" fillId="2" borderId="0" xfId="995" applyFont="1" applyFill="1" applyBorder="1"/>
    <xf numFmtId="179" fontId="84" fillId="2" borderId="69" xfId="995" applyFont="1" applyFill="1" applyBorder="1"/>
    <xf numFmtId="179" fontId="84" fillId="2" borderId="34" xfId="995" applyFont="1" applyFill="1" applyBorder="1"/>
    <xf numFmtId="179" fontId="84" fillId="2" borderId="19" xfId="995" applyFont="1" applyFill="1" applyBorder="1"/>
    <xf numFmtId="179" fontId="88" fillId="2" borderId="0" xfId="1471" applyFont="1" applyFill="1" applyAlignment="1"/>
    <xf numFmtId="173" fontId="67" fillId="39" borderId="0" xfId="25" applyNumberFormat="1" applyBorder="1"/>
    <xf numFmtId="173" fontId="67" fillId="39" borderId="0" xfId="25" applyNumberFormat="1" applyBorder="1" applyAlignment="1"/>
    <xf numFmtId="173" fontId="67" fillId="39" borderId="60" xfId="25" applyNumberFormat="1" applyBorder="1"/>
    <xf numFmtId="180" fontId="75" fillId="43" borderId="60" xfId="433" applyNumberFormat="1" applyBorder="1" applyAlignment="1"/>
    <xf numFmtId="9" fontId="67" fillId="39" borderId="0" xfId="25" applyNumberFormat="1" applyBorder="1" applyAlignment="1"/>
    <xf numFmtId="173" fontId="33" fillId="37" borderId="0" xfId="28" applyNumberFormat="1" applyBorder="1"/>
    <xf numFmtId="179" fontId="86" fillId="54" borderId="2" xfId="995" applyFont="1" applyFill="1" applyBorder="1"/>
    <xf numFmtId="179" fontId="84" fillId="37" borderId="42" xfId="995" applyFont="1" applyFill="1" applyBorder="1"/>
    <xf numFmtId="179" fontId="89" fillId="39" borderId="2" xfId="25" applyNumberFormat="1" applyFont="1" applyBorder="1"/>
    <xf numFmtId="182" fontId="89" fillId="39" borderId="2" xfId="25" applyNumberFormat="1" applyFont="1" applyBorder="1"/>
    <xf numFmtId="182" fontId="89" fillId="39" borderId="2" xfId="25" applyNumberFormat="1" applyFont="1" applyBorder="1" applyProtection="1">
      <protection locked="0"/>
    </xf>
    <xf numFmtId="179" fontId="90" fillId="37" borderId="2" xfId="995" applyFont="1" applyFill="1" applyBorder="1" applyAlignment="1">
      <alignment horizontal="left"/>
    </xf>
    <xf numFmtId="182" fontId="84" fillId="37" borderId="2" xfId="995" applyNumberFormat="1" applyFont="1" applyFill="1" applyBorder="1"/>
    <xf numFmtId="182" fontId="84" fillId="37" borderId="2" xfId="28" applyNumberFormat="1" applyFont="1" applyBorder="1"/>
    <xf numFmtId="179" fontId="91" fillId="43" borderId="2" xfId="433" applyFont="1" applyBorder="1" applyAlignment="1">
      <alignment horizontal="left"/>
    </xf>
    <xf numFmtId="179" fontId="91" fillId="43" borderId="2" xfId="433" applyFont="1" applyBorder="1" applyAlignment="1"/>
    <xf numFmtId="179" fontId="86" fillId="54" borderId="2" xfId="995" applyFont="1" applyFill="1" applyBorder="1" applyAlignment="1">
      <alignment horizontal="right"/>
    </xf>
    <xf numFmtId="179" fontId="84" fillId="37" borderId="70" xfId="995" applyFont="1" applyFill="1" applyBorder="1"/>
    <xf numFmtId="179" fontId="84" fillId="37" borderId="18" xfId="995" applyFont="1" applyFill="1" applyBorder="1"/>
    <xf numFmtId="179" fontId="92" fillId="38" borderId="2" xfId="995" applyNumberFormat="1" applyFont="1" applyFill="1" applyBorder="1"/>
    <xf numFmtId="184" fontId="84" fillId="37" borderId="0" xfId="995" applyNumberFormat="1" applyFont="1" applyFill="1"/>
    <xf numFmtId="179" fontId="84" fillId="53" borderId="2" xfId="995" applyFont="1" applyFill="1" applyBorder="1"/>
    <xf numFmtId="179" fontId="84" fillId="2" borderId="69" xfId="995" applyFont="1" applyFill="1" applyBorder="1" applyAlignment="1">
      <alignment horizontal="center" wrapText="1"/>
    </xf>
    <xf numFmtId="179" fontId="84" fillId="2" borderId="12" xfId="995" applyFont="1" applyFill="1" applyBorder="1" applyAlignment="1">
      <alignment horizontal="centerContinuous" wrapText="1"/>
    </xf>
    <xf numFmtId="179" fontId="84" fillId="2" borderId="12" xfId="995" applyFont="1" applyFill="1" applyBorder="1" applyAlignment="1">
      <alignment horizontal="center" wrapText="1"/>
    </xf>
    <xf numFmtId="179" fontId="84" fillId="2" borderId="12" xfId="995" applyFont="1" applyFill="1" applyBorder="1" applyAlignment="1">
      <alignment wrapText="1"/>
    </xf>
    <xf numFmtId="179" fontId="84" fillId="2" borderId="49" xfId="995" applyFont="1" applyFill="1" applyBorder="1" applyAlignment="1">
      <alignment horizontal="center" wrapText="1"/>
    </xf>
    <xf numFmtId="179" fontId="84" fillId="2" borderId="34" xfId="995" applyFont="1" applyFill="1" applyBorder="1" applyAlignment="1">
      <alignment horizontal="center"/>
    </xf>
    <xf numFmtId="179" fontId="84" fillId="2" borderId="14" xfId="995" applyFont="1" applyFill="1" applyBorder="1" applyAlignment="1">
      <alignment horizontal="right"/>
    </xf>
    <xf numFmtId="179" fontId="84" fillId="2" borderId="16" xfId="995" applyFont="1" applyFill="1" applyBorder="1" applyAlignment="1">
      <alignment horizontal="center"/>
    </xf>
    <xf numFmtId="179" fontId="84" fillId="2" borderId="49" xfId="995" applyFont="1" applyFill="1" applyBorder="1" applyAlignment="1">
      <alignment horizontal="left"/>
    </xf>
    <xf numFmtId="180" fontId="91" fillId="43" borderId="69" xfId="433" applyNumberFormat="1" applyFont="1" applyBorder="1" applyAlignment="1"/>
    <xf numFmtId="180" fontId="91" fillId="43" borderId="12" xfId="433" applyNumberFormat="1" applyFont="1" applyBorder="1" applyAlignment="1"/>
    <xf numFmtId="182" fontId="91" fillId="43" borderId="12" xfId="433" applyNumberFormat="1" applyFont="1" applyBorder="1" applyAlignment="1"/>
    <xf numFmtId="180" fontId="91" fillId="53" borderId="12" xfId="995" applyNumberFormat="1" applyFont="1" applyFill="1" applyBorder="1"/>
    <xf numFmtId="182" fontId="91" fillId="43" borderId="49" xfId="433" applyNumberFormat="1" applyFont="1" applyBorder="1" applyAlignment="1"/>
    <xf numFmtId="179" fontId="84" fillId="53" borderId="70" xfId="28" applyNumberFormat="1" applyFont="1" applyFill="1" applyBorder="1" applyAlignment="1">
      <alignment horizontal="center"/>
    </xf>
    <xf numFmtId="179" fontId="84" fillId="2" borderId="20" xfId="995" applyFont="1" applyFill="1" applyBorder="1" applyAlignment="1">
      <alignment horizontal="left"/>
    </xf>
    <xf numFmtId="180" fontId="91" fillId="43" borderId="0" xfId="433" applyNumberFormat="1" applyFont="1" applyBorder="1" applyAlignment="1"/>
    <xf numFmtId="182" fontId="91" fillId="43" borderId="0" xfId="433" applyNumberFormat="1" applyFont="1" applyBorder="1" applyAlignment="1"/>
    <xf numFmtId="180" fontId="91" fillId="53" borderId="0" xfId="995" applyNumberFormat="1" applyFont="1" applyFill="1" applyBorder="1"/>
    <xf numFmtId="182" fontId="91" fillId="43" borderId="20" xfId="433" applyNumberFormat="1" applyFont="1" applyBorder="1" applyAlignment="1"/>
    <xf numFmtId="179" fontId="84" fillId="53" borderId="18" xfId="28" applyNumberFormat="1" applyFont="1" applyFill="1" applyBorder="1" applyAlignment="1">
      <alignment horizontal="center"/>
    </xf>
    <xf numFmtId="179" fontId="91" fillId="53" borderId="0" xfId="995" applyNumberFormat="1" applyFont="1" applyFill="1" applyBorder="1"/>
    <xf numFmtId="179" fontId="84" fillId="37" borderId="19" xfId="28" applyNumberFormat="1" applyFont="1" applyBorder="1"/>
    <xf numFmtId="179" fontId="84" fillId="2" borderId="16" xfId="995" applyFont="1" applyFill="1" applyBorder="1" applyAlignment="1">
      <alignment horizontal="left"/>
    </xf>
    <xf numFmtId="180" fontId="91" fillId="43" borderId="14" xfId="433" applyNumberFormat="1" applyFont="1" applyBorder="1" applyAlignment="1"/>
    <xf numFmtId="182" fontId="91" fillId="43" borderId="14" xfId="433" applyNumberFormat="1" applyFont="1" applyBorder="1" applyAlignment="1"/>
    <xf numFmtId="179" fontId="91" fillId="53" borderId="14" xfId="995" applyNumberFormat="1" applyFont="1" applyFill="1" applyBorder="1"/>
    <xf numFmtId="182" fontId="91" fillId="43" borderId="16" xfId="433" applyNumberFormat="1" applyFont="1" applyBorder="1" applyAlignment="1"/>
    <xf numFmtId="179" fontId="84" fillId="53" borderId="42" xfId="28" applyNumberFormat="1" applyFont="1" applyFill="1" applyBorder="1" applyAlignment="1">
      <alignment horizontal="center"/>
    </xf>
    <xf numFmtId="179" fontId="88" fillId="37" borderId="0" xfId="1471" applyFont="1" applyFill="1" applyAlignment="1"/>
    <xf numFmtId="179" fontId="87" fillId="2" borderId="71" xfId="995" applyFont="1" applyFill="1" applyBorder="1" applyAlignment="1">
      <alignment horizontal="right"/>
    </xf>
    <xf numFmtId="179" fontId="87" fillId="2" borderId="72" xfId="995" applyFont="1" applyFill="1" applyBorder="1" applyAlignment="1">
      <alignment horizontal="right"/>
    </xf>
    <xf numFmtId="184" fontId="84" fillId="37" borderId="2" xfId="28" applyNumberFormat="1" applyFont="1" applyBorder="1"/>
    <xf numFmtId="182" fontId="91" fillId="43" borderId="69" xfId="433" applyNumberFormat="1" applyFont="1" applyBorder="1" applyAlignment="1"/>
    <xf numFmtId="182" fontId="91" fillId="43" borderId="19" xfId="433" applyNumberFormat="1" applyFont="1" applyBorder="1" applyAlignment="1"/>
    <xf numFmtId="182" fontId="91" fillId="43" borderId="34" xfId="433" applyNumberFormat="1" applyFont="1" applyBorder="1" applyAlignment="1"/>
    <xf numFmtId="182" fontId="84" fillId="38" borderId="2" xfId="995" applyNumberFormat="1" applyFont="1" applyFill="1" applyBorder="1"/>
    <xf numFmtId="0" fontId="84" fillId="38" borderId="2" xfId="995" applyNumberFormat="1" applyFont="1" applyFill="1" applyBorder="1"/>
    <xf numFmtId="0" fontId="84" fillId="38" borderId="2" xfId="995" applyNumberFormat="1" applyFont="1" applyFill="1" applyBorder="1" applyAlignment="1">
      <alignment horizontal="left"/>
    </xf>
    <xf numFmtId="182" fontId="93" fillId="37" borderId="2" xfId="2000" applyNumberFormat="1" applyFont="1" applyFill="1" applyBorder="1" applyProtection="1">
      <protection locked="0"/>
    </xf>
    <xf numFmtId="179" fontId="93" fillId="37" borderId="2" xfId="2000" applyNumberFormat="1" applyFont="1" applyFill="1" applyBorder="1"/>
    <xf numFmtId="0" fontId="84" fillId="37" borderId="2" xfId="28" applyFont="1" applyBorder="1"/>
    <xf numFmtId="182" fontId="84" fillId="37" borderId="2" xfId="28" applyNumberFormat="1" applyFont="1" applyBorder="1" applyProtection="1">
      <protection locked="0"/>
    </xf>
    <xf numFmtId="0" fontId="91" fillId="43" borderId="2" xfId="433" applyNumberFormat="1" applyFont="1" applyBorder="1" applyAlignment="1">
      <alignment horizontal="left"/>
    </xf>
    <xf numFmtId="179" fontId="90" fillId="53" borderId="2" xfId="995" applyFont="1" applyFill="1" applyBorder="1" applyAlignment="1">
      <alignment horizontal="left"/>
    </xf>
    <xf numFmtId="179" fontId="93" fillId="37" borderId="0" xfId="2000" applyNumberFormat="1" applyFont="1" applyFill="1" applyBorder="1"/>
    <xf numFmtId="179" fontId="84" fillId="2" borderId="2" xfId="995" applyFont="1" applyFill="1" applyBorder="1"/>
    <xf numFmtId="180" fontId="84" fillId="2" borderId="2" xfId="995" applyNumberFormat="1" applyFont="1" applyFill="1" applyBorder="1"/>
    <xf numFmtId="180" fontId="84" fillId="51" borderId="2" xfId="995" applyNumberFormat="1" applyFont="1" applyFill="1" applyBorder="1"/>
    <xf numFmtId="182" fontId="84" fillId="55" borderId="2" xfId="995" applyNumberFormat="1" applyFont="1" applyFill="1" applyBorder="1"/>
    <xf numFmtId="179" fontId="84" fillId="2" borderId="2" xfId="995" applyFont="1" applyFill="1" applyBorder="1" applyAlignment="1">
      <alignment horizontal="centerContinuous"/>
    </xf>
    <xf numFmtId="181" fontId="89" fillId="39" borderId="2" xfId="25" applyNumberFormat="1" applyFont="1" applyBorder="1"/>
    <xf numFmtId="179" fontId="84" fillId="51" borderId="2" xfId="995" applyNumberFormat="1" applyFont="1" applyFill="1" applyBorder="1"/>
    <xf numFmtId="181" fontId="84" fillId="51" borderId="2" xfId="995" applyNumberFormat="1" applyFont="1" applyFill="1" applyBorder="1"/>
    <xf numFmtId="9" fontId="91" fillId="43" borderId="49" xfId="1987" applyFont="1" applyFill="1" applyBorder="1" applyAlignment="1"/>
    <xf numFmtId="9" fontId="91" fillId="43" borderId="20" xfId="1987" applyFont="1" applyFill="1" applyBorder="1" applyAlignment="1"/>
    <xf numFmtId="9" fontId="91" fillId="43" borderId="16" xfId="1987" applyFont="1" applyFill="1" applyBorder="1" applyAlignment="1"/>
    <xf numFmtId="179" fontId="83" fillId="37" borderId="2" xfId="2000" applyNumberFormat="1" applyFill="1" applyBorder="1"/>
    <xf numFmtId="180" fontId="93" fillId="37" borderId="2" xfId="2000" applyNumberFormat="1" applyFont="1" applyFill="1" applyBorder="1"/>
    <xf numFmtId="177" fontId="87" fillId="2" borderId="0" xfId="1987" applyNumberFormat="1" applyFont="1" applyFill="1"/>
    <xf numFmtId="179" fontId="67" fillId="39" borderId="0" xfId="25" applyNumberFormat="1" applyBorder="1"/>
    <xf numFmtId="182" fontId="67" fillId="39" borderId="2" xfId="25" applyNumberFormat="1" applyBorder="1"/>
    <xf numFmtId="181" fontId="67" fillId="39" borderId="2" xfId="25" applyNumberFormat="1" applyBorder="1"/>
    <xf numFmtId="179" fontId="80" fillId="45" borderId="0" xfId="1469" applyNumberFormat="1"/>
    <xf numFmtId="179" fontId="88" fillId="37" borderId="0" xfId="1471" applyFont="1" applyFill="1" applyBorder="1" applyAlignment="1"/>
    <xf numFmtId="180" fontId="91" fillId="51" borderId="12" xfId="433" applyNumberFormat="1" applyFont="1" applyFill="1" applyBorder="1" applyAlignment="1"/>
    <xf numFmtId="180" fontId="91" fillId="51" borderId="0" xfId="433" applyNumberFormat="1" applyFont="1" applyFill="1" applyBorder="1" applyAlignment="1"/>
    <xf numFmtId="180" fontId="91" fillId="51" borderId="14" xfId="433" applyNumberFormat="1" applyFont="1" applyFill="1" applyBorder="1" applyAlignment="1"/>
    <xf numFmtId="177" fontId="84" fillId="51" borderId="12" xfId="28" applyNumberFormat="1" applyFont="1" applyFill="1" applyBorder="1" applyAlignment="1">
      <alignment horizontal="right"/>
    </xf>
    <xf numFmtId="177" fontId="84" fillId="51" borderId="0" xfId="28" applyNumberFormat="1" applyFont="1" applyFill="1" applyBorder="1" applyAlignment="1">
      <alignment horizontal="right"/>
    </xf>
    <xf numFmtId="177" fontId="84" fillId="51" borderId="14" xfId="28" applyNumberFormat="1" applyFont="1" applyFill="1" applyBorder="1" applyAlignment="1">
      <alignment horizontal="right"/>
    </xf>
    <xf numFmtId="9" fontId="91" fillId="51" borderId="49" xfId="1987" applyFont="1" applyFill="1" applyBorder="1"/>
    <xf numFmtId="9" fontId="91" fillId="51" borderId="20" xfId="1987" applyFont="1" applyFill="1" applyBorder="1"/>
    <xf numFmtId="9" fontId="91" fillId="51" borderId="20" xfId="433" applyNumberFormat="1" applyFont="1" applyFill="1" applyBorder="1" applyAlignment="1"/>
    <xf numFmtId="9" fontId="91" fillId="51" borderId="16" xfId="433" applyNumberFormat="1" applyFont="1" applyFill="1" applyBorder="1" applyAlignment="1"/>
    <xf numFmtId="182" fontId="84" fillId="51" borderId="49" xfId="28" applyNumberFormat="1" applyFont="1" applyFill="1" applyBorder="1"/>
    <xf numFmtId="182" fontId="84" fillId="51" borderId="20" xfId="28" applyNumberFormat="1" applyFont="1" applyFill="1" applyBorder="1"/>
    <xf numFmtId="182" fontId="84" fillId="51" borderId="18" xfId="28" applyNumberFormat="1" applyFont="1" applyFill="1" applyBorder="1"/>
    <xf numFmtId="182" fontId="84" fillId="51" borderId="16" xfId="28" applyNumberFormat="1" applyFont="1" applyFill="1" applyBorder="1"/>
    <xf numFmtId="185" fontId="91" fillId="51" borderId="49" xfId="433" applyNumberFormat="1" applyFont="1" applyFill="1" applyBorder="1" applyAlignment="1"/>
    <xf numFmtId="185" fontId="91" fillId="51" borderId="20" xfId="433" applyNumberFormat="1" applyFont="1" applyFill="1" applyBorder="1" applyAlignment="1"/>
    <xf numFmtId="185" fontId="91" fillId="51" borderId="16" xfId="433" applyNumberFormat="1" applyFont="1" applyFill="1" applyBorder="1" applyAlignment="1"/>
    <xf numFmtId="183" fontId="91" fillId="51" borderId="49" xfId="433" applyNumberFormat="1" applyFont="1" applyFill="1" applyBorder="1" applyAlignment="1"/>
    <xf numFmtId="183" fontId="91" fillId="51" borderId="20" xfId="433" applyNumberFormat="1" applyFont="1" applyFill="1" applyBorder="1" applyAlignment="1"/>
    <xf numFmtId="183" fontId="91" fillId="51" borderId="16" xfId="433" applyNumberFormat="1" applyFont="1" applyFill="1" applyBorder="1" applyAlignment="1"/>
    <xf numFmtId="173" fontId="33" fillId="37" borderId="0" xfId="433" applyNumberFormat="1" applyFont="1" applyFill="1" applyBorder="1" applyAlignment="1"/>
    <xf numFmtId="180" fontId="84" fillId="37" borderId="0" xfId="28" applyNumberFormat="1" applyFont="1" applyBorder="1"/>
    <xf numFmtId="180" fontId="89" fillId="39" borderId="0" xfId="25" applyNumberFormat="1" applyFont="1" applyBorder="1"/>
    <xf numFmtId="180" fontId="84" fillId="37" borderId="0" xfId="28" applyNumberFormat="1" applyFont="1" applyBorder="1" applyProtection="1">
      <protection locked="0"/>
    </xf>
    <xf numFmtId="180" fontId="75" fillId="43" borderId="0" xfId="433" applyNumberFormat="1" applyBorder="1" applyAlignment="1" applyProtection="1">
      <protection locked="0"/>
    </xf>
    <xf numFmtId="182" fontId="84" fillId="37" borderId="0" xfId="28" applyNumberFormat="1" applyFont="1" applyBorder="1" applyProtection="1">
      <protection locked="0"/>
    </xf>
    <xf numFmtId="179" fontId="91" fillId="43" borderId="21" xfId="433" applyFont="1" applyBorder="1" applyAlignment="1">
      <alignment horizontal="left"/>
    </xf>
    <xf numFmtId="179" fontId="91" fillId="43" borderId="21" xfId="433" applyNumberFormat="1" applyFont="1" applyBorder="1" applyAlignment="1"/>
    <xf numFmtId="179" fontId="91" fillId="43" borderId="21" xfId="433" applyFont="1" applyBorder="1" applyAlignment="1"/>
    <xf numFmtId="182" fontId="89" fillId="45" borderId="2" xfId="25" applyNumberFormat="1" applyFont="1" applyFill="1" applyBorder="1" applyProtection="1">
      <protection locked="0"/>
    </xf>
    <xf numFmtId="171" fontId="94" fillId="0" borderId="0" xfId="0" applyNumberFormat="1" applyFont="1" applyFill="1" applyBorder="1"/>
    <xf numFmtId="0" fontId="10" fillId="0" borderId="0" xfId="2005"/>
    <xf numFmtId="0" fontId="11" fillId="0" borderId="0" xfId="2007"/>
    <xf numFmtId="171" fontId="11" fillId="0" borderId="0" xfId="993" applyNumberFormat="1" applyFont="1" applyFill="1" applyBorder="1" applyAlignment="1">
      <alignment horizontal="left"/>
    </xf>
    <xf numFmtId="14" fontId="11" fillId="0" borderId="0" xfId="993" applyNumberFormat="1" applyFont="1" applyAlignment="1">
      <alignment horizontal="left"/>
    </xf>
    <xf numFmtId="0" fontId="11" fillId="0" borderId="0" xfId="0" applyFont="1" applyFill="1" applyBorder="1" applyAlignment="1">
      <alignment horizontal="left"/>
    </xf>
    <xf numFmtId="171" fontId="11" fillId="0" borderId="0" xfId="0" applyNumberFormat="1" applyFont="1" applyFill="1" applyBorder="1"/>
    <xf numFmtId="0" fontId="11" fillId="0" borderId="0" xfId="975" applyFont="1"/>
    <xf numFmtId="0" fontId="50" fillId="35" borderId="81" xfId="975" applyFont="1" applyFill="1" applyBorder="1"/>
    <xf numFmtId="0" fontId="50" fillId="33" borderId="82" xfId="975" applyFont="1" applyFill="1" applyBorder="1"/>
    <xf numFmtId="0" fontId="11" fillId="0" borderId="0" xfId="975" applyFont="1" applyBorder="1"/>
    <xf numFmtId="0" fontId="11" fillId="0" borderId="0" xfId="0" applyFont="1" applyFill="1" applyBorder="1" applyAlignment="1"/>
    <xf numFmtId="0" fontId="12" fillId="56" borderId="0" xfId="975" applyFill="1"/>
    <xf numFmtId="0" fontId="12" fillId="56" borderId="0" xfId="975" applyFill="1" applyAlignment="1"/>
    <xf numFmtId="0" fontId="12" fillId="56" borderId="14" xfId="975" applyFill="1" applyBorder="1" applyAlignment="1"/>
    <xf numFmtId="0" fontId="12" fillId="56" borderId="14" xfId="975" applyFill="1" applyBorder="1"/>
    <xf numFmtId="14" fontId="12" fillId="56" borderId="0" xfId="975" applyNumberFormat="1" applyFill="1" applyAlignment="1"/>
    <xf numFmtId="165" fontId="12" fillId="56" borderId="0" xfId="47" applyFont="1" applyFill="1"/>
    <xf numFmtId="165" fontId="12" fillId="56" borderId="14" xfId="47" applyFont="1" applyFill="1" applyBorder="1"/>
    <xf numFmtId="0" fontId="11" fillId="56" borderId="0" xfId="975" applyFont="1" applyFill="1"/>
    <xf numFmtId="0" fontId="12" fillId="56" borderId="0" xfId="975" applyFont="1" applyFill="1" applyBorder="1"/>
    <xf numFmtId="1" fontId="12" fillId="56" borderId="0" xfId="975" applyNumberFormat="1" applyFill="1"/>
    <xf numFmtId="2" fontId="12" fillId="56" borderId="0" xfId="975" applyNumberFormat="1" applyFill="1"/>
    <xf numFmtId="170" fontId="12" fillId="56" borderId="0" xfId="975" applyNumberFormat="1" applyFont="1" applyFill="1" applyAlignment="1">
      <alignment horizontal="center"/>
    </xf>
    <xf numFmtId="0" fontId="45" fillId="0" borderId="0" xfId="975" applyFont="1"/>
    <xf numFmtId="170" fontId="12" fillId="0" borderId="0" xfId="975" applyNumberFormat="1" applyBorder="1" applyAlignment="1">
      <alignment horizontal="center"/>
    </xf>
    <xf numFmtId="0" fontId="12" fillId="0" borderId="68" xfId="975" applyBorder="1"/>
    <xf numFmtId="0" fontId="45" fillId="0" borderId="66" xfId="975" applyFont="1" applyBorder="1" applyAlignment="1">
      <alignment horizontal="center"/>
    </xf>
    <xf numFmtId="0" fontId="45" fillId="0" borderId="67" xfId="975" applyFont="1" applyBorder="1" applyAlignment="1">
      <alignment horizontal="center"/>
    </xf>
    <xf numFmtId="0" fontId="12" fillId="0" borderId="17" xfId="975" applyBorder="1"/>
    <xf numFmtId="0" fontId="11" fillId="0" borderId="21" xfId="975" applyFont="1" applyBorder="1"/>
    <xf numFmtId="0" fontId="45" fillId="0" borderId="17" xfId="975" applyFont="1" applyFill="1" applyBorder="1"/>
    <xf numFmtId="170" fontId="12" fillId="0" borderId="21" xfId="975" applyNumberFormat="1" applyBorder="1" applyAlignment="1">
      <alignment horizontal="center"/>
    </xf>
    <xf numFmtId="0" fontId="45" fillId="0" borderId="59" xfId="975" applyFont="1" applyFill="1" applyBorder="1"/>
    <xf numFmtId="170" fontId="12" fillId="0" borderId="60" xfId="975" applyNumberFormat="1" applyBorder="1" applyAlignment="1">
      <alignment horizontal="center"/>
    </xf>
    <xf numFmtId="170" fontId="12" fillId="0" borderId="61" xfId="975" applyNumberFormat="1" applyBorder="1" applyAlignment="1">
      <alignment horizontal="center"/>
    </xf>
    <xf numFmtId="0" fontId="11" fillId="0" borderId="0" xfId="0" applyFont="1" applyBorder="1"/>
    <xf numFmtId="0" fontId="11" fillId="0" borderId="0" xfId="993" applyFont="1" applyAlignment="1">
      <alignment horizontal="left"/>
    </xf>
    <xf numFmtId="0" fontId="0" fillId="0" borderId="0" xfId="0"/>
    <xf numFmtId="14" fontId="11" fillId="0" borderId="0" xfId="993" applyNumberFormat="1" applyFont="1" applyAlignment="1">
      <alignment horizontal="left"/>
    </xf>
    <xf numFmtId="171" fontId="11" fillId="0" borderId="0" xfId="993" applyNumberFormat="1" applyFont="1" applyFill="1" applyBorder="1" applyAlignment="1">
      <alignment horizontal="left"/>
    </xf>
    <xf numFmtId="0" fontId="11" fillId="0" borderId="0" xfId="993" applyFont="1" applyAlignment="1">
      <alignment horizontal="left"/>
    </xf>
    <xf numFmtId="0" fontId="8" fillId="0" borderId="21" xfId="3291" applyBorder="1"/>
    <xf numFmtId="0" fontId="8" fillId="0" borderId="67" xfId="3291" applyBorder="1"/>
    <xf numFmtId="0" fontId="33" fillId="34" borderId="12" xfId="2007" applyFont="1" applyFill="1" applyBorder="1" applyAlignment="1">
      <alignment horizontal="left" vertical="center" wrapText="1"/>
    </xf>
    <xf numFmtId="0" fontId="33" fillId="31" borderId="12" xfId="2007" applyFont="1" applyFill="1" applyBorder="1" applyAlignment="1">
      <alignment horizontal="left" vertical="center" wrapText="1"/>
    </xf>
    <xf numFmtId="0" fontId="11" fillId="0" borderId="0" xfId="2007"/>
    <xf numFmtId="0" fontId="11" fillId="0" borderId="0" xfId="2007" applyAlignment="1">
      <alignment horizontal="center"/>
    </xf>
    <xf numFmtId="0" fontId="11" fillId="30" borderId="0" xfId="2007" applyFont="1" applyFill="1"/>
    <xf numFmtId="0" fontId="11" fillId="0" borderId="0" xfId="2007" applyAlignment="1">
      <alignment horizontal="left"/>
    </xf>
    <xf numFmtId="0" fontId="8" fillId="0" borderId="0" xfId="3310"/>
    <xf numFmtId="2" fontId="8" fillId="0" borderId="0" xfId="3310" applyNumberFormat="1"/>
    <xf numFmtId="0" fontId="11" fillId="0" borderId="0" xfId="3310" applyFont="1" applyFill="1" applyBorder="1" applyAlignment="1"/>
    <xf numFmtId="0" fontId="47" fillId="29" borderId="12" xfId="2007" applyFont="1" applyFill="1" applyBorder="1" applyAlignment="1">
      <alignment horizontal="left" vertical="center" wrapText="1"/>
    </xf>
    <xf numFmtId="0" fontId="34" fillId="29" borderId="12" xfId="2007" applyFont="1" applyFill="1" applyBorder="1" applyAlignment="1">
      <alignment horizontal="left" vertical="center" wrapText="1"/>
    </xf>
    <xf numFmtId="0" fontId="34" fillId="29" borderId="13" xfId="2007" applyFont="1" applyFill="1" applyBorder="1" applyAlignment="1">
      <alignment horizontal="left" vertical="center" wrapText="1"/>
    </xf>
    <xf numFmtId="0" fontId="8" fillId="0" borderId="0" xfId="3291" applyBorder="1"/>
    <xf numFmtId="0" fontId="82" fillId="0" borderId="66" xfId="3312" applyFont="1" applyBorder="1" applyAlignment="1"/>
    <xf numFmtId="1" fontId="82" fillId="0" borderId="21" xfId="3312" applyNumberFormat="1" applyFont="1" applyFill="1" applyBorder="1" applyAlignment="1">
      <alignment horizontal="center"/>
    </xf>
    <xf numFmtId="1" fontId="82" fillId="0" borderId="0" xfId="3312" applyNumberFormat="1" applyFont="1" applyFill="1" applyBorder="1" applyAlignment="1">
      <alignment horizontal="center"/>
    </xf>
    <xf numFmtId="170" fontId="96" fillId="0" borderId="0" xfId="3312" applyNumberFormat="1" applyFont="1" applyFill="1" applyBorder="1" applyAlignment="1">
      <alignment horizontal="center"/>
    </xf>
    <xf numFmtId="170" fontId="82" fillId="0" borderId="17" xfId="3312" applyNumberFormat="1" applyFont="1" applyFill="1" applyBorder="1" applyAlignment="1">
      <alignment horizontal="left"/>
    </xf>
    <xf numFmtId="170" fontId="8" fillId="0" borderId="60" xfId="3312" applyNumberFormat="1" applyFont="1" applyFill="1" applyBorder="1" applyAlignment="1">
      <alignment horizontal="center"/>
    </xf>
    <xf numFmtId="0" fontId="8" fillId="0" borderId="21" xfId="3312" applyFont="1" applyBorder="1"/>
    <xf numFmtId="14" fontId="82" fillId="0" borderId="0" xfId="3312" applyNumberFormat="1" applyFont="1" applyBorder="1" applyAlignment="1">
      <alignment horizontal="left"/>
    </xf>
    <xf numFmtId="0" fontId="8" fillId="0" borderId="0" xfId="3312" applyFont="1" applyBorder="1"/>
    <xf numFmtId="0" fontId="82" fillId="0" borderId="17" xfId="3312" applyFont="1" applyBorder="1"/>
    <xf numFmtId="0" fontId="8" fillId="0" borderId="66" xfId="3291" applyBorder="1"/>
    <xf numFmtId="0" fontId="8" fillId="0" borderId="66" xfId="3312" applyFont="1" applyBorder="1"/>
    <xf numFmtId="0" fontId="82" fillId="0" borderId="68" xfId="3312" applyFont="1" applyBorder="1"/>
    <xf numFmtId="0" fontId="82" fillId="0" borderId="60" xfId="3312" applyFont="1" applyFill="1" applyBorder="1" applyAlignment="1">
      <alignment horizontal="left"/>
    </xf>
    <xf numFmtId="0" fontId="82" fillId="0" borderId="59" xfId="3312" applyFont="1" applyFill="1" applyBorder="1" applyAlignment="1">
      <alignment horizontal="left"/>
    </xf>
    <xf numFmtId="0" fontId="82" fillId="0" borderId="0" xfId="3312" applyFont="1" applyBorder="1" applyAlignment="1">
      <alignment horizontal="left"/>
    </xf>
    <xf numFmtId="0" fontId="11" fillId="0" borderId="17" xfId="0" applyFont="1" applyBorder="1"/>
    <xf numFmtId="0" fontId="11" fillId="2" borderId="0" xfId="0" applyFont="1" applyFill="1" applyBorder="1"/>
    <xf numFmtId="14" fontId="0" fillId="0" borderId="0" xfId="0" applyNumberFormat="1" applyBorder="1"/>
    <xf numFmtId="171" fontId="11" fillId="0" borderId="0" xfId="993" applyNumberFormat="1" applyFont="1" applyFill="1" applyBorder="1"/>
    <xf numFmtId="179" fontId="84" fillId="37" borderId="0" xfId="995" applyFont="1" applyFill="1"/>
    <xf numFmtId="179" fontId="84" fillId="37" borderId="0" xfId="995" applyFont="1" applyFill="1" applyBorder="1"/>
    <xf numFmtId="179" fontId="84" fillId="37" borderId="2" xfId="995" applyFont="1" applyFill="1" applyBorder="1"/>
    <xf numFmtId="181" fontId="84" fillId="37" borderId="0" xfId="995" applyNumberFormat="1" applyFont="1" applyFill="1"/>
    <xf numFmtId="179" fontId="87" fillId="2" borderId="0" xfId="995" applyFont="1" applyFill="1"/>
    <xf numFmtId="181" fontId="75" fillId="37" borderId="0" xfId="433" applyNumberFormat="1" applyFill="1" applyBorder="1" applyAlignment="1"/>
    <xf numFmtId="179" fontId="87" fillId="2" borderId="0" xfId="995" applyFont="1" applyFill="1" applyBorder="1"/>
    <xf numFmtId="179" fontId="84" fillId="2" borderId="19" xfId="995" applyFont="1" applyFill="1" applyBorder="1"/>
    <xf numFmtId="179" fontId="89" fillId="39" borderId="2" xfId="25" applyNumberFormat="1" applyFont="1" applyBorder="1"/>
    <xf numFmtId="182" fontId="89" fillId="39" borderId="2" xfId="25" applyNumberFormat="1" applyFont="1" applyBorder="1"/>
    <xf numFmtId="182" fontId="89" fillId="39" borderId="2" xfId="25" applyNumberFormat="1" applyFont="1" applyBorder="1" applyProtection="1">
      <protection locked="0"/>
    </xf>
    <xf numFmtId="182" fontId="84" fillId="37" borderId="2" xfId="28" applyNumberFormat="1" applyFont="1" applyBorder="1"/>
    <xf numFmtId="179" fontId="91" fillId="43" borderId="2" xfId="433" applyFont="1" applyBorder="1" applyAlignment="1">
      <alignment horizontal="left"/>
    </xf>
    <xf numFmtId="179" fontId="91" fillId="43" borderId="2" xfId="433" applyFont="1" applyBorder="1" applyAlignment="1"/>
    <xf numFmtId="184" fontId="84" fillId="37" borderId="0" xfId="995" applyNumberFormat="1" applyFont="1" applyFill="1"/>
    <xf numFmtId="179" fontId="84" fillId="2" borderId="20" xfId="995" applyFont="1" applyFill="1" applyBorder="1" applyAlignment="1">
      <alignment horizontal="left"/>
    </xf>
    <xf numFmtId="180" fontId="91" fillId="43" borderId="0" xfId="433" applyNumberFormat="1" applyFont="1" applyBorder="1" applyAlignment="1"/>
    <xf numFmtId="182" fontId="91" fillId="43" borderId="0" xfId="433" applyNumberFormat="1" applyFont="1" applyBorder="1" applyAlignment="1"/>
    <xf numFmtId="182" fontId="91" fillId="43" borderId="20" xfId="433" applyNumberFormat="1" applyFont="1" applyBorder="1" applyAlignment="1"/>
    <xf numFmtId="179" fontId="84" fillId="53" borderId="18" xfId="28" applyNumberFormat="1" applyFont="1" applyFill="1" applyBorder="1" applyAlignment="1">
      <alignment horizontal="center"/>
    </xf>
    <xf numFmtId="179" fontId="91" fillId="53" borderId="0" xfId="995" applyNumberFormat="1" applyFont="1" applyFill="1" applyBorder="1"/>
    <xf numFmtId="184" fontId="84" fillId="37" borderId="2" xfId="28" applyNumberFormat="1" applyFont="1" applyBorder="1"/>
    <xf numFmtId="179" fontId="67" fillId="39" borderId="0" xfId="25" applyNumberFormat="1" applyBorder="1"/>
    <xf numFmtId="180" fontId="91" fillId="51" borderId="0" xfId="433" applyNumberFormat="1" applyFont="1" applyFill="1" applyBorder="1" applyAlignment="1"/>
    <xf numFmtId="177" fontId="84" fillId="51" borderId="0" xfId="28" applyNumberFormat="1" applyFont="1" applyFill="1" applyBorder="1" applyAlignment="1">
      <alignment horizontal="right"/>
    </xf>
    <xf numFmtId="182" fontId="84" fillId="51" borderId="20" xfId="28" applyNumberFormat="1" applyFont="1" applyFill="1" applyBorder="1"/>
    <xf numFmtId="185" fontId="91" fillId="51" borderId="20" xfId="433" applyNumberFormat="1" applyFont="1" applyFill="1" applyBorder="1" applyAlignment="1"/>
    <xf numFmtId="183" fontId="91" fillId="51" borderId="20" xfId="433" applyNumberFormat="1" applyFont="1" applyFill="1" applyBorder="1" applyAlignment="1"/>
    <xf numFmtId="180" fontId="84" fillId="37" borderId="0" xfId="28" applyNumberFormat="1" applyFont="1" applyBorder="1" applyProtection="1">
      <protection locked="0"/>
    </xf>
    <xf numFmtId="179" fontId="91" fillId="43" borderId="21" xfId="433" applyFont="1" applyBorder="1" applyAlignment="1">
      <alignment horizontal="left"/>
    </xf>
    <xf numFmtId="179" fontId="33" fillId="37" borderId="0" xfId="3371" applyFill="1"/>
    <xf numFmtId="179" fontId="33" fillId="37" borderId="0" xfId="3371" applyFill="1" applyBorder="1" applyAlignment="1">
      <alignment horizontal="left"/>
    </xf>
    <xf numFmtId="0" fontId="121" fillId="0" borderId="0" xfId="3261" applyFont="1"/>
    <xf numFmtId="0" fontId="9" fillId="0" borderId="0" xfId="3261"/>
    <xf numFmtId="0" fontId="82" fillId="0" borderId="0" xfId="3261" applyFont="1"/>
    <xf numFmtId="0" fontId="82" fillId="0" borderId="14" xfId="3261" applyFont="1" applyBorder="1"/>
    <xf numFmtId="0" fontId="82" fillId="52" borderId="0" xfId="3261" applyFont="1" applyFill="1"/>
    <xf numFmtId="0" fontId="82" fillId="84" borderId="0" xfId="3261" applyFont="1" applyFill="1"/>
    <xf numFmtId="0" fontId="6" fillId="0" borderId="0" xfId="3261" applyFont="1"/>
    <xf numFmtId="0" fontId="0" fillId="0" borderId="0" xfId="0" quotePrefix="1" applyFill="1" applyBorder="1"/>
    <xf numFmtId="0" fontId="0" fillId="0" borderId="0" xfId="0" applyFont="1" applyFill="1" applyBorder="1"/>
    <xf numFmtId="171" fontId="0" fillId="0" borderId="0" xfId="0" applyNumberFormat="1"/>
    <xf numFmtId="171" fontId="0" fillId="0" borderId="0" xfId="0" applyNumberFormat="1" applyBorder="1"/>
    <xf numFmtId="0" fontId="0" fillId="0" borderId="0" xfId="0" applyAlignment="1">
      <alignment horizontal="left"/>
    </xf>
    <xf numFmtId="1" fontId="38" fillId="0" borderId="0" xfId="2002" applyNumberFormat="1" applyFont="1" applyFill="1" applyBorder="1" applyAlignment="1">
      <alignment horizontal="center"/>
    </xf>
    <xf numFmtId="0" fontId="0" fillId="0" borderId="0" xfId="0"/>
    <xf numFmtId="0" fontId="0" fillId="0" borderId="0" xfId="0" applyAlignment="1">
      <alignment horizontal="center"/>
    </xf>
    <xf numFmtId="0" fontId="11" fillId="0" borderId="0" xfId="0" applyFont="1" applyFill="1" applyBorder="1" applyAlignment="1">
      <alignment horizontal="center" vertical="center"/>
    </xf>
    <xf numFmtId="0" fontId="82" fillId="0" borderId="0" xfId="6229" applyFont="1"/>
    <xf numFmtId="0" fontId="4" fillId="0" borderId="0" xfId="6229"/>
    <xf numFmtId="0" fontId="4" fillId="0" borderId="0" xfId="6229" applyFont="1"/>
    <xf numFmtId="170" fontId="4" fillId="0" borderId="90" xfId="7504" applyNumberFormat="1" applyFont="1" applyFill="1" applyBorder="1" applyAlignment="1">
      <alignment horizontal="center"/>
    </xf>
    <xf numFmtId="170" fontId="4" fillId="51" borderId="90" xfId="7504" applyNumberFormat="1" applyFont="1" applyFill="1" applyBorder="1" applyAlignment="1">
      <alignment horizontal="center"/>
    </xf>
    <xf numFmtId="0" fontId="82" fillId="0" borderId="68" xfId="7490" applyFont="1" applyFill="1" applyBorder="1"/>
    <xf numFmtId="165" fontId="4" fillId="0" borderId="66" xfId="6610" applyFont="1" applyFill="1" applyBorder="1"/>
    <xf numFmtId="0" fontId="4" fillId="0" borderId="66" xfId="7490" applyFill="1" applyBorder="1"/>
    <xf numFmtId="0" fontId="82" fillId="0" borderId="66" xfId="7490" applyFont="1" applyFill="1" applyBorder="1"/>
    <xf numFmtId="0" fontId="82" fillId="0" borderId="67" xfId="7490" applyFont="1" applyFill="1" applyBorder="1"/>
    <xf numFmtId="0" fontId="82" fillId="0" borderId="17" xfId="7490" applyFont="1" applyFill="1" applyBorder="1"/>
    <xf numFmtId="2" fontId="4" fillId="0" borderId="0" xfId="7490" applyNumberFormat="1" applyFill="1" applyBorder="1"/>
    <xf numFmtId="2" fontId="4" fillId="51" borderId="0" xfId="7490" applyNumberFormat="1" applyFill="1" applyBorder="1"/>
    <xf numFmtId="0" fontId="4" fillId="51" borderId="17" xfId="7490" applyFont="1" applyFill="1" applyBorder="1"/>
    <xf numFmtId="0" fontId="4" fillId="0" borderId="0" xfId="7490" applyBorder="1"/>
    <xf numFmtId="0" fontId="4" fillId="0" borderId="17" xfId="7490" applyFont="1" applyBorder="1"/>
    <xf numFmtId="0" fontId="4" fillId="0" borderId="0" xfId="7490" applyFont="1" applyBorder="1"/>
    <xf numFmtId="0" fontId="4" fillId="0" borderId="21" xfId="7490" applyBorder="1"/>
    <xf numFmtId="0" fontId="4" fillId="0" borderId="91" xfId="7490" applyBorder="1"/>
    <xf numFmtId="0" fontId="4" fillId="0" borderId="90" xfId="7490" applyBorder="1"/>
    <xf numFmtId="0" fontId="4" fillId="0" borderId="92" xfId="7490" applyBorder="1"/>
    <xf numFmtId="0" fontId="84" fillId="0" borderId="0" xfId="0" applyFont="1"/>
    <xf numFmtId="0" fontId="123" fillId="0" borderId="0" xfId="991" applyFont="1"/>
    <xf numFmtId="0" fontId="124" fillId="85" borderId="0" xfId="991" applyFont="1" applyFill="1"/>
    <xf numFmtId="0" fontId="123" fillId="0" borderId="0" xfId="991" applyFont="1" applyAlignment="1">
      <alignment horizontal="right"/>
    </xf>
    <xf numFmtId="0" fontId="84" fillId="86" borderId="90" xfId="991" applyFont="1" applyFill="1" applyBorder="1" applyAlignment="1">
      <alignment horizontal="left" wrapText="1"/>
    </xf>
    <xf numFmtId="0" fontId="84" fillId="86" borderId="90" xfId="991" applyFont="1" applyFill="1" applyBorder="1" applyAlignment="1">
      <alignment horizontal="right" wrapText="1"/>
    </xf>
    <xf numFmtId="0" fontId="123" fillId="30" borderId="0" xfId="991" applyFont="1" applyFill="1"/>
    <xf numFmtId="0" fontId="93" fillId="0" borderId="0" xfId="991" applyFont="1" applyAlignment="1">
      <alignment horizontal="right"/>
    </xf>
    <xf numFmtId="0" fontId="93" fillId="86" borderId="90" xfId="991" applyFont="1" applyFill="1" applyBorder="1" applyAlignment="1">
      <alignment horizontal="right" wrapText="1"/>
    </xf>
    <xf numFmtId="0" fontId="93" fillId="0" borderId="0" xfId="0" applyFont="1"/>
    <xf numFmtId="0" fontId="0" fillId="0" borderId="0" xfId="0" applyNumberFormat="1" applyFont="1" applyFill="1" applyBorder="1" applyAlignment="1" applyProtection="1"/>
    <xf numFmtId="0" fontId="11" fillId="0" borderId="0" xfId="0" applyFont="1" applyFill="1"/>
    <xf numFmtId="171" fontId="0" fillId="0" borderId="96" xfId="0" applyNumberFormat="1" applyBorder="1"/>
    <xf numFmtId="171" fontId="11" fillId="0" borderId="96" xfId="0" applyNumberFormat="1" applyFont="1" applyFill="1" applyBorder="1"/>
    <xf numFmtId="171" fontId="0" fillId="0" borderId="96" xfId="0" applyNumberFormat="1" applyFill="1" applyBorder="1"/>
    <xf numFmtId="1" fontId="11" fillId="0" borderId="0" xfId="0" applyNumberFormat="1" applyFont="1" applyBorder="1"/>
    <xf numFmtId="0" fontId="33" fillId="32" borderId="95" xfId="975" applyFont="1" applyFill="1" applyBorder="1" applyAlignment="1">
      <alignment horizontal="left" vertical="center" wrapText="1"/>
    </xf>
    <xf numFmtId="0" fontId="34" fillId="29" borderId="94" xfId="975" applyFont="1" applyFill="1" applyBorder="1" applyAlignment="1">
      <alignment horizontal="left" vertical="center" wrapText="1"/>
    </xf>
    <xf numFmtId="2" fontId="12" fillId="0" borderId="96" xfId="975" applyNumberFormat="1" applyFont="1" applyFill="1" applyBorder="1" applyAlignment="1">
      <alignment horizontal="center"/>
    </xf>
    <xf numFmtId="1" fontId="38" fillId="0" borderId="0" xfId="0" applyNumberFormat="1" applyFont="1" applyFill="1" applyBorder="1" applyAlignment="1" applyProtection="1">
      <alignment horizontal="center"/>
    </xf>
    <xf numFmtId="171" fontId="11" fillId="0" borderId="0" xfId="0" applyNumberFormat="1" applyFont="1"/>
    <xf numFmtId="0" fontId="0" fillId="0" borderId="96" xfId="0" applyBorder="1"/>
    <xf numFmtId="0" fontId="0" fillId="0" borderId="96" xfId="0" applyFill="1" applyBorder="1"/>
    <xf numFmtId="0" fontId="84" fillId="31" borderId="93" xfId="991" applyFont="1" applyFill="1" applyBorder="1" applyAlignment="1">
      <alignment horizontal="left" vertical="center" wrapText="1"/>
    </xf>
    <xf numFmtId="0" fontId="84" fillId="31" borderId="93" xfId="991" applyFont="1" applyFill="1" applyBorder="1" applyAlignment="1">
      <alignment horizontal="left" vertical="top" wrapText="1"/>
    </xf>
    <xf numFmtId="0" fontId="84" fillId="31" borderId="93" xfId="991" applyFont="1" applyFill="1" applyBorder="1" applyAlignment="1">
      <alignment horizontal="right" vertical="center" wrapText="1"/>
    </xf>
    <xf numFmtId="0" fontId="93" fillId="31" borderId="93" xfId="991" applyFont="1" applyFill="1" applyBorder="1" applyAlignment="1">
      <alignment horizontal="right" vertical="center" wrapText="1"/>
    </xf>
    <xf numFmtId="0" fontId="84" fillId="31" borderId="0" xfId="991" applyFont="1" applyFill="1" applyAlignment="1">
      <alignment horizontal="right" vertical="center" wrapText="1"/>
    </xf>
    <xf numFmtId="187" fontId="33" fillId="89" borderId="0" xfId="0" applyNumberFormat="1" applyFont="1" applyFill="1"/>
    <xf numFmtId="0" fontId="33" fillId="89" borderId="0" xfId="991" applyFont="1" applyFill="1"/>
    <xf numFmtId="0" fontId="125" fillId="90" borderId="97" xfId="0" applyNumberFormat="1" applyFont="1" applyFill="1" applyBorder="1" applyAlignment="1" applyProtection="1">
      <alignment horizontal="right" wrapText="1"/>
    </xf>
    <xf numFmtId="0" fontId="33" fillId="91" borderId="0" xfId="0" applyNumberFormat="1" applyFont="1" applyFill="1" applyBorder="1" applyAlignment="1" applyProtection="1">
      <alignment horizontal="right" vertical="center" wrapText="1"/>
    </xf>
    <xf numFmtId="0" fontId="14" fillId="0" borderId="0" xfId="0" applyNumberFormat="1" applyFont="1" applyFill="1" applyBorder="1" applyAlignment="1" applyProtection="1"/>
    <xf numFmtId="0" fontId="33" fillId="0" borderId="0" xfId="0" applyNumberFormat="1" applyFont="1" applyFill="1" applyBorder="1" applyAlignment="1" applyProtection="1"/>
    <xf numFmtId="0" fontId="123" fillId="0" borderId="0" xfId="991" applyFont="1" applyFill="1" applyAlignment="1">
      <alignment horizontal="right"/>
    </xf>
    <xf numFmtId="0" fontId="33" fillId="51" borderId="12" xfId="0" applyFont="1" applyFill="1" applyBorder="1" applyAlignment="1">
      <alignment horizontal="left" vertical="center" wrapText="1"/>
    </xf>
    <xf numFmtId="0" fontId="47" fillId="29" borderId="95" xfId="0" applyFont="1" applyFill="1" applyBorder="1" applyAlignment="1">
      <alignment horizontal="left" vertical="center" wrapText="1"/>
    </xf>
    <xf numFmtId="171" fontId="0" fillId="0" borderId="0" xfId="0" applyNumberFormat="1" applyFill="1"/>
    <xf numFmtId="171" fontId="11" fillId="0" borderId="0" xfId="0" applyNumberFormat="1" applyFont="1" applyFill="1"/>
    <xf numFmtId="171" fontId="12" fillId="0" borderId="96" xfId="0" applyNumberFormat="1" applyFont="1" applyFill="1" applyBorder="1"/>
    <xf numFmtId="171" fontId="0" fillId="0" borderId="93" xfId="0" applyNumberFormat="1" applyBorder="1"/>
    <xf numFmtId="171" fontId="0" fillId="0" borderId="93" xfId="0" applyNumberFormat="1" applyFill="1" applyBorder="1"/>
    <xf numFmtId="171" fontId="12" fillId="0" borderId="93" xfId="0" applyNumberFormat="1" applyFont="1" applyFill="1" applyBorder="1"/>
    <xf numFmtId="171" fontId="5" fillId="0" borderId="96" xfId="5676" applyNumberFormat="1" applyFont="1" applyBorder="1"/>
    <xf numFmtId="0" fontId="55" fillId="0" borderId="0" xfId="0" applyFont="1"/>
    <xf numFmtId="171" fontId="11" fillId="0" borderId="96" xfId="0" applyNumberFormat="1" applyFont="1" applyBorder="1"/>
    <xf numFmtId="171" fontId="0" fillId="0" borderId="96" xfId="0" applyNumberFormat="1" applyFill="1" applyBorder="1" applyAlignment="1">
      <alignment wrapText="1"/>
    </xf>
    <xf numFmtId="0" fontId="0" fillId="0" borderId="93" xfId="0" applyBorder="1"/>
    <xf numFmtId="0" fontId="0" fillId="0" borderId="93" xfId="0" applyFill="1" applyBorder="1"/>
    <xf numFmtId="171" fontId="12" fillId="0" borderId="0" xfId="0" applyNumberFormat="1" applyFont="1" applyFill="1" applyBorder="1" applyAlignment="1">
      <alignment horizontal="left"/>
    </xf>
    <xf numFmtId="171" fontId="11" fillId="0" borderId="0" xfId="0" applyNumberFormat="1" applyFont="1" applyAlignment="1">
      <alignment horizontal="left"/>
    </xf>
    <xf numFmtId="171" fontId="13" fillId="0" borderId="0" xfId="0" applyNumberFormat="1" applyFont="1" applyAlignment="1">
      <alignment horizontal="left" wrapText="1"/>
    </xf>
    <xf numFmtId="0" fontId="126" fillId="0" borderId="0" xfId="0" applyFont="1"/>
    <xf numFmtId="171" fontId="34" fillId="29" borderId="96" xfId="0" applyNumberFormat="1" applyFont="1" applyFill="1" applyBorder="1" applyAlignment="1">
      <alignment horizontal="left" vertical="center" wrapText="1"/>
    </xf>
    <xf numFmtId="171" fontId="34" fillId="29" borderId="96" xfId="0" quotePrefix="1" applyNumberFormat="1" applyFont="1" applyFill="1" applyBorder="1" applyAlignment="1">
      <alignment horizontal="left" vertical="center" wrapText="1"/>
    </xf>
    <xf numFmtId="0" fontId="12" fillId="0" borderId="96" xfId="0" applyFont="1" applyFill="1" applyBorder="1" applyAlignment="1">
      <alignment horizontal="left"/>
    </xf>
    <xf numFmtId="0" fontId="12" fillId="0" borderId="96" xfId="0" applyFont="1" applyFill="1" applyBorder="1" applyAlignment="1">
      <alignment horizontal="center" vertical="center"/>
    </xf>
    <xf numFmtId="1" fontId="38" fillId="0" borderId="96" xfId="2002" applyNumberFormat="1" applyFont="1" applyFill="1" applyBorder="1" applyAlignment="1">
      <alignment horizontal="center"/>
    </xf>
    <xf numFmtId="0" fontId="128" fillId="0" borderId="0" xfId="420" applyFont="1" applyAlignment="1">
      <alignment horizontal="center"/>
    </xf>
    <xf numFmtId="170" fontId="0" fillId="0" borderId="0" xfId="0" applyNumberFormat="1" applyAlignment="1">
      <alignment horizontal="center"/>
    </xf>
    <xf numFmtId="174" fontId="11" fillId="0" borderId="0" xfId="0" applyNumberFormat="1" applyFont="1" applyFill="1" applyBorder="1" applyAlignment="1">
      <alignment horizontal="left"/>
    </xf>
    <xf numFmtId="170" fontId="0" fillId="0" borderId="0" xfId="0" applyNumberFormat="1"/>
    <xf numFmtId="0" fontId="33" fillId="0" borderId="12" xfId="0" applyFont="1" applyFill="1" applyBorder="1" applyAlignment="1">
      <alignment horizontal="left" vertical="center" wrapText="1"/>
    </xf>
    <xf numFmtId="1" fontId="38" fillId="0" borderId="95" xfId="2002" applyNumberFormat="1" applyFont="1" applyFill="1" applyBorder="1" applyAlignment="1">
      <alignment horizontal="center"/>
    </xf>
    <xf numFmtId="0" fontId="129" fillId="92" borderId="0" xfId="0" applyFont="1" applyFill="1" applyAlignment="1">
      <alignment horizontal="left"/>
    </xf>
    <xf numFmtId="0" fontId="129" fillId="92" borderId="0" xfId="0" applyFont="1" applyFill="1" applyAlignment="1">
      <alignment horizontal="center"/>
    </xf>
    <xf numFmtId="0" fontId="130" fillId="89" borderId="98" xfId="0" applyFont="1" applyFill="1" applyBorder="1" applyAlignment="1">
      <alignment horizontal="center" wrapText="1"/>
    </xf>
    <xf numFmtId="0" fontId="130" fillId="89" borderId="98" xfId="0" applyFont="1" applyFill="1" applyBorder="1" applyAlignment="1">
      <alignment horizontal="center" vertical="top"/>
    </xf>
    <xf numFmtId="0" fontId="130" fillId="89" borderId="98" xfId="0" applyFont="1" applyFill="1" applyBorder="1" applyAlignment="1">
      <alignment horizontal="center" vertical="top" wrapText="1"/>
    </xf>
    <xf numFmtId="0" fontId="131" fillId="0" borderId="98" xfId="0" applyFont="1" applyBorder="1" applyAlignment="1">
      <alignment horizontal="left"/>
    </xf>
    <xf numFmtId="170" fontId="131" fillId="0" borderId="98" xfId="0" applyNumberFormat="1" applyFont="1" applyBorder="1" applyAlignment="1">
      <alignment horizontal="center"/>
    </xf>
    <xf numFmtId="0" fontId="123" fillId="0" borderId="0" xfId="0" applyFont="1" applyAlignment="1">
      <alignment horizontal="left"/>
    </xf>
    <xf numFmtId="174" fontId="132" fillId="37" borderId="0" xfId="430" applyNumberFormat="1" applyFont="1" applyFill="1" applyBorder="1"/>
    <xf numFmtId="174" fontId="132" fillId="37" borderId="14" xfId="430" applyNumberFormat="1" applyFont="1" applyFill="1" applyBorder="1"/>
    <xf numFmtId="174" fontId="132" fillId="37" borderId="58" xfId="430" applyNumberFormat="1" applyFont="1" applyFill="1" applyBorder="1"/>
    <xf numFmtId="0" fontId="133" fillId="0" borderId="0" xfId="0" applyFont="1"/>
    <xf numFmtId="170" fontId="134" fillId="40" borderId="80" xfId="1467" applyNumberFormat="1" applyFont="1" applyAlignment="1">
      <alignment horizontal="center"/>
    </xf>
    <xf numFmtId="174" fontId="135" fillId="37" borderId="58" xfId="430" applyNumberFormat="1" applyFont="1" applyFill="1" applyBorder="1"/>
    <xf numFmtId="174" fontId="135" fillId="37" borderId="95" xfId="430" applyNumberFormat="1" applyFont="1" applyFill="1" applyBorder="1"/>
    <xf numFmtId="174" fontId="135" fillId="37" borderId="0" xfId="430" applyNumberFormat="1" applyFont="1" applyFill="1" applyBorder="1"/>
    <xf numFmtId="174" fontId="135" fillId="37" borderId="14" xfId="430" applyNumberFormat="1" applyFont="1" applyFill="1" applyBorder="1"/>
    <xf numFmtId="9" fontId="11" fillId="56" borderId="0" xfId="1473" applyFont="1" applyFill="1" applyBorder="1"/>
    <xf numFmtId="164" fontId="11" fillId="0" borderId="0" xfId="0" applyNumberFormat="1" applyFont="1" applyFill="1" applyBorder="1" applyAlignment="1">
      <alignment horizontal="left"/>
    </xf>
    <xf numFmtId="0" fontId="130" fillId="89" borderId="98" xfId="0" applyFont="1" applyFill="1" applyBorder="1" applyAlignment="1">
      <alignment horizontal="left" wrapText="1"/>
    </xf>
    <xf numFmtId="0" fontId="130" fillId="89" borderId="98" xfId="0" applyFont="1" applyFill="1" applyBorder="1" applyAlignment="1">
      <alignment horizontal="center"/>
    </xf>
    <xf numFmtId="1" fontId="131" fillId="0" borderId="98" xfId="0" applyNumberFormat="1" applyFont="1" applyBorder="1" applyAlignment="1">
      <alignment horizontal="center"/>
    </xf>
    <xf numFmtId="0" fontId="123" fillId="0" borderId="0" xfId="0" applyFont="1" applyAlignment="1">
      <alignment vertical="center"/>
    </xf>
    <xf numFmtId="2" fontId="135" fillId="51" borderId="0" xfId="7490" applyNumberFormat="1" applyFont="1" applyFill="1" applyBorder="1"/>
    <xf numFmtId="2" fontId="132" fillId="51" borderId="0" xfId="7490" applyNumberFormat="1" applyFont="1" applyFill="1" applyBorder="1"/>
    <xf numFmtId="170" fontId="132" fillId="51" borderId="90" xfId="7504" applyNumberFormat="1" applyFont="1" applyFill="1" applyBorder="1" applyAlignment="1">
      <alignment horizontal="center"/>
    </xf>
    <xf numFmtId="170" fontId="135" fillId="51" borderId="90" xfId="7504" applyNumberFormat="1" applyFont="1" applyFill="1" applyBorder="1" applyAlignment="1">
      <alignment horizontal="center"/>
    </xf>
    <xf numFmtId="0" fontId="12" fillId="0" borderId="96" xfId="0" applyFont="1" applyBorder="1"/>
    <xf numFmtId="0" fontId="11" fillId="0" borderId="0" xfId="0" applyFont="1"/>
    <xf numFmtId="0" fontId="139" fillId="0" borderId="0" xfId="0" applyFont="1"/>
    <xf numFmtId="0" fontId="0" fillId="0" borderId="34" xfId="0" applyBorder="1"/>
    <xf numFmtId="9" fontId="11" fillId="0" borderId="0" xfId="1473"/>
    <xf numFmtId="2" fontId="11" fillId="0" borderId="0" xfId="0" applyNumberFormat="1" applyFont="1"/>
    <xf numFmtId="0" fontId="33" fillId="87" borderId="93" xfId="0" applyFont="1" applyFill="1" applyBorder="1" applyAlignment="1">
      <alignment horizontal="left" vertical="center" wrapText="1"/>
    </xf>
    <xf numFmtId="0" fontId="47" fillId="88" borderId="94" xfId="0" applyFont="1" applyFill="1" applyBorder="1" applyAlignment="1">
      <alignment horizontal="left" vertical="center" wrapText="1"/>
    </xf>
    <xf numFmtId="0" fontId="33" fillId="51" borderId="95" xfId="0" applyFont="1" applyFill="1" applyBorder="1" applyAlignment="1">
      <alignment horizontal="left" vertical="center" wrapText="1"/>
    </xf>
    <xf numFmtId="1" fontId="11" fillId="88" borderId="0" xfId="0" applyNumberFormat="1" applyFont="1" applyFill="1" applyAlignment="1">
      <alignment horizontal="center"/>
    </xf>
    <xf numFmtId="1" fontId="38" fillId="0" borderId="0" xfId="0" applyNumberFormat="1" applyFont="1" applyBorder="1" applyAlignment="1">
      <alignment horizontal="center"/>
    </xf>
    <xf numFmtId="0" fontId="0" fillId="0" borderId="0" xfId="0"/>
    <xf numFmtId="0" fontId="11" fillId="0" borderId="96" xfId="0" applyFont="1" applyBorder="1"/>
    <xf numFmtId="171" fontId="11" fillId="0" borderId="0" xfId="0" applyNumberFormat="1" applyFont="1" applyFill="1" applyBorder="1"/>
    <xf numFmtId="0" fontId="11" fillId="0" borderId="0" xfId="2611" applyAlignment="1" applyProtection="1">
      <alignment horizontal="left"/>
      <protection locked="0"/>
    </xf>
    <xf numFmtId="0" fontId="11" fillId="0" borderId="0" xfId="975" applyFont="1" applyFill="1" applyBorder="1" applyAlignment="1" applyProtection="1">
      <alignment horizontal="left"/>
      <protection locked="0"/>
    </xf>
    <xf numFmtId="169" fontId="12" fillId="0" borderId="96" xfId="975" applyNumberFormat="1" applyFont="1" applyFill="1" applyBorder="1" applyAlignment="1">
      <alignment horizontal="center"/>
    </xf>
    <xf numFmtId="2" fontId="14" fillId="0" borderId="0" xfId="0" applyNumberFormat="1" applyFont="1"/>
    <xf numFmtId="0" fontId="11" fillId="2" borderId="66" xfId="3738" applyFill="1" applyBorder="1"/>
    <xf numFmtId="0" fontId="11" fillId="2" borderId="0" xfId="3738" applyFill="1"/>
    <xf numFmtId="0" fontId="42" fillId="2" borderId="66" xfId="15993" applyNumberFormat="1" applyFill="1" applyBorder="1">
      <alignment horizontal="right"/>
    </xf>
    <xf numFmtId="0" fontId="11" fillId="0" borderId="0" xfId="3738"/>
    <xf numFmtId="0" fontId="143" fillId="2" borderId="17" xfId="15992" applyFill="1" applyBorder="1" applyAlignment="1"/>
    <xf numFmtId="0" fontId="144" fillId="2" borderId="0" xfId="3738" applyFont="1" applyFill="1"/>
    <xf numFmtId="0" fontId="42" fillId="2" borderId="0" xfId="15993" applyNumberFormat="1" applyFill="1">
      <alignment horizontal="right"/>
    </xf>
    <xf numFmtId="0" fontId="11" fillId="2" borderId="17" xfId="3738" applyFill="1" applyBorder="1"/>
    <xf numFmtId="0" fontId="44" fillId="21" borderId="119" xfId="15994" applyFont="1" applyFill="1" applyBorder="1" applyAlignment="1">
      <alignment horizontal="center" vertical="center"/>
    </xf>
    <xf numFmtId="0" fontId="44" fillId="21" borderId="124" xfId="15994" applyFont="1" applyFill="1" applyBorder="1" applyAlignment="1">
      <alignment horizontal="center" vertical="center"/>
    </xf>
    <xf numFmtId="0" fontId="44" fillId="21" borderId="125" xfId="15994" applyFont="1" applyFill="1" applyBorder="1" applyAlignment="1">
      <alignment horizontal="center" vertical="center"/>
    </xf>
    <xf numFmtId="0" fontId="44" fillId="21" borderId="112" xfId="15994" applyFont="1" applyFill="1" applyBorder="1" applyAlignment="1">
      <alignment vertical="center"/>
    </xf>
    <xf numFmtId="2" fontId="43" fillId="42" borderId="112" xfId="15995" applyNumberFormat="1" applyFont="1" applyFill="1" applyBorder="1" applyAlignment="1">
      <alignment horizontal="right"/>
    </xf>
    <xf numFmtId="2" fontId="43" fillId="93" borderId="112" xfId="15995" applyNumberFormat="1" applyFont="1" applyFill="1" applyBorder="1" applyAlignment="1">
      <alignment horizontal="right"/>
    </xf>
    <xf numFmtId="0" fontId="43" fillId="21" borderId="112" xfId="2075" applyFont="1" applyFill="1" applyBorder="1">
      <alignment horizontal="left" vertical="center" indent="5"/>
    </xf>
    <xf numFmtId="0" fontId="44" fillId="21" borderId="42" xfId="997" applyFill="1" applyBorder="1">
      <alignment horizontal="left" vertical="center"/>
    </xf>
    <xf numFmtId="0" fontId="43" fillId="21" borderId="99" xfId="2075" applyFont="1" applyFill="1" applyBorder="1">
      <alignment horizontal="left" vertical="center" indent="5"/>
    </xf>
    <xf numFmtId="0" fontId="43" fillId="21" borderId="99" xfId="2075" applyFont="1" applyFill="1" applyBorder="1" applyAlignment="1">
      <alignment horizontal="left" vertical="center" indent="2"/>
    </xf>
    <xf numFmtId="0" fontId="43" fillId="21" borderId="99" xfId="15994" applyFill="1" applyBorder="1" applyAlignment="1">
      <alignment horizontal="left" vertical="center" indent="2"/>
    </xf>
    <xf numFmtId="2" fontId="43" fillId="94" borderId="112" xfId="15995" applyNumberFormat="1" applyFont="1" applyFill="1" applyBorder="1" applyAlignment="1">
      <alignment horizontal="right"/>
    </xf>
    <xf numFmtId="0" fontId="43" fillId="21" borderId="112" xfId="2075" applyFont="1" applyFill="1" applyBorder="1" applyAlignment="1">
      <alignment horizontal="left" vertical="center" indent="2"/>
    </xf>
    <xf numFmtId="0" fontId="43" fillId="42" borderId="112" xfId="15995" applyFont="1" applyFill="1" applyBorder="1" applyAlignment="1">
      <alignment horizontal="left" indent="4"/>
    </xf>
    <xf numFmtId="0" fontId="43" fillId="42" borderId="112" xfId="15995" applyFont="1" applyFill="1" applyBorder="1" applyAlignment="1">
      <alignment horizontal="left" indent="6"/>
    </xf>
    <xf numFmtId="0" fontId="148" fillId="2" borderId="0" xfId="3738" applyFont="1" applyFill="1"/>
    <xf numFmtId="0" fontId="42" fillId="2" borderId="0" xfId="3738" applyFont="1" applyFill="1"/>
    <xf numFmtId="0" fontId="150" fillId="0" borderId="0" xfId="15995" applyFont="1" applyAlignment="1">
      <alignment vertical="center"/>
    </xf>
    <xf numFmtId="0" fontId="1" fillId="0" borderId="0" xfId="15995" applyAlignment="1">
      <alignment vertical="center"/>
    </xf>
    <xf numFmtId="188" fontId="1" fillId="0" borderId="0" xfId="15995" applyNumberFormat="1" applyAlignment="1">
      <alignment vertical="center"/>
    </xf>
    <xf numFmtId="189" fontId="151" fillId="0" borderId="0" xfId="15995" applyNumberFormat="1" applyFont="1" applyAlignment="1">
      <alignment vertical="center"/>
    </xf>
    <xf numFmtId="0" fontId="150" fillId="0" borderId="0" xfId="15995" applyFont="1"/>
    <xf numFmtId="0" fontId="1" fillId="0" borderId="0" xfId="15995"/>
    <xf numFmtId="188" fontId="1" fillId="0" borderId="0" xfId="15995" applyNumberFormat="1"/>
    <xf numFmtId="189" fontId="151" fillId="0" borderId="0" xfId="15995" applyNumberFormat="1" applyFont="1"/>
    <xf numFmtId="0" fontId="152" fillId="0" borderId="97" xfId="15995" applyFont="1" applyBorder="1"/>
    <xf numFmtId="0" fontId="153" fillId="0" borderId="97" xfId="15995" applyFont="1" applyBorder="1" applyAlignment="1">
      <alignment horizontal="center" vertical="center" wrapText="1"/>
    </xf>
    <xf numFmtId="188" fontId="154" fillId="0" borderId="97" xfId="15995" applyNumberFormat="1" applyFont="1" applyBorder="1" applyAlignment="1">
      <alignment horizontal="center" vertical="center" wrapText="1"/>
    </xf>
    <xf numFmtId="0" fontId="153" fillId="0" borderId="0" xfId="15995" applyFont="1"/>
    <xf numFmtId="0" fontId="152" fillId="0" borderId="0" xfId="15995" applyFont="1"/>
    <xf numFmtId="188" fontId="152" fillId="0" borderId="0" xfId="15995" applyNumberFormat="1" applyFont="1"/>
    <xf numFmtId="190" fontId="152" fillId="0" borderId="0" xfId="15995" applyNumberFormat="1" applyFont="1"/>
    <xf numFmtId="0" fontId="155" fillId="0" borderId="0" xfId="15995" applyFont="1"/>
    <xf numFmtId="190" fontId="151" fillId="0" borderId="0" xfId="15995" applyNumberFormat="1" applyFont="1"/>
    <xf numFmtId="190" fontId="1" fillId="0" borderId="0" xfId="15995" applyNumberFormat="1"/>
    <xf numFmtId="0" fontId="153" fillId="0" borderId="0" xfId="15995" quotePrefix="1" applyFont="1"/>
    <xf numFmtId="0" fontId="45" fillId="0" borderId="0" xfId="15995" applyFont="1"/>
    <xf numFmtId="0" fontId="154" fillId="0" borderId="0" xfId="15995" quotePrefix="1" applyFont="1"/>
    <xf numFmtId="0" fontId="11" fillId="0" borderId="0" xfId="15995" applyFont="1"/>
    <xf numFmtId="190" fontId="11" fillId="0" borderId="0" xfId="15995" applyNumberFormat="1" applyFont="1"/>
    <xf numFmtId="189" fontId="156" fillId="0" borderId="0" xfId="15995" applyNumberFormat="1" applyFont="1"/>
    <xf numFmtId="3" fontId="1" fillId="0" borderId="0" xfId="15995" applyNumberFormat="1"/>
    <xf numFmtId="0" fontId="153" fillId="0" borderId="97" xfId="15995" quotePrefix="1" applyFont="1" applyBorder="1"/>
    <xf numFmtId="190" fontId="151" fillId="0" borderId="97" xfId="15995" applyNumberFormat="1" applyFont="1" applyBorder="1"/>
    <xf numFmtId="0" fontId="152" fillId="0" borderId="0" xfId="15995" quotePrefix="1" applyFont="1"/>
    <xf numFmtId="0" fontId="157" fillId="0" borderId="0" xfId="15995" quotePrefix="1" applyFont="1"/>
    <xf numFmtId="0" fontId="151" fillId="0" borderId="0" xfId="15995" applyFont="1" applyAlignment="1">
      <alignment horizontal="left"/>
    </xf>
    <xf numFmtId="191" fontId="150" fillId="0" borderId="0" xfId="2616" applyNumberFormat="1" applyFont="1" applyAlignment="1">
      <alignment vertical="center"/>
    </xf>
    <xf numFmtId="0" fontId="152" fillId="0" borderId="0" xfId="15995" applyFont="1" applyAlignment="1">
      <alignment horizontal="center" vertical="center" wrapText="1"/>
    </xf>
    <xf numFmtId="188" fontId="151" fillId="0" borderId="0" xfId="15995" applyNumberFormat="1" applyFont="1" applyAlignment="1">
      <alignment horizontal="center" vertical="center" wrapText="1"/>
    </xf>
    <xf numFmtId="0" fontId="156" fillId="0" borderId="0" xfId="15995" applyFont="1"/>
    <xf numFmtId="0" fontId="151" fillId="0" borderId="0" xfId="15995" quotePrefix="1" applyFont="1"/>
    <xf numFmtId="0" fontId="158" fillId="0" borderId="0" xfId="15995" applyFont="1"/>
    <xf numFmtId="0" fontId="159" fillId="0" borderId="0" xfId="15995" applyFont="1"/>
    <xf numFmtId="0" fontId="11" fillId="95" borderId="0" xfId="15995" applyFont="1" applyFill="1"/>
    <xf numFmtId="0" fontId="151" fillId="96" borderId="0" xfId="15995" applyFont="1" applyFill="1"/>
    <xf numFmtId="0" fontId="151" fillId="0" borderId="0" xfId="15995" applyFont="1"/>
    <xf numFmtId="189" fontId="45" fillId="97" borderId="0" xfId="15995" applyNumberFormat="1" applyFont="1" applyFill="1"/>
    <xf numFmtId="189" fontId="156" fillId="97" borderId="0" xfId="15995" applyNumberFormat="1" applyFont="1" applyFill="1"/>
    <xf numFmtId="192" fontId="45" fillId="0" borderId="0" xfId="15995" applyNumberFormat="1" applyFont="1"/>
    <xf numFmtId="188" fontId="156" fillId="0" borderId="0" xfId="15995" applyNumberFormat="1" applyFont="1"/>
    <xf numFmtId="192" fontId="11" fillId="0" borderId="0" xfId="15995" applyNumberFormat="1" applyFont="1"/>
    <xf numFmtId="188" fontId="151" fillId="0" borderId="0" xfId="15995" applyNumberFormat="1" applyFont="1"/>
    <xf numFmtId="193" fontId="156" fillId="0" borderId="0" xfId="15995" applyNumberFormat="1" applyFont="1"/>
    <xf numFmtId="188" fontId="11" fillId="0" borderId="0" xfId="15995" applyNumberFormat="1" applyFont="1"/>
    <xf numFmtId="189" fontId="45" fillId="0" borderId="0" xfId="15995" applyNumberFormat="1" applyFont="1"/>
    <xf numFmtId="0" fontId="11" fillId="0" borderId="0" xfId="2611"/>
    <xf numFmtId="194" fontId="11" fillId="0" borderId="0" xfId="2611" applyNumberFormat="1"/>
    <xf numFmtId="0" fontId="11" fillId="30" borderId="0" xfId="975" applyFont="1" applyFill="1"/>
    <xf numFmtId="0" fontId="12" fillId="0" borderId="96" xfId="975" applyBorder="1"/>
    <xf numFmtId="2" fontId="12" fillId="0" borderId="96" xfId="975" applyNumberFormat="1" applyBorder="1"/>
    <xf numFmtId="0" fontId="11" fillId="30" borderId="0" xfId="2611" applyFill="1"/>
    <xf numFmtId="0" fontId="33" fillId="31" borderId="128" xfId="2611" applyFont="1" applyFill="1" applyBorder="1" applyAlignment="1">
      <alignment horizontal="left" vertical="center" wrapText="1"/>
    </xf>
    <xf numFmtId="0" fontId="33" fillId="32" borderId="128" xfId="2611" applyFont="1" applyFill="1" applyBorder="1" applyAlignment="1">
      <alignment horizontal="left" vertical="center" wrapText="1"/>
    </xf>
    <xf numFmtId="0" fontId="33" fillId="50" borderId="128" xfId="2611" applyFont="1" applyFill="1" applyBorder="1" applyAlignment="1">
      <alignment horizontal="left" vertical="center" wrapText="1"/>
    </xf>
    <xf numFmtId="2" fontId="11" fillId="0" borderId="0" xfId="2611" applyNumberFormat="1" applyAlignment="1">
      <alignment horizontal="center"/>
    </xf>
    <xf numFmtId="169" fontId="11" fillId="0" borderId="0" xfId="2611" applyNumberFormat="1" applyAlignment="1">
      <alignment horizontal="center"/>
    </xf>
    <xf numFmtId="2" fontId="11" fillId="31" borderId="0" xfId="2611" applyNumberFormat="1" applyFill="1" applyAlignment="1">
      <alignment horizontal="center"/>
    </xf>
    <xf numFmtId="0" fontId="11" fillId="0" borderId="0" xfId="2611" applyAlignment="1">
      <alignment horizontal="center"/>
    </xf>
    <xf numFmtId="170" fontId="126" fillId="47" borderId="0" xfId="2611" applyNumberFormat="1" applyFont="1" applyFill="1" applyAlignment="1">
      <alignment horizontal="center"/>
    </xf>
    <xf numFmtId="169" fontId="11" fillId="0" borderId="0" xfId="2611" applyNumberFormat="1"/>
    <xf numFmtId="1" fontId="11" fillId="0" borderId="0" xfId="2611" applyNumberFormat="1" applyAlignment="1">
      <alignment horizontal="center"/>
    </xf>
    <xf numFmtId="2" fontId="11" fillId="98" borderId="0" xfId="2611" applyNumberFormat="1" applyFill="1" applyAlignment="1">
      <alignment horizontal="center"/>
    </xf>
    <xf numFmtId="0" fontId="11" fillId="0" borderId="96" xfId="2611" applyBorder="1"/>
    <xf numFmtId="0" fontId="11" fillId="0" borderId="96" xfId="2611" applyBorder="1" applyAlignment="1" applyProtection="1">
      <alignment horizontal="left"/>
      <protection locked="0"/>
    </xf>
    <xf numFmtId="2" fontId="11" fillId="0" borderId="96" xfId="2611" applyNumberFormat="1" applyBorder="1" applyAlignment="1">
      <alignment horizontal="center"/>
    </xf>
    <xf numFmtId="169" fontId="11" fillId="0" borderId="96" xfId="2611" applyNumberFormat="1" applyBorder="1" applyAlignment="1">
      <alignment horizontal="center"/>
    </xf>
    <xf numFmtId="169" fontId="11" fillId="0" borderId="96" xfId="2611" applyNumberFormat="1" applyBorder="1"/>
    <xf numFmtId="0" fontId="0" fillId="0" borderId="0" xfId="0" quotePrefix="1"/>
    <xf numFmtId="0" fontId="11" fillId="0" borderId="0" xfId="2611" applyBorder="1" applyAlignment="1" applyProtection="1">
      <alignment horizontal="left"/>
      <protection locked="0"/>
    </xf>
    <xf numFmtId="0" fontId="11" fillId="0" borderId="0" xfId="2611" applyBorder="1"/>
    <xf numFmtId="2" fontId="11" fillId="0" borderId="0" xfId="2611" applyNumberFormat="1" applyBorder="1" applyAlignment="1">
      <alignment horizontal="center"/>
    </xf>
    <xf numFmtId="169" fontId="11" fillId="0" borderId="0" xfId="2611" applyNumberFormat="1" applyBorder="1" applyAlignment="1">
      <alignment horizontal="center"/>
    </xf>
    <xf numFmtId="169" fontId="11" fillId="0" borderId="0" xfId="2611" applyNumberFormat="1" applyBorder="1"/>
    <xf numFmtId="0" fontId="33" fillId="31" borderId="0" xfId="975" applyFont="1" applyFill="1" applyBorder="1" applyAlignment="1">
      <alignment horizontal="left" vertical="center" wrapText="1"/>
    </xf>
    <xf numFmtId="0" fontId="34" fillId="29" borderId="0" xfId="975" applyFont="1" applyFill="1" applyBorder="1" applyAlignment="1">
      <alignment horizontal="left" vertical="center" wrapText="1"/>
    </xf>
    <xf numFmtId="0" fontId="130" fillId="89" borderId="99" xfId="0" applyFont="1" applyFill="1" applyBorder="1" applyAlignment="1">
      <alignment horizontal="center" vertical="top"/>
    </xf>
    <xf numFmtId="0" fontId="136" fillId="0" borderId="0" xfId="0" applyFont="1" applyFill="1" applyBorder="1" applyAlignment="1">
      <alignment horizontal="center"/>
    </xf>
    <xf numFmtId="0" fontId="160" fillId="0" borderId="0" xfId="0" applyFont="1"/>
    <xf numFmtId="0" fontId="130" fillId="89" borderId="112" xfId="0" applyFont="1" applyFill="1" applyBorder="1" applyAlignment="1">
      <alignment vertical="top" wrapText="1"/>
    </xf>
    <xf numFmtId="0" fontId="130" fillId="89" borderId="120" xfId="0" applyFont="1" applyFill="1" applyBorder="1" applyAlignment="1">
      <alignment horizontal="center" vertical="top"/>
    </xf>
    <xf numFmtId="0" fontId="130" fillId="89" borderId="119" xfId="0" applyFont="1" applyFill="1" applyBorder="1" applyAlignment="1">
      <alignment horizontal="center" vertical="top"/>
    </xf>
    <xf numFmtId="0" fontId="161" fillId="99" borderId="112" xfId="0" applyFont="1" applyFill="1" applyBorder="1" applyAlignment="1">
      <alignment horizontal="center" vertical="top"/>
    </xf>
    <xf numFmtId="0" fontId="130" fillId="89" borderId="112" xfId="0" applyFont="1" applyFill="1" applyBorder="1" applyAlignment="1">
      <alignment horizontal="center" vertical="top"/>
    </xf>
    <xf numFmtId="0" fontId="130" fillId="89" borderId="112" xfId="0" applyFont="1" applyFill="1" applyBorder="1" applyAlignment="1">
      <alignment horizontal="center" vertical="top" wrapText="1"/>
    </xf>
    <xf numFmtId="0" fontId="131" fillId="0" borderId="112" xfId="0" applyFont="1" applyBorder="1" applyAlignment="1">
      <alignment horizontal="left"/>
    </xf>
    <xf numFmtId="170" fontId="131" fillId="0" borderId="112" xfId="0" applyNumberFormat="1" applyFont="1" applyBorder="1" applyAlignment="1">
      <alignment horizontal="center"/>
    </xf>
    <xf numFmtId="2" fontId="131" fillId="0" borderId="112" xfId="0" applyNumberFormat="1" applyFont="1" applyBorder="1" applyAlignment="1">
      <alignment horizontal="center"/>
    </xf>
    <xf numFmtId="170" fontId="162" fillId="0" borderId="38" xfId="0" applyNumberFormat="1" applyFont="1" applyBorder="1" applyAlignment="1">
      <alignment horizontal="center"/>
    </xf>
    <xf numFmtId="170" fontId="162" fillId="0" borderId="112" xfId="0" applyNumberFormat="1" applyFont="1" applyBorder="1" applyAlignment="1">
      <alignment horizontal="center"/>
    </xf>
    <xf numFmtId="170" fontId="162" fillId="0" borderId="129" xfId="0" applyNumberFormat="1" applyFont="1" applyBorder="1" applyAlignment="1">
      <alignment horizontal="center"/>
    </xf>
    <xf numFmtId="0" fontId="11" fillId="44" borderId="0" xfId="0" applyFont="1" applyFill="1" applyBorder="1" applyAlignment="1">
      <alignment horizontal="center" vertical="center"/>
    </xf>
    <xf numFmtId="174" fontId="11" fillId="44" borderId="0" xfId="0" applyNumberFormat="1" applyFont="1" applyFill="1" applyBorder="1" applyAlignment="1">
      <alignment horizontal="left"/>
    </xf>
    <xf numFmtId="0" fontId="11" fillId="51" borderId="0" xfId="0" applyFont="1" applyFill="1"/>
    <xf numFmtId="0" fontId="11" fillId="96" borderId="0" xfId="2611" applyFill="1"/>
    <xf numFmtId="0" fontId="84" fillId="86" borderId="97" xfId="991" applyFont="1" applyFill="1" applyBorder="1" applyAlignment="1">
      <alignment horizontal="right" wrapText="1"/>
    </xf>
    <xf numFmtId="0" fontId="84" fillId="31" borderId="120" xfId="991" applyFont="1" applyFill="1" applyBorder="1" applyAlignment="1">
      <alignment horizontal="right" vertical="center" wrapText="1"/>
    </xf>
    <xf numFmtId="0" fontId="130" fillId="89" borderId="98" xfId="0" applyFont="1" applyFill="1" applyBorder="1" applyAlignment="1">
      <alignment horizontal="left" vertical="top" wrapText="1"/>
    </xf>
    <xf numFmtId="0" fontId="130" fillId="89" borderId="99" xfId="0" applyFont="1" applyFill="1" applyBorder="1" applyAlignment="1">
      <alignment horizontal="center" vertical="top"/>
    </xf>
    <xf numFmtId="0" fontId="130" fillId="89" borderId="93" xfId="0" applyFont="1" applyFill="1" applyBorder="1" applyAlignment="1">
      <alignment horizontal="center" vertical="top"/>
    </xf>
    <xf numFmtId="0" fontId="136" fillId="0" borderId="0" xfId="0" applyFont="1" applyFill="1" applyBorder="1" applyAlignment="1">
      <alignment horizontal="center"/>
    </xf>
    <xf numFmtId="0" fontId="51" fillId="32" borderId="51" xfId="0" applyFont="1" applyFill="1" applyBorder="1" applyAlignment="1" applyProtection="1">
      <alignment horizontal="center" vertical="center"/>
    </xf>
    <xf numFmtId="0" fontId="51" fillId="32" borderId="34" xfId="0" applyFont="1" applyFill="1" applyBorder="1" applyAlignment="1" applyProtection="1">
      <alignment horizontal="center" vertical="center"/>
    </xf>
    <xf numFmtId="0" fontId="51" fillId="32" borderId="67" xfId="0" applyFont="1" applyFill="1" applyBorder="1" applyAlignment="1" applyProtection="1">
      <alignment horizontal="center" vertical="center"/>
    </xf>
    <xf numFmtId="0" fontId="51" fillId="32" borderId="62" xfId="0" applyFont="1" applyFill="1" applyBorder="1" applyAlignment="1" applyProtection="1">
      <alignment horizontal="center" vertical="center"/>
    </xf>
    <xf numFmtId="0" fontId="51" fillId="32" borderId="63" xfId="0" applyFont="1" applyFill="1" applyBorder="1" applyAlignment="1" applyProtection="1">
      <alignment horizontal="left" vertical="center"/>
      <protection locked="0"/>
    </xf>
    <xf numFmtId="0" fontId="51" fillId="32" borderId="64" xfId="0" applyFont="1" applyFill="1" applyBorder="1" applyAlignment="1" applyProtection="1">
      <alignment horizontal="left" vertical="center"/>
      <protection locked="0"/>
    </xf>
    <xf numFmtId="0" fontId="51" fillId="32" borderId="65" xfId="0" applyFont="1" applyFill="1" applyBorder="1" applyAlignment="1" applyProtection="1">
      <alignment horizontal="left" vertical="center"/>
      <protection locked="0"/>
    </xf>
    <xf numFmtId="0" fontId="51" fillId="32" borderId="21" xfId="0" applyFont="1" applyFill="1" applyBorder="1" applyAlignment="1" applyProtection="1">
      <alignment horizontal="right" vertical="center"/>
    </xf>
    <xf numFmtId="0" fontId="51" fillId="32" borderId="73" xfId="0" applyFont="1" applyFill="1" applyBorder="1" applyAlignment="1" applyProtection="1">
      <alignment horizontal="center" vertical="center"/>
    </xf>
    <xf numFmtId="0" fontId="51" fillId="32" borderId="74" xfId="0" applyFont="1" applyFill="1" applyBorder="1" applyAlignment="1" applyProtection="1">
      <alignment horizontal="center" vertical="center"/>
    </xf>
    <xf numFmtId="0" fontId="51" fillId="32" borderId="75" xfId="0" applyFont="1" applyFill="1" applyBorder="1" applyAlignment="1" applyProtection="1">
      <alignment horizontal="center" vertical="center"/>
    </xf>
    <xf numFmtId="0" fontId="51" fillId="32" borderId="42" xfId="0" applyFont="1" applyFill="1" applyBorder="1" applyAlignment="1" applyProtection="1">
      <alignment horizontal="center" vertical="center"/>
    </xf>
    <xf numFmtId="0" fontId="51" fillId="32" borderId="76" xfId="0" applyFont="1" applyFill="1" applyBorder="1" applyAlignment="1" applyProtection="1">
      <alignment horizontal="center" vertical="center"/>
    </xf>
    <xf numFmtId="0" fontId="51" fillId="32" borderId="66" xfId="0" applyFont="1" applyFill="1" applyBorder="1" applyAlignment="1" applyProtection="1">
      <alignment horizontal="center" vertical="center"/>
    </xf>
    <xf numFmtId="0" fontId="51" fillId="0" borderId="0" xfId="975" applyFont="1" applyFill="1" applyBorder="1" applyAlignment="1" applyProtection="1">
      <alignment horizontal="center" vertical="center"/>
    </xf>
    <xf numFmtId="0" fontId="51" fillId="0" borderId="0" xfId="975" applyFont="1" applyFill="1" applyBorder="1" applyAlignment="1" applyProtection="1">
      <alignment horizontal="right" vertical="center"/>
    </xf>
    <xf numFmtId="0" fontId="149" fillId="2" borderId="0" xfId="15994" applyFont="1" applyFill="1" applyAlignment="1">
      <alignment horizontal="left" vertical="top" wrapText="1"/>
    </xf>
    <xf numFmtId="0" fontId="43" fillId="2" borderId="0" xfId="3738" applyFont="1" applyFill="1" applyAlignment="1">
      <alignment horizontal="left" vertical="top" wrapText="1"/>
    </xf>
    <xf numFmtId="0" fontId="143" fillId="2" borderId="68" xfId="15992" applyFill="1" applyBorder="1" applyAlignment="1">
      <alignment horizontal="left"/>
    </xf>
    <xf numFmtId="0" fontId="143" fillId="2" borderId="66" xfId="15992" applyFill="1" applyBorder="1" applyAlignment="1">
      <alignment horizontal="left"/>
    </xf>
    <xf numFmtId="0" fontId="44" fillId="21" borderId="118" xfId="15994" applyFont="1" applyFill="1" applyBorder="1" applyAlignment="1">
      <alignment horizontal="left" vertical="top"/>
    </xf>
    <xf numFmtId="0" fontId="44" fillId="21" borderId="18" xfId="15994" applyFont="1" applyFill="1" applyBorder="1" applyAlignment="1">
      <alignment horizontal="left" vertical="top"/>
    </xf>
    <xf numFmtId="0" fontId="44" fillId="21" borderId="123" xfId="15994" applyFont="1" applyFill="1" applyBorder="1" applyAlignment="1">
      <alignment horizontal="left" vertical="top"/>
    </xf>
    <xf numFmtId="0" fontId="44" fillId="21" borderId="99" xfId="15994" applyFont="1" applyFill="1" applyBorder="1" applyAlignment="1">
      <alignment horizontal="center" vertical="center"/>
    </xf>
    <xf numFmtId="0" fontId="43" fillId="2" borderId="119" xfId="3738" applyFont="1" applyFill="1" applyBorder="1" applyAlignment="1">
      <alignment horizontal="center" vertical="center"/>
    </xf>
    <xf numFmtId="0" fontId="44" fillId="21" borderId="120" xfId="15994" applyFont="1" applyFill="1" applyBorder="1" applyAlignment="1">
      <alignment horizontal="center" vertical="center"/>
    </xf>
    <xf numFmtId="0" fontId="44" fillId="21" borderId="119" xfId="15994" applyFont="1" applyFill="1" applyBorder="1" applyAlignment="1">
      <alignment horizontal="center" vertical="center"/>
    </xf>
    <xf numFmtId="0" fontId="43" fillId="2" borderId="120" xfId="3738" applyFont="1" applyFill="1" applyBorder="1" applyAlignment="1">
      <alignment horizontal="center" vertical="center"/>
    </xf>
    <xf numFmtId="0" fontId="44" fillId="21" borderId="121" xfId="15994" applyFont="1" applyFill="1" applyBorder="1" applyAlignment="1">
      <alignment horizontal="center" vertical="center"/>
    </xf>
    <xf numFmtId="0" fontId="44" fillId="21" borderId="122" xfId="15994" applyFont="1" applyFill="1" applyBorder="1" applyAlignment="1">
      <alignment horizontal="center" vertical="center"/>
    </xf>
    <xf numFmtId="0" fontId="44" fillId="21" borderId="34" xfId="15994" applyFont="1" applyFill="1" applyBorder="1" applyAlignment="1">
      <alignment horizontal="center" vertical="center"/>
    </xf>
    <xf numFmtId="0" fontId="44" fillId="21" borderId="16" xfId="15994" applyFont="1" applyFill="1" applyBorder="1" applyAlignment="1">
      <alignment horizontal="center" vertical="center"/>
    </xf>
    <xf numFmtId="0" fontId="44" fillId="21" borderId="118" xfId="15994" applyFont="1" applyFill="1" applyBorder="1" applyAlignment="1">
      <alignment horizontal="center" vertical="center"/>
    </xf>
    <xf numFmtId="0" fontId="44" fillId="21" borderId="42" xfId="15994" applyFont="1" applyFill="1" applyBorder="1" applyAlignment="1">
      <alignment horizontal="center" vertical="center"/>
    </xf>
    <xf numFmtId="0" fontId="43" fillId="2" borderId="42" xfId="3738" applyFont="1" applyFill="1" applyBorder="1" applyAlignment="1">
      <alignment horizontal="center" vertical="center"/>
    </xf>
    <xf numFmtId="0" fontId="44" fillId="21" borderId="126" xfId="15994" applyFont="1" applyFill="1" applyBorder="1" applyAlignment="1">
      <alignment horizontal="center" vertical="center"/>
    </xf>
    <xf numFmtId="0" fontId="44" fillId="21" borderId="124" xfId="15994" applyFont="1" applyFill="1" applyBorder="1" applyAlignment="1">
      <alignment horizontal="center" vertical="center"/>
    </xf>
    <xf numFmtId="0" fontId="43" fillId="2" borderId="127" xfId="3738" applyFont="1" applyFill="1" applyBorder="1" applyAlignment="1">
      <alignment horizontal="center" vertical="center"/>
    </xf>
    <xf numFmtId="0" fontId="43" fillId="2" borderId="124" xfId="3738" applyFont="1" applyFill="1" applyBorder="1" applyAlignment="1">
      <alignment horizontal="center" vertical="center"/>
    </xf>
    <xf numFmtId="0" fontId="149" fillId="2" borderId="0" xfId="15994" applyFont="1" applyFill="1" applyAlignment="1">
      <alignment horizontal="left"/>
    </xf>
  </cellXfs>
  <cellStyles count="15996">
    <cellStyle name="_x000a_shell=progma 2" xfId="1" xr:uid="{00000000-0005-0000-0000-000000000000}"/>
    <cellStyle name="_x000a_shell=progma 2 2" xfId="2073" xr:uid="{00000000-0005-0000-0000-000001000000}"/>
    <cellStyle name="1.000" xfId="2" xr:uid="{00000000-0005-0000-0000-000002000000}"/>
    <cellStyle name="1.000 2" xfId="2074" xr:uid="{00000000-0005-0000-0000-000003000000}"/>
    <cellStyle name="20 % - Markeringsfarve1 2" xfId="3588" xr:uid="{00000000-0005-0000-0000-000004000000}"/>
    <cellStyle name="20 % - Markeringsfarve1 2 2" xfId="3587" xr:uid="{00000000-0005-0000-0000-000005000000}"/>
    <cellStyle name="20 % - Markeringsfarve1 2 2 2" xfId="4229" xr:uid="{00000000-0005-0000-0000-000006000000}"/>
    <cellStyle name="20 % - Markeringsfarve1 2 2 2 2" xfId="7397" xr:uid="{00000000-0005-0000-0000-000007000000}"/>
    <cellStyle name="20 % - Markeringsfarve1 2 2 2 2 2" xfId="10065" xr:uid="{2F114C0D-BB39-4844-AF1E-21B7514CB9AA}"/>
    <cellStyle name="20 % - Markeringsfarve1 2 2 2 2 2 2" xfId="15455" xr:uid="{8557C884-7992-4ECF-864D-FB8D6A06F53B}"/>
    <cellStyle name="20 % - Markeringsfarve1 2 2 2 2 3" xfId="12702" xr:uid="{7D5A8D2E-EE1F-4D51-97D2-1A0C57ED6863}"/>
    <cellStyle name="20 % - Markeringsfarve1 2 2 2 3" xfId="8734" xr:uid="{3DE0F28B-1F27-4E71-8D28-2D94EFC32445}"/>
    <cellStyle name="20 % - Markeringsfarve1 2 2 2 3 2" xfId="14093" xr:uid="{2297171C-C38A-47DE-BF34-FDD9BC9C7269}"/>
    <cellStyle name="20 % - Markeringsfarve1 2 2 2 4" xfId="11371" xr:uid="{7436C941-3F96-4246-B5D0-E0187BE9BB34}"/>
    <cellStyle name="20 % - Markeringsfarve1 2 2 3" xfId="6774" xr:uid="{00000000-0005-0000-0000-000008000000}"/>
    <cellStyle name="20 % - Markeringsfarve1 2 2 3 2" xfId="9442" xr:uid="{5A8E41F0-B862-4961-A23F-7BC155F330BA}"/>
    <cellStyle name="20 % - Markeringsfarve1 2 2 3 2 2" xfId="14832" xr:uid="{3E777B64-214E-441A-A338-F805EAE239C5}"/>
    <cellStyle name="20 % - Markeringsfarve1 2 2 3 3" xfId="12079" xr:uid="{EEF583E4-C1DF-40E0-9985-1D83ECFBA253}"/>
    <cellStyle name="20 % - Markeringsfarve1 2 2 4" xfId="8111" xr:uid="{66E7687B-3258-4F60-A4CC-7D69E9FCF2C6}"/>
    <cellStyle name="20 % - Markeringsfarve1 2 2 4 2" xfId="13470" xr:uid="{20126798-1D9B-4EA1-BDCE-589532FD43EE}"/>
    <cellStyle name="20 % - Markeringsfarve1 2 2 5" xfId="10748" xr:uid="{C412A5EE-94DC-4AE5-B428-5FE284F79C3E}"/>
    <cellStyle name="20 % - Markeringsfarve1 2 3" xfId="3586" xr:uid="{00000000-0005-0000-0000-000009000000}"/>
    <cellStyle name="20 % - Markeringsfarve1 2 3 2" xfId="4228" xr:uid="{00000000-0005-0000-0000-00000A000000}"/>
    <cellStyle name="20 % - Markeringsfarve1 2 3 2 2" xfId="7396" xr:uid="{00000000-0005-0000-0000-00000B000000}"/>
    <cellStyle name="20 % - Markeringsfarve1 2 3 2 2 2" xfId="10064" xr:uid="{78B129F6-B88D-420C-AC16-B787668A55FF}"/>
    <cellStyle name="20 % - Markeringsfarve1 2 3 2 2 2 2" xfId="15454" xr:uid="{5A2AFD4A-A371-4FC7-8F54-6A6709B2DBB6}"/>
    <cellStyle name="20 % - Markeringsfarve1 2 3 2 2 3" xfId="12701" xr:uid="{2B0AB3A6-1AC9-43DD-B9BB-66D9B97426C4}"/>
    <cellStyle name="20 % - Markeringsfarve1 2 3 2 3" xfId="8733" xr:uid="{D16215E4-02F5-4505-AC42-8529B2434196}"/>
    <cellStyle name="20 % - Markeringsfarve1 2 3 2 3 2" xfId="14092" xr:uid="{DB95D9E0-9918-4D80-8622-1E249F239338}"/>
    <cellStyle name="20 % - Markeringsfarve1 2 3 2 4" xfId="11370" xr:uid="{9825CF25-5004-4514-B3F0-E4C098CB51CF}"/>
    <cellStyle name="20 % - Markeringsfarve1 2 3 3" xfId="6773" xr:uid="{00000000-0005-0000-0000-00000C000000}"/>
    <cellStyle name="20 % - Markeringsfarve1 2 3 3 2" xfId="9441" xr:uid="{547B73F9-6F1D-41EB-B716-67FCF233DC99}"/>
    <cellStyle name="20 % - Markeringsfarve1 2 3 3 2 2" xfId="14831" xr:uid="{29A9F1FA-6EB7-45BB-A3BC-9D52A1557F2A}"/>
    <cellStyle name="20 % - Markeringsfarve1 2 3 3 3" xfId="12078" xr:uid="{931F67E6-1E8B-42B3-82B4-CA9DA5B60812}"/>
    <cellStyle name="20 % - Markeringsfarve1 2 3 4" xfId="8110" xr:uid="{2EF2D1A0-58D0-462A-8197-6EA96F225099}"/>
    <cellStyle name="20 % - Markeringsfarve1 2 3 4 2" xfId="13469" xr:uid="{0E323118-4F84-4DF0-AD1D-F55ABE3407D3}"/>
    <cellStyle name="20 % - Markeringsfarve1 2 3 5" xfId="10747" xr:uid="{1D538CA2-98BA-40DB-98DD-128B6B71209A}"/>
    <cellStyle name="20 % - Markeringsfarve1 2 4" xfId="4230" xr:uid="{00000000-0005-0000-0000-00000D000000}"/>
    <cellStyle name="20 % - Markeringsfarve1 2 4 2" xfId="7398" xr:uid="{00000000-0005-0000-0000-00000E000000}"/>
    <cellStyle name="20 % - Markeringsfarve1 2 4 2 2" xfId="10066" xr:uid="{F2E68DB0-7FBB-4C56-A6AD-0E59041441F4}"/>
    <cellStyle name="20 % - Markeringsfarve1 2 4 2 2 2" xfId="15456" xr:uid="{76636F2A-7F81-4E73-9861-EBDFCA4253B9}"/>
    <cellStyle name="20 % - Markeringsfarve1 2 4 2 3" xfId="12703" xr:uid="{EC453B4A-695F-4B57-85F6-3D3142279BBA}"/>
    <cellStyle name="20 % - Markeringsfarve1 2 4 3" xfId="8735" xr:uid="{D5146D37-4777-4BAC-BEE7-9C5C0178AAD0}"/>
    <cellStyle name="20 % - Markeringsfarve1 2 4 3 2" xfId="14094" xr:uid="{9C231BED-5F18-499A-91E1-C53105D015B7}"/>
    <cellStyle name="20 % - Markeringsfarve1 2 4 4" xfId="11372" xr:uid="{9E317290-584F-4760-8DD0-7A6F19489FE3}"/>
    <cellStyle name="20 % - Markeringsfarve1 2 5" xfId="6775" xr:uid="{00000000-0005-0000-0000-00000F000000}"/>
    <cellStyle name="20 % - Markeringsfarve1 2 5 2" xfId="9443" xr:uid="{209E5748-1A24-4351-B70B-2B8792C2F8C7}"/>
    <cellStyle name="20 % - Markeringsfarve1 2 5 2 2" xfId="14833" xr:uid="{5525ADCA-A397-4254-BE79-0A27B5AC94CD}"/>
    <cellStyle name="20 % - Markeringsfarve1 2 5 3" xfId="12080" xr:uid="{219CF0B3-7582-4020-AF92-8F5B32B7D0B2}"/>
    <cellStyle name="20 % - Markeringsfarve1 2 6" xfId="8112" xr:uid="{4D132D14-AB64-43F4-9667-EFF7766C4734}"/>
    <cellStyle name="20 % - Markeringsfarve1 2 6 2" xfId="13471" xr:uid="{32AD39F9-7404-4985-A8BC-BD5382725229}"/>
    <cellStyle name="20 % - Markeringsfarve1 2 7" xfId="10749" xr:uid="{24782AEA-30C8-4264-9A51-EF7483E7280F}"/>
    <cellStyle name="20 % - Markeringsfarve1 3" xfId="3585" xr:uid="{00000000-0005-0000-0000-000010000000}"/>
    <cellStyle name="20 % - Markeringsfarve1 3 2" xfId="3531" xr:uid="{00000000-0005-0000-0000-000011000000}"/>
    <cellStyle name="20 % - Markeringsfarve1 3 2 2" xfId="4173" xr:uid="{00000000-0005-0000-0000-000012000000}"/>
    <cellStyle name="20 % - Markeringsfarve1 3 2 2 2" xfId="7341" xr:uid="{00000000-0005-0000-0000-000013000000}"/>
    <cellStyle name="20 % - Markeringsfarve1 3 2 2 2 2" xfId="10009" xr:uid="{F514D7F4-E705-42B6-9017-43539CBA645F}"/>
    <cellStyle name="20 % - Markeringsfarve1 3 2 2 2 2 2" xfId="15399" xr:uid="{8995DBA4-E9B4-470D-8EF1-10212812E78A}"/>
    <cellStyle name="20 % - Markeringsfarve1 3 2 2 2 3" xfId="12646" xr:uid="{511919B9-5476-4E9C-8EAB-5CBF6ABA0914}"/>
    <cellStyle name="20 % - Markeringsfarve1 3 2 2 3" xfId="8678" xr:uid="{6BC6046E-ACF3-48F2-9632-9DC44D9A1E4F}"/>
    <cellStyle name="20 % - Markeringsfarve1 3 2 2 3 2" xfId="14037" xr:uid="{16A889AC-C43B-4123-B379-2039AC15C044}"/>
    <cellStyle name="20 % - Markeringsfarve1 3 2 2 4" xfId="11315" xr:uid="{432A39AD-B55C-44CF-A356-2AB644D19C1E}"/>
    <cellStyle name="20 % - Markeringsfarve1 3 2 3" xfId="6718" xr:uid="{00000000-0005-0000-0000-000014000000}"/>
    <cellStyle name="20 % - Markeringsfarve1 3 2 3 2" xfId="9386" xr:uid="{2E39AF50-3E28-4C9C-9BF8-D64736D0C385}"/>
    <cellStyle name="20 % - Markeringsfarve1 3 2 3 2 2" xfId="14776" xr:uid="{5A47360D-A0B2-4691-9DC1-731D4DF727E0}"/>
    <cellStyle name="20 % - Markeringsfarve1 3 2 3 3" xfId="12023" xr:uid="{1A618EC5-87A4-470D-A7EE-56E79C6300C7}"/>
    <cellStyle name="20 % - Markeringsfarve1 3 2 4" xfId="8055" xr:uid="{E34A2A33-12B6-49CB-834E-9988AD1BB77D}"/>
    <cellStyle name="20 % - Markeringsfarve1 3 2 4 2" xfId="13414" xr:uid="{512AE9EE-0A3E-4A99-9963-07E5D382F17A}"/>
    <cellStyle name="20 % - Markeringsfarve1 3 2 5" xfId="10692" xr:uid="{35C0F105-2D83-48B2-B1E5-E3639E2B2A58}"/>
    <cellStyle name="20 % - Markeringsfarve1 3 3" xfId="4227" xr:uid="{00000000-0005-0000-0000-000015000000}"/>
    <cellStyle name="20 % - Markeringsfarve1 3 3 2" xfId="7395" xr:uid="{00000000-0005-0000-0000-000016000000}"/>
    <cellStyle name="20 % - Markeringsfarve1 3 3 2 2" xfId="10063" xr:uid="{3EADD285-5982-4B3A-9EF7-C8B14099F5C6}"/>
    <cellStyle name="20 % - Markeringsfarve1 3 3 2 2 2" xfId="15453" xr:uid="{3D145D2C-9C74-4323-B6BD-33F634195D51}"/>
    <cellStyle name="20 % - Markeringsfarve1 3 3 2 3" xfId="12700" xr:uid="{EBDFAF23-5624-44B5-A785-8D89F535391F}"/>
    <cellStyle name="20 % - Markeringsfarve1 3 3 3" xfId="8732" xr:uid="{421D614B-D9EE-4D40-8252-8EF0178107CE}"/>
    <cellStyle name="20 % - Markeringsfarve1 3 3 3 2" xfId="14091" xr:uid="{82D46123-B491-4BD5-A9D7-DE9557C32862}"/>
    <cellStyle name="20 % - Markeringsfarve1 3 3 4" xfId="11369" xr:uid="{904B388B-9326-4753-A44D-2A788C30EDAF}"/>
    <cellStyle name="20 % - Markeringsfarve1 3 4" xfId="6772" xr:uid="{00000000-0005-0000-0000-000017000000}"/>
    <cellStyle name="20 % - Markeringsfarve1 3 4 2" xfId="9440" xr:uid="{70462FE4-8A0B-4D4A-8731-4DDE6E16FA04}"/>
    <cellStyle name="20 % - Markeringsfarve1 3 4 2 2" xfId="14830" xr:uid="{251562F1-BBC8-4040-BC2A-DA1BABBABDD4}"/>
    <cellStyle name="20 % - Markeringsfarve1 3 4 3" xfId="12077" xr:uid="{EF550F72-D36B-44BB-A29D-148E45A93230}"/>
    <cellStyle name="20 % - Markeringsfarve1 3 5" xfId="8109" xr:uid="{38BAE3DA-C8AB-4D8E-801F-8B4E068DCB4B}"/>
    <cellStyle name="20 % - Markeringsfarve1 3 5 2" xfId="13468" xr:uid="{323A7862-048E-448C-8D93-0E5BE3CC84FC}"/>
    <cellStyle name="20 % - Markeringsfarve1 3 6" xfId="10746" xr:uid="{E0BDA660-D95C-443B-A3A8-28623FACADD9}"/>
    <cellStyle name="20 % - Markeringsfarve1 4" xfId="3584" xr:uid="{00000000-0005-0000-0000-000018000000}"/>
    <cellStyle name="20 % - Markeringsfarve1 4 2" xfId="4226" xr:uid="{00000000-0005-0000-0000-000019000000}"/>
    <cellStyle name="20 % - Markeringsfarve1 4 2 2" xfId="7394" xr:uid="{00000000-0005-0000-0000-00001A000000}"/>
    <cellStyle name="20 % - Markeringsfarve1 4 2 2 2" xfId="10062" xr:uid="{29E33F70-EB52-4E0B-ADAE-899C7506E2B2}"/>
    <cellStyle name="20 % - Markeringsfarve1 4 2 2 2 2" xfId="15452" xr:uid="{387525C5-2194-4A17-A8F4-0CA49B2FED96}"/>
    <cellStyle name="20 % - Markeringsfarve1 4 2 2 3" xfId="12699" xr:uid="{06AAF97C-AD5D-4524-A2B3-A349EFAB3C0C}"/>
    <cellStyle name="20 % - Markeringsfarve1 4 2 3" xfId="8731" xr:uid="{7B58151D-CF1C-44FE-A93B-C69265B376A7}"/>
    <cellStyle name="20 % - Markeringsfarve1 4 2 3 2" xfId="14090" xr:uid="{33B608CF-BF89-4630-9FF2-E63D64614796}"/>
    <cellStyle name="20 % - Markeringsfarve1 4 2 4" xfId="11368" xr:uid="{CB5EAEA4-5225-4838-A86A-711F84D608A9}"/>
    <cellStyle name="20 % - Markeringsfarve1 4 3" xfId="6771" xr:uid="{00000000-0005-0000-0000-00001B000000}"/>
    <cellStyle name="20 % - Markeringsfarve1 4 3 2" xfId="9439" xr:uid="{3150D3C3-2EEE-499D-BBA5-9B0C7FE55140}"/>
    <cellStyle name="20 % - Markeringsfarve1 4 3 2 2" xfId="14829" xr:uid="{BCED973E-0E0F-47FE-9CD0-E8F56BD39773}"/>
    <cellStyle name="20 % - Markeringsfarve1 4 3 3" xfId="12076" xr:uid="{F45A9A76-7CA9-458A-8E71-28B7D39F632A}"/>
    <cellStyle name="20 % - Markeringsfarve1 4 4" xfId="8108" xr:uid="{26AB9B66-2762-41E3-A28C-FF0C66C50D70}"/>
    <cellStyle name="20 % - Markeringsfarve1 4 4 2" xfId="13467" xr:uid="{76DB0603-1DD0-414E-B559-FF2D52B49F02}"/>
    <cellStyle name="20 % - Markeringsfarve1 4 5" xfId="10745" xr:uid="{E4433FA4-0BFA-4D1F-84BF-6AFB5C99D9DD}"/>
    <cellStyle name="20 % - Markeringsfarve1 5" xfId="3533" xr:uid="{00000000-0005-0000-0000-00001C000000}"/>
    <cellStyle name="20 % - Markeringsfarve1 5 2" xfId="4175" xr:uid="{00000000-0005-0000-0000-00001D000000}"/>
    <cellStyle name="20 % - Markeringsfarve1 5 2 2" xfId="7343" xr:uid="{00000000-0005-0000-0000-00001E000000}"/>
    <cellStyle name="20 % - Markeringsfarve1 5 2 2 2" xfId="10011" xr:uid="{8F433CAD-FE88-460F-8EBC-C408CD1CCA24}"/>
    <cellStyle name="20 % - Markeringsfarve1 5 2 2 2 2" xfId="15401" xr:uid="{1273607F-9D10-4F23-9337-83E7DA6BF87F}"/>
    <cellStyle name="20 % - Markeringsfarve1 5 2 2 3" xfId="12648" xr:uid="{6341DE54-8305-4E36-A3A4-BDEB03A8B824}"/>
    <cellStyle name="20 % - Markeringsfarve1 5 2 3" xfId="8680" xr:uid="{03E9397D-D6F3-48E8-9820-AEA19642A9AE}"/>
    <cellStyle name="20 % - Markeringsfarve1 5 2 3 2" xfId="14039" xr:uid="{1CB58FCA-76E9-4A3E-A6EE-B8EE2C7404DC}"/>
    <cellStyle name="20 % - Markeringsfarve1 5 2 4" xfId="11317" xr:uid="{3D28F798-9753-448E-A29F-4354DACA0088}"/>
    <cellStyle name="20 % - Markeringsfarve1 5 3" xfId="6720" xr:uid="{00000000-0005-0000-0000-00001F000000}"/>
    <cellStyle name="20 % - Markeringsfarve1 5 3 2" xfId="9388" xr:uid="{6607878E-BB32-4ADC-B890-6572B6664F11}"/>
    <cellStyle name="20 % - Markeringsfarve1 5 3 2 2" xfId="14778" xr:uid="{41142A25-0838-45BA-BE4D-C9A6388B64C5}"/>
    <cellStyle name="20 % - Markeringsfarve1 5 3 3" xfId="12025" xr:uid="{8CE2C703-B918-42F7-BB49-6028ECF8B3CA}"/>
    <cellStyle name="20 % - Markeringsfarve1 5 4" xfId="8057" xr:uid="{44FA0C6D-E50F-4EBE-9100-5C8B36A9C2C3}"/>
    <cellStyle name="20 % - Markeringsfarve1 5 4 2" xfId="13416" xr:uid="{E467DC72-E9B7-41C5-85B8-758CC0A7E907}"/>
    <cellStyle name="20 % - Markeringsfarve1 5 5" xfId="10694" xr:uid="{1AFD24E4-2335-41B8-BC5F-79EE642B4524}"/>
    <cellStyle name="20 % - Markeringsfarve1 6" xfId="3529" xr:uid="{00000000-0005-0000-0000-000020000000}"/>
    <cellStyle name="20 % - Markeringsfarve1 6 2" xfId="4171" xr:uid="{00000000-0005-0000-0000-000021000000}"/>
    <cellStyle name="20 % - Markeringsfarve1 6 2 2" xfId="7339" xr:uid="{00000000-0005-0000-0000-000022000000}"/>
    <cellStyle name="20 % - Markeringsfarve1 6 2 2 2" xfId="10007" xr:uid="{538EA285-BCA4-4A29-AE0D-4501DE650D43}"/>
    <cellStyle name="20 % - Markeringsfarve1 6 2 2 2 2" xfId="15397" xr:uid="{2FF0EE41-38E5-46DE-A09A-5FFB1B30F9B7}"/>
    <cellStyle name="20 % - Markeringsfarve1 6 2 2 3" xfId="12644" xr:uid="{EE21E1CC-1E61-406E-9558-E497B7ACA285}"/>
    <cellStyle name="20 % - Markeringsfarve1 6 2 3" xfId="8676" xr:uid="{ED217727-A5D8-453A-BC31-01F1BBFEE9C2}"/>
    <cellStyle name="20 % - Markeringsfarve1 6 2 3 2" xfId="14035" xr:uid="{D0ACC580-B62A-460C-BE00-0314CD660CF4}"/>
    <cellStyle name="20 % - Markeringsfarve1 6 2 4" xfId="11313" xr:uid="{0BFE16DF-8A25-4F7C-8CFC-25986AC4A71A}"/>
    <cellStyle name="20 % - Markeringsfarve1 6 3" xfId="6716" xr:uid="{00000000-0005-0000-0000-000023000000}"/>
    <cellStyle name="20 % - Markeringsfarve1 6 3 2" xfId="9384" xr:uid="{5D62FA42-C143-4238-9D64-1BF7A5A2FA4A}"/>
    <cellStyle name="20 % - Markeringsfarve1 6 3 2 2" xfId="14774" xr:uid="{18AA6136-CC7D-4D36-AB4A-BB11E4C1F733}"/>
    <cellStyle name="20 % - Markeringsfarve1 6 3 3" xfId="12021" xr:uid="{BA64FDB3-822B-4966-89FE-DC18CCC0EC87}"/>
    <cellStyle name="20 % - Markeringsfarve1 6 4" xfId="8053" xr:uid="{14A157AF-9144-424F-BF1A-1065D20F8331}"/>
    <cellStyle name="20 % - Markeringsfarve1 6 4 2" xfId="13412" xr:uid="{98BDDE3F-7BEF-4633-9530-1BD887C41685}"/>
    <cellStyle name="20 % - Markeringsfarve1 6 5" xfId="10690" xr:uid="{AAF8DCB5-6B65-4DE2-BFF4-87B1A919D6CB}"/>
    <cellStyle name="20 % - Markeringsfarve1 7" xfId="4159" xr:uid="{00000000-0005-0000-0000-000024000000}"/>
    <cellStyle name="20 % - Markeringsfarve1 7 2" xfId="7327" xr:uid="{00000000-0005-0000-0000-000025000000}"/>
    <cellStyle name="20 % - Markeringsfarve1 7 2 2" xfId="9995" xr:uid="{5A75AB0C-5448-4DF9-B9ED-1B0031A85E76}"/>
    <cellStyle name="20 % - Markeringsfarve1 7 2 2 2" xfId="15385" xr:uid="{2841B48A-E1E9-4F6E-A432-6D085EE2FBCF}"/>
    <cellStyle name="20 % - Markeringsfarve1 7 2 3" xfId="12632" xr:uid="{5A8BF96D-5217-454A-9E3B-9CED014EE7DC}"/>
    <cellStyle name="20 % - Markeringsfarve1 7 3" xfId="8664" xr:uid="{5B5E4704-75EE-49A8-BB00-095615E19629}"/>
    <cellStyle name="20 % - Markeringsfarve1 7 3 2" xfId="14023" xr:uid="{3707AB2E-4E6F-4091-BBED-7C530A315C5D}"/>
    <cellStyle name="20 % - Markeringsfarve1 7 4" xfId="11301" xr:uid="{1C4CCDBC-B333-4616-BEF8-DCF78C74CC0C}"/>
    <cellStyle name="20 % - Markeringsfarve2 2" xfId="3583" xr:uid="{00000000-0005-0000-0000-000026000000}"/>
    <cellStyle name="20 % - Markeringsfarve2 2 2" xfId="3532" xr:uid="{00000000-0005-0000-0000-000027000000}"/>
    <cellStyle name="20 % - Markeringsfarve2 2 2 2" xfId="4174" xr:uid="{00000000-0005-0000-0000-000028000000}"/>
    <cellStyle name="20 % - Markeringsfarve2 2 2 2 2" xfId="7342" xr:uid="{00000000-0005-0000-0000-000029000000}"/>
    <cellStyle name="20 % - Markeringsfarve2 2 2 2 2 2" xfId="10010" xr:uid="{890E2E61-517E-4628-9414-4FCF6558F79B}"/>
    <cellStyle name="20 % - Markeringsfarve2 2 2 2 2 2 2" xfId="15400" xr:uid="{04E06C3E-E0BF-401C-B1BC-239C926E81DF}"/>
    <cellStyle name="20 % - Markeringsfarve2 2 2 2 2 3" xfId="12647" xr:uid="{A0E784D7-2A74-44D5-B33D-1B94D317B262}"/>
    <cellStyle name="20 % - Markeringsfarve2 2 2 2 3" xfId="8679" xr:uid="{D1987908-7ED9-4EC5-82CD-4EEDB267673B}"/>
    <cellStyle name="20 % - Markeringsfarve2 2 2 2 3 2" xfId="14038" xr:uid="{02455137-0DAA-45BE-A640-C986E1CCCBE4}"/>
    <cellStyle name="20 % - Markeringsfarve2 2 2 2 4" xfId="11316" xr:uid="{FAFCEBEB-F477-4DA5-B632-D585F62786A4}"/>
    <cellStyle name="20 % - Markeringsfarve2 2 2 3" xfId="6719" xr:uid="{00000000-0005-0000-0000-00002A000000}"/>
    <cellStyle name="20 % - Markeringsfarve2 2 2 3 2" xfId="9387" xr:uid="{7F8BCB48-E665-457D-B0F2-D34E70ECB403}"/>
    <cellStyle name="20 % - Markeringsfarve2 2 2 3 2 2" xfId="14777" xr:uid="{7FEDAF4D-36C9-4426-BCEE-0A7EAC2C9882}"/>
    <cellStyle name="20 % - Markeringsfarve2 2 2 3 3" xfId="12024" xr:uid="{EB1DEB0F-2C86-4A32-B89F-D596C9A14FDA}"/>
    <cellStyle name="20 % - Markeringsfarve2 2 2 4" xfId="8056" xr:uid="{7FA6C959-A622-4BA4-B7D4-04C1F213848E}"/>
    <cellStyle name="20 % - Markeringsfarve2 2 2 4 2" xfId="13415" xr:uid="{DBED1872-7C40-4367-B33A-1BD5A38A7653}"/>
    <cellStyle name="20 % - Markeringsfarve2 2 2 5" xfId="10693" xr:uid="{FB1ECA28-2659-4C6B-B2CC-C833EA844D26}"/>
    <cellStyle name="20 % - Markeringsfarve2 2 3" xfId="3530" xr:uid="{00000000-0005-0000-0000-00002B000000}"/>
    <cellStyle name="20 % - Markeringsfarve2 2 3 2" xfId="4172" xr:uid="{00000000-0005-0000-0000-00002C000000}"/>
    <cellStyle name="20 % - Markeringsfarve2 2 3 2 2" xfId="7340" xr:uid="{00000000-0005-0000-0000-00002D000000}"/>
    <cellStyle name="20 % - Markeringsfarve2 2 3 2 2 2" xfId="10008" xr:uid="{5DC76BA2-5A0E-476A-B199-FCE8034C5B51}"/>
    <cellStyle name="20 % - Markeringsfarve2 2 3 2 2 2 2" xfId="15398" xr:uid="{80BDB251-1F13-447F-A172-0664FBF81835}"/>
    <cellStyle name="20 % - Markeringsfarve2 2 3 2 2 3" xfId="12645" xr:uid="{AA00CC4E-C3C2-4C85-B932-6AE65A91899B}"/>
    <cellStyle name="20 % - Markeringsfarve2 2 3 2 3" xfId="8677" xr:uid="{316F5669-9742-4443-92EC-AEEFD8441DB7}"/>
    <cellStyle name="20 % - Markeringsfarve2 2 3 2 3 2" xfId="14036" xr:uid="{6009F8FE-B846-4F33-8836-EF1D1AC04914}"/>
    <cellStyle name="20 % - Markeringsfarve2 2 3 2 4" xfId="11314" xr:uid="{2D67B1E2-41FC-4272-AB50-0886AFAB757A}"/>
    <cellStyle name="20 % - Markeringsfarve2 2 3 3" xfId="6717" xr:uid="{00000000-0005-0000-0000-00002E000000}"/>
    <cellStyle name="20 % - Markeringsfarve2 2 3 3 2" xfId="9385" xr:uid="{BD8DD44B-C3C3-42E7-BB52-E13539B14147}"/>
    <cellStyle name="20 % - Markeringsfarve2 2 3 3 2 2" xfId="14775" xr:uid="{0AF807B5-CE28-4140-9035-070CE2B2A6F6}"/>
    <cellStyle name="20 % - Markeringsfarve2 2 3 3 3" xfId="12022" xr:uid="{9D900803-7B1F-4611-A3A7-5620A2F8085F}"/>
    <cellStyle name="20 % - Markeringsfarve2 2 3 4" xfId="8054" xr:uid="{549396BD-FA10-4017-85A0-D0AF0DF3A4CF}"/>
    <cellStyle name="20 % - Markeringsfarve2 2 3 4 2" xfId="13413" xr:uid="{25C8E612-BB8B-498E-88C8-9B397CA059CE}"/>
    <cellStyle name="20 % - Markeringsfarve2 2 3 5" xfId="10691" xr:uid="{490D5578-D411-466C-B16B-C945EC066E19}"/>
    <cellStyle name="20 % - Markeringsfarve2 2 4" xfId="4225" xr:uid="{00000000-0005-0000-0000-00002F000000}"/>
    <cellStyle name="20 % - Markeringsfarve2 2 4 2" xfId="7393" xr:uid="{00000000-0005-0000-0000-000030000000}"/>
    <cellStyle name="20 % - Markeringsfarve2 2 4 2 2" xfId="10061" xr:uid="{054DA1E1-9ED2-4252-938B-D2062AF1A023}"/>
    <cellStyle name="20 % - Markeringsfarve2 2 4 2 2 2" xfId="15451" xr:uid="{B8C46AF6-7155-4237-9579-67B61F460C48}"/>
    <cellStyle name="20 % - Markeringsfarve2 2 4 2 3" xfId="12698" xr:uid="{69EA2E90-733F-4ED9-AC9E-690AC10FF911}"/>
    <cellStyle name="20 % - Markeringsfarve2 2 4 3" xfId="8730" xr:uid="{1E48F7F8-F20C-4CFC-893F-D5B5B5B9F5B2}"/>
    <cellStyle name="20 % - Markeringsfarve2 2 4 3 2" xfId="14089" xr:uid="{107FDC7A-8398-43D7-99CE-311A1E42CEC7}"/>
    <cellStyle name="20 % - Markeringsfarve2 2 4 4" xfId="11367" xr:uid="{3657DAA3-C097-4F6E-BECB-EAA337FEC36C}"/>
    <cellStyle name="20 % - Markeringsfarve2 2 5" xfId="6770" xr:uid="{00000000-0005-0000-0000-000031000000}"/>
    <cellStyle name="20 % - Markeringsfarve2 2 5 2" xfId="9438" xr:uid="{750191F4-DF2E-431E-9B88-527A4A3FE39F}"/>
    <cellStyle name="20 % - Markeringsfarve2 2 5 2 2" xfId="14828" xr:uid="{452D1931-F93E-47D4-A774-FCA80D68BD7E}"/>
    <cellStyle name="20 % - Markeringsfarve2 2 5 3" xfId="12075" xr:uid="{5B6E470F-38A5-4298-A841-910F9B2BD03A}"/>
    <cellStyle name="20 % - Markeringsfarve2 2 6" xfId="8107" xr:uid="{F21595D1-F9C3-42ED-9C34-9250990B0969}"/>
    <cellStyle name="20 % - Markeringsfarve2 2 6 2" xfId="13466" xr:uid="{C8B79531-0EE6-43B2-8A34-E61F2C115E5D}"/>
    <cellStyle name="20 % - Markeringsfarve2 2 7" xfId="10744" xr:uid="{83F16630-5211-4A08-9B90-9F742472A913}"/>
    <cellStyle name="20 % - Markeringsfarve2 3" xfId="3582" xr:uid="{00000000-0005-0000-0000-000032000000}"/>
    <cellStyle name="20 % - Markeringsfarve2 3 2" xfId="4224" xr:uid="{00000000-0005-0000-0000-000033000000}"/>
    <cellStyle name="20 % - Markeringsfarve2 3 2 2" xfId="7392" xr:uid="{00000000-0005-0000-0000-000034000000}"/>
    <cellStyle name="20 % - Markeringsfarve2 3 2 2 2" xfId="10060" xr:uid="{BFD01A8E-D966-4D47-93F3-74C4C9444844}"/>
    <cellStyle name="20 % - Markeringsfarve2 3 2 2 2 2" xfId="15450" xr:uid="{62F3E1C3-DD62-4086-9906-1100FE70DFDB}"/>
    <cellStyle name="20 % - Markeringsfarve2 3 2 2 3" xfId="12697" xr:uid="{363388E9-1D22-4811-8BFC-219FCA45E469}"/>
    <cellStyle name="20 % - Markeringsfarve2 3 2 3" xfId="8729" xr:uid="{E6C6DF2D-0000-4239-8B58-A9475B70488B}"/>
    <cellStyle name="20 % - Markeringsfarve2 3 2 3 2" xfId="14088" xr:uid="{5E6BF4AE-917D-4379-8C91-C87E8EB1A68A}"/>
    <cellStyle name="20 % - Markeringsfarve2 3 2 4" xfId="11366" xr:uid="{AA5F3AE2-3443-45C1-9AE1-F619DCE077FE}"/>
    <cellStyle name="20 % - Markeringsfarve2 3 3" xfId="6769" xr:uid="{00000000-0005-0000-0000-000035000000}"/>
    <cellStyle name="20 % - Markeringsfarve2 3 3 2" xfId="9437" xr:uid="{5A44C6A7-A0D5-4255-AC88-AD76DA76FF93}"/>
    <cellStyle name="20 % - Markeringsfarve2 3 3 2 2" xfId="14827" xr:uid="{93B670FA-D21F-4CD5-91E1-950723176203}"/>
    <cellStyle name="20 % - Markeringsfarve2 3 3 3" xfId="12074" xr:uid="{548FE93B-DB0B-49C2-AA35-C63A0A852115}"/>
    <cellStyle name="20 % - Markeringsfarve2 3 4" xfId="8106" xr:uid="{8CAC850E-F1D5-4C5E-98DB-659BB1F03A05}"/>
    <cellStyle name="20 % - Markeringsfarve2 3 4 2" xfId="13465" xr:uid="{53BDF137-7749-47B5-B477-8B7DAC87FFE0}"/>
    <cellStyle name="20 % - Markeringsfarve2 3 5" xfId="10743" xr:uid="{44473CB9-8928-4833-A09A-C95CCB30903D}"/>
    <cellStyle name="20 % - Markeringsfarve2 4" xfId="3581" xr:uid="{00000000-0005-0000-0000-000036000000}"/>
    <cellStyle name="20 % - Markeringsfarve2 4 2" xfId="4223" xr:uid="{00000000-0005-0000-0000-000037000000}"/>
    <cellStyle name="20 % - Markeringsfarve2 4 2 2" xfId="7391" xr:uid="{00000000-0005-0000-0000-000038000000}"/>
    <cellStyle name="20 % - Markeringsfarve2 4 2 2 2" xfId="10059" xr:uid="{E9820F40-A67F-4FA7-9F4A-2F9B6903664E}"/>
    <cellStyle name="20 % - Markeringsfarve2 4 2 2 2 2" xfId="15449" xr:uid="{E4AB3174-11B0-49F3-A997-CAB9CB6DF5F9}"/>
    <cellStyle name="20 % - Markeringsfarve2 4 2 2 3" xfId="12696" xr:uid="{C6B805E3-1E8B-4F06-8F4D-0AECB2F43401}"/>
    <cellStyle name="20 % - Markeringsfarve2 4 2 3" xfId="8728" xr:uid="{0388CE96-B867-41D6-92FC-10D59630EA7B}"/>
    <cellStyle name="20 % - Markeringsfarve2 4 2 3 2" xfId="14087" xr:uid="{8221D087-0B2F-4C22-9D9F-A1D6D75FA593}"/>
    <cellStyle name="20 % - Markeringsfarve2 4 2 4" xfId="11365" xr:uid="{3E252A28-E477-407D-BC81-5BF968242CAE}"/>
    <cellStyle name="20 % - Markeringsfarve2 4 3" xfId="6768" xr:uid="{00000000-0005-0000-0000-000039000000}"/>
    <cellStyle name="20 % - Markeringsfarve2 4 3 2" xfId="9436" xr:uid="{457507E4-0D59-4BBE-BDEC-13F6AA16B56E}"/>
    <cellStyle name="20 % - Markeringsfarve2 4 3 2 2" xfId="14826" xr:uid="{F12DAA28-3E3B-4B7E-93FC-7D8344701E12}"/>
    <cellStyle name="20 % - Markeringsfarve2 4 3 3" xfId="12073" xr:uid="{C7E72359-8795-4891-8045-04F193DDCBDE}"/>
    <cellStyle name="20 % - Markeringsfarve2 4 4" xfId="8105" xr:uid="{E0CB6E29-7E95-46BE-8199-2BE945ADE379}"/>
    <cellStyle name="20 % - Markeringsfarve2 4 4 2" xfId="13464" xr:uid="{91609E63-A503-44AD-956A-F699EB3E762E}"/>
    <cellStyle name="20 % - Markeringsfarve2 4 5" xfId="10742" xr:uid="{9A3A1A25-D617-42AE-961D-A4A8FBD8E2B3}"/>
    <cellStyle name="20 % - Markeringsfarve2 5" xfId="3580" xr:uid="{00000000-0005-0000-0000-00003A000000}"/>
    <cellStyle name="20 % - Markeringsfarve2 5 2" xfId="4222" xr:uid="{00000000-0005-0000-0000-00003B000000}"/>
    <cellStyle name="20 % - Markeringsfarve2 5 2 2" xfId="7390" xr:uid="{00000000-0005-0000-0000-00003C000000}"/>
    <cellStyle name="20 % - Markeringsfarve2 5 2 2 2" xfId="10058" xr:uid="{6361219E-F7CD-4D81-9018-803F7821BE1C}"/>
    <cellStyle name="20 % - Markeringsfarve2 5 2 2 2 2" xfId="15448" xr:uid="{5CB37E1F-4AEE-4EB4-B666-78FA0F7E1D12}"/>
    <cellStyle name="20 % - Markeringsfarve2 5 2 2 3" xfId="12695" xr:uid="{C16B7C93-D48A-46C9-8B65-6E5C3D457720}"/>
    <cellStyle name="20 % - Markeringsfarve2 5 2 3" xfId="8727" xr:uid="{57BB94C4-DE70-46AD-9D27-C01BFA0030AA}"/>
    <cellStyle name="20 % - Markeringsfarve2 5 2 3 2" xfId="14086" xr:uid="{201A2855-B0C3-40AE-829C-C271AC6BFED2}"/>
    <cellStyle name="20 % - Markeringsfarve2 5 2 4" xfId="11364" xr:uid="{52F32C17-DEB8-44A4-A885-17E5A2D92E9F}"/>
    <cellStyle name="20 % - Markeringsfarve2 5 3" xfId="6767" xr:uid="{00000000-0005-0000-0000-00003D000000}"/>
    <cellStyle name="20 % - Markeringsfarve2 5 3 2" xfId="9435" xr:uid="{A67AD4F8-0ADC-402B-B10C-626E6C9837F0}"/>
    <cellStyle name="20 % - Markeringsfarve2 5 3 2 2" xfId="14825" xr:uid="{BAEDD47A-A3D9-4638-B38C-51663AC58813}"/>
    <cellStyle name="20 % - Markeringsfarve2 5 3 3" xfId="12072" xr:uid="{D5A3269E-26D8-4839-8CBF-BFEC74E5DACD}"/>
    <cellStyle name="20 % - Markeringsfarve2 5 4" xfId="8104" xr:uid="{2F7A165C-2261-4FE2-8774-4E8001379CCF}"/>
    <cellStyle name="20 % - Markeringsfarve2 5 4 2" xfId="13463" xr:uid="{557ACDA8-7230-4F1A-A30A-8C344685178D}"/>
    <cellStyle name="20 % - Markeringsfarve2 5 5" xfId="10741" xr:uid="{648CDCBB-D624-4284-BA6A-3FD9C19F5E8D}"/>
    <cellStyle name="20 % - Markeringsfarve2 6" xfId="3579" xr:uid="{00000000-0005-0000-0000-00003E000000}"/>
    <cellStyle name="20 % - Markeringsfarve2 6 2" xfId="4221" xr:uid="{00000000-0005-0000-0000-00003F000000}"/>
    <cellStyle name="20 % - Markeringsfarve2 6 2 2" xfId="7389" xr:uid="{00000000-0005-0000-0000-000040000000}"/>
    <cellStyle name="20 % - Markeringsfarve2 6 2 2 2" xfId="10057" xr:uid="{257C3CE6-A8FD-42EB-A050-CCC4427CCA57}"/>
    <cellStyle name="20 % - Markeringsfarve2 6 2 2 2 2" xfId="15447" xr:uid="{66F95221-D4A8-47ED-9306-0E35C9DEA9DF}"/>
    <cellStyle name="20 % - Markeringsfarve2 6 2 2 3" xfId="12694" xr:uid="{EFC83A24-08EE-452F-AC83-77909549A1A1}"/>
    <cellStyle name="20 % - Markeringsfarve2 6 2 3" xfId="8726" xr:uid="{DB8C97B9-D599-4E15-9CEE-83A49A28D80D}"/>
    <cellStyle name="20 % - Markeringsfarve2 6 2 3 2" xfId="14085" xr:uid="{C864178E-8060-4D63-95F1-742066D11FA1}"/>
    <cellStyle name="20 % - Markeringsfarve2 6 2 4" xfId="11363" xr:uid="{5E28A773-21EA-4945-A670-B67A7094793A}"/>
    <cellStyle name="20 % - Markeringsfarve2 6 3" xfId="6766" xr:uid="{00000000-0005-0000-0000-000041000000}"/>
    <cellStyle name="20 % - Markeringsfarve2 6 3 2" xfId="9434" xr:uid="{B510EE71-F00A-4BB0-B940-B273DB863B21}"/>
    <cellStyle name="20 % - Markeringsfarve2 6 3 2 2" xfId="14824" xr:uid="{AB7F8E51-1335-4C4D-A692-F2B5FC2605F4}"/>
    <cellStyle name="20 % - Markeringsfarve2 6 3 3" xfId="12071" xr:uid="{8F848985-8F63-457C-B591-7137C98612E4}"/>
    <cellStyle name="20 % - Markeringsfarve2 6 4" xfId="8103" xr:uid="{8DCAA08F-772E-483A-88F3-AD058CFE7D78}"/>
    <cellStyle name="20 % - Markeringsfarve2 6 4 2" xfId="13462" xr:uid="{3B312123-0751-4BE8-A21C-F4CAD3A1F152}"/>
    <cellStyle name="20 % - Markeringsfarve2 6 5" xfId="10740" xr:uid="{2C3CA459-4A9C-4BC6-BAED-9E5699DE5A35}"/>
    <cellStyle name="20 % - Markeringsfarve2 7" xfId="4161" xr:uid="{00000000-0005-0000-0000-000042000000}"/>
    <cellStyle name="20 % - Markeringsfarve2 7 2" xfId="7329" xr:uid="{00000000-0005-0000-0000-000043000000}"/>
    <cellStyle name="20 % - Markeringsfarve2 7 2 2" xfId="9997" xr:uid="{C59B0E67-574B-4B19-9DBF-584C3F1806D8}"/>
    <cellStyle name="20 % - Markeringsfarve2 7 2 2 2" xfId="15387" xr:uid="{FA76AA96-2F3D-44D2-8C55-F6F782950055}"/>
    <cellStyle name="20 % - Markeringsfarve2 7 2 3" xfId="12634" xr:uid="{E4A34BE7-76F6-4AA9-B9E2-293E9E24D117}"/>
    <cellStyle name="20 % - Markeringsfarve2 7 3" xfId="8666" xr:uid="{2DEB1DD4-27D8-414F-9B52-69A1625B217A}"/>
    <cellStyle name="20 % - Markeringsfarve2 7 3 2" xfId="14025" xr:uid="{991C4A93-EB44-45A6-93FD-3CAC17E562AA}"/>
    <cellStyle name="20 % - Markeringsfarve2 7 4" xfId="11303" xr:uid="{83FB4F5E-5D57-4184-87C5-BF02489E635C}"/>
    <cellStyle name="20 % - Markeringsfarve3 2" xfId="3578" xr:uid="{00000000-0005-0000-0000-000044000000}"/>
    <cellStyle name="20 % - Markeringsfarve3 2 2" xfId="3577" xr:uid="{00000000-0005-0000-0000-000045000000}"/>
    <cellStyle name="20 % - Markeringsfarve3 2 2 2" xfId="4219" xr:uid="{00000000-0005-0000-0000-000046000000}"/>
    <cellStyle name="20 % - Markeringsfarve3 2 2 2 2" xfId="7387" xr:uid="{00000000-0005-0000-0000-000047000000}"/>
    <cellStyle name="20 % - Markeringsfarve3 2 2 2 2 2" xfId="10055" xr:uid="{8A533DE5-0A6D-4328-8234-61B5EABE8F34}"/>
    <cellStyle name="20 % - Markeringsfarve3 2 2 2 2 2 2" xfId="15445" xr:uid="{D070FB2A-58E9-46B2-A61B-6CF3510833A5}"/>
    <cellStyle name="20 % - Markeringsfarve3 2 2 2 2 3" xfId="12692" xr:uid="{23316A74-D3CF-4617-9FA8-F9E8BE4AC0E1}"/>
    <cellStyle name="20 % - Markeringsfarve3 2 2 2 3" xfId="8724" xr:uid="{AC42DA4A-56C9-4390-A40E-A9F27A523D1D}"/>
    <cellStyle name="20 % - Markeringsfarve3 2 2 2 3 2" xfId="14083" xr:uid="{23E0F733-3334-423C-83AC-D7ED2D684C8C}"/>
    <cellStyle name="20 % - Markeringsfarve3 2 2 2 4" xfId="11361" xr:uid="{FFB16EDA-EE11-47C2-8186-AB7A4A6D3623}"/>
    <cellStyle name="20 % - Markeringsfarve3 2 2 3" xfId="6764" xr:uid="{00000000-0005-0000-0000-000048000000}"/>
    <cellStyle name="20 % - Markeringsfarve3 2 2 3 2" xfId="9432" xr:uid="{A2E9573C-1429-4DBC-BF33-7084042FF0E5}"/>
    <cellStyle name="20 % - Markeringsfarve3 2 2 3 2 2" xfId="14822" xr:uid="{2C487805-825A-42CA-AA59-28102C4102B4}"/>
    <cellStyle name="20 % - Markeringsfarve3 2 2 3 3" xfId="12069" xr:uid="{04E418B8-A935-48D0-9C37-BEB7FE3B5288}"/>
    <cellStyle name="20 % - Markeringsfarve3 2 2 4" xfId="8101" xr:uid="{2B120ED7-1743-4D3D-93AE-5C8B06DF65CE}"/>
    <cellStyle name="20 % - Markeringsfarve3 2 2 4 2" xfId="13460" xr:uid="{8C0B3D1C-6070-4C56-9AB6-4F25052FD734}"/>
    <cellStyle name="20 % - Markeringsfarve3 2 2 5" xfId="10738" xr:uid="{3A6A2FCD-AC99-49F4-B04D-0B4A65F4C0CA}"/>
    <cellStyle name="20 % - Markeringsfarve3 2 3" xfId="3576" xr:uid="{00000000-0005-0000-0000-000049000000}"/>
    <cellStyle name="20 % - Markeringsfarve3 2 3 2" xfId="4218" xr:uid="{00000000-0005-0000-0000-00004A000000}"/>
    <cellStyle name="20 % - Markeringsfarve3 2 3 2 2" xfId="7386" xr:uid="{00000000-0005-0000-0000-00004B000000}"/>
    <cellStyle name="20 % - Markeringsfarve3 2 3 2 2 2" xfId="10054" xr:uid="{1E878406-86AE-47E8-B8E4-55181C124E7E}"/>
    <cellStyle name="20 % - Markeringsfarve3 2 3 2 2 2 2" xfId="15444" xr:uid="{868465C3-DC68-4861-9C20-535884C09253}"/>
    <cellStyle name="20 % - Markeringsfarve3 2 3 2 2 3" xfId="12691" xr:uid="{692C148C-716A-404E-8E38-808E41C9A833}"/>
    <cellStyle name="20 % - Markeringsfarve3 2 3 2 3" xfId="8723" xr:uid="{F94CF7DB-3601-4675-B613-CF685E09290D}"/>
    <cellStyle name="20 % - Markeringsfarve3 2 3 2 3 2" xfId="14082" xr:uid="{F2795D1E-A482-4346-9488-822A1E981789}"/>
    <cellStyle name="20 % - Markeringsfarve3 2 3 2 4" xfId="11360" xr:uid="{A15FBBF2-B139-44FA-BA01-9DFE2089E791}"/>
    <cellStyle name="20 % - Markeringsfarve3 2 3 3" xfId="6763" xr:uid="{00000000-0005-0000-0000-00004C000000}"/>
    <cellStyle name="20 % - Markeringsfarve3 2 3 3 2" xfId="9431" xr:uid="{928EBA53-9F01-4167-8760-B8E75459813B}"/>
    <cellStyle name="20 % - Markeringsfarve3 2 3 3 2 2" xfId="14821" xr:uid="{412716C8-FB90-49D7-9218-6D079B35DE6C}"/>
    <cellStyle name="20 % - Markeringsfarve3 2 3 3 3" xfId="12068" xr:uid="{26702FC6-09D1-442D-9399-E53233E66015}"/>
    <cellStyle name="20 % - Markeringsfarve3 2 3 4" xfId="8100" xr:uid="{EF485E4B-E4FB-4B99-A231-82BB15080494}"/>
    <cellStyle name="20 % - Markeringsfarve3 2 3 4 2" xfId="13459" xr:uid="{80D8D859-29F3-49B8-9AFF-049D8628B4A1}"/>
    <cellStyle name="20 % - Markeringsfarve3 2 3 5" xfId="10737" xr:uid="{26A7910A-02FA-4175-8CB0-D531653C1545}"/>
    <cellStyle name="20 % - Markeringsfarve3 2 4" xfId="3575" xr:uid="{00000000-0005-0000-0000-00004D000000}"/>
    <cellStyle name="20 % - Markeringsfarve3 2 4 2" xfId="4217" xr:uid="{00000000-0005-0000-0000-00004E000000}"/>
    <cellStyle name="20 % - Markeringsfarve3 2 4 2 2" xfId="7385" xr:uid="{00000000-0005-0000-0000-00004F000000}"/>
    <cellStyle name="20 % - Markeringsfarve3 2 4 2 2 2" xfId="10053" xr:uid="{0433C66A-F972-4855-B851-20D59432E1D0}"/>
    <cellStyle name="20 % - Markeringsfarve3 2 4 2 2 2 2" xfId="15443" xr:uid="{4F92A41F-8FDE-47A9-8542-7D0601DA9846}"/>
    <cellStyle name="20 % - Markeringsfarve3 2 4 2 2 3" xfId="12690" xr:uid="{FCB192E4-AA0F-4A73-9B21-365C847F649C}"/>
    <cellStyle name="20 % - Markeringsfarve3 2 4 2 3" xfId="8722" xr:uid="{8FC8E1AB-44F3-470A-9D47-410A198D85B2}"/>
    <cellStyle name="20 % - Markeringsfarve3 2 4 2 3 2" xfId="14081" xr:uid="{151A558B-915F-4923-8448-D6C7AF92702A}"/>
    <cellStyle name="20 % - Markeringsfarve3 2 4 2 4" xfId="11359" xr:uid="{68415C86-6B03-4C10-8540-BAC313593DC1}"/>
    <cellStyle name="20 % - Markeringsfarve3 2 4 3" xfId="6762" xr:uid="{00000000-0005-0000-0000-000050000000}"/>
    <cellStyle name="20 % - Markeringsfarve3 2 4 3 2" xfId="9430" xr:uid="{0106A5BA-EEC4-4FB3-864D-61998BCB3464}"/>
    <cellStyle name="20 % - Markeringsfarve3 2 4 3 2 2" xfId="14820" xr:uid="{C87E85C2-F5F4-4289-B3BF-9F2C1BD9892E}"/>
    <cellStyle name="20 % - Markeringsfarve3 2 4 3 3" xfId="12067" xr:uid="{74D01DE3-D2EE-4540-BBAB-A377945C2029}"/>
    <cellStyle name="20 % - Markeringsfarve3 2 4 4" xfId="8099" xr:uid="{78A105A1-DB02-46FF-9B96-55973046A1CF}"/>
    <cellStyle name="20 % - Markeringsfarve3 2 4 4 2" xfId="13458" xr:uid="{851B3C4F-A883-42FE-ADFC-63123CD574C9}"/>
    <cellStyle name="20 % - Markeringsfarve3 2 4 5" xfId="10736" xr:uid="{5D15D02D-3255-4E24-B268-27DCD0104E95}"/>
    <cellStyle name="20 % - Markeringsfarve3 2 5" xfId="4220" xr:uid="{00000000-0005-0000-0000-000051000000}"/>
    <cellStyle name="20 % - Markeringsfarve3 2 5 2" xfId="7388" xr:uid="{00000000-0005-0000-0000-000052000000}"/>
    <cellStyle name="20 % - Markeringsfarve3 2 5 2 2" xfId="10056" xr:uid="{0888417B-2DC1-42AF-A463-4A506F5C42AA}"/>
    <cellStyle name="20 % - Markeringsfarve3 2 5 2 2 2" xfId="15446" xr:uid="{AF968EA9-7F4A-4D44-B296-A80CD37C3AB4}"/>
    <cellStyle name="20 % - Markeringsfarve3 2 5 2 3" xfId="12693" xr:uid="{944A5543-F82F-4FC3-856E-02B7A6A94751}"/>
    <cellStyle name="20 % - Markeringsfarve3 2 5 3" xfId="8725" xr:uid="{12769A1C-184A-40EB-9683-1B3E70BC0570}"/>
    <cellStyle name="20 % - Markeringsfarve3 2 5 3 2" xfId="14084" xr:uid="{57E0C964-9F5B-4427-AD06-31D767B1516F}"/>
    <cellStyle name="20 % - Markeringsfarve3 2 5 4" xfId="11362" xr:uid="{E16D276A-4BBC-47DB-8C81-C6F22070423A}"/>
    <cellStyle name="20 % - Markeringsfarve3 2 6" xfId="6765" xr:uid="{00000000-0005-0000-0000-000053000000}"/>
    <cellStyle name="20 % - Markeringsfarve3 2 6 2" xfId="9433" xr:uid="{44D0B125-51D8-4E1E-AF87-E99533480CDE}"/>
    <cellStyle name="20 % - Markeringsfarve3 2 6 2 2" xfId="14823" xr:uid="{E594D187-1F87-4985-B3EC-FD3A36CD416C}"/>
    <cellStyle name="20 % - Markeringsfarve3 2 6 3" xfId="12070" xr:uid="{00D75E66-2015-4860-875B-EC8649728B61}"/>
    <cellStyle name="20 % - Markeringsfarve3 2 7" xfId="8102" xr:uid="{322DEE34-058A-40AA-B423-666F3E7D6D0F}"/>
    <cellStyle name="20 % - Markeringsfarve3 2 7 2" xfId="13461" xr:uid="{BFCCBC44-3E7D-478F-82D1-C325D05B3611}"/>
    <cellStyle name="20 % - Markeringsfarve3 2 8" xfId="10739" xr:uid="{DF034030-BE96-40E8-8000-6327467F112A}"/>
    <cellStyle name="20 % - Markeringsfarve3 3" xfId="3574" xr:uid="{00000000-0005-0000-0000-000054000000}"/>
    <cellStyle name="20 % - Markeringsfarve3 3 2" xfId="4216" xr:uid="{00000000-0005-0000-0000-000055000000}"/>
    <cellStyle name="20 % - Markeringsfarve3 3 2 2" xfId="7384" xr:uid="{00000000-0005-0000-0000-000056000000}"/>
    <cellStyle name="20 % - Markeringsfarve3 3 2 2 2" xfId="10052" xr:uid="{6E9CB219-7C8E-452E-861A-DB21D8D24814}"/>
    <cellStyle name="20 % - Markeringsfarve3 3 2 2 2 2" xfId="15442" xr:uid="{BE0F07DF-75D6-46B9-8EBE-462F3545E615}"/>
    <cellStyle name="20 % - Markeringsfarve3 3 2 2 3" xfId="12689" xr:uid="{2BB1E333-8A61-4084-9267-52826A21EA96}"/>
    <cellStyle name="20 % - Markeringsfarve3 3 2 3" xfId="8721" xr:uid="{3FF209ED-DC70-4964-BB0F-58BDF56FA4D1}"/>
    <cellStyle name="20 % - Markeringsfarve3 3 2 3 2" xfId="14080" xr:uid="{48679685-D663-43FC-9D3F-A597BBE0ADDB}"/>
    <cellStyle name="20 % - Markeringsfarve3 3 2 4" xfId="11358" xr:uid="{AABB73D1-7BF5-4919-AF5A-082551B55989}"/>
    <cellStyle name="20 % - Markeringsfarve3 3 3" xfId="6761" xr:uid="{00000000-0005-0000-0000-000057000000}"/>
    <cellStyle name="20 % - Markeringsfarve3 3 3 2" xfId="9429" xr:uid="{92EE4814-BA2F-4B39-B5FF-26B02BCECEA0}"/>
    <cellStyle name="20 % - Markeringsfarve3 3 3 2 2" xfId="14819" xr:uid="{1FF81E4A-271B-4290-934A-402E6B19B861}"/>
    <cellStyle name="20 % - Markeringsfarve3 3 3 3" xfId="12066" xr:uid="{B89C593C-3D98-46B5-AC68-C11F49DB0DF0}"/>
    <cellStyle name="20 % - Markeringsfarve3 3 4" xfId="8098" xr:uid="{FE3EC475-0790-4392-8F0D-9813A168EB1E}"/>
    <cellStyle name="20 % - Markeringsfarve3 3 4 2" xfId="13457" xr:uid="{426DFE60-9A24-414C-B758-B51470AF828C}"/>
    <cellStyle name="20 % - Markeringsfarve3 3 5" xfId="10735" xr:uid="{C5AB3E91-F59E-4090-8C54-6186AE600AB4}"/>
    <cellStyle name="20 % - Markeringsfarve3 4" xfId="3573" xr:uid="{00000000-0005-0000-0000-000058000000}"/>
    <cellStyle name="20 % - Markeringsfarve3 4 2" xfId="4215" xr:uid="{00000000-0005-0000-0000-000059000000}"/>
    <cellStyle name="20 % - Markeringsfarve3 4 2 2" xfId="7383" xr:uid="{00000000-0005-0000-0000-00005A000000}"/>
    <cellStyle name="20 % - Markeringsfarve3 4 2 2 2" xfId="10051" xr:uid="{8C66AEE2-F607-47B0-873C-4EF7F74CD1C5}"/>
    <cellStyle name="20 % - Markeringsfarve3 4 2 2 2 2" xfId="15441" xr:uid="{AC09D09D-7705-4B82-BEF6-81012BDCB050}"/>
    <cellStyle name="20 % - Markeringsfarve3 4 2 2 3" xfId="12688" xr:uid="{517CE6DF-5975-4AEE-A73C-08BBB02C5364}"/>
    <cellStyle name="20 % - Markeringsfarve3 4 2 3" xfId="8720" xr:uid="{74CC6060-9FED-4FC2-A26E-E92DB7A19301}"/>
    <cellStyle name="20 % - Markeringsfarve3 4 2 3 2" xfId="14079" xr:uid="{9553AA5F-6BF6-4889-8702-48489BA5D1F3}"/>
    <cellStyle name="20 % - Markeringsfarve3 4 2 4" xfId="11357" xr:uid="{D6CB1AB2-9741-423B-82A3-4EF2816DDD0C}"/>
    <cellStyle name="20 % - Markeringsfarve3 4 3" xfId="6760" xr:uid="{00000000-0005-0000-0000-00005B000000}"/>
    <cellStyle name="20 % - Markeringsfarve3 4 3 2" xfId="9428" xr:uid="{0AACA529-5EA8-4D5D-9CAC-3443863301F8}"/>
    <cellStyle name="20 % - Markeringsfarve3 4 3 2 2" xfId="14818" xr:uid="{561EC425-1697-4C22-9942-D767AAF6B1A5}"/>
    <cellStyle name="20 % - Markeringsfarve3 4 3 3" xfId="12065" xr:uid="{9C12C80E-B9DA-4448-9613-5C3E1CC56443}"/>
    <cellStyle name="20 % - Markeringsfarve3 4 4" xfId="8097" xr:uid="{F753BD3A-3AD1-4939-94EF-EAB0498AF2AA}"/>
    <cellStyle name="20 % - Markeringsfarve3 4 4 2" xfId="13456" xr:uid="{4B4DBAC3-D849-4284-BFAF-101A64AD18DA}"/>
    <cellStyle name="20 % - Markeringsfarve3 4 5" xfId="10734" xr:uid="{F73207B1-1523-450B-B5C3-4D97C91CF90F}"/>
    <cellStyle name="20 % - Markeringsfarve3 5" xfId="3572" xr:uid="{00000000-0005-0000-0000-00005C000000}"/>
    <cellStyle name="20 % - Markeringsfarve3 5 2" xfId="4214" xr:uid="{00000000-0005-0000-0000-00005D000000}"/>
    <cellStyle name="20 % - Markeringsfarve3 5 2 2" xfId="7382" xr:uid="{00000000-0005-0000-0000-00005E000000}"/>
    <cellStyle name="20 % - Markeringsfarve3 5 2 2 2" xfId="10050" xr:uid="{E1266773-4D36-4746-AF08-CC85DB7F8DD4}"/>
    <cellStyle name="20 % - Markeringsfarve3 5 2 2 2 2" xfId="15440" xr:uid="{260D0FE8-C522-4B7C-A564-96D54D32DADF}"/>
    <cellStyle name="20 % - Markeringsfarve3 5 2 2 3" xfId="12687" xr:uid="{EC6B9BB3-ECDB-42AB-A404-32ABB74E2996}"/>
    <cellStyle name="20 % - Markeringsfarve3 5 2 3" xfId="8719" xr:uid="{1951442E-22D6-42E2-B765-0C2A460ED356}"/>
    <cellStyle name="20 % - Markeringsfarve3 5 2 3 2" xfId="14078" xr:uid="{08807157-169A-4277-B8D8-E491B80889B2}"/>
    <cellStyle name="20 % - Markeringsfarve3 5 2 4" xfId="11356" xr:uid="{594FAF54-5391-490E-BAB2-EFFDB5EE8ADF}"/>
    <cellStyle name="20 % - Markeringsfarve3 5 3" xfId="6759" xr:uid="{00000000-0005-0000-0000-00005F000000}"/>
    <cellStyle name="20 % - Markeringsfarve3 5 3 2" xfId="9427" xr:uid="{EEC541E7-8322-49C5-8D83-F46F12221617}"/>
    <cellStyle name="20 % - Markeringsfarve3 5 3 2 2" xfId="14817" xr:uid="{264656F4-C496-4DD2-9E89-A74223F28484}"/>
    <cellStyle name="20 % - Markeringsfarve3 5 3 3" xfId="12064" xr:uid="{53A7ABFF-9F43-4918-AEAB-2CDB480CC779}"/>
    <cellStyle name="20 % - Markeringsfarve3 5 4" xfId="8096" xr:uid="{8CBC25EA-0B67-456A-9AE9-344B55E7829B}"/>
    <cellStyle name="20 % - Markeringsfarve3 5 4 2" xfId="13455" xr:uid="{2DAFE33A-5779-4E55-8D53-077051C41537}"/>
    <cellStyle name="20 % - Markeringsfarve3 5 5" xfId="10733" xr:uid="{A7C4D7F1-F8E9-40DD-B01B-90C098867029}"/>
    <cellStyle name="20 % - Markeringsfarve3 6" xfId="3571" xr:uid="{00000000-0005-0000-0000-000060000000}"/>
    <cellStyle name="20 % - Markeringsfarve3 6 2" xfId="4213" xr:uid="{00000000-0005-0000-0000-000061000000}"/>
    <cellStyle name="20 % - Markeringsfarve3 6 2 2" xfId="7381" xr:uid="{00000000-0005-0000-0000-000062000000}"/>
    <cellStyle name="20 % - Markeringsfarve3 6 2 2 2" xfId="10049" xr:uid="{6942FDA2-B42F-4CB4-938A-F56BA32478CA}"/>
    <cellStyle name="20 % - Markeringsfarve3 6 2 2 2 2" xfId="15439" xr:uid="{55F4A9B4-234F-4AB6-B721-C9F96E10FACB}"/>
    <cellStyle name="20 % - Markeringsfarve3 6 2 2 3" xfId="12686" xr:uid="{221C1319-90AC-4793-9312-53EBA4CE9AC1}"/>
    <cellStyle name="20 % - Markeringsfarve3 6 2 3" xfId="8718" xr:uid="{803753B6-6081-485E-9B85-E2853A9227B8}"/>
    <cellStyle name="20 % - Markeringsfarve3 6 2 3 2" xfId="14077" xr:uid="{85AF3D17-6476-4A53-8DA5-F9F8553B0B87}"/>
    <cellStyle name="20 % - Markeringsfarve3 6 2 4" xfId="11355" xr:uid="{44D02D73-7432-40EF-83ED-2049E996B5EE}"/>
    <cellStyle name="20 % - Markeringsfarve3 6 3" xfId="6758" xr:uid="{00000000-0005-0000-0000-000063000000}"/>
    <cellStyle name="20 % - Markeringsfarve3 6 3 2" xfId="9426" xr:uid="{DCA7334E-7BDB-4E05-9F00-68AB2C12F62D}"/>
    <cellStyle name="20 % - Markeringsfarve3 6 3 2 2" xfId="14816" xr:uid="{251AB5C0-BA13-49E7-8D17-5BB64C6D1B74}"/>
    <cellStyle name="20 % - Markeringsfarve3 6 3 3" xfId="12063" xr:uid="{CC83153A-5E03-47E1-B797-1B28A4335C3C}"/>
    <cellStyle name="20 % - Markeringsfarve3 6 4" xfId="8095" xr:uid="{BB7FE459-EFA2-4B85-854B-1F8F6D275E8E}"/>
    <cellStyle name="20 % - Markeringsfarve3 6 4 2" xfId="13454" xr:uid="{8B570A1D-8498-459C-BCCF-2A20E27B72B8}"/>
    <cellStyle name="20 % - Markeringsfarve3 6 5" xfId="10732" xr:uid="{77D9C953-0FD4-442C-BE4E-25AB348C81FE}"/>
    <cellStyle name="20 % - Markeringsfarve3 7" xfId="4163" xr:uid="{00000000-0005-0000-0000-000064000000}"/>
    <cellStyle name="20 % - Markeringsfarve3 7 2" xfId="7331" xr:uid="{00000000-0005-0000-0000-000065000000}"/>
    <cellStyle name="20 % - Markeringsfarve3 7 2 2" xfId="9999" xr:uid="{48A029A2-F099-468D-9BDA-990595CE6BD2}"/>
    <cellStyle name="20 % - Markeringsfarve3 7 2 2 2" xfId="15389" xr:uid="{FC593901-A02C-4EFC-89E1-3C06575B936C}"/>
    <cellStyle name="20 % - Markeringsfarve3 7 2 3" xfId="12636" xr:uid="{FDDFABFF-64C7-43B9-A1BA-4AD1E96CC8AA}"/>
    <cellStyle name="20 % - Markeringsfarve3 7 3" xfId="8668" xr:uid="{C6A9CFAE-CC22-4222-8751-0A35C80FC4C4}"/>
    <cellStyle name="20 % - Markeringsfarve3 7 3 2" xfId="14027" xr:uid="{632EC4D8-7D66-4470-AB73-3274A44309AA}"/>
    <cellStyle name="20 % - Markeringsfarve3 7 4" xfId="11305" xr:uid="{14DFDDFB-1B10-4063-AFAC-66AF3ED6C5AE}"/>
    <cellStyle name="20 % - Markeringsfarve4 2" xfId="3570" xr:uid="{00000000-0005-0000-0000-000066000000}"/>
    <cellStyle name="20 % - Markeringsfarve4 2 2" xfId="3569" xr:uid="{00000000-0005-0000-0000-000067000000}"/>
    <cellStyle name="20 % - Markeringsfarve4 2 2 2" xfId="4211" xr:uid="{00000000-0005-0000-0000-000068000000}"/>
    <cellStyle name="20 % - Markeringsfarve4 2 2 2 2" xfId="7379" xr:uid="{00000000-0005-0000-0000-000069000000}"/>
    <cellStyle name="20 % - Markeringsfarve4 2 2 2 2 2" xfId="10047" xr:uid="{C91CBCA3-CA8D-4564-BF44-27FD4E8B6A3C}"/>
    <cellStyle name="20 % - Markeringsfarve4 2 2 2 2 2 2" xfId="15437" xr:uid="{AEDA5084-3031-49D7-90D5-F26C4E2E3DBA}"/>
    <cellStyle name="20 % - Markeringsfarve4 2 2 2 2 3" xfId="12684" xr:uid="{1A047B1A-878E-4EA8-AEEF-488BBFA3F17B}"/>
    <cellStyle name="20 % - Markeringsfarve4 2 2 2 3" xfId="8716" xr:uid="{BBFF71BA-E982-47FB-8502-2772548B3C94}"/>
    <cellStyle name="20 % - Markeringsfarve4 2 2 2 3 2" xfId="14075" xr:uid="{3D259964-E579-49C9-A3ED-1C159FD26BF2}"/>
    <cellStyle name="20 % - Markeringsfarve4 2 2 2 4" xfId="11353" xr:uid="{8F6F9291-23A1-44EC-99EB-3728D40DFC05}"/>
    <cellStyle name="20 % - Markeringsfarve4 2 2 3" xfId="6756" xr:uid="{00000000-0005-0000-0000-00006A000000}"/>
    <cellStyle name="20 % - Markeringsfarve4 2 2 3 2" xfId="9424" xr:uid="{241B5013-AB9E-4241-B446-87F5D0319886}"/>
    <cellStyle name="20 % - Markeringsfarve4 2 2 3 2 2" xfId="14814" xr:uid="{2037452A-0812-47DB-A8D0-F28715E91A43}"/>
    <cellStyle name="20 % - Markeringsfarve4 2 2 3 3" xfId="12061" xr:uid="{5A3B9558-F1BD-4BF8-80F0-0EC9818286CE}"/>
    <cellStyle name="20 % - Markeringsfarve4 2 2 4" xfId="8093" xr:uid="{E226C0A3-1435-45EF-9AC5-C8916EB958BD}"/>
    <cellStyle name="20 % - Markeringsfarve4 2 2 4 2" xfId="13452" xr:uid="{9D257811-F0CB-44A9-AE86-5CC0B844020D}"/>
    <cellStyle name="20 % - Markeringsfarve4 2 2 5" xfId="10730" xr:uid="{07ADBE70-C86A-4809-98A3-48B20CAE5ECA}"/>
    <cellStyle name="20 % - Markeringsfarve4 2 3" xfId="3568" xr:uid="{00000000-0005-0000-0000-00006B000000}"/>
    <cellStyle name="20 % - Markeringsfarve4 2 3 2" xfId="4210" xr:uid="{00000000-0005-0000-0000-00006C000000}"/>
    <cellStyle name="20 % - Markeringsfarve4 2 3 2 2" xfId="7378" xr:uid="{00000000-0005-0000-0000-00006D000000}"/>
    <cellStyle name="20 % - Markeringsfarve4 2 3 2 2 2" xfId="10046" xr:uid="{F8123C02-10D7-4D87-9A76-C62C09F9DD94}"/>
    <cellStyle name="20 % - Markeringsfarve4 2 3 2 2 2 2" xfId="15436" xr:uid="{C4AA7B69-0FDF-4986-B3AA-A6FC1A58591E}"/>
    <cellStyle name="20 % - Markeringsfarve4 2 3 2 2 3" xfId="12683" xr:uid="{573B83D6-033C-4C07-83E2-1EFADE40948D}"/>
    <cellStyle name="20 % - Markeringsfarve4 2 3 2 3" xfId="8715" xr:uid="{A3520A51-82BD-4A0C-9156-60C0FE238CC0}"/>
    <cellStyle name="20 % - Markeringsfarve4 2 3 2 3 2" xfId="14074" xr:uid="{2CAA24D7-4645-4EA7-9345-16001EFB19A8}"/>
    <cellStyle name="20 % - Markeringsfarve4 2 3 2 4" xfId="11352" xr:uid="{249EAD52-63B8-4389-8F89-5AEA0693E597}"/>
    <cellStyle name="20 % - Markeringsfarve4 2 3 3" xfId="6755" xr:uid="{00000000-0005-0000-0000-00006E000000}"/>
    <cellStyle name="20 % - Markeringsfarve4 2 3 3 2" xfId="9423" xr:uid="{6697C552-278B-450F-9B91-A84B2C30D7A7}"/>
    <cellStyle name="20 % - Markeringsfarve4 2 3 3 2 2" xfId="14813" xr:uid="{0DF6555F-F43A-497C-A4F5-FE77D602C8F8}"/>
    <cellStyle name="20 % - Markeringsfarve4 2 3 3 3" xfId="12060" xr:uid="{9ED6F371-1AB8-44F0-8B68-A7E8487DBD64}"/>
    <cellStyle name="20 % - Markeringsfarve4 2 3 4" xfId="8092" xr:uid="{9AC6276A-E9FF-4213-A6BA-D5DCC43435BD}"/>
    <cellStyle name="20 % - Markeringsfarve4 2 3 4 2" xfId="13451" xr:uid="{9ED508D7-0A9F-4170-82F1-1AE4F7A1C51B}"/>
    <cellStyle name="20 % - Markeringsfarve4 2 3 5" xfId="10729" xr:uid="{1E63AE66-2828-4408-9D3F-33BBD5B0C237}"/>
    <cellStyle name="20 % - Markeringsfarve4 2 4" xfId="4212" xr:uid="{00000000-0005-0000-0000-00006F000000}"/>
    <cellStyle name="20 % - Markeringsfarve4 2 4 2" xfId="7380" xr:uid="{00000000-0005-0000-0000-000070000000}"/>
    <cellStyle name="20 % - Markeringsfarve4 2 4 2 2" xfId="10048" xr:uid="{BD27C434-E1F2-473A-B631-4E2C2ABC9D7B}"/>
    <cellStyle name="20 % - Markeringsfarve4 2 4 2 2 2" xfId="15438" xr:uid="{AA815C79-4562-41F7-99F0-5C01761ADF7A}"/>
    <cellStyle name="20 % - Markeringsfarve4 2 4 2 3" xfId="12685" xr:uid="{200DA1BB-2B4F-4570-BAA3-DB373313DE02}"/>
    <cellStyle name="20 % - Markeringsfarve4 2 4 3" xfId="8717" xr:uid="{B711CD0D-EC3F-43AE-BE8A-C069D615499E}"/>
    <cellStyle name="20 % - Markeringsfarve4 2 4 3 2" xfId="14076" xr:uid="{2F6964A5-57F7-4AB5-8138-F6524D5D1FB9}"/>
    <cellStyle name="20 % - Markeringsfarve4 2 4 4" xfId="11354" xr:uid="{7AD328BA-067A-4E09-82BD-935000272793}"/>
    <cellStyle name="20 % - Markeringsfarve4 2 5" xfId="6757" xr:uid="{00000000-0005-0000-0000-000071000000}"/>
    <cellStyle name="20 % - Markeringsfarve4 2 5 2" xfId="9425" xr:uid="{3CE7C58B-67BA-42EA-9B8E-B3873B5648F4}"/>
    <cellStyle name="20 % - Markeringsfarve4 2 5 2 2" xfId="14815" xr:uid="{AF364D6C-B221-4743-A02C-BD4889C9D260}"/>
    <cellStyle name="20 % - Markeringsfarve4 2 5 3" xfId="12062" xr:uid="{CFFFA840-AC35-4982-B7A8-3C509AFAF7AC}"/>
    <cellStyle name="20 % - Markeringsfarve4 2 6" xfId="8094" xr:uid="{97742BD9-9826-4302-9FE7-59BF71622E6F}"/>
    <cellStyle name="20 % - Markeringsfarve4 2 6 2" xfId="13453" xr:uid="{5D134B3C-1AF0-441F-BDC5-19218E5F0663}"/>
    <cellStyle name="20 % - Markeringsfarve4 2 7" xfId="10731" xr:uid="{0988A6C3-F100-4063-A45E-D4F7B1BA2C6D}"/>
    <cellStyle name="20 % - Markeringsfarve4 3" xfId="3567" xr:uid="{00000000-0005-0000-0000-000072000000}"/>
    <cellStyle name="20 % - Markeringsfarve4 3 2" xfId="4209" xr:uid="{00000000-0005-0000-0000-000073000000}"/>
    <cellStyle name="20 % - Markeringsfarve4 3 2 2" xfId="7377" xr:uid="{00000000-0005-0000-0000-000074000000}"/>
    <cellStyle name="20 % - Markeringsfarve4 3 2 2 2" xfId="10045" xr:uid="{A5EA04B3-2638-48FF-BCDB-C1B4F8798444}"/>
    <cellStyle name="20 % - Markeringsfarve4 3 2 2 2 2" xfId="15435" xr:uid="{45B44856-F6A2-4B47-B5E6-A9EBA01E066C}"/>
    <cellStyle name="20 % - Markeringsfarve4 3 2 2 3" xfId="12682" xr:uid="{B21A263A-1BD1-41BD-A190-9640F2731CCF}"/>
    <cellStyle name="20 % - Markeringsfarve4 3 2 3" xfId="8714" xr:uid="{31AECD56-87FA-421A-954A-E5622F1ED601}"/>
    <cellStyle name="20 % - Markeringsfarve4 3 2 3 2" xfId="14073" xr:uid="{0794C896-0FBD-4C56-BD26-E619A4C58AB6}"/>
    <cellStyle name="20 % - Markeringsfarve4 3 2 4" xfId="11351" xr:uid="{E304BEA4-D249-4A6E-B56C-0309E633B4D4}"/>
    <cellStyle name="20 % - Markeringsfarve4 3 3" xfId="6754" xr:uid="{00000000-0005-0000-0000-000075000000}"/>
    <cellStyle name="20 % - Markeringsfarve4 3 3 2" xfId="9422" xr:uid="{7907C3DF-30F6-44EF-BD85-B92F3D31A2FF}"/>
    <cellStyle name="20 % - Markeringsfarve4 3 3 2 2" xfId="14812" xr:uid="{30E38809-19C7-4C09-ACA6-30807D7AAFA5}"/>
    <cellStyle name="20 % - Markeringsfarve4 3 3 3" xfId="12059" xr:uid="{DB6A7D30-A8A7-45D3-BFF1-EFB1020E81A9}"/>
    <cellStyle name="20 % - Markeringsfarve4 3 4" xfId="8091" xr:uid="{81E41F3F-0742-4F16-8D8B-621F42007BB0}"/>
    <cellStyle name="20 % - Markeringsfarve4 3 4 2" xfId="13450" xr:uid="{F3ECF864-8854-48A0-B33D-DAB5D9B7D1E7}"/>
    <cellStyle name="20 % - Markeringsfarve4 3 5" xfId="10728" xr:uid="{B6976E50-CD87-4432-8FDA-E822CF72322D}"/>
    <cellStyle name="20 % - Markeringsfarve4 4" xfId="3566" xr:uid="{00000000-0005-0000-0000-000076000000}"/>
    <cellStyle name="20 % - Markeringsfarve4 4 2" xfId="4208" xr:uid="{00000000-0005-0000-0000-000077000000}"/>
    <cellStyle name="20 % - Markeringsfarve4 4 2 2" xfId="7376" xr:uid="{00000000-0005-0000-0000-000078000000}"/>
    <cellStyle name="20 % - Markeringsfarve4 4 2 2 2" xfId="10044" xr:uid="{3738B8C1-D675-431C-9D77-7D58DB22F08F}"/>
    <cellStyle name="20 % - Markeringsfarve4 4 2 2 2 2" xfId="15434" xr:uid="{00A3E279-C8A9-4E32-B739-606FDA12C57E}"/>
    <cellStyle name="20 % - Markeringsfarve4 4 2 2 3" xfId="12681" xr:uid="{F05ADEDA-0E54-4C34-92FF-6F15AE286973}"/>
    <cellStyle name="20 % - Markeringsfarve4 4 2 3" xfId="8713" xr:uid="{D5BD65FA-C0FE-4AB3-9226-EA1AB75AE138}"/>
    <cellStyle name="20 % - Markeringsfarve4 4 2 3 2" xfId="14072" xr:uid="{5313777B-DF13-4B9E-9088-6795B1CEFB2B}"/>
    <cellStyle name="20 % - Markeringsfarve4 4 2 4" xfId="11350" xr:uid="{C8F1A5DB-067A-464C-936C-089974C12D17}"/>
    <cellStyle name="20 % - Markeringsfarve4 4 3" xfId="6753" xr:uid="{00000000-0005-0000-0000-000079000000}"/>
    <cellStyle name="20 % - Markeringsfarve4 4 3 2" xfId="9421" xr:uid="{5FF262CB-20FF-45D6-AB30-63C3A6E42F04}"/>
    <cellStyle name="20 % - Markeringsfarve4 4 3 2 2" xfId="14811" xr:uid="{6BF35285-E364-40D2-93F0-0F481F5F6A2F}"/>
    <cellStyle name="20 % - Markeringsfarve4 4 3 3" xfId="12058" xr:uid="{7B697F5B-B983-49F0-A437-F192D4AA2386}"/>
    <cellStyle name="20 % - Markeringsfarve4 4 4" xfId="8090" xr:uid="{F3F14D61-8A13-4860-9980-FAB52C9EF423}"/>
    <cellStyle name="20 % - Markeringsfarve4 4 4 2" xfId="13449" xr:uid="{8E11C4A1-D42A-41FE-8EB7-3395F26CAB85}"/>
    <cellStyle name="20 % - Markeringsfarve4 4 5" xfId="10727" xr:uid="{4DDDAEA6-A5D1-4003-9359-9BC8D3D7DF30}"/>
    <cellStyle name="20 % - Markeringsfarve4 5" xfId="3565" xr:uid="{00000000-0005-0000-0000-00007A000000}"/>
    <cellStyle name="20 % - Markeringsfarve4 5 2" xfId="4207" xr:uid="{00000000-0005-0000-0000-00007B000000}"/>
    <cellStyle name="20 % - Markeringsfarve4 5 2 2" xfId="7375" xr:uid="{00000000-0005-0000-0000-00007C000000}"/>
    <cellStyle name="20 % - Markeringsfarve4 5 2 2 2" xfId="10043" xr:uid="{9AE4ADD1-D42E-461E-91FB-AC9D08DCA153}"/>
    <cellStyle name="20 % - Markeringsfarve4 5 2 2 2 2" xfId="15433" xr:uid="{D839397A-C0D6-4A4D-B4D9-BD8505260D20}"/>
    <cellStyle name="20 % - Markeringsfarve4 5 2 2 3" xfId="12680" xr:uid="{BBB59788-936F-4E2F-97FF-62C0FE2DCE9D}"/>
    <cellStyle name="20 % - Markeringsfarve4 5 2 3" xfId="8712" xr:uid="{C2980BF0-111E-4BCA-829C-0F165501077D}"/>
    <cellStyle name="20 % - Markeringsfarve4 5 2 3 2" xfId="14071" xr:uid="{864A601E-29AB-490F-9081-DB0891CC7ED8}"/>
    <cellStyle name="20 % - Markeringsfarve4 5 2 4" xfId="11349" xr:uid="{956DEE12-4B9B-4F9A-BF8D-F07A583E19B1}"/>
    <cellStyle name="20 % - Markeringsfarve4 5 3" xfId="6752" xr:uid="{00000000-0005-0000-0000-00007D000000}"/>
    <cellStyle name="20 % - Markeringsfarve4 5 3 2" xfId="9420" xr:uid="{66ABEE01-CE74-4A78-94AA-1EFA4C88D58D}"/>
    <cellStyle name="20 % - Markeringsfarve4 5 3 2 2" xfId="14810" xr:uid="{6A425FC2-2D4C-4CBB-8A07-B336164F4126}"/>
    <cellStyle name="20 % - Markeringsfarve4 5 3 3" xfId="12057" xr:uid="{799A475A-E906-408A-A6E5-854C82ACD4E0}"/>
    <cellStyle name="20 % - Markeringsfarve4 5 4" xfId="8089" xr:uid="{B477CA76-7A28-48FD-A925-DDC0F6D136C2}"/>
    <cellStyle name="20 % - Markeringsfarve4 5 4 2" xfId="13448" xr:uid="{A11E6E9F-59F3-45CB-8E73-84BA915F9151}"/>
    <cellStyle name="20 % - Markeringsfarve4 5 5" xfId="10726" xr:uid="{E5EEB59F-02DF-4FF4-B1BA-429A9F8F691D}"/>
    <cellStyle name="20 % - Markeringsfarve4 6" xfId="3564" xr:uid="{00000000-0005-0000-0000-00007E000000}"/>
    <cellStyle name="20 % - Markeringsfarve4 6 2" xfId="4206" xr:uid="{00000000-0005-0000-0000-00007F000000}"/>
    <cellStyle name="20 % - Markeringsfarve4 6 2 2" xfId="7374" xr:uid="{00000000-0005-0000-0000-000080000000}"/>
    <cellStyle name="20 % - Markeringsfarve4 6 2 2 2" xfId="10042" xr:uid="{3A487946-5FB8-46BC-A4B3-B6064230748E}"/>
    <cellStyle name="20 % - Markeringsfarve4 6 2 2 2 2" xfId="15432" xr:uid="{D219FB00-5265-49B5-8B70-F8BA4981CEA3}"/>
    <cellStyle name="20 % - Markeringsfarve4 6 2 2 3" xfId="12679" xr:uid="{290A058C-1092-4EFA-8E61-948D8AB39C41}"/>
    <cellStyle name="20 % - Markeringsfarve4 6 2 3" xfId="8711" xr:uid="{D53E2B6E-21B6-4885-9912-E64512E31D46}"/>
    <cellStyle name="20 % - Markeringsfarve4 6 2 3 2" xfId="14070" xr:uid="{36C93A9E-5E06-465A-8164-69BAFBD54603}"/>
    <cellStyle name="20 % - Markeringsfarve4 6 2 4" xfId="11348" xr:uid="{259C8403-F7D2-4E3F-AADA-4DE8DB197181}"/>
    <cellStyle name="20 % - Markeringsfarve4 6 3" xfId="6751" xr:uid="{00000000-0005-0000-0000-000081000000}"/>
    <cellStyle name="20 % - Markeringsfarve4 6 3 2" xfId="9419" xr:uid="{CBC4E39B-3F47-47C1-8F52-B2A7AEE1C881}"/>
    <cellStyle name="20 % - Markeringsfarve4 6 3 2 2" xfId="14809" xr:uid="{25E6FA7C-F306-4E58-BC72-2E37B5E181E0}"/>
    <cellStyle name="20 % - Markeringsfarve4 6 3 3" xfId="12056" xr:uid="{B74043E5-1D85-4979-AFD7-59E86818E24E}"/>
    <cellStyle name="20 % - Markeringsfarve4 6 4" xfId="8088" xr:uid="{2445D4BD-1004-4D75-9ACE-1C346EE80102}"/>
    <cellStyle name="20 % - Markeringsfarve4 6 4 2" xfId="13447" xr:uid="{8628A924-6BB9-43BA-971C-0723D053A0C6}"/>
    <cellStyle name="20 % - Markeringsfarve4 6 5" xfId="10725" xr:uid="{E63D037B-EB73-4EF0-9A65-FE9AEC993467}"/>
    <cellStyle name="20 % - Markeringsfarve4 7" xfId="4165" xr:uid="{00000000-0005-0000-0000-000082000000}"/>
    <cellStyle name="20 % - Markeringsfarve4 7 2" xfId="7333" xr:uid="{00000000-0005-0000-0000-000083000000}"/>
    <cellStyle name="20 % - Markeringsfarve4 7 2 2" xfId="10001" xr:uid="{1859C2F8-5C2F-4BD1-9F56-C2D907BAD0D8}"/>
    <cellStyle name="20 % - Markeringsfarve4 7 2 2 2" xfId="15391" xr:uid="{8C12F8EB-C3CE-4337-AAFA-DC8C526A2B3D}"/>
    <cellStyle name="20 % - Markeringsfarve4 7 2 3" xfId="12638" xr:uid="{4192090C-F34B-4065-9B7C-F5345688EFAF}"/>
    <cellStyle name="20 % - Markeringsfarve4 7 3" xfId="8670" xr:uid="{8E572A09-2F32-4026-82FD-07F4F69494B2}"/>
    <cellStyle name="20 % - Markeringsfarve4 7 3 2" xfId="14029" xr:uid="{E3B126A5-398E-4187-B5E5-E1F3C2AAE725}"/>
    <cellStyle name="20 % - Markeringsfarve4 7 4" xfId="11307" xr:uid="{EDBE9CF0-6588-4268-B590-0795836058C2}"/>
    <cellStyle name="20 % - Markeringsfarve5 2" xfId="3563" xr:uid="{00000000-0005-0000-0000-000084000000}"/>
    <cellStyle name="20 % - Markeringsfarve5 2 2" xfId="3562" xr:uid="{00000000-0005-0000-0000-000085000000}"/>
    <cellStyle name="20 % - Markeringsfarve5 2 2 2" xfId="4204" xr:uid="{00000000-0005-0000-0000-000086000000}"/>
    <cellStyle name="20 % - Markeringsfarve5 2 2 2 2" xfId="7372" xr:uid="{00000000-0005-0000-0000-000087000000}"/>
    <cellStyle name="20 % - Markeringsfarve5 2 2 2 2 2" xfId="10040" xr:uid="{F63E1273-076B-4EFA-BDB9-2FB29373DE8A}"/>
    <cellStyle name="20 % - Markeringsfarve5 2 2 2 2 2 2" xfId="15430" xr:uid="{D236A62D-D3B2-44FA-B446-8018657556B2}"/>
    <cellStyle name="20 % - Markeringsfarve5 2 2 2 2 3" xfId="12677" xr:uid="{5FA4A161-BA99-4924-A2DB-FB4F867AC3E0}"/>
    <cellStyle name="20 % - Markeringsfarve5 2 2 2 3" xfId="8709" xr:uid="{6B3CC829-8F5F-4070-9090-C34ED006E0FB}"/>
    <cellStyle name="20 % - Markeringsfarve5 2 2 2 3 2" xfId="14068" xr:uid="{AE1B0720-E741-4FE4-BBF3-F70468111793}"/>
    <cellStyle name="20 % - Markeringsfarve5 2 2 2 4" xfId="15989" xr:uid="{EF1B9014-C0C3-4E86-8C92-132667166858}"/>
    <cellStyle name="20 % - Markeringsfarve5 2 2 2 5" xfId="11346" xr:uid="{3D27B0F1-D1AD-406F-8DD6-D5336B40A338}"/>
    <cellStyle name="20 % - Markeringsfarve5 2 2 3" xfId="6749" xr:uid="{00000000-0005-0000-0000-000088000000}"/>
    <cellStyle name="20 % - Markeringsfarve5 2 2 3 2" xfId="9417" xr:uid="{B80AA278-4E0D-4967-A6FF-CCD41A650F60}"/>
    <cellStyle name="20 % - Markeringsfarve5 2 2 3 2 2" xfId="14807" xr:uid="{926FD43D-A104-432C-815A-49599CA84A7D}"/>
    <cellStyle name="20 % - Markeringsfarve5 2 2 3 3" xfId="12054" xr:uid="{DF55DD04-8C06-4A1A-B478-07EEDCD230DA}"/>
    <cellStyle name="20 % - Markeringsfarve5 2 2 4" xfId="8086" xr:uid="{76023D08-4C6D-44BC-A090-4EB41E08F643}"/>
    <cellStyle name="20 % - Markeringsfarve5 2 2 4 2" xfId="13445" xr:uid="{4F46C48C-E62D-4E53-8FEF-2948016BC167}"/>
    <cellStyle name="20 % - Markeringsfarve5 2 2 5" xfId="10723" xr:uid="{7D2A6AB8-521C-4FAB-9099-CFC9AAFBB7A6}"/>
    <cellStyle name="20 % - Markeringsfarve5 2 3" xfId="3561" xr:uid="{00000000-0005-0000-0000-000089000000}"/>
    <cellStyle name="20 % - Markeringsfarve5 2 3 2" xfId="4203" xr:uid="{00000000-0005-0000-0000-00008A000000}"/>
    <cellStyle name="20 % - Markeringsfarve5 2 3 2 2" xfId="7371" xr:uid="{00000000-0005-0000-0000-00008B000000}"/>
    <cellStyle name="20 % - Markeringsfarve5 2 3 2 2 2" xfId="10039" xr:uid="{8F2C3E68-45FD-4323-8132-ACCBE7F8C8F0}"/>
    <cellStyle name="20 % - Markeringsfarve5 2 3 2 2 2 2" xfId="15429" xr:uid="{26CA6005-BA36-49ED-9504-725D25EC6FBF}"/>
    <cellStyle name="20 % - Markeringsfarve5 2 3 2 2 3" xfId="12676" xr:uid="{AA0CF370-F2B9-41F8-AC9D-B73F4553E894}"/>
    <cellStyle name="20 % - Markeringsfarve5 2 3 2 3" xfId="8708" xr:uid="{2BF9714A-3FC4-42A1-A19B-D29D8BDFE272}"/>
    <cellStyle name="20 % - Markeringsfarve5 2 3 2 3 2" xfId="14067" xr:uid="{BBFDB904-9B0A-4B46-84D6-FAA2DE104127}"/>
    <cellStyle name="20 % - Markeringsfarve5 2 3 2 4" xfId="11345" xr:uid="{97AF973B-B4F0-4C87-815F-1E1DD09528CC}"/>
    <cellStyle name="20 % - Markeringsfarve5 2 3 3" xfId="6748" xr:uid="{00000000-0005-0000-0000-00008C000000}"/>
    <cellStyle name="20 % - Markeringsfarve5 2 3 3 2" xfId="9416" xr:uid="{BEB233D1-0D01-4326-9546-C586F6548423}"/>
    <cellStyle name="20 % - Markeringsfarve5 2 3 3 2 2" xfId="14806" xr:uid="{5F0BD45D-B0BA-4196-8057-A79E0593E7C1}"/>
    <cellStyle name="20 % - Markeringsfarve5 2 3 3 3" xfId="12053" xr:uid="{1F9B9831-643B-4125-BFCF-3F6D5A9EAAA6}"/>
    <cellStyle name="20 % - Markeringsfarve5 2 3 4" xfId="8085" xr:uid="{3238B816-B58E-40D0-A1A8-731B640CAA62}"/>
    <cellStyle name="20 % - Markeringsfarve5 2 3 4 2" xfId="13444" xr:uid="{C494C76F-FDE7-4943-8CDA-C5B036AAE5D5}"/>
    <cellStyle name="20 % - Markeringsfarve5 2 3 5" xfId="10722" xr:uid="{394156C4-C2FB-41CB-AD7E-2B1119779350}"/>
    <cellStyle name="20 % - Markeringsfarve5 2 4" xfId="4205" xr:uid="{00000000-0005-0000-0000-00008D000000}"/>
    <cellStyle name="20 % - Markeringsfarve5 2 4 2" xfId="7373" xr:uid="{00000000-0005-0000-0000-00008E000000}"/>
    <cellStyle name="20 % - Markeringsfarve5 2 4 2 2" xfId="10041" xr:uid="{A5785157-D375-42DF-85E3-2BCD3E89DC7F}"/>
    <cellStyle name="20 % - Markeringsfarve5 2 4 2 2 2" xfId="15431" xr:uid="{1DF9BAC7-0A6A-452C-9975-755804720141}"/>
    <cellStyle name="20 % - Markeringsfarve5 2 4 2 3" xfId="12678" xr:uid="{5ECC1499-126D-46BD-96C9-862164E8DA6E}"/>
    <cellStyle name="20 % - Markeringsfarve5 2 4 3" xfId="8710" xr:uid="{25213A14-4667-4378-BA80-B5D8AE4538EB}"/>
    <cellStyle name="20 % - Markeringsfarve5 2 4 3 2" xfId="14069" xr:uid="{E121D3EF-C3FC-4C8C-A560-DF9FDA324DC0}"/>
    <cellStyle name="20 % - Markeringsfarve5 2 4 4" xfId="11347" xr:uid="{EE47E4D0-81FA-4E8E-928B-DD66EE463E7F}"/>
    <cellStyle name="20 % - Markeringsfarve5 2 5" xfId="6750" xr:uid="{00000000-0005-0000-0000-00008F000000}"/>
    <cellStyle name="20 % - Markeringsfarve5 2 5 2" xfId="9418" xr:uid="{7F8623EA-2843-4550-A8FD-A9309A81F89D}"/>
    <cellStyle name="20 % - Markeringsfarve5 2 5 2 2" xfId="14808" xr:uid="{CC010B57-C534-4ADE-9864-161879BD463E}"/>
    <cellStyle name="20 % - Markeringsfarve5 2 5 3" xfId="12055" xr:uid="{34E257FD-967B-4C24-8DEF-896D3C379D79}"/>
    <cellStyle name="20 % - Markeringsfarve5 2 6" xfId="8087" xr:uid="{705DB0FB-8DD5-4F19-B4A6-AA090923DE10}"/>
    <cellStyle name="20 % - Markeringsfarve5 2 6 2" xfId="13446" xr:uid="{51FAD596-B71A-4DF8-BA7A-B3712E36DFB2}"/>
    <cellStyle name="20 % - Markeringsfarve5 2 7" xfId="10724" xr:uid="{442C973E-E4BD-4199-9FFF-0A90B5934E93}"/>
    <cellStyle name="20 % - Markeringsfarve5 3" xfId="3560" xr:uid="{00000000-0005-0000-0000-000090000000}"/>
    <cellStyle name="20 % - Markeringsfarve5 3 2" xfId="4202" xr:uid="{00000000-0005-0000-0000-000091000000}"/>
    <cellStyle name="20 % - Markeringsfarve5 3 2 2" xfId="7370" xr:uid="{00000000-0005-0000-0000-000092000000}"/>
    <cellStyle name="20 % - Markeringsfarve5 3 2 2 2" xfId="10038" xr:uid="{7AC06545-701F-4BF1-BE82-5FC059D0AC07}"/>
    <cellStyle name="20 % - Markeringsfarve5 3 2 2 2 2" xfId="15428" xr:uid="{E0A19775-6984-49BA-91C2-33B71E0F2570}"/>
    <cellStyle name="20 % - Markeringsfarve5 3 2 2 3" xfId="12675" xr:uid="{7C9E9CFD-DCDB-4F53-864E-AC25C3806F37}"/>
    <cellStyle name="20 % - Markeringsfarve5 3 2 3" xfId="8707" xr:uid="{8AF516EC-89BD-42A1-B5DC-3EF9C4B4E88A}"/>
    <cellStyle name="20 % - Markeringsfarve5 3 2 3 2" xfId="14066" xr:uid="{836262ED-3975-4562-9011-3A2EB7F28D66}"/>
    <cellStyle name="20 % - Markeringsfarve5 3 2 4" xfId="11344" xr:uid="{FC8B2FDC-B31B-4D36-AC1D-5F01EC2D6DF1}"/>
    <cellStyle name="20 % - Markeringsfarve5 3 3" xfId="6747" xr:uid="{00000000-0005-0000-0000-000093000000}"/>
    <cellStyle name="20 % - Markeringsfarve5 3 3 2" xfId="9415" xr:uid="{E0ECF0CF-653D-4D95-B4DC-6A8BE713D96C}"/>
    <cellStyle name="20 % - Markeringsfarve5 3 3 2 2" xfId="14805" xr:uid="{BB06433A-1D55-4634-8B30-66104CD3A3DE}"/>
    <cellStyle name="20 % - Markeringsfarve5 3 3 3" xfId="12052" xr:uid="{F82A9E6A-6D02-4EC9-94BD-4E66A21B5850}"/>
    <cellStyle name="20 % - Markeringsfarve5 3 4" xfId="8084" xr:uid="{20048976-783B-4A34-93ED-D556A32C7DF8}"/>
    <cellStyle name="20 % - Markeringsfarve5 3 4 2" xfId="13443" xr:uid="{CC9F0251-7E3C-4A2E-B980-44280B4C3F13}"/>
    <cellStyle name="20 % - Markeringsfarve5 3 5" xfId="10721" xr:uid="{D9D5F682-CDCF-4444-A1C7-92ACF0BB9672}"/>
    <cellStyle name="20 % - Markeringsfarve5 4" xfId="3559" xr:uid="{00000000-0005-0000-0000-000094000000}"/>
    <cellStyle name="20 % - Markeringsfarve5 4 2" xfId="4201" xr:uid="{00000000-0005-0000-0000-000095000000}"/>
    <cellStyle name="20 % - Markeringsfarve5 4 2 2" xfId="7369" xr:uid="{00000000-0005-0000-0000-000096000000}"/>
    <cellStyle name="20 % - Markeringsfarve5 4 2 2 2" xfId="10037" xr:uid="{01072B3C-4F4B-421E-A732-2BB0AD5FFEF5}"/>
    <cellStyle name="20 % - Markeringsfarve5 4 2 2 2 2" xfId="15427" xr:uid="{A38E8C53-8708-4299-B650-26E678B7CEBA}"/>
    <cellStyle name="20 % - Markeringsfarve5 4 2 2 3" xfId="12674" xr:uid="{C5E9E446-9663-465F-B096-46138F1FC95B}"/>
    <cellStyle name="20 % - Markeringsfarve5 4 2 3" xfId="8706" xr:uid="{726627B6-1C8F-44A3-81D7-60C10FF92209}"/>
    <cellStyle name="20 % - Markeringsfarve5 4 2 3 2" xfId="14065" xr:uid="{EF1EB735-1F13-448D-9AE1-2EB61EB95E96}"/>
    <cellStyle name="20 % - Markeringsfarve5 4 2 4" xfId="11343" xr:uid="{6E13B4EC-60C1-4289-B047-6C9721A61CBA}"/>
    <cellStyle name="20 % - Markeringsfarve5 4 3" xfId="6746" xr:uid="{00000000-0005-0000-0000-000097000000}"/>
    <cellStyle name="20 % - Markeringsfarve5 4 3 2" xfId="9414" xr:uid="{739A9605-5925-4FC5-9016-45D0A318AA51}"/>
    <cellStyle name="20 % - Markeringsfarve5 4 3 2 2" xfId="14804" xr:uid="{AC48751E-18D8-4395-B486-8266625AA695}"/>
    <cellStyle name="20 % - Markeringsfarve5 4 3 3" xfId="12051" xr:uid="{192D3F1B-F12D-419D-A072-A9EC352558A1}"/>
    <cellStyle name="20 % - Markeringsfarve5 4 4" xfId="8083" xr:uid="{D44E88A1-BF79-4477-A183-94EEC4FB20CA}"/>
    <cellStyle name="20 % - Markeringsfarve5 4 4 2" xfId="13442" xr:uid="{C5F93AC8-9418-4C87-81E0-873033C226EF}"/>
    <cellStyle name="20 % - Markeringsfarve5 4 5" xfId="10720" xr:uid="{761BDF7F-DA88-4CEF-B8C7-B627F3420328}"/>
    <cellStyle name="20 % - Markeringsfarve5 5" xfId="3558" xr:uid="{00000000-0005-0000-0000-000098000000}"/>
    <cellStyle name="20 % - Markeringsfarve5 5 2" xfId="4200" xr:uid="{00000000-0005-0000-0000-000099000000}"/>
    <cellStyle name="20 % - Markeringsfarve5 5 2 2" xfId="7368" xr:uid="{00000000-0005-0000-0000-00009A000000}"/>
    <cellStyle name="20 % - Markeringsfarve5 5 2 2 2" xfId="10036" xr:uid="{0E9EACB8-8D03-4D43-8C33-9780689ECC16}"/>
    <cellStyle name="20 % - Markeringsfarve5 5 2 2 2 2" xfId="15426" xr:uid="{33F35A38-5943-4FC2-83B2-F560118F8B03}"/>
    <cellStyle name="20 % - Markeringsfarve5 5 2 2 3" xfId="12673" xr:uid="{204821F5-1EFA-4DA7-917E-F1B4E7CFB1DF}"/>
    <cellStyle name="20 % - Markeringsfarve5 5 2 3" xfId="8705" xr:uid="{AF48BD46-1B9C-40B6-BC68-743B96C7D6B8}"/>
    <cellStyle name="20 % - Markeringsfarve5 5 2 3 2" xfId="14064" xr:uid="{6CCD0230-0BB7-42D0-9BB1-09390AF1C78D}"/>
    <cellStyle name="20 % - Markeringsfarve5 5 2 4" xfId="11342" xr:uid="{5EA9E8F4-759C-4B82-9072-9B301DD20B60}"/>
    <cellStyle name="20 % - Markeringsfarve5 5 3" xfId="6745" xr:uid="{00000000-0005-0000-0000-00009B000000}"/>
    <cellStyle name="20 % - Markeringsfarve5 5 3 2" xfId="9413" xr:uid="{D3944BBB-DDAA-471C-9084-5B808AB25555}"/>
    <cellStyle name="20 % - Markeringsfarve5 5 3 2 2" xfId="14803" xr:uid="{33DC9206-9BBE-436A-B6E2-07069CF02005}"/>
    <cellStyle name="20 % - Markeringsfarve5 5 3 3" xfId="12050" xr:uid="{46FB8755-4B5D-4C35-97E9-154051C193EA}"/>
    <cellStyle name="20 % - Markeringsfarve5 5 4" xfId="8082" xr:uid="{C6379A54-86C2-4429-A128-01021FADAC50}"/>
    <cellStyle name="20 % - Markeringsfarve5 5 4 2" xfId="13441" xr:uid="{15D52A94-55DE-4041-AC31-DBE3C0F953F6}"/>
    <cellStyle name="20 % - Markeringsfarve5 5 5" xfId="10719" xr:uid="{A7514597-51C7-48C1-AD68-AA36F6B06964}"/>
    <cellStyle name="20 % - Markeringsfarve5 6" xfId="3557" xr:uid="{00000000-0005-0000-0000-00009C000000}"/>
    <cellStyle name="20 % - Markeringsfarve5 6 2" xfId="4199" xr:uid="{00000000-0005-0000-0000-00009D000000}"/>
    <cellStyle name="20 % - Markeringsfarve5 6 2 2" xfId="7367" xr:uid="{00000000-0005-0000-0000-00009E000000}"/>
    <cellStyle name="20 % - Markeringsfarve5 6 2 2 2" xfId="10035" xr:uid="{F51446A4-E8E8-445C-8951-BDC201DD30AC}"/>
    <cellStyle name="20 % - Markeringsfarve5 6 2 2 2 2" xfId="15425" xr:uid="{6672A829-BD1C-4951-8303-58F46F53F872}"/>
    <cellStyle name="20 % - Markeringsfarve5 6 2 2 3" xfId="12672" xr:uid="{4D14B83C-75B1-496C-9DB9-11D5B0F4F816}"/>
    <cellStyle name="20 % - Markeringsfarve5 6 2 3" xfId="8704" xr:uid="{56BD1EAF-4013-419F-B534-E6A5F6997443}"/>
    <cellStyle name="20 % - Markeringsfarve5 6 2 3 2" xfId="14063" xr:uid="{4FA273A1-5CD7-4FAB-A570-D3A2D270C7E9}"/>
    <cellStyle name="20 % - Markeringsfarve5 6 2 4" xfId="11341" xr:uid="{1A9A52B8-3758-42FC-8715-73F67A314FB5}"/>
    <cellStyle name="20 % - Markeringsfarve5 6 3" xfId="6744" xr:uid="{00000000-0005-0000-0000-00009F000000}"/>
    <cellStyle name="20 % - Markeringsfarve5 6 3 2" xfId="9412" xr:uid="{008A6224-E29F-49F6-B400-C5CD59CCE072}"/>
    <cellStyle name="20 % - Markeringsfarve5 6 3 2 2" xfId="14802" xr:uid="{AFEF3464-28BB-46AC-B81D-186F2AC6341A}"/>
    <cellStyle name="20 % - Markeringsfarve5 6 3 3" xfId="12049" xr:uid="{91B8A3DA-EB3F-4EA2-B352-3DB5642BD86F}"/>
    <cellStyle name="20 % - Markeringsfarve5 6 4" xfId="8081" xr:uid="{7E8CDA5C-56EB-4764-845C-F9FBD45DDDD3}"/>
    <cellStyle name="20 % - Markeringsfarve5 6 4 2" xfId="13440" xr:uid="{C2216D6E-3FEE-4068-AF47-D94F044DEEA3}"/>
    <cellStyle name="20 % - Markeringsfarve5 6 5" xfId="10718" xr:uid="{8E6ED566-571B-40A5-9C68-1FFCE26F7BFA}"/>
    <cellStyle name="20 % - Markeringsfarve5 7" xfId="4167" xr:uid="{00000000-0005-0000-0000-0000A0000000}"/>
    <cellStyle name="20 % - Markeringsfarve5 7 2" xfId="7335" xr:uid="{00000000-0005-0000-0000-0000A1000000}"/>
    <cellStyle name="20 % - Markeringsfarve5 7 2 2" xfId="10003" xr:uid="{B9492A02-18F6-4E26-8BA9-778FA65D395F}"/>
    <cellStyle name="20 % - Markeringsfarve5 7 2 2 2" xfId="15393" xr:uid="{2D779BA0-9A01-440D-9A13-E9F6FE650EB0}"/>
    <cellStyle name="20 % - Markeringsfarve5 7 2 3" xfId="12640" xr:uid="{D2495DF6-9CF8-4883-8C6F-6E589237DE2B}"/>
    <cellStyle name="20 % - Markeringsfarve5 7 3" xfId="8672" xr:uid="{4B913437-D1F2-47D4-A688-50AB6BAED4EB}"/>
    <cellStyle name="20 % - Markeringsfarve5 7 3 2" xfId="14031" xr:uid="{7C997594-38CF-460C-B921-409F61FA5BE1}"/>
    <cellStyle name="20 % - Markeringsfarve5 7 4" xfId="11309" xr:uid="{E53FEF68-D019-483E-9A04-3B3922916674}"/>
    <cellStyle name="20 % - Markeringsfarve6 2" xfId="3556" xr:uid="{00000000-0005-0000-0000-0000A2000000}"/>
    <cellStyle name="20 % - Markeringsfarve6 2 2" xfId="3555" xr:uid="{00000000-0005-0000-0000-0000A3000000}"/>
    <cellStyle name="20 % - Markeringsfarve6 2 2 2" xfId="4197" xr:uid="{00000000-0005-0000-0000-0000A4000000}"/>
    <cellStyle name="20 % - Markeringsfarve6 2 2 2 2" xfId="7365" xr:uid="{00000000-0005-0000-0000-0000A5000000}"/>
    <cellStyle name="20 % - Markeringsfarve6 2 2 2 2 2" xfId="10033" xr:uid="{7CEC043E-C1F6-488A-AB28-58ADE736A300}"/>
    <cellStyle name="20 % - Markeringsfarve6 2 2 2 2 2 2" xfId="15423" xr:uid="{B1FDE9C2-7CB6-4B43-8F80-AF908A370098}"/>
    <cellStyle name="20 % - Markeringsfarve6 2 2 2 2 3" xfId="12670" xr:uid="{114247B4-275D-4DEC-8EB2-630CBB27A130}"/>
    <cellStyle name="20 % - Markeringsfarve6 2 2 2 3" xfId="8702" xr:uid="{B33212F0-64BC-4E33-81D2-B645A763E579}"/>
    <cellStyle name="20 % - Markeringsfarve6 2 2 2 3 2" xfId="14061" xr:uid="{F259A3CE-FD96-4A87-AE48-96A33E667047}"/>
    <cellStyle name="20 % - Markeringsfarve6 2 2 2 4" xfId="11339" xr:uid="{71EC4491-6676-4349-8E54-5EDAA7C2642B}"/>
    <cellStyle name="20 % - Markeringsfarve6 2 2 3" xfId="6742" xr:uid="{00000000-0005-0000-0000-0000A6000000}"/>
    <cellStyle name="20 % - Markeringsfarve6 2 2 3 2" xfId="9410" xr:uid="{B922EFB4-1D97-43F3-BBDB-B1B688001414}"/>
    <cellStyle name="20 % - Markeringsfarve6 2 2 3 2 2" xfId="14800" xr:uid="{C20D690F-5226-47AC-8F57-982F963B6507}"/>
    <cellStyle name="20 % - Markeringsfarve6 2 2 3 3" xfId="12047" xr:uid="{21E6AC7F-D447-4AC8-85C8-D2BFFDEC3DAF}"/>
    <cellStyle name="20 % - Markeringsfarve6 2 2 4" xfId="8079" xr:uid="{EC4D15BF-0006-452D-9EB9-8EC25C304E06}"/>
    <cellStyle name="20 % - Markeringsfarve6 2 2 4 2" xfId="13438" xr:uid="{1EB2FD2E-3527-484F-9F42-3384BCDF41B2}"/>
    <cellStyle name="20 % - Markeringsfarve6 2 2 5" xfId="10716" xr:uid="{B68E3FED-FACF-48E5-B8E5-A757EC045E13}"/>
    <cellStyle name="20 % - Markeringsfarve6 2 3" xfId="3554" xr:uid="{00000000-0005-0000-0000-0000A7000000}"/>
    <cellStyle name="20 % - Markeringsfarve6 2 3 2" xfId="4196" xr:uid="{00000000-0005-0000-0000-0000A8000000}"/>
    <cellStyle name="20 % - Markeringsfarve6 2 3 2 2" xfId="7364" xr:uid="{00000000-0005-0000-0000-0000A9000000}"/>
    <cellStyle name="20 % - Markeringsfarve6 2 3 2 2 2" xfId="10032" xr:uid="{3CA5DC01-B63A-4AB4-A0E6-E97D0D29F9E9}"/>
    <cellStyle name="20 % - Markeringsfarve6 2 3 2 2 2 2" xfId="15422" xr:uid="{3F87B51A-BFE1-4CF1-A2CB-D0DFF024BA06}"/>
    <cellStyle name="20 % - Markeringsfarve6 2 3 2 2 3" xfId="12669" xr:uid="{5AA29B99-36B4-4FA2-9121-AC87EBA7B455}"/>
    <cellStyle name="20 % - Markeringsfarve6 2 3 2 3" xfId="8701" xr:uid="{77B20345-D7DF-4005-A93D-F89A51DE28C2}"/>
    <cellStyle name="20 % - Markeringsfarve6 2 3 2 3 2" xfId="14060" xr:uid="{78AA08E1-E2DE-4BE3-A866-2FC4CED0822D}"/>
    <cellStyle name="20 % - Markeringsfarve6 2 3 2 4" xfId="11338" xr:uid="{48F841C1-06D3-4109-9005-F3BFC150962F}"/>
    <cellStyle name="20 % - Markeringsfarve6 2 3 3" xfId="6741" xr:uid="{00000000-0005-0000-0000-0000AA000000}"/>
    <cellStyle name="20 % - Markeringsfarve6 2 3 3 2" xfId="9409" xr:uid="{9504D8C2-78D6-4CFE-BB58-A119F33077F0}"/>
    <cellStyle name="20 % - Markeringsfarve6 2 3 3 2 2" xfId="14799" xr:uid="{A81F650D-7F18-4DE0-B448-8FAB2A0DFDA5}"/>
    <cellStyle name="20 % - Markeringsfarve6 2 3 3 3" xfId="12046" xr:uid="{9D175292-1EDC-4A3F-842A-C3EE6D87C07E}"/>
    <cellStyle name="20 % - Markeringsfarve6 2 3 4" xfId="8078" xr:uid="{D82277C4-ADCA-4442-802A-E2E1D8CA8FDF}"/>
    <cellStyle name="20 % - Markeringsfarve6 2 3 4 2" xfId="13437" xr:uid="{F09E3EFC-8CB2-448E-B2BC-F8F5A7B54456}"/>
    <cellStyle name="20 % - Markeringsfarve6 2 3 5" xfId="10715" xr:uid="{BFAFD400-2813-4D4D-BDA5-234E9F421DC4}"/>
    <cellStyle name="20 % - Markeringsfarve6 2 4" xfId="4198" xr:uid="{00000000-0005-0000-0000-0000AB000000}"/>
    <cellStyle name="20 % - Markeringsfarve6 2 4 2" xfId="7366" xr:uid="{00000000-0005-0000-0000-0000AC000000}"/>
    <cellStyle name="20 % - Markeringsfarve6 2 4 2 2" xfId="10034" xr:uid="{54851740-071F-48DC-9C6C-C072B0BE6E25}"/>
    <cellStyle name="20 % - Markeringsfarve6 2 4 2 2 2" xfId="15424" xr:uid="{D68FDEFA-EB2A-4F52-A24A-48093C0336A9}"/>
    <cellStyle name="20 % - Markeringsfarve6 2 4 2 3" xfId="12671" xr:uid="{777E442E-63F0-4A81-B6ED-04CAEF67429F}"/>
    <cellStyle name="20 % - Markeringsfarve6 2 4 3" xfId="8703" xr:uid="{71B48332-0DCC-4AE8-99E6-7E9F4C75D128}"/>
    <cellStyle name="20 % - Markeringsfarve6 2 4 3 2" xfId="14062" xr:uid="{50AD9B22-D1D2-46E4-AF4C-ACA127DF64E4}"/>
    <cellStyle name="20 % - Markeringsfarve6 2 4 4" xfId="11340" xr:uid="{1F7C7BD7-0191-4BD9-A051-3998058AE10B}"/>
    <cellStyle name="20 % - Markeringsfarve6 2 5" xfId="6743" xr:uid="{00000000-0005-0000-0000-0000AD000000}"/>
    <cellStyle name="20 % - Markeringsfarve6 2 5 2" xfId="9411" xr:uid="{F2170E17-CC24-42BF-851C-3BEC22F0052E}"/>
    <cellStyle name="20 % - Markeringsfarve6 2 5 2 2" xfId="14801" xr:uid="{727EFBE7-A55E-4519-B805-3A82DAD33C3D}"/>
    <cellStyle name="20 % - Markeringsfarve6 2 5 3" xfId="12048" xr:uid="{A2E809F6-6B44-4197-8591-0EA289DE9357}"/>
    <cellStyle name="20 % - Markeringsfarve6 2 6" xfId="8080" xr:uid="{A451D1C8-82CC-4BDF-B2C5-CAF128F81BFF}"/>
    <cellStyle name="20 % - Markeringsfarve6 2 6 2" xfId="13439" xr:uid="{37719884-5117-43E9-92DF-F345F5D38008}"/>
    <cellStyle name="20 % - Markeringsfarve6 2 7" xfId="10717" xr:uid="{0DCE6C67-4A2A-4B70-A1B2-0E9C46CE6294}"/>
    <cellStyle name="20 % - Markeringsfarve6 3" xfId="3553" xr:uid="{00000000-0005-0000-0000-0000AE000000}"/>
    <cellStyle name="20 % - Markeringsfarve6 3 2" xfId="4195" xr:uid="{00000000-0005-0000-0000-0000AF000000}"/>
    <cellStyle name="20 % - Markeringsfarve6 3 2 2" xfId="7363" xr:uid="{00000000-0005-0000-0000-0000B0000000}"/>
    <cellStyle name="20 % - Markeringsfarve6 3 2 2 2" xfId="10031" xr:uid="{673C4127-A19F-4D09-B02F-E77EED6A3173}"/>
    <cellStyle name="20 % - Markeringsfarve6 3 2 2 2 2" xfId="15421" xr:uid="{FEB5EA60-C09C-4CAE-96FD-371F4CB3E49A}"/>
    <cellStyle name="20 % - Markeringsfarve6 3 2 2 3" xfId="12668" xr:uid="{C59DDF18-9A76-435B-B81A-E7523A9681F3}"/>
    <cellStyle name="20 % - Markeringsfarve6 3 2 3" xfId="8700" xr:uid="{06CE0DCF-D4AB-4483-8705-4909E2970154}"/>
    <cellStyle name="20 % - Markeringsfarve6 3 2 3 2" xfId="14059" xr:uid="{2E3A4FA5-CACC-491A-A035-0A05F30C8E63}"/>
    <cellStyle name="20 % - Markeringsfarve6 3 2 4" xfId="11337" xr:uid="{CCFA4A3A-1EA1-4393-940E-53320B5D10CD}"/>
    <cellStyle name="20 % - Markeringsfarve6 3 3" xfId="6740" xr:uid="{00000000-0005-0000-0000-0000B1000000}"/>
    <cellStyle name="20 % - Markeringsfarve6 3 3 2" xfId="9408" xr:uid="{2DB62E88-042A-4174-8351-8591EF19FCD7}"/>
    <cellStyle name="20 % - Markeringsfarve6 3 3 2 2" xfId="14798" xr:uid="{629758B7-A025-4987-B382-8A24492E38F0}"/>
    <cellStyle name="20 % - Markeringsfarve6 3 3 3" xfId="12045" xr:uid="{5D89BBD2-79E2-414F-AD84-2493000AE613}"/>
    <cellStyle name="20 % - Markeringsfarve6 3 4" xfId="8077" xr:uid="{9744F013-8A6C-464D-A815-E284F47713CF}"/>
    <cellStyle name="20 % - Markeringsfarve6 3 4 2" xfId="13436" xr:uid="{20D146DA-D852-4CA1-966D-FE01311AD1CB}"/>
    <cellStyle name="20 % - Markeringsfarve6 3 5" xfId="10714" xr:uid="{7FBCD13A-8761-489F-A8AA-BD04A3958DB5}"/>
    <cellStyle name="20 % - Markeringsfarve6 4" xfId="3552" xr:uid="{00000000-0005-0000-0000-0000B2000000}"/>
    <cellStyle name="20 % - Markeringsfarve6 4 2" xfId="4194" xr:uid="{00000000-0005-0000-0000-0000B3000000}"/>
    <cellStyle name="20 % - Markeringsfarve6 4 2 2" xfId="7362" xr:uid="{00000000-0005-0000-0000-0000B4000000}"/>
    <cellStyle name="20 % - Markeringsfarve6 4 2 2 2" xfId="10030" xr:uid="{1D87B66C-C397-4A34-8112-C621D1EA6B09}"/>
    <cellStyle name="20 % - Markeringsfarve6 4 2 2 2 2" xfId="15420" xr:uid="{DD79A5BE-B2AC-4513-BC99-1259B824664C}"/>
    <cellStyle name="20 % - Markeringsfarve6 4 2 2 3" xfId="12667" xr:uid="{788E8A33-7AC9-46A4-897E-887B27477697}"/>
    <cellStyle name="20 % - Markeringsfarve6 4 2 3" xfId="8699" xr:uid="{8CCD7963-D661-4279-97AB-4A1BACE70726}"/>
    <cellStyle name="20 % - Markeringsfarve6 4 2 3 2" xfId="14058" xr:uid="{CC9D9DA7-0457-4679-AEB0-E62FF72AA5B5}"/>
    <cellStyle name="20 % - Markeringsfarve6 4 2 4" xfId="11336" xr:uid="{4BB76E79-1F02-42E2-BBEF-759A1495C4E4}"/>
    <cellStyle name="20 % - Markeringsfarve6 4 3" xfId="6739" xr:uid="{00000000-0005-0000-0000-0000B5000000}"/>
    <cellStyle name="20 % - Markeringsfarve6 4 3 2" xfId="9407" xr:uid="{8AA0D352-2179-4A53-8B38-FC219E031CEA}"/>
    <cellStyle name="20 % - Markeringsfarve6 4 3 2 2" xfId="14797" xr:uid="{45E483CC-4371-460D-BD16-A359C123A60B}"/>
    <cellStyle name="20 % - Markeringsfarve6 4 3 3" xfId="12044" xr:uid="{633E1489-4C13-4815-8B0A-B15044F10D63}"/>
    <cellStyle name="20 % - Markeringsfarve6 4 4" xfId="8076" xr:uid="{8FEEF3CC-0F74-4711-BF41-84D4C6FAD20B}"/>
    <cellStyle name="20 % - Markeringsfarve6 4 4 2" xfId="13435" xr:uid="{6F6B3A98-E17D-42E4-B39E-0DFB87248E95}"/>
    <cellStyle name="20 % - Markeringsfarve6 4 5" xfId="10713" xr:uid="{5CC89876-EE61-4F23-B918-B8117208B46F}"/>
    <cellStyle name="20 % - Markeringsfarve6 5" xfId="3551" xr:uid="{00000000-0005-0000-0000-0000B6000000}"/>
    <cellStyle name="20 % - Markeringsfarve6 5 2" xfId="4193" xr:uid="{00000000-0005-0000-0000-0000B7000000}"/>
    <cellStyle name="20 % - Markeringsfarve6 5 2 2" xfId="7361" xr:uid="{00000000-0005-0000-0000-0000B8000000}"/>
    <cellStyle name="20 % - Markeringsfarve6 5 2 2 2" xfId="10029" xr:uid="{1F3B48CD-1C6F-46CD-8639-ED5F2BF24770}"/>
    <cellStyle name="20 % - Markeringsfarve6 5 2 2 2 2" xfId="15419" xr:uid="{8C355C8C-FACF-468E-AA1A-59E061F7610A}"/>
    <cellStyle name="20 % - Markeringsfarve6 5 2 2 3" xfId="12666" xr:uid="{CA6AC072-DBFD-401E-A1A8-443CE02CFB83}"/>
    <cellStyle name="20 % - Markeringsfarve6 5 2 3" xfId="8698" xr:uid="{13E3C7D2-128D-4BA5-9B15-80AE9EC01EDB}"/>
    <cellStyle name="20 % - Markeringsfarve6 5 2 3 2" xfId="14057" xr:uid="{C07F3FDB-E9A0-4CBD-BB9B-038AE9DFB084}"/>
    <cellStyle name="20 % - Markeringsfarve6 5 2 4" xfId="11335" xr:uid="{ADB4A95E-FCB8-4661-A36E-3B10A5EA228D}"/>
    <cellStyle name="20 % - Markeringsfarve6 5 3" xfId="6738" xr:uid="{00000000-0005-0000-0000-0000B9000000}"/>
    <cellStyle name="20 % - Markeringsfarve6 5 3 2" xfId="9406" xr:uid="{5F8DC79E-C3D6-4232-801F-35AD61F0ED04}"/>
    <cellStyle name="20 % - Markeringsfarve6 5 3 2 2" xfId="14796" xr:uid="{3A4B5CCC-DE67-4D56-9DB9-75B39F9A9620}"/>
    <cellStyle name="20 % - Markeringsfarve6 5 3 3" xfId="12043" xr:uid="{88058DEF-C756-4C9D-9364-85056B9E0EDB}"/>
    <cellStyle name="20 % - Markeringsfarve6 5 4" xfId="8075" xr:uid="{5508809A-631A-4F47-A0BE-6BD23AC10AA2}"/>
    <cellStyle name="20 % - Markeringsfarve6 5 4 2" xfId="13434" xr:uid="{161D4E61-4FE2-497C-99F0-4793348B6B02}"/>
    <cellStyle name="20 % - Markeringsfarve6 5 5" xfId="10712" xr:uid="{CA62C094-E63F-4335-8D95-D6EBB2C11684}"/>
    <cellStyle name="20 % - Markeringsfarve6 6" xfId="3550" xr:uid="{00000000-0005-0000-0000-0000BA000000}"/>
    <cellStyle name="20 % - Markeringsfarve6 6 2" xfId="4192" xr:uid="{00000000-0005-0000-0000-0000BB000000}"/>
    <cellStyle name="20 % - Markeringsfarve6 6 2 2" xfId="7360" xr:uid="{00000000-0005-0000-0000-0000BC000000}"/>
    <cellStyle name="20 % - Markeringsfarve6 6 2 2 2" xfId="10028" xr:uid="{DF1E76D9-19C4-45E0-B5AA-81571C241283}"/>
    <cellStyle name="20 % - Markeringsfarve6 6 2 2 2 2" xfId="15418" xr:uid="{A3C6201A-A1A2-4D00-A5FD-C9ED35402913}"/>
    <cellStyle name="20 % - Markeringsfarve6 6 2 2 3" xfId="12665" xr:uid="{35F9AB1E-EBA4-447E-8633-24ECD879E1AF}"/>
    <cellStyle name="20 % - Markeringsfarve6 6 2 3" xfId="8697" xr:uid="{386CF4FB-8339-4D83-80EC-8B27C9DF91AD}"/>
    <cellStyle name="20 % - Markeringsfarve6 6 2 3 2" xfId="14056" xr:uid="{7565E206-95C4-4C2D-8F17-9D096996E730}"/>
    <cellStyle name="20 % - Markeringsfarve6 6 2 4" xfId="11334" xr:uid="{9C4CA2D6-6631-4F92-AD68-47A5F24737F0}"/>
    <cellStyle name="20 % - Markeringsfarve6 6 3" xfId="6737" xr:uid="{00000000-0005-0000-0000-0000BD000000}"/>
    <cellStyle name="20 % - Markeringsfarve6 6 3 2" xfId="9405" xr:uid="{5EA14900-03FB-4E4D-9915-76A4B32A375F}"/>
    <cellStyle name="20 % - Markeringsfarve6 6 3 2 2" xfId="14795" xr:uid="{B875578B-4386-4910-9557-ABCF3FB21B30}"/>
    <cellStyle name="20 % - Markeringsfarve6 6 3 3" xfId="12042" xr:uid="{166B65B5-FEAD-47C6-9D18-56AFAAFC4D53}"/>
    <cellStyle name="20 % - Markeringsfarve6 6 4" xfId="8074" xr:uid="{412EC167-65B0-47B8-AF15-9E3190901BFF}"/>
    <cellStyle name="20 % - Markeringsfarve6 6 4 2" xfId="13433" xr:uid="{8731A24E-B8D9-44E0-B7BF-9FB50A848B53}"/>
    <cellStyle name="20 % - Markeringsfarve6 6 5" xfId="10711" xr:uid="{5C25B8A6-43AB-4270-BBCF-E36D243D2C99}"/>
    <cellStyle name="20 % - Markeringsfarve6 7" xfId="4169" xr:uid="{00000000-0005-0000-0000-0000BE000000}"/>
    <cellStyle name="20 % - Markeringsfarve6 7 2" xfId="7337" xr:uid="{00000000-0005-0000-0000-0000BF000000}"/>
    <cellStyle name="20 % - Markeringsfarve6 7 2 2" xfId="10005" xr:uid="{C787123D-9A75-4CFC-AC72-D27E2CD3137B}"/>
    <cellStyle name="20 % - Markeringsfarve6 7 2 2 2" xfId="15395" xr:uid="{7DA0C0BA-29C6-49A3-85E9-1A033587B983}"/>
    <cellStyle name="20 % - Markeringsfarve6 7 2 3" xfId="12642" xr:uid="{B7E42BB4-D496-4675-A259-2E6623790A63}"/>
    <cellStyle name="20 % - Markeringsfarve6 7 3" xfId="8674" xr:uid="{FF11B548-1E86-4749-91BD-7F8C5A37C61C}"/>
    <cellStyle name="20 % - Markeringsfarve6 7 3 2" xfId="14033" xr:uid="{FB480DD2-18AA-4328-AEDB-4A9DCF068ED0}"/>
    <cellStyle name="20 % - Markeringsfarve6 7 4" xfId="11311" xr:uid="{AE5EB546-DEB7-46E4-9512-2936EB12F0A2}"/>
    <cellStyle name="20% - Accent1" xfId="3339" builtinId="30" customBuiltin="1"/>
    <cellStyle name="20% - Accent1 2" xfId="3390" xr:uid="{00000000-0005-0000-0000-0000C1000000}"/>
    <cellStyle name="20% - Accent1 3" xfId="6634" xr:uid="{00000000-0005-0000-0000-0000C2000000}"/>
    <cellStyle name="20% - Accent1 3 2" xfId="9311" xr:uid="{E39A7342-4160-40F0-A8BC-95AA83A84D0D}"/>
    <cellStyle name="20% - Accent1 3 2 2" xfId="14701" xr:uid="{BA0C6B13-37D6-4164-A15A-D1A854DE6B12}"/>
    <cellStyle name="20% - Accent1 3 3" xfId="11948" xr:uid="{192F8ED0-C29E-454F-B20C-7E4F3AEAE987}"/>
    <cellStyle name="20% - Accent1 4" xfId="7971" xr:uid="{760A74A9-1A0E-4B61-8BF9-CECCFCCB6BA2}"/>
    <cellStyle name="20% - Accent1 4 2" xfId="13331" xr:uid="{A0C1F9C3-1107-4B0B-9651-B040A5A46173}"/>
    <cellStyle name="20% - Accent1 5" xfId="10617" xr:uid="{B4992591-3394-4C3E-911D-49F4C4C9062F}"/>
    <cellStyle name="20% - Accent2" xfId="3343" builtinId="34" customBuiltin="1"/>
    <cellStyle name="20% - Accent2 2" xfId="3391" xr:uid="{00000000-0005-0000-0000-0000C4000000}"/>
    <cellStyle name="20% - Accent2 3" xfId="6636" xr:uid="{00000000-0005-0000-0000-0000C5000000}"/>
    <cellStyle name="20% - Accent2 3 2" xfId="9313" xr:uid="{F0A5DC6C-6388-4E3E-AA9B-ED313A065FDA}"/>
    <cellStyle name="20% - Accent2 3 2 2" xfId="14703" xr:uid="{B4BB11BF-D79B-4FC4-BF09-247B068018EB}"/>
    <cellStyle name="20% - Accent2 3 3" xfId="11950" xr:uid="{FA834281-131C-483E-9527-C165C6A7C05C}"/>
    <cellStyle name="20% - Accent2 4" xfId="7973" xr:uid="{C6A19DFE-6AB9-41F3-9CB1-88DB1BCCC813}"/>
    <cellStyle name="20% - Accent2 4 2" xfId="13333" xr:uid="{81CCA78D-A20D-42FA-BF4D-B200887AB13B}"/>
    <cellStyle name="20% - Accent2 5" xfId="10619" xr:uid="{89DE628B-9E68-4637-B4EB-B3846541DA5E}"/>
    <cellStyle name="20% - Accent3" xfId="3347" builtinId="38" customBuiltin="1"/>
    <cellStyle name="20% - Accent3 2" xfId="3392" xr:uid="{00000000-0005-0000-0000-0000C7000000}"/>
    <cellStyle name="20% - Accent3 3" xfId="6638" xr:uid="{00000000-0005-0000-0000-0000C8000000}"/>
    <cellStyle name="20% - Accent3 3 2" xfId="9315" xr:uid="{F0AD87C8-C996-4DFD-A33D-E92F270F00F3}"/>
    <cellStyle name="20% - Accent3 3 2 2" xfId="14705" xr:uid="{324D6141-15CB-4E7A-9F0B-8FCB2B5A50A7}"/>
    <cellStyle name="20% - Accent3 3 3" xfId="11952" xr:uid="{ADABE08D-F023-414F-AEEE-FE1E409EC15E}"/>
    <cellStyle name="20% - Accent3 4" xfId="7975" xr:uid="{5607C0C5-0E3A-403F-9E78-BF887ED917EF}"/>
    <cellStyle name="20% - Accent3 4 2" xfId="13335" xr:uid="{289F5331-5E7B-4577-BBC5-21DD303308E2}"/>
    <cellStyle name="20% - Accent3 5" xfId="10621" xr:uid="{4F964A46-F6BD-480D-AAD5-F5FE837D833F}"/>
    <cellStyle name="20% - Accent4" xfId="3351" builtinId="42" customBuiltin="1"/>
    <cellStyle name="20% - Accent4 2" xfId="3393" xr:uid="{00000000-0005-0000-0000-0000CA000000}"/>
    <cellStyle name="20% - Accent4 3" xfId="6640" xr:uid="{00000000-0005-0000-0000-0000CB000000}"/>
    <cellStyle name="20% - Accent4 3 2" xfId="9317" xr:uid="{0F5F81EE-DBBF-4682-A3C5-50F334A0DC6E}"/>
    <cellStyle name="20% - Accent4 3 2 2" xfId="14707" xr:uid="{4D59ADD1-DB31-425D-AE84-2770295B95CE}"/>
    <cellStyle name="20% - Accent4 3 3" xfId="11954" xr:uid="{5136075C-DDF0-436B-A5CE-4AB9E879AC8A}"/>
    <cellStyle name="20% - Accent4 4" xfId="7977" xr:uid="{EB9D36CE-5552-4BB4-B724-A4E2A7D8C31B}"/>
    <cellStyle name="20% - Accent4 4 2" xfId="13337" xr:uid="{056FE6FE-7B92-43F0-AE44-321227CA7229}"/>
    <cellStyle name="20% - Accent4 5" xfId="10623" xr:uid="{3004CDC8-A42A-4067-BC00-635BB810879A}"/>
    <cellStyle name="20% - Accent5" xfId="3355" builtinId="46" customBuiltin="1"/>
    <cellStyle name="20% - Accent5 2" xfId="3394" xr:uid="{00000000-0005-0000-0000-0000CD000000}"/>
    <cellStyle name="20% - Accent5 3" xfId="6642" xr:uid="{00000000-0005-0000-0000-0000CE000000}"/>
    <cellStyle name="20% - Accent5 3 2" xfId="9319" xr:uid="{FB28B141-07BE-4A43-B21D-A7BE51288BA7}"/>
    <cellStyle name="20% - Accent5 3 2 2" xfId="14709" xr:uid="{1778E41D-4B95-4AF6-9E14-F3EED1305D32}"/>
    <cellStyle name="20% - Accent5 3 3" xfId="11956" xr:uid="{9277EB8E-844A-4CDE-A6A6-75FA9BD443F5}"/>
    <cellStyle name="20% - Accent5 4" xfId="7979" xr:uid="{B58E34FE-3F10-44E8-B295-DDDDB65ECF71}"/>
    <cellStyle name="20% - Accent5 4 2" xfId="13339" xr:uid="{F2D255DA-84A8-471E-B02E-880297A1D7AB}"/>
    <cellStyle name="20% - Accent5 5" xfId="10625" xr:uid="{4A3F510E-39FD-4A85-8EF3-B4FA5F2C2572}"/>
    <cellStyle name="20% - Accent6" xfId="3359" builtinId="50" customBuiltin="1"/>
    <cellStyle name="20% - Accent6 2" xfId="3395" xr:uid="{00000000-0005-0000-0000-0000D0000000}"/>
    <cellStyle name="20% - Accent6 3" xfId="6644" xr:uid="{00000000-0005-0000-0000-0000D1000000}"/>
    <cellStyle name="20% - Accent6 3 2" xfId="9321" xr:uid="{27B590B8-99B0-4962-B5FD-8CB0A2971FFD}"/>
    <cellStyle name="20% - Accent6 3 2 2" xfId="14711" xr:uid="{55FE1C45-7A5D-4838-9402-60FD811AEE93}"/>
    <cellStyle name="20% - Accent6 3 3" xfId="11958" xr:uid="{1D262116-DBC4-45EB-82A3-99E0BE85F9AF}"/>
    <cellStyle name="20% - Accent6 4" xfId="7981" xr:uid="{C5942AC8-F2CF-450A-98AD-751F6796E032}"/>
    <cellStyle name="20% - Accent6 4 2" xfId="13341" xr:uid="{6B1BB57D-230B-4F2D-9716-DB0D8FB6141F}"/>
    <cellStyle name="20% - Accent6 5" xfId="10627" xr:uid="{465511CA-99B1-44CC-885D-96C25DF70B14}"/>
    <cellStyle name="20% - Colore 1" xfId="3" xr:uid="{00000000-0005-0000-0000-0000D2000000}"/>
    <cellStyle name="20% - Colore 2" xfId="4" xr:uid="{00000000-0005-0000-0000-0000D3000000}"/>
    <cellStyle name="20% - Colore 3" xfId="5" xr:uid="{00000000-0005-0000-0000-0000D4000000}"/>
    <cellStyle name="20% - Colore 4" xfId="6" xr:uid="{00000000-0005-0000-0000-0000D5000000}"/>
    <cellStyle name="20% - Colore 5" xfId="7" xr:uid="{00000000-0005-0000-0000-0000D6000000}"/>
    <cellStyle name="20% - Colore 6" xfId="8" xr:uid="{00000000-0005-0000-0000-0000D7000000}"/>
    <cellStyle name="40 % - Markeringsfarve1 2" xfId="3549" xr:uid="{00000000-0005-0000-0000-0000D8000000}"/>
    <cellStyle name="40 % - Markeringsfarve1 2 2" xfId="3548" xr:uid="{00000000-0005-0000-0000-0000D9000000}"/>
    <cellStyle name="40 % - Markeringsfarve1 2 2 2" xfId="4190" xr:uid="{00000000-0005-0000-0000-0000DA000000}"/>
    <cellStyle name="40 % - Markeringsfarve1 2 2 2 2" xfId="7358" xr:uid="{00000000-0005-0000-0000-0000DB000000}"/>
    <cellStyle name="40 % - Markeringsfarve1 2 2 2 2 2" xfId="10026" xr:uid="{61FB4C1A-640F-4403-9D0F-C255AE45A12F}"/>
    <cellStyle name="40 % - Markeringsfarve1 2 2 2 2 2 2" xfId="15416" xr:uid="{FEC2B244-3EA0-4DEF-A92C-6FEA3938E970}"/>
    <cellStyle name="40 % - Markeringsfarve1 2 2 2 2 3" xfId="12663" xr:uid="{74761878-5250-4734-B0DC-25341F5FA54F}"/>
    <cellStyle name="40 % - Markeringsfarve1 2 2 2 3" xfId="8695" xr:uid="{D428E894-6D83-4990-B0CE-509A9359F7CA}"/>
    <cellStyle name="40 % - Markeringsfarve1 2 2 2 3 2" xfId="14054" xr:uid="{80DC407D-FA31-4DFB-980D-3204018DE6BA}"/>
    <cellStyle name="40 % - Markeringsfarve1 2 2 2 4" xfId="11332" xr:uid="{D82891CE-38E2-47FF-AA85-D09E54ABE0BC}"/>
    <cellStyle name="40 % - Markeringsfarve1 2 2 3" xfId="6735" xr:uid="{00000000-0005-0000-0000-0000DC000000}"/>
    <cellStyle name="40 % - Markeringsfarve1 2 2 3 2" xfId="9403" xr:uid="{DF3760CD-FA4D-4F19-9CD1-E4532BA223AB}"/>
    <cellStyle name="40 % - Markeringsfarve1 2 2 3 2 2" xfId="14793" xr:uid="{85E17FC2-CB6E-4637-8019-694634E31905}"/>
    <cellStyle name="40 % - Markeringsfarve1 2 2 3 3" xfId="12040" xr:uid="{51C2994F-9F7B-4721-937E-FFEEED9FFA9B}"/>
    <cellStyle name="40 % - Markeringsfarve1 2 2 4" xfId="8072" xr:uid="{BB2590A9-C08E-4FC6-BFE9-9131E51D661B}"/>
    <cellStyle name="40 % - Markeringsfarve1 2 2 4 2" xfId="13431" xr:uid="{FF5171D8-07B9-4D1B-9129-23258B6E6DFE}"/>
    <cellStyle name="40 % - Markeringsfarve1 2 2 5" xfId="10709" xr:uid="{4C510DEF-2E5E-4484-B64E-331D66F5F306}"/>
    <cellStyle name="40 % - Markeringsfarve1 2 3" xfId="3547" xr:uid="{00000000-0005-0000-0000-0000DD000000}"/>
    <cellStyle name="40 % - Markeringsfarve1 2 3 2" xfId="4189" xr:uid="{00000000-0005-0000-0000-0000DE000000}"/>
    <cellStyle name="40 % - Markeringsfarve1 2 3 2 2" xfId="7357" xr:uid="{00000000-0005-0000-0000-0000DF000000}"/>
    <cellStyle name="40 % - Markeringsfarve1 2 3 2 2 2" xfId="10025" xr:uid="{16CFEA68-A96F-4721-8C22-95CF7AB62C72}"/>
    <cellStyle name="40 % - Markeringsfarve1 2 3 2 2 2 2" xfId="15415" xr:uid="{25A6716C-2FC8-4288-AF3D-5672D0495E1F}"/>
    <cellStyle name="40 % - Markeringsfarve1 2 3 2 2 3" xfId="12662" xr:uid="{EC995B87-0392-4D43-BB85-B0183CAB156F}"/>
    <cellStyle name="40 % - Markeringsfarve1 2 3 2 3" xfId="8694" xr:uid="{6A576F93-B495-4685-AEE8-3158B4ACF0C6}"/>
    <cellStyle name="40 % - Markeringsfarve1 2 3 2 3 2" xfId="14053" xr:uid="{D92CDF05-338C-4958-845B-46D6187AED20}"/>
    <cellStyle name="40 % - Markeringsfarve1 2 3 2 4" xfId="11331" xr:uid="{82E8321F-2B67-4566-AAC6-8C1113BF9209}"/>
    <cellStyle name="40 % - Markeringsfarve1 2 3 3" xfId="6734" xr:uid="{00000000-0005-0000-0000-0000E0000000}"/>
    <cellStyle name="40 % - Markeringsfarve1 2 3 3 2" xfId="9402" xr:uid="{A8A85609-F04C-46D3-AFD3-CC1F8B017870}"/>
    <cellStyle name="40 % - Markeringsfarve1 2 3 3 2 2" xfId="14792" xr:uid="{6711692C-0596-4742-9BE2-C5656EEFB753}"/>
    <cellStyle name="40 % - Markeringsfarve1 2 3 3 3" xfId="12039" xr:uid="{F9E4A60F-632A-42E8-A834-B426916503E5}"/>
    <cellStyle name="40 % - Markeringsfarve1 2 3 4" xfId="8071" xr:uid="{2FD15000-9125-4C79-BCB6-3BDA4FFF2FC5}"/>
    <cellStyle name="40 % - Markeringsfarve1 2 3 4 2" xfId="13430" xr:uid="{9D137C4E-ABD5-4405-81D1-A9B407F05C86}"/>
    <cellStyle name="40 % - Markeringsfarve1 2 3 5" xfId="10708" xr:uid="{E3C13151-9A21-4659-9BE3-32C5B83A86AB}"/>
    <cellStyle name="40 % - Markeringsfarve1 2 4" xfId="4191" xr:uid="{00000000-0005-0000-0000-0000E1000000}"/>
    <cellStyle name="40 % - Markeringsfarve1 2 4 2" xfId="7359" xr:uid="{00000000-0005-0000-0000-0000E2000000}"/>
    <cellStyle name="40 % - Markeringsfarve1 2 4 2 2" xfId="10027" xr:uid="{BCC44DBF-9AC4-48E2-8451-11D555CD8330}"/>
    <cellStyle name="40 % - Markeringsfarve1 2 4 2 2 2" xfId="15417" xr:uid="{32ACDC91-A0FF-452D-8086-47D7D9EB3E92}"/>
    <cellStyle name="40 % - Markeringsfarve1 2 4 2 3" xfId="12664" xr:uid="{5853E5EA-DF9D-47A9-8EEF-E5675562B4D4}"/>
    <cellStyle name="40 % - Markeringsfarve1 2 4 3" xfId="8696" xr:uid="{5663E04B-117A-414C-A2DF-BC0E7AC2991D}"/>
    <cellStyle name="40 % - Markeringsfarve1 2 4 3 2" xfId="14055" xr:uid="{D44EE2F3-1022-4F76-B2EF-3D62B6B25C1B}"/>
    <cellStyle name="40 % - Markeringsfarve1 2 4 4" xfId="11333" xr:uid="{8290ED1E-BFA7-480D-9B8E-FCAEA26E2963}"/>
    <cellStyle name="40 % - Markeringsfarve1 2 5" xfId="6736" xr:uid="{00000000-0005-0000-0000-0000E3000000}"/>
    <cellStyle name="40 % - Markeringsfarve1 2 5 2" xfId="9404" xr:uid="{C8664C89-DDFA-4CB8-BF6E-1266EFC7CF3B}"/>
    <cellStyle name="40 % - Markeringsfarve1 2 5 2 2" xfId="14794" xr:uid="{3FE11EF5-22E1-42BD-A90F-E25512DB5D7C}"/>
    <cellStyle name="40 % - Markeringsfarve1 2 5 3" xfId="12041" xr:uid="{E78CC716-024C-4122-B5AB-260BABB43A10}"/>
    <cellStyle name="40 % - Markeringsfarve1 2 6" xfId="8073" xr:uid="{ECFAD0DA-F76A-462B-A054-90DDB0375DB1}"/>
    <cellStyle name="40 % - Markeringsfarve1 2 6 2" xfId="13432" xr:uid="{CE22FB87-1266-4C80-B0CC-5D645C6DCB08}"/>
    <cellStyle name="40 % - Markeringsfarve1 2 7" xfId="10710" xr:uid="{ECCBC0C1-F6BB-4183-9283-64D1C6301B23}"/>
    <cellStyle name="40 % - Markeringsfarve1 3" xfId="3546" xr:uid="{00000000-0005-0000-0000-0000E4000000}"/>
    <cellStyle name="40 % - Markeringsfarve1 3 2" xfId="4188" xr:uid="{00000000-0005-0000-0000-0000E5000000}"/>
    <cellStyle name="40 % - Markeringsfarve1 3 2 2" xfId="7356" xr:uid="{00000000-0005-0000-0000-0000E6000000}"/>
    <cellStyle name="40 % - Markeringsfarve1 3 2 2 2" xfId="10024" xr:uid="{825D7BDC-2000-46E8-9E06-BC321BBACEFB}"/>
    <cellStyle name="40 % - Markeringsfarve1 3 2 2 2 2" xfId="15414" xr:uid="{D9BA5CD6-FF62-449D-B401-0597639C79A9}"/>
    <cellStyle name="40 % - Markeringsfarve1 3 2 2 3" xfId="12661" xr:uid="{B8D153FA-8F5D-4635-B32C-21B63A16F622}"/>
    <cellStyle name="40 % - Markeringsfarve1 3 2 3" xfId="8693" xr:uid="{D8C5B82A-212E-4D31-A2C0-225ED33D1143}"/>
    <cellStyle name="40 % - Markeringsfarve1 3 2 3 2" xfId="14052" xr:uid="{AE6E830C-5A3A-42FF-A9B1-52B718DA7689}"/>
    <cellStyle name="40 % - Markeringsfarve1 3 2 4" xfId="11330" xr:uid="{7B84165D-638D-4FD1-AA09-64048606933E}"/>
    <cellStyle name="40 % - Markeringsfarve1 3 3" xfId="6733" xr:uid="{00000000-0005-0000-0000-0000E7000000}"/>
    <cellStyle name="40 % - Markeringsfarve1 3 3 2" xfId="9401" xr:uid="{90E2FA01-8B99-4755-9415-DB98BFB46831}"/>
    <cellStyle name="40 % - Markeringsfarve1 3 3 2 2" xfId="14791" xr:uid="{F919C731-DA6A-46C6-9F21-C39B656A6BCC}"/>
    <cellStyle name="40 % - Markeringsfarve1 3 3 3" xfId="12038" xr:uid="{7380B67D-8F6B-459B-9AA6-8DA343EADA07}"/>
    <cellStyle name="40 % - Markeringsfarve1 3 4" xfId="8070" xr:uid="{B0926010-71E0-4E9E-AA50-C0CE6A337401}"/>
    <cellStyle name="40 % - Markeringsfarve1 3 4 2" xfId="13429" xr:uid="{D2BA3BC6-AEDC-4F64-8091-8562F5970702}"/>
    <cellStyle name="40 % - Markeringsfarve1 3 5" xfId="10707" xr:uid="{0DD8F8A2-D1AD-4123-839A-003E43176B00}"/>
    <cellStyle name="40 % - Markeringsfarve1 4" xfId="3545" xr:uid="{00000000-0005-0000-0000-0000E8000000}"/>
    <cellStyle name="40 % - Markeringsfarve1 4 2" xfId="4187" xr:uid="{00000000-0005-0000-0000-0000E9000000}"/>
    <cellStyle name="40 % - Markeringsfarve1 4 2 2" xfId="7355" xr:uid="{00000000-0005-0000-0000-0000EA000000}"/>
    <cellStyle name="40 % - Markeringsfarve1 4 2 2 2" xfId="10023" xr:uid="{780BC53F-4CBD-4AA7-AE94-6A980C6D9680}"/>
    <cellStyle name="40 % - Markeringsfarve1 4 2 2 2 2" xfId="15413" xr:uid="{BC26CDB1-4830-4F0F-8996-AA820CF79FE2}"/>
    <cellStyle name="40 % - Markeringsfarve1 4 2 2 3" xfId="12660" xr:uid="{B799713A-DB21-45CC-B91F-10C187907D1F}"/>
    <cellStyle name="40 % - Markeringsfarve1 4 2 3" xfId="8692" xr:uid="{0B4F022E-23BB-45BB-9B90-2D07825D52DB}"/>
    <cellStyle name="40 % - Markeringsfarve1 4 2 3 2" xfId="14051" xr:uid="{0319BA81-36E3-46AB-81A2-254CBFA08593}"/>
    <cellStyle name="40 % - Markeringsfarve1 4 2 4" xfId="11329" xr:uid="{1255CA61-6C80-4A0F-8BAF-1B41BD9B9F8D}"/>
    <cellStyle name="40 % - Markeringsfarve1 4 3" xfId="6732" xr:uid="{00000000-0005-0000-0000-0000EB000000}"/>
    <cellStyle name="40 % - Markeringsfarve1 4 3 2" xfId="9400" xr:uid="{899D840C-6BB6-4A02-899E-392674285B32}"/>
    <cellStyle name="40 % - Markeringsfarve1 4 3 2 2" xfId="14790" xr:uid="{CBD19C4A-EBFC-4DEB-8372-6B291C4962C2}"/>
    <cellStyle name="40 % - Markeringsfarve1 4 3 3" xfId="12037" xr:uid="{DB0A8951-AE38-44DD-8B2B-D891253BB463}"/>
    <cellStyle name="40 % - Markeringsfarve1 4 4" xfId="8069" xr:uid="{E504EDB2-1F40-4CD1-9F08-F14D0FA21590}"/>
    <cellStyle name="40 % - Markeringsfarve1 4 4 2" xfId="13428" xr:uid="{6C75E433-0513-4397-9E5A-A24D63A4E510}"/>
    <cellStyle name="40 % - Markeringsfarve1 4 5" xfId="10706" xr:uid="{9FD0C246-166D-4149-B47C-56E43E828611}"/>
    <cellStyle name="40 % - Markeringsfarve1 5" xfId="3544" xr:uid="{00000000-0005-0000-0000-0000EC000000}"/>
    <cellStyle name="40 % - Markeringsfarve1 5 2" xfId="4186" xr:uid="{00000000-0005-0000-0000-0000ED000000}"/>
    <cellStyle name="40 % - Markeringsfarve1 5 2 2" xfId="7354" xr:uid="{00000000-0005-0000-0000-0000EE000000}"/>
    <cellStyle name="40 % - Markeringsfarve1 5 2 2 2" xfId="10022" xr:uid="{D63530D9-EB95-4BDC-9A9A-4D5F3F1C2947}"/>
    <cellStyle name="40 % - Markeringsfarve1 5 2 2 2 2" xfId="15412" xr:uid="{324C9B5F-FF06-4E3C-A371-CD298BAB3B8E}"/>
    <cellStyle name="40 % - Markeringsfarve1 5 2 2 3" xfId="12659" xr:uid="{78DAF05B-7B49-487C-A456-FB6FB0C89567}"/>
    <cellStyle name="40 % - Markeringsfarve1 5 2 3" xfId="8691" xr:uid="{A45CC9B6-B5EC-4B63-A6A5-590D4FF67751}"/>
    <cellStyle name="40 % - Markeringsfarve1 5 2 3 2" xfId="14050" xr:uid="{2652EFC9-8261-490E-B406-353987824410}"/>
    <cellStyle name="40 % - Markeringsfarve1 5 2 4" xfId="11328" xr:uid="{2D38A15F-EECC-4053-A1C9-9A9AA58B7F3F}"/>
    <cellStyle name="40 % - Markeringsfarve1 5 3" xfId="6731" xr:uid="{00000000-0005-0000-0000-0000EF000000}"/>
    <cellStyle name="40 % - Markeringsfarve1 5 3 2" xfId="9399" xr:uid="{394B9ED7-FF72-4BC0-978F-87F3A4A75B01}"/>
    <cellStyle name="40 % - Markeringsfarve1 5 3 2 2" xfId="14789" xr:uid="{35FBD90E-8C63-4596-A5BE-4F70204D9CEC}"/>
    <cellStyle name="40 % - Markeringsfarve1 5 3 3" xfId="12036" xr:uid="{C9E8EB20-3C26-4BFD-A84B-B691927ECA8C}"/>
    <cellStyle name="40 % - Markeringsfarve1 5 4" xfId="8068" xr:uid="{32CD5271-0BFC-492E-9FA8-B932358D3DE1}"/>
    <cellStyle name="40 % - Markeringsfarve1 5 4 2" xfId="13427" xr:uid="{A982A76B-3EC8-47BD-8D3B-E05C5D612C18}"/>
    <cellStyle name="40 % - Markeringsfarve1 5 5" xfId="10705" xr:uid="{7D48E9FF-8489-49C8-9E07-FF47D6E93778}"/>
    <cellStyle name="40 % - Markeringsfarve1 6" xfId="3543" xr:uid="{00000000-0005-0000-0000-0000F0000000}"/>
    <cellStyle name="40 % - Markeringsfarve1 6 2" xfId="4185" xr:uid="{00000000-0005-0000-0000-0000F1000000}"/>
    <cellStyle name="40 % - Markeringsfarve1 6 2 2" xfId="7353" xr:uid="{00000000-0005-0000-0000-0000F2000000}"/>
    <cellStyle name="40 % - Markeringsfarve1 6 2 2 2" xfId="10021" xr:uid="{C7D9C52D-3FEF-4436-8D93-5E12CABE5039}"/>
    <cellStyle name="40 % - Markeringsfarve1 6 2 2 2 2" xfId="15411" xr:uid="{3453141A-DF7C-444D-B03E-B08E4C20E886}"/>
    <cellStyle name="40 % - Markeringsfarve1 6 2 2 3" xfId="12658" xr:uid="{0DF0906C-6FF1-459C-831B-7EBCBB75C38A}"/>
    <cellStyle name="40 % - Markeringsfarve1 6 2 3" xfId="8690" xr:uid="{761FFA9C-16DF-4FCC-B225-1ADD1CC5387B}"/>
    <cellStyle name="40 % - Markeringsfarve1 6 2 3 2" xfId="14049" xr:uid="{3051FA55-4C84-4C41-A935-1E2F8922F286}"/>
    <cellStyle name="40 % - Markeringsfarve1 6 2 4" xfId="11327" xr:uid="{658631D0-D67D-4FEF-A938-718D6250F518}"/>
    <cellStyle name="40 % - Markeringsfarve1 6 3" xfId="6730" xr:uid="{00000000-0005-0000-0000-0000F3000000}"/>
    <cellStyle name="40 % - Markeringsfarve1 6 3 2" xfId="9398" xr:uid="{0ACE19F1-7D3A-4DEF-9FA3-5949C7882DB5}"/>
    <cellStyle name="40 % - Markeringsfarve1 6 3 2 2" xfId="14788" xr:uid="{57E1C17D-C881-4CF4-B3B1-759165E81AAD}"/>
    <cellStyle name="40 % - Markeringsfarve1 6 3 3" xfId="12035" xr:uid="{6AAF55DB-7AC7-4578-8959-87E6E75773DE}"/>
    <cellStyle name="40 % - Markeringsfarve1 6 4" xfId="8067" xr:uid="{01CC789B-51F4-4FB9-8A87-991DAD67386E}"/>
    <cellStyle name="40 % - Markeringsfarve1 6 4 2" xfId="13426" xr:uid="{049FAC92-5CB3-4D08-BD5D-8008B2498261}"/>
    <cellStyle name="40 % - Markeringsfarve1 6 5" xfId="10704" xr:uid="{5DEB8B8A-99E7-4152-80A4-03FECE68A673}"/>
    <cellStyle name="40 % - Markeringsfarve1 7" xfId="4160" xr:uid="{00000000-0005-0000-0000-0000F4000000}"/>
    <cellStyle name="40 % - Markeringsfarve1 7 2" xfId="7328" xr:uid="{00000000-0005-0000-0000-0000F5000000}"/>
    <cellStyle name="40 % - Markeringsfarve1 7 2 2" xfId="9996" xr:uid="{CFBAFF32-7F5C-472D-BD00-124DD55473F4}"/>
    <cellStyle name="40 % - Markeringsfarve1 7 2 2 2" xfId="15386" xr:uid="{2C3F5A4C-E4BB-47A3-9467-722FB96A3D52}"/>
    <cellStyle name="40 % - Markeringsfarve1 7 2 3" xfId="12633" xr:uid="{0BF7FC99-2828-4D75-8559-D98010231BB5}"/>
    <cellStyle name="40 % - Markeringsfarve1 7 3" xfId="8665" xr:uid="{444E1B80-4FA6-4484-B351-57C5C6FB6D6C}"/>
    <cellStyle name="40 % - Markeringsfarve1 7 3 2" xfId="14024" xr:uid="{E9A3420E-CAB0-4E8A-B049-2A6190B16680}"/>
    <cellStyle name="40 % - Markeringsfarve1 7 4" xfId="11302" xr:uid="{D02EC8CA-ED72-422B-94B0-C743B26CC0FD}"/>
    <cellStyle name="40 % - Markeringsfarve2 2" xfId="3542" xr:uid="{00000000-0005-0000-0000-0000F6000000}"/>
    <cellStyle name="40 % - Markeringsfarve2 2 2" xfId="3541" xr:uid="{00000000-0005-0000-0000-0000F7000000}"/>
    <cellStyle name="40 % - Markeringsfarve2 2 2 2" xfId="4183" xr:uid="{00000000-0005-0000-0000-0000F8000000}"/>
    <cellStyle name="40 % - Markeringsfarve2 2 2 2 2" xfId="7351" xr:uid="{00000000-0005-0000-0000-0000F9000000}"/>
    <cellStyle name="40 % - Markeringsfarve2 2 2 2 2 2" xfId="10019" xr:uid="{055D1649-F5CC-49D2-B448-4ED7C7524B8F}"/>
    <cellStyle name="40 % - Markeringsfarve2 2 2 2 2 2 2" xfId="15409" xr:uid="{119FE153-EF80-41FC-9EBD-E0C1A44AB815}"/>
    <cellStyle name="40 % - Markeringsfarve2 2 2 2 2 3" xfId="12656" xr:uid="{CD5A762C-50FE-4275-9EE5-149D72BDE787}"/>
    <cellStyle name="40 % - Markeringsfarve2 2 2 2 3" xfId="8688" xr:uid="{DD3152EF-8D3A-43F3-B916-B0C5FF98CDC5}"/>
    <cellStyle name="40 % - Markeringsfarve2 2 2 2 3 2" xfId="14047" xr:uid="{57C71C39-E72B-445C-86B5-1600E77B7FE3}"/>
    <cellStyle name="40 % - Markeringsfarve2 2 2 2 4" xfId="11325" xr:uid="{47F78CD4-92E6-4544-BD2C-18AEB8D8886E}"/>
    <cellStyle name="40 % - Markeringsfarve2 2 2 3" xfId="6728" xr:uid="{00000000-0005-0000-0000-0000FA000000}"/>
    <cellStyle name="40 % - Markeringsfarve2 2 2 3 2" xfId="9396" xr:uid="{D10CE8BC-8659-4D04-9FF8-30B3CE2877A6}"/>
    <cellStyle name="40 % - Markeringsfarve2 2 2 3 2 2" xfId="14786" xr:uid="{257AA784-6753-4392-B405-106C0CF12969}"/>
    <cellStyle name="40 % - Markeringsfarve2 2 2 3 3" xfId="12033" xr:uid="{EF1A4963-7FEC-48C0-ADBF-781F70B311F7}"/>
    <cellStyle name="40 % - Markeringsfarve2 2 2 4" xfId="8065" xr:uid="{F97808CC-6401-4379-86C8-A6257F7CAD89}"/>
    <cellStyle name="40 % - Markeringsfarve2 2 2 4 2" xfId="13424" xr:uid="{64EE8B5F-FD9E-4EFC-BE79-5EACE1DDEA16}"/>
    <cellStyle name="40 % - Markeringsfarve2 2 2 5" xfId="10702" xr:uid="{0DC1F965-CCE9-4315-962B-4A8D0BFB0A0B}"/>
    <cellStyle name="40 % - Markeringsfarve2 2 3" xfId="3540" xr:uid="{00000000-0005-0000-0000-0000FB000000}"/>
    <cellStyle name="40 % - Markeringsfarve2 2 3 2" xfId="4182" xr:uid="{00000000-0005-0000-0000-0000FC000000}"/>
    <cellStyle name="40 % - Markeringsfarve2 2 3 2 2" xfId="7350" xr:uid="{00000000-0005-0000-0000-0000FD000000}"/>
    <cellStyle name="40 % - Markeringsfarve2 2 3 2 2 2" xfId="10018" xr:uid="{A81EF636-3909-46D2-964B-1E099062939F}"/>
    <cellStyle name="40 % - Markeringsfarve2 2 3 2 2 2 2" xfId="15408" xr:uid="{688FC450-F6BE-4D52-833E-925D85FC88CF}"/>
    <cellStyle name="40 % - Markeringsfarve2 2 3 2 2 3" xfId="12655" xr:uid="{326DD284-D0E2-4A14-99CF-0C4A95185DC1}"/>
    <cellStyle name="40 % - Markeringsfarve2 2 3 2 3" xfId="8687" xr:uid="{DB1EEA15-D4B5-4281-8F65-6DC100B4FE73}"/>
    <cellStyle name="40 % - Markeringsfarve2 2 3 2 3 2" xfId="14046" xr:uid="{F9A4DBFF-8947-4AB6-B640-930746DAD746}"/>
    <cellStyle name="40 % - Markeringsfarve2 2 3 2 4" xfId="11324" xr:uid="{4990BF29-C397-48BE-BF29-3BC87A23A196}"/>
    <cellStyle name="40 % - Markeringsfarve2 2 3 3" xfId="6727" xr:uid="{00000000-0005-0000-0000-0000FE000000}"/>
    <cellStyle name="40 % - Markeringsfarve2 2 3 3 2" xfId="9395" xr:uid="{C6971E9B-F0D2-400D-9481-13CE81B167CA}"/>
    <cellStyle name="40 % - Markeringsfarve2 2 3 3 2 2" xfId="14785" xr:uid="{04DDF1A6-377B-4F67-8511-E8D29C402BF9}"/>
    <cellStyle name="40 % - Markeringsfarve2 2 3 3 3" xfId="12032" xr:uid="{2EC81941-29B6-441E-89AF-B8D5B75EB7CC}"/>
    <cellStyle name="40 % - Markeringsfarve2 2 3 4" xfId="8064" xr:uid="{3C18DC1F-F4FB-4D44-B407-2C2C67A2F2C7}"/>
    <cellStyle name="40 % - Markeringsfarve2 2 3 4 2" xfId="13423" xr:uid="{BCD0C268-F8B7-4287-B488-154A4611AF07}"/>
    <cellStyle name="40 % - Markeringsfarve2 2 3 5" xfId="10701" xr:uid="{34938163-F64C-4700-BDC2-02F1407FA8EE}"/>
    <cellStyle name="40 % - Markeringsfarve2 2 4" xfId="4184" xr:uid="{00000000-0005-0000-0000-0000FF000000}"/>
    <cellStyle name="40 % - Markeringsfarve2 2 4 2" xfId="7352" xr:uid="{00000000-0005-0000-0000-000000010000}"/>
    <cellStyle name="40 % - Markeringsfarve2 2 4 2 2" xfId="10020" xr:uid="{2AB4C010-4317-4DD7-B4F9-1AC5A159323E}"/>
    <cellStyle name="40 % - Markeringsfarve2 2 4 2 2 2" xfId="15410" xr:uid="{EBFB57AA-570E-4CCE-9741-64A7278C98AD}"/>
    <cellStyle name="40 % - Markeringsfarve2 2 4 2 3" xfId="12657" xr:uid="{E899F739-DA6C-4E71-82EC-624AAB297AD7}"/>
    <cellStyle name="40 % - Markeringsfarve2 2 4 3" xfId="8689" xr:uid="{F8C93A9D-7F6E-42A5-96DF-F1A0076A9071}"/>
    <cellStyle name="40 % - Markeringsfarve2 2 4 3 2" xfId="14048" xr:uid="{21F7D296-FBD5-4EC5-9E90-DBF6729691CD}"/>
    <cellStyle name="40 % - Markeringsfarve2 2 4 4" xfId="11326" xr:uid="{060DC490-393E-4093-BA3F-A188046978BF}"/>
    <cellStyle name="40 % - Markeringsfarve2 2 5" xfId="6729" xr:uid="{00000000-0005-0000-0000-000001010000}"/>
    <cellStyle name="40 % - Markeringsfarve2 2 5 2" xfId="9397" xr:uid="{599E0DDE-C2DC-4246-85D6-ABBBD324DCF6}"/>
    <cellStyle name="40 % - Markeringsfarve2 2 5 2 2" xfId="14787" xr:uid="{22F37BE4-C87B-49FC-B16A-B66C6BC42D75}"/>
    <cellStyle name="40 % - Markeringsfarve2 2 5 3" xfId="12034" xr:uid="{303445FC-E47A-4C76-B8E2-4018D7A4A6B3}"/>
    <cellStyle name="40 % - Markeringsfarve2 2 6" xfId="8066" xr:uid="{7E570F90-F7F5-429F-BE7E-12FD0708862A}"/>
    <cellStyle name="40 % - Markeringsfarve2 2 6 2" xfId="13425" xr:uid="{08D7A3BD-A526-4D15-9DE6-4EF5FC47B87F}"/>
    <cellStyle name="40 % - Markeringsfarve2 2 7" xfId="10703" xr:uid="{7B3A2C3B-82A0-4099-BB43-EBF480F593E6}"/>
    <cellStyle name="40 % - Markeringsfarve2 3" xfId="3539" xr:uid="{00000000-0005-0000-0000-000002010000}"/>
    <cellStyle name="40 % - Markeringsfarve2 3 2" xfId="4181" xr:uid="{00000000-0005-0000-0000-000003010000}"/>
    <cellStyle name="40 % - Markeringsfarve2 3 2 2" xfId="7349" xr:uid="{00000000-0005-0000-0000-000004010000}"/>
    <cellStyle name="40 % - Markeringsfarve2 3 2 2 2" xfId="10017" xr:uid="{5BB2F532-D0D7-4AF0-982C-CC519BD21488}"/>
    <cellStyle name="40 % - Markeringsfarve2 3 2 2 2 2" xfId="15407" xr:uid="{6D61BC42-439A-4CE0-A1D0-85B6E4984F2D}"/>
    <cellStyle name="40 % - Markeringsfarve2 3 2 2 3" xfId="12654" xr:uid="{9F16F523-A12D-4583-A48D-18BCEF5972ED}"/>
    <cellStyle name="40 % - Markeringsfarve2 3 2 3" xfId="8686" xr:uid="{926C99EC-C53E-4F51-9B54-8DB7F2E7071D}"/>
    <cellStyle name="40 % - Markeringsfarve2 3 2 3 2" xfId="14045" xr:uid="{FF4E35B1-FBC7-4A51-9569-45DE2C2C77F8}"/>
    <cellStyle name="40 % - Markeringsfarve2 3 2 4" xfId="11323" xr:uid="{1D33B0A5-6657-44D3-A6C2-046671357E31}"/>
    <cellStyle name="40 % - Markeringsfarve2 3 3" xfId="6726" xr:uid="{00000000-0005-0000-0000-000005010000}"/>
    <cellStyle name="40 % - Markeringsfarve2 3 3 2" xfId="9394" xr:uid="{3EBFD73A-051F-4579-BB03-507CAA6CE3DC}"/>
    <cellStyle name="40 % - Markeringsfarve2 3 3 2 2" xfId="14784" xr:uid="{0FC53081-2298-46D3-B535-A5EB3B3DB15D}"/>
    <cellStyle name="40 % - Markeringsfarve2 3 3 3" xfId="12031" xr:uid="{791EC93B-701E-45D3-A8BE-C4F9C2B294FB}"/>
    <cellStyle name="40 % - Markeringsfarve2 3 4" xfId="8063" xr:uid="{442DD682-8A33-465B-97C8-84116F28137D}"/>
    <cellStyle name="40 % - Markeringsfarve2 3 4 2" xfId="13422" xr:uid="{42006C59-D292-4CB1-A57D-6FB08C673741}"/>
    <cellStyle name="40 % - Markeringsfarve2 3 5" xfId="10700" xr:uid="{81BE0702-41AF-4B53-974C-C409685753F1}"/>
    <cellStyle name="40 % - Markeringsfarve2 4" xfId="3538" xr:uid="{00000000-0005-0000-0000-000006010000}"/>
    <cellStyle name="40 % - Markeringsfarve2 4 2" xfId="4180" xr:uid="{00000000-0005-0000-0000-000007010000}"/>
    <cellStyle name="40 % - Markeringsfarve2 4 2 2" xfId="7348" xr:uid="{00000000-0005-0000-0000-000008010000}"/>
    <cellStyle name="40 % - Markeringsfarve2 4 2 2 2" xfId="10016" xr:uid="{8AFC4DBE-01FF-4EBB-A226-580CACF56C4C}"/>
    <cellStyle name="40 % - Markeringsfarve2 4 2 2 2 2" xfId="15406" xr:uid="{6A98DA8D-3AAA-4F0E-A39D-50020672F6B7}"/>
    <cellStyle name="40 % - Markeringsfarve2 4 2 2 3" xfId="12653" xr:uid="{B724884F-8C49-4BDC-8B97-CC20C619FC2B}"/>
    <cellStyle name="40 % - Markeringsfarve2 4 2 3" xfId="8685" xr:uid="{2C4B7D6B-B808-4DE5-B78F-2212C5346464}"/>
    <cellStyle name="40 % - Markeringsfarve2 4 2 3 2" xfId="14044" xr:uid="{1A554D89-0D2A-4057-A375-C10860B1FAB5}"/>
    <cellStyle name="40 % - Markeringsfarve2 4 2 4" xfId="11322" xr:uid="{25D31940-26AE-4583-881E-35BE7BAE99ED}"/>
    <cellStyle name="40 % - Markeringsfarve2 4 3" xfId="6725" xr:uid="{00000000-0005-0000-0000-000009010000}"/>
    <cellStyle name="40 % - Markeringsfarve2 4 3 2" xfId="9393" xr:uid="{C1C22DA0-EB20-4C27-821D-25A40A0C1AA4}"/>
    <cellStyle name="40 % - Markeringsfarve2 4 3 2 2" xfId="14783" xr:uid="{7BFA4060-75D2-406E-BE56-E4BC8D442B4A}"/>
    <cellStyle name="40 % - Markeringsfarve2 4 3 3" xfId="12030" xr:uid="{51782DCE-EE25-4D81-97F8-B24994F22533}"/>
    <cellStyle name="40 % - Markeringsfarve2 4 4" xfId="8062" xr:uid="{907CFEAF-0F02-4D3D-93AA-D24538357AF4}"/>
    <cellStyle name="40 % - Markeringsfarve2 4 4 2" xfId="13421" xr:uid="{37FCB1F5-72AA-4E9A-BCDD-61F376788697}"/>
    <cellStyle name="40 % - Markeringsfarve2 4 5" xfId="10699" xr:uid="{89061802-596B-46A8-99D2-16BDA0159311}"/>
    <cellStyle name="40 % - Markeringsfarve2 5" xfId="3537" xr:uid="{00000000-0005-0000-0000-00000A010000}"/>
    <cellStyle name="40 % - Markeringsfarve2 5 2" xfId="4179" xr:uid="{00000000-0005-0000-0000-00000B010000}"/>
    <cellStyle name="40 % - Markeringsfarve2 5 2 2" xfId="7347" xr:uid="{00000000-0005-0000-0000-00000C010000}"/>
    <cellStyle name="40 % - Markeringsfarve2 5 2 2 2" xfId="10015" xr:uid="{98409D2C-3CA1-4288-8D76-865245AAF05E}"/>
    <cellStyle name="40 % - Markeringsfarve2 5 2 2 2 2" xfId="15405" xr:uid="{3B8657B8-48E3-4EC3-9F99-F9DED84C824B}"/>
    <cellStyle name="40 % - Markeringsfarve2 5 2 2 3" xfId="12652" xr:uid="{74B64B73-472D-4957-909D-EE7477BF1A9D}"/>
    <cellStyle name="40 % - Markeringsfarve2 5 2 3" xfId="8684" xr:uid="{2CFA445B-2E31-4550-962A-3BA88D7C0F0B}"/>
    <cellStyle name="40 % - Markeringsfarve2 5 2 3 2" xfId="14043" xr:uid="{4A6726AD-A520-4AFF-B158-7E79C4ADCA1C}"/>
    <cellStyle name="40 % - Markeringsfarve2 5 2 4" xfId="11321" xr:uid="{4A222700-EF3E-44FD-B284-E329F6FFCD1E}"/>
    <cellStyle name="40 % - Markeringsfarve2 5 3" xfId="6724" xr:uid="{00000000-0005-0000-0000-00000D010000}"/>
    <cellStyle name="40 % - Markeringsfarve2 5 3 2" xfId="9392" xr:uid="{B39278CD-6170-4755-AC23-9FBE265E209F}"/>
    <cellStyle name="40 % - Markeringsfarve2 5 3 2 2" xfId="14782" xr:uid="{7162C670-B424-4F20-B2F4-81DEB86EE1B4}"/>
    <cellStyle name="40 % - Markeringsfarve2 5 3 3" xfId="12029" xr:uid="{DC578306-3D9B-4719-B8B5-63DFE7F32906}"/>
    <cellStyle name="40 % - Markeringsfarve2 5 4" xfId="8061" xr:uid="{201B43C8-6877-4753-8332-37F77B4A5B44}"/>
    <cellStyle name="40 % - Markeringsfarve2 5 4 2" xfId="13420" xr:uid="{7427C5F5-A760-4767-A182-031EE054150C}"/>
    <cellStyle name="40 % - Markeringsfarve2 5 5" xfId="10698" xr:uid="{A717B57A-DA5A-4267-A2EB-88ED4F9E569D}"/>
    <cellStyle name="40 % - Markeringsfarve2 6" xfId="3536" xr:uid="{00000000-0005-0000-0000-00000E010000}"/>
    <cellStyle name="40 % - Markeringsfarve2 6 2" xfId="4178" xr:uid="{00000000-0005-0000-0000-00000F010000}"/>
    <cellStyle name="40 % - Markeringsfarve2 6 2 2" xfId="7346" xr:uid="{00000000-0005-0000-0000-000010010000}"/>
    <cellStyle name="40 % - Markeringsfarve2 6 2 2 2" xfId="10014" xr:uid="{3B9F7A8B-2DAF-41A7-82FE-8948796D3082}"/>
    <cellStyle name="40 % - Markeringsfarve2 6 2 2 2 2" xfId="15404" xr:uid="{CB533BB9-AB5F-42D7-AC17-8147728FBEBF}"/>
    <cellStyle name="40 % - Markeringsfarve2 6 2 2 3" xfId="12651" xr:uid="{F4BA60C3-66F5-408A-B425-61F5B0B6693E}"/>
    <cellStyle name="40 % - Markeringsfarve2 6 2 3" xfId="8683" xr:uid="{D2DE641C-FFBA-42FE-A01D-1D37DB88D80A}"/>
    <cellStyle name="40 % - Markeringsfarve2 6 2 3 2" xfId="14042" xr:uid="{327CCDB4-30ED-4417-A534-2BC5EDCD957F}"/>
    <cellStyle name="40 % - Markeringsfarve2 6 2 4" xfId="11320" xr:uid="{7C855D71-B49A-4C0B-BA38-78EAE6CE5C39}"/>
    <cellStyle name="40 % - Markeringsfarve2 6 3" xfId="6723" xr:uid="{00000000-0005-0000-0000-000011010000}"/>
    <cellStyle name="40 % - Markeringsfarve2 6 3 2" xfId="9391" xr:uid="{86C17FBF-D593-4AB5-B2C9-BB06BAF5F49E}"/>
    <cellStyle name="40 % - Markeringsfarve2 6 3 2 2" xfId="14781" xr:uid="{FB4CC11D-5C6C-40D5-8E6E-C0850805CB53}"/>
    <cellStyle name="40 % - Markeringsfarve2 6 3 3" xfId="12028" xr:uid="{C5946F8C-9FA6-4DB4-B052-438A8F0CEF7E}"/>
    <cellStyle name="40 % - Markeringsfarve2 6 4" xfId="8060" xr:uid="{ABE3F922-93B1-4CD2-8BA5-4A1843E8D66F}"/>
    <cellStyle name="40 % - Markeringsfarve2 6 4 2" xfId="13419" xr:uid="{C027728A-C79C-40EB-ACEB-215D829C557C}"/>
    <cellStyle name="40 % - Markeringsfarve2 6 5" xfId="10697" xr:uid="{44EE28C0-BD4D-4DA8-87F2-67696B22EBD3}"/>
    <cellStyle name="40 % - Markeringsfarve2 7" xfId="4162" xr:uid="{00000000-0005-0000-0000-000012010000}"/>
    <cellStyle name="40 % - Markeringsfarve2 7 2" xfId="7330" xr:uid="{00000000-0005-0000-0000-000013010000}"/>
    <cellStyle name="40 % - Markeringsfarve2 7 2 2" xfId="9998" xr:uid="{B0B9C910-20D4-46E6-ACFE-45EEBEEEDFA1}"/>
    <cellStyle name="40 % - Markeringsfarve2 7 2 2 2" xfId="15388" xr:uid="{307D7BBE-3138-4923-A448-ADDA8D412E68}"/>
    <cellStyle name="40 % - Markeringsfarve2 7 2 3" xfId="12635" xr:uid="{DC4AE871-AC9A-486C-A812-045D36B5EEBC}"/>
    <cellStyle name="40 % - Markeringsfarve2 7 3" xfId="8667" xr:uid="{E5379380-CDB9-44A7-B612-21C54887E5B7}"/>
    <cellStyle name="40 % - Markeringsfarve2 7 3 2" xfId="14026" xr:uid="{6616A337-CA40-4FD0-BAF0-0D82D68AD660}"/>
    <cellStyle name="40 % - Markeringsfarve2 7 4" xfId="11304" xr:uid="{34A39302-92CA-4D01-A4E3-DAF7192EB31A}"/>
    <cellStyle name="40 % - Markeringsfarve3 2" xfId="3535" xr:uid="{00000000-0005-0000-0000-000014010000}"/>
    <cellStyle name="40 % - Markeringsfarve3 2 2" xfId="3534" xr:uid="{00000000-0005-0000-0000-000015010000}"/>
    <cellStyle name="40 % - Markeringsfarve3 2 2 2" xfId="4176" xr:uid="{00000000-0005-0000-0000-000016010000}"/>
    <cellStyle name="40 % - Markeringsfarve3 2 2 2 2" xfId="7344" xr:uid="{00000000-0005-0000-0000-000017010000}"/>
    <cellStyle name="40 % - Markeringsfarve3 2 2 2 2 2" xfId="10012" xr:uid="{48E5B9F7-31DA-4554-8031-DBD2339EDBA1}"/>
    <cellStyle name="40 % - Markeringsfarve3 2 2 2 2 2 2" xfId="15402" xr:uid="{27727260-6ABA-432C-979C-22FC942BCD63}"/>
    <cellStyle name="40 % - Markeringsfarve3 2 2 2 2 3" xfId="12649" xr:uid="{C8E5FAD7-8F79-4A6E-8164-80C3CCF799D3}"/>
    <cellStyle name="40 % - Markeringsfarve3 2 2 2 3" xfId="8681" xr:uid="{67E8BFA3-C7A7-449D-A080-63035CCAA4B6}"/>
    <cellStyle name="40 % - Markeringsfarve3 2 2 2 3 2" xfId="14040" xr:uid="{D693BD87-D8F2-45D1-871F-85B2DAAA2170}"/>
    <cellStyle name="40 % - Markeringsfarve3 2 2 2 4" xfId="11318" xr:uid="{1DD621A1-E254-4824-BF5B-E5C46DFD3555}"/>
    <cellStyle name="40 % - Markeringsfarve3 2 2 3" xfId="6721" xr:uid="{00000000-0005-0000-0000-000018010000}"/>
    <cellStyle name="40 % - Markeringsfarve3 2 2 3 2" xfId="9389" xr:uid="{14E5C00E-02DD-45ED-A72A-56244B69C317}"/>
    <cellStyle name="40 % - Markeringsfarve3 2 2 3 2 2" xfId="14779" xr:uid="{BDEDB837-8432-43EC-A296-F14D291F6C3D}"/>
    <cellStyle name="40 % - Markeringsfarve3 2 2 3 3" xfId="12026" xr:uid="{4CE15EEC-72B6-4626-B5D1-E6DF66FA5DD2}"/>
    <cellStyle name="40 % - Markeringsfarve3 2 2 4" xfId="8058" xr:uid="{0813C305-E89C-469F-ACA2-2A8D76020261}"/>
    <cellStyle name="40 % - Markeringsfarve3 2 2 4 2" xfId="13417" xr:uid="{F3C5151F-5271-417F-8D15-1E68000C24C0}"/>
    <cellStyle name="40 % - Markeringsfarve3 2 2 5" xfId="10695" xr:uid="{AB531C4F-A59E-4996-94C1-877D4C4FA3E1}"/>
    <cellStyle name="40 % - Markeringsfarve3 2 3" xfId="3589" xr:uid="{00000000-0005-0000-0000-000019010000}"/>
    <cellStyle name="40 % - Markeringsfarve3 2 3 2" xfId="4231" xr:uid="{00000000-0005-0000-0000-00001A010000}"/>
    <cellStyle name="40 % - Markeringsfarve3 2 3 2 2" xfId="7399" xr:uid="{00000000-0005-0000-0000-00001B010000}"/>
    <cellStyle name="40 % - Markeringsfarve3 2 3 2 2 2" xfId="10067" xr:uid="{5210F996-35C2-4840-B3A1-22B155969EC9}"/>
    <cellStyle name="40 % - Markeringsfarve3 2 3 2 2 2 2" xfId="15457" xr:uid="{65A21F23-E967-4DA9-85CE-B76B9B67D45A}"/>
    <cellStyle name="40 % - Markeringsfarve3 2 3 2 2 3" xfId="12704" xr:uid="{CBDCE161-AE39-44A0-A3DB-D3C61BE2706E}"/>
    <cellStyle name="40 % - Markeringsfarve3 2 3 2 3" xfId="8736" xr:uid="{97A7287F-BDFE-442C-81B5-9224AFD15A10}"/>
    <cellStyle name="40 % - Markeringsfarve3 2 3 2 3 2" xfId="14095" xr:uid="{7164F14D-66CC-4A95-A400-55B421290F82}"/>
    <cellStyle name="40 % - Markeringsfarve3 2 3 2 4" xfId="11373" xr:uid="{28E585C8-8046-4EF2-B6B6-68AAAC06B5B0}"/>
    <cellStyle name="40 % - Markeringsfarve3 2 3 3" xfId="6776" xr:uid="{00000000-0005-0000-0000-00001C010000}"/>
    <cellStyle name="40 % - Markeringsfarve3 2 3 3 2" xfId="9444" xr:uid="{F3525F36-EE24-4D9A-B9E7-E32CB6ED83E9}"/>
    <cellStyle name="40 % - Markeringsfarve3 2 3 3 2 2" xfId="14834" xr:uid="{95A62BB5-9D18-4C6F-A542-16D68D48B674}"/>
    <cellStyle name="40 % - Markeringsfarve3 2 3 3 3" xfId="12081" xr:uid="{775070D0-0245-4B9F-8462-F413001E7811}"/>
    <cellStyle name="40 % - Markeringsfarve3 2 3 4" xfId="8113" xr:uid="{3A819DB7-AC17-40B8-B1A8-EAFC5571B65D}"/>
    <cellStyle name="40 % - Markeringsfarve3 2 3 4 2" xfId="13472" xr:uid="{90F127F8-3E77-4C7E-84B8-1816EED9B8E2}"/>
    <cellStyle name="40 % - Markeringsfarve3 2 3 5" xfId="10750" xr:uid="{E0D7E20B-AB3D-4F1A-B391-AB3F906E48E0}"/>
    <cellStyle name="40 % - Markeringsfarve3 2 4" xfId="4177" xr:uid="{00000000-0005-0000-0000-00001D010000}"/>
    <cellStyle name="40 % - Markeringsfarve3 2 4 2" xfId="7345" xr:uid="{00000000-0005-0000-0000-00001E010000}"/>
    <cellStyle name="40 % - Markeringsfarve3 2 4 2 2" xfId="10013" xr:uid="{B1E8EB27-7678-4E33-9201-7C53484471D0}"/>
    <cellStyle name="40 % - Markeringsfarve3 2 4 2 2 2" xfId="15403" xr:uid="{DE725645-F89A-49AA-9EA4-962E5B6CF519}"/>
    <cellStyle name="40 % - Markeringsfarve3 2 4 2 3" xfId="12650" xr:uid="{FF9CAFC6-B59B-42DF-9C81-1A97F2C5C449}"/>
    <cellStyle name="40 % - Markeringsfarve3 2 4 3" xfId="8682" xr:uid="{7194FB5D-4EEE-4413-8582-284CB086C009}"/>
    <cellStyle name="40 % - Markeringsfarve3 2 4 3 2" xfId="14041" xr:uid="{BFE0A83B-4C97-4E1E-B97E-71745D28B71E}"/>
    <cellStyle name="40 % - Markeringsfarve3 2 4 4" xfId="11319" xr:uid="{F707D38C-5A52-4D9B-84F7-C4C7764E8692}"/>
    <cellStyle name="40 % - Markeringsfarve3 2 5" xfId="6722" xr:uid="{00000000-0005-0000-0000-00001F010000}"/>
    <cellStyle name="40 % - Markeringsfarve3 2 5 2" xfId="9390" xr:uid="{0796809C-36EA-4401-B1A8-A728F20701C8}"/>
    <cellStyle name="40 % - Markeringsfarve3 2 5 2 2" xfId="14780" xr:uid="{5A584D8A-9332-4270-AF42-05BF70AE08B4}"/>
    <cellStyle name="40 % - Markeringsfarve3 2 5 3" xfId="12027" xr:uid="{A7801343-1D53-41D6-9AF1-0193BBBCBC36}"/>
    <cellStyle name="40 % - Markeringsfarve3 2 6" xfId="8059" xr:uid="{37C03EA6-F9A2-4789-A7A2-CCDDF35E2F62}"/>
    <cellStyle name="40 % - Markeringsfarve3 2 6 2" xfId="13418" xr:uid="{4215E364-6B84-4EBF-A01A-E3CBA1FFF372}"/>
    <cellStyle name="40 % - Markeringsfarve3 2 7" xfId="10696" xr:uid="{E6666BF6-1E35-42B9-BAB1-55DD2FCD3E70}"/>
    <cellStyle name="40 % - Markeringsfarve3 3" xfId="3590" xr:uid="{00000000-0005-0000-0000-000020010000}"/>
    <cellStyle name="40 % - Markeringsfarve3 3 2" xfId="4232" xr:uid="{00000000-0005-0000-0000-000021010000}"/>
    <cellStyle name="40 % - Markeringsfarve3 3 2 2" xfId="7400" xr:uid="{00000000-0005-0000-0000-000022010000}"/>
    <cellStyle name="40 % - Markeringsfarve3 3 2 2 2" xfId="10068" xr:uid="{04C36A2E-59D5-4FC4-8C1D-28CC0ED29B53}"/>
    <cellStyle name="40 % - Markeringsfarve3 3 2 2 2 2" xfId="15458" xr:uid="{A11B156F-CF98-433F-8B83-702078866223}"/>
    <cellStyle name="40 % - Markeringsfarve3 3 2 2 3" xfId="12705" xr:uid="{29DA265D-E135-406D-9399-C022E14826E4}"/>
    <cellStyle name="40 % - Markeringsfarve3 3 2 3" xfId="8737" xr:uid="{C3E6AFC7-F45B-4C65-89C5-6533591B9537}"/>
    <cellStyle name="40 % - Markeringsfarve3 3 2 3 2" xfId="14096" xr:uid="{7441FD6A-DB9F-41F2-894E-3444FE376513}"/>
    <cellStyle name="40 % - Markeringsfarve3 3 2 4" xfId="11374" xr:uid="{0047215A-11BE-4261-B4BD-97492DD6F088}"/>
    <cellStyle name="40 % - Markeringsfarve3 3 3" xfId="6777" xr:uid="{00000000-0005-0000-0000-000023010000}"/>
    <cellStyle name="40 % - Markeringsfarve3 3 3 2" xfId="9445" xr:uid="{285870E0-D208-4330-A39E-E73F80E54B20}"/>
    <cellStyle name="40 % - Markeringsfarve3 3 3 2 2" xfId="14835" xr:uid="{75D5CCD8-F703-44AA-8DDA-3CAB5419F5AE}"/>
    <cellStyle name="40 % - Markeringsfarve3 3 3 3" xfId="12082" xr:uid="{EDF93E3E-866E-49AA-82CC-7AACA9FD72A2}"/>
    <cellStyle name="40 % - Markeringsfarve3 3 4" xfId="8114" xr:uid="{87BBB135-1DA2-4EFE-8397-2F3297E21DAB}"/>
    <cellStyle name="40 % - Markeringsfarve3 3 4 2" xfId="13473" xr:uid="{22FAFCCB-2826-4493-A97B-24C5825DA353}"/>
    <cellStyle name="40 % - Markeringsfarve3 3 5" xfId="10751" xr:uid="{0E00FAD5-E0EB-4FEF-9EF0-EF8C5DB41614}"/>
    <cellStyle name="40 % - Markeringsfarve3 4" xfId="3591" xr:uid="{00000000-0005-0000-0000-000024010000}"/>
    <cellStyle name="40 % - Markeringsfarve3 4 2" xfId="4233" xr:uid="{00000000-0005-0000-0000-000025010000}"/>
    <cellStyle name="40 % - Markeringsfarve3 4 2 2" xfId="7401" xr:uid="{00000000-0005-0000-0000-000026010000}"/>
    <cellStyle name="40 % - Markeringsfarve3 4 2 2 2" xfId="10069" xr:uid="{A9790FA1-0FA3-4765-B070-E9B3B011F92C}"/>
    <cellStyle name="40 % - Markeringsfarve3 4 2 2 2 2" xfId="15459" xr:uid="{C961FA3E-AE8A-4C3E-BD08-D6CC4269C378}"/>
    <cellStyle name="40 % - Markeringsfarve3 4 2 2 3" xfId="12706" xr:uid="{344B3370-42AB-49AF-A76F-F98DB2F90318}"/>
    <cellStyle name="40 % - Markeringsfarve3 4 2 3" xfId="8738" xr:uid="{6CDF9DF5-4F6A-4370-AE60-71F941E486E4}"/>
    <cellStyle name="40 % - Markeringsfarve3 4 2 3 2" xfId="14097" xr:uid="{08C89F0B-6377-40E1-9C5B-CDC8BA227843}"/>
    <cellStyle name="40 % - Markeringsfarve3 4 2 4" xfId="11375" xr:uid="{C99103C7-D965-4E43-8190-4822AE90CC51}"/>
    <cellStyle name="40 % - Markeringsfarve3 4 3" xfId="6778" xr:uid="{00000000-0005-0000-0000-000027010000}"/>
    <cellStyle name="40 % - Markeringsfarve3 4 3 2" xfId="9446" xr:uid="{D18C63D9-D559-41A0-A6F4-3139F75CD8D2}"/>
    <cellStyle name="40 % - Markeringsfarve3 4 3 2 2" xfId="14836" xr:uid="{CF333816-03C7-4C75-B470-8372BA3A19C8}"/>
    <cellStyle name="40 % - Markeringsfarve3 4 3 3" xfId="12083" xr:uid="{929F5CC0-C498-4C0C-85F2-D21FEFFD4C17}"/>
    <cellStyle name="40 % - Markeringsfarve3 4 4" xfId="8115" xr:uid="{3BA9E4F5-00E8-4732-9CE6-EC2ED97CDCAB}"/>
    <cellStyle name="40 % - Markeringsfarve3 4 4 2" xfId="13474" xr:uid="{B34AD91E-AAD1-43A2-B920-C6559D739D37}"/>
    <cellStyle name="40 % - Markeringsfarve3 4 5" xfId="10752" xr:uid="{59189D46-F8CA-4F18-B9FA-23170EFC0F52}"/>
    <cellStyle name="40 % - Markeringsfarve3 5" xfId="3592" xr:uid="{00000000-0005-0000-0000-000028010000}"/>
    <cellStyle name="40 % - Markeringsfarve3 5 2" xfId="4234" xr:uid="{00000000-0005-0000-0000-000029010000}"/>
    <cellStyle name="40 % - Markeringsfarve3 5 2 2" xfId="7402" xr:uid="{00000000-0005-0000-0000-00002A010000}"/>
    <cellStyle name="40 % - Markeringsfarve3 5 2 2 2" xfId="10070" xr:uid="{C364269C-EB00-466C-819A-6112FE0C19EB}"/>
    <cellStyle name="40 % - Markeringsfarve3 5 2 2 2 2" xfId="15460" xr:uid="{5FD63307-70A1-48E4-80DA-C8DF0D2CD545}"/>
    <cellStyle name="40 % - Markeringsfarve3 5 2 2 3" xfId="12707" xr:uid="{27F41B5E-D5F8-4595-AC7E-29B49F80328B}"/>
    <cellStyle name="40 % - Markeringsfarve3 5 2 3" xfId="8739" xr:uid="{1E6412BE-1291-4206-BF6E-F192532F4CE1}"/>
    <cellStyle name="40 % - Markeringsfarve3 5 2 3 2" xfId="14098" xr:uid="{8718C4A8-CBD8-4D76-8CA2-9F7AF74B0D49}"/>
    <cellStyle name="40 % - Markeringsfarve3 5 2 4" xfId="11376" xr:uid="{9D486174-8EBE-42F4-8978-E28179D4CE14}"/>
    <cellStyle name="40 % - Markeringsfarve3 5 3" xfId="6779" xr:uid="{00000000-0005-0000-0000-00002B010000}"/>
    <cellStyle name="40 % - Markeringsfarve3 5 3 2" xfId="9447" xr:uid="{834E8DB4-92A2-400D-9DD4-63493ACA2C8D}"/>
    <cellStyle name="40 % - Markeringsfarve3 5 3 2 2" xfId="14837" xr:uid="{89439987-FCAD-4525-BE3F-AD29F03CC2EB}"/>
    <cellStyle name="40 % - Markeringsfarve3 5 3 3" xfId="12084" xr:uid="{0479B408-F0A3-4CF9-92D6-425724457DEA}"/>
    <cellStyle name="40 % - Markeringsfarve3 5 4" xfId="8116" xr:uid="{C08A45CC-B105-4235-BA43-9797823AF91F}"/>
    <cellStyle name="40 % - Markeringsfarve3 5 4 2" xfId="13475" xr:uid="{0F0C9058-978F-470F-A07F-92E16EA95330}"/>
    <cellStyle name="40 % - Markeringsfarve3 5 5" xfId="10753" xr:uid="{9868D2F1-7185-4487-8CDA-EBFC0B7CFC9C}"/>
    <cellStyle name="40 % - Markeringsfarve3 6" xfId="3593" xr:uid="{00000000-0005-0000-0000-00002C010000}"/>
    <cellStyle name="40 % - Markeringsfarve3 6 2" xfId="4235" xr:uid="{00000000-0005-0000-0000-00002D010000}"/>
    <cellStyle name="40 % - Markeringsfarve3 6 2 2" xfId="7403" xr:uid="{00000000-0005-0000-0000-00002E010000}"/>
    <cellStyle name="40 % - Markeringsfarve3 6 2 2 2" xfId="10071" xr:uid="{0046F002-71FD-47A3-B794-88DB45341DA5}"/>
    <cellStyle name="40 % - Markeringsfarve3 6 2 2 2 2" xfId="15461" xr:uid="{EB30C0BD-361B-48CB-ADD5-D77905657060}"/>
    <cellStyle name="40 % - Markeringsfarve3 6 2 2 3" xfId="12708" xr:uid="{9442C0DE-6694-4607-96E0-8E1715B1E135}"/>
    <cellStyle name="40 % - Markeringsfarve3 6 2 3" xfId="8740" xr:uid="{BB3453A3-0D38-4013-93A4-04D86E1D8E71}"/>
    <cellStyle name="40 % - Markeringsfarve3 6 2 3 2" xfId="14099" xr:uid="{09062C8D-F820-4B80-9546-76BB83788EC4}"/>
    <cellStyle name="40 % - Markeringsfarve3 6 2 4" xfId="11377" xr:uid="{332A01ED-A7AE-40B1-A903-BEAB443A77CD}"/>
    <cellStyle name="40 % - Markeringsfarve3 6 3" xfId="6780" xr:uid="{00000000-0005-0000-0000-00002F010000}"/>
    <cellStyle name="40 % - Markeringsfarve3 6 3 2" xfId="9448" xr:uid="{C226B186-D8CD-450A-8ED5-F738A36AC496}"/>
    <cellStyle name="40 % - Markeringsfarve3 6 3 2 2" xfId="14838" xr:uid="{49E385E4-8656-422B-9CC8-AFE183A666E7}"/>
    <cellStyle name="40 % - Markeringsfarve3 6 3 3" xfId="12085" xr:uid="{D3E76468-464C-41DE-BA4D-856083A5E1A0}"/>
    <cellStyle name="40 % - Markeringsfarve3 6 4" xfId="8117" xr:uid="{8809AE24-1A3B-4727-B440-D7E868FF7031}"/>
    <cellStyle name="40 % - Markeringsfarve3 6 4 2" xfId="13476" xr:uid="{925F5123-6959-4FB9-B631-36C14CA384E7}"/>
    <cellStyle name="40 % - Markeringsfarve3 6 5" xfId="10754" xr:uid="{311DD6C7-BF51-459B-81C5-56F957B32DF2}"/>
    <cellStyle name="40 % - Markeringsfarve3 7" xfId="4164" xr:uid="{00000000-0005-0000-0000-000030010000}"/>
    <cellStyle name="40 % - Markeringsfarve3 7 2" xfId="7332" xr:uid="{00000000-0005-0000-0000-000031010000}"/>
    <cellStyle name="40 % - Markeringsfarve3 7 2 2" xfId="10000" xr:uid="{E6DE10FD-57DD-424A-871E-3C6FD14589CC}"/>
    <cellStyle name="40 % - Markeringsfarve3 7 2 2 2" xfId="15390" xr:uid="{60146A58-5AC6-4FE7-A802-D9337FB3C8E3}"/>
    <cellStyle name="40 % - Markeringsfarve3 7 2 3" xfId="12637" xr:uid="{28DCB60F-F637-44D8-ACA5-865EB3F4B177}"/>
    <cellStyle name="40 % - Markeringsfarve3 7 3" xfId="8669" xr:uid="{21A30B21-DB0E-44F7-B239-5FBBA9E4ADEC}"/>
    <cellStyle name="40 % - Markeringsfarve3 7 3 2" xfId="14028" xr:uid="{48F90208-95C7-4416-81AA-4BB59138AB0D}"/>
    <cellStyle name="40 % - Markeringsfarve3 7 4" xfId="11306" xr:uid="{3D4D3CC2-AC4F-4A59-A58C-532A5C8F9149}"/>
    <cellStyle name="40 % - Markeringsfarve4 2" xfId="3594" xr:uid="{00000000-0005-0000-0000-000032010000}"/>
    <cellStyle name="40 % - Markeringsfarve4 2 2" xfId="3595" xr:uid="{00000000-0005-0000-0000-000033010000}"/>
    <cellStyle name="40 % - Markeringsfarve4 2 2 2" xfId="4237" xr:uid="{00000000-0005-0000-0000-000034010000}"/>
    <cellStyle name="40 % - Markeringsfarve4 2 2 2 2" xfId="7405" xr:uid="{00000000-0005-0000-0000-000035010000}"/>
    <cellStyle name="40 % - Markeringsfarve4 2 2 2 2 2" xfId="10073" xr:uid="{33E214A7-D7ED-4E55-8319-30ED1DB8F89B}"/>
    <cellStyle name="40 % - Markeringsfarve4 2 2 2 2 2 2" xfId="15463" xr:uid="{EA0177CC-7579-43D3-B12D-B0804B16B3DA}"/>
    <cellStyle name="40 % - Markeringsfarve4 2 2 2 2 3" xfId="12710" xr:uid="{BC89080F-B54C-4939-B2C4-CEB52C21B587}"/>
    <cellStyle name="40 % - Markeringsfarve4 2 2 2 3" xfId="8742" xr:uid="{E873606A-9D4D-4A60-A8C8-DF0D48BBF458}"/>
    <cellStyle name="40 % - Markeringsfarve4 2 2 2 3 2" xfId="14101" xr:uid="{29678391-01B9-4333-A5BD-A85200BB12A8}"/>
    <cellStyle name="40 % - Markeringsfarve4 2 2 2 4" xfId="11379" xr:uid="{62585255-74DC-4F8E-978C-7086DB23EC46}"/>
    <cellStyle name="40 % - Markeringsfarve4 2 2 3" xfId="6782" xr:uid="{00000000-0005-0000-0000-000036010000}"/>
    <cellStyle name="40 % - Markeringsfarve4 2 2 3 2" xfId="9450" xr:uid="{791BCBF0-12DB-470D-B916-4E96FCA32E17}"/>
    <cellStyle name="40 % - Markeringsfarve4 2 2 3 2 2" xfId="14840" xr:uid="{BA53D5D4-62E1-4E95-854A-799782DFD0D1}"/>
    <cellStyle name="40 % - Markeringsfarve4 2 2 3 3" xfId="12087" xr:uid="{8688E579-8F62-4809-AA24-724A41513629}"/>
    <cellStyle name="40 % - Markeringsfarve4 2 2 4" xfId="8119" xr:uid="{2BC5F18B-3F69-4721-BE04-7E8BEB91B62F}"/>
    <cellStyle name="40 % - Markeringsfarve4 2 2 4 2" xfId="13478" xr:uid="{40A8CB67-25EE-4489-8689-F98666F45CF2}"/>
    <cellStyle name="40 % - Markeringsfarve4 2 2 5" xfId="10756" xr:uid="{0EDE2DF5-9D19-487F-8BE3-E4EDC6CE3297}"/>
    <cellStyle name="40 % - Markeringsfarve4 2 3" xfId="3596" xr:uid="{00000000-0005-0000-0000-000037010000}"/>
    <cellStyle name="40 % - Markeringsfarve4 2 3 2" xfId="4238" xr:uid="{00000000-0005-0000-0000-000038010000}"/>
    <cellStyle name="40 % - Markeringsfarve4 2 3 2 2" xfId="7406" xr:uid="{00000000-0005-0000-0000-000039010000}"/>
    <cellStyle name="40 % - Markeringsfarve4 2 3 2 2 2" xfId="10074" xr:uid="{6D8687F5-2CA9-43BC-8622-BE45199EB78E}"/>
    <cellStyle name="40 % - Markeringsfarve4 2 3 2 2 2 2" xfId="15464" xr:uid="{3F6E0A8E-8F33-45A1-97BE-0F344C027AC6}"/>
    <cellStyle name="40 % - Markeringsfarve4 2 3 2 2 3" xfId="12711" xr:uid="{0F4FAE44-5D08-49BA-8174-EADE24E4861E}"/>
    <cellStyle name="40 % - Markeringsfarve4 2 3 2 3" xfId="8743" xr:uid="{0C40A1C3-A8AC-4D6F-8964-BC49CA869B58}"/>
    <cellStyle name="40 % - Markeringsfarve4 2 3 2 3 2" xfId="14102" xr:uid="{E966F1BE-7405-467A-930E-CE95613B5F81}"/>
    <cellStyle name="40 % - Markeringsfarve4 2 3 2 4" xfId="11380" xr:uid="{F05EDFC3-8E8A-48B1-A11B-C6794C0EFC74}"/>
    <cellStyle name="40 % - Markeringsfarve4 2 3 3" xfId="6783" xr:uid="{00000000-0005-0000-0000-00003A010000}"/>
    <cellStyle name="40 % - Markeringsfarve4 2 3 3 2" xfId="9451" xr:uid="{5A77B52C-95AE-4433-9241-111434C2FDB1}"/>
    <cellStyle name="40 % - Markeringsfarve4 2 3 3 2 2" xfId="14841" xr:uid="{BF69D654-7208-4C32-8FBF-2D237525AC89}"/>
    <cellStyle name="40 % - Markeringsfarve4 2 3 3 3" xfId="12088" xr:uid="{9165F6AB-4BE3-4B54-B39E-3E170AC2F20A}"/>
    <cellStyle name="40 % - Markeringsfarve4 2 3 4" xfId="8120" xr:uid="{0B56514B-9746-48C8-9672-B0578CCD7BC9}"/>
    <cellStyle name="40 % - Markeringsfarve4 2 3 4 2" xfId="13479" xr:uid="{181D4338-9E09-4993-934E-4910C8085564}"/>
    <cellStyle name="40 % - Markeringsfarve4 2 3 5" xfId="10757" xr:uid="{EB0BF43A-970F-4541-BD37-52C17C4DC228}"/>
    <cellStyle name="40 % - Markeringsfarve4 2 4" xfId="4236" xr:uid="{00000000-0005-0000-0000-00003B010000}"/>
    <cellStyle name="40 % - Markeringsfarve4 2 4 2" xfId="7404" xr:uid="{00000000-0005-0000-0000-00003C010000}"/>
    <cellStyle name="40 % - Markeringsfarve4 2 4 2 2" xfId="10072" xr:uid="{41273CD8-175D-4AAF-8542-2BF384BE5388}"/>
    <cellStyle name="40 % - Markeringsfarve4 2 4 2 2 2" xfId="15462" xr:uid="{9A34ACE6-E90E-4B91-9807-C2504E7A1CBC}"/>
    <cellStyle name="40 % - Markeringsfarve4 2 4 2 3" xfId="12709" xr:uid="{20F28F32-0855-4742-B9D2-B56329A224DD}"/>
    <cellStyle name="40 % - Markeringsfarve4 2 4 3" xfId="8741" xr:uid="{D1FFBDD7-8D37-4533-94BE-1CD91FB264F6}"/>
    <cellStyle name="40 % - Markeringsfarve4 2 4 3 2" xfId="14100" xr:uid="{58FCF410-823F-4636-A550-A342CEE4027C}"/>
    <cellStyle name="40 % - Markeringsfarve4 2 4 4" xfId="11378" xr:uid="{3383F259-B5C6-4789-9BB3-92C24FD56AF7}"/>
    <cellStyle name="40 % - Markeringsfarve4 2 5" xfId="6781" xr:uid="{00000000-0005-0000-0000-00003D010000}"/>
    <cellStyle name="40 % - Markeringsfarve4 2 5 2" xfId="9449" xr:uid="{06DC209D-C065-42D4-B33F-96846310DC9A}"/>
    <cellStyle name="40 % - Markeringsfarve4 2 5 2 2" xfId="14839" xr:uid="{E8571168-4573-43FE-8A84-D3297613B42A}"/>
    <cellStyle name="40 % - Markeringsfarve4 2 5 3" xfId="12086" xr:uid="{94208ED0-D8EE-4E98-9A71-018B6C73F225}"/>
    <cellStyle name="40 % - Markeringsfarve4 2 6" xfId="8118" xr:uid="{C7E800D1-A0D5-4866-9ED8-8C1D392744AA}"/>
    <cellStyle name="40 % - Markeringsfarve4 2 6 2" xfId="13477" xr:uid="{0DEF7893-7927-49C9-8672-B014589F4F79}"/>
    <cellStyle name="40 % - Markeringsfarve4 2 7" xfId="10755" xr:uid="{DF513F1C-F252-4C5B-8DF7-2B560E8BC1E9}"/>
    <cellStyle name="40 % - Markeringsfarve4 3" xfId="3597" xr:uid="{00000000-0005-0000-0000-00003E010000}"/>
    <cellStyle name="40 % - Markeringsfarve4 3 2" xfId="4239" xr:uid="{00000000-0005-0000-0000-00003F010000}"/>
    <cellStyle name="40 % - Markeringsfarve4 3 2 2" xfId="7407" xr:uid="{00000000-0005-0000-0000-000040010000}"/>
    <cellStyle name="40 % - Markeringsfarve4 3 2 2 2" xfId="10075" xr:uid="{39363268-44F7-4ED4-A0F5-0A7C710B9507}"/>
    <cellStyle name="40 % - Markeringsfarve4 3 2 2 2 2" xfId="15465" xr:uid="{095302A6-6345-446C-A430-3DDB0C19901C}"/>
    <cellStyle name="40 % - Markeringsfarve4 3 2 2 3" xfId="12712" xr:uid="{1032E1B7-1784-4943-81AF-485493A85E16}"/>
    <cellStyle name="40 % - Markeringsfarve4 3 2 3" xfId="8744" xr:uid="{23953E7A-E178-42BB-8D1F-E25D40DDDD72}"/>
    <cellStyle name="40 % - Markeringsfarve4 3 2 3 2" xfId="14103" xr:uid="{6F7041CD-C276-4508-9F3F-EA9B6654FE81}"/>
    <cellStyle name="40 % - Markeringsfarve4 3 2 4" xfId="11381" xr:uid="{7586F4B4-CCD1-4B47-85E2-6FC4CA53528E}"/>
    <cellStyle name="40 % - Markeringsfarve4 3 3" xfId="6784" xr:uid="{00000000-0005-0000-0000-000041010000}"/>
    <cellStyle name="40 % - Markeringsfarve4 3 3 2" xfId="9452" xr:uid="{B63ECAB0-CD67-42FE-BDFA-0D8C2EB8822F}"/>
    <cellStyle name="40 % - Markeringsfarve4 3 3 2 2" xfId="14842" xr:uid="{71DDE760-E180-4562-9F34-D44F919CFD25}"/>
    <cellStyle name="40 % - Markeringsfarve4 3 3 3" xfId="12089" xr:uid="{24DB2525-6BDE-4620-ACE9-DE43B0F4ED0C}"/>
    <cellStyle name="40 % - Markeringsfarve4 3 4" xfId="8121" xr:uid="{3112D4FD-0578-4267-85C4-AC6344B842E4}"/>
    <cellStyle name="40 % - Markeringsfarve4 3 4 2" xfId="13480" xr:uid="{F707DF5B-72D4-4D70-8824-46525B4B0F88}"/>
    <cellStyle name="40 % - Markeringsfarve4 3 5" xfId="10758" xr:uid="{4BEBEBE4-E035-425B-ADD4-9E0E0111C066}"/>
    <cellStyle name="40 % - Markeringsfarve4 4" xfId="3598" xr:uid="{00000000-0005-0000-0000-000042010000}"/>
    <cellStyle name="40 % - Markeringsfarve4 4 2" xfId="4240" xr:uid="{00000000-0005-0000-0000-000043010000}"/>
    <cellStyle name="40 % - Markeringsfarve4 4 2 2" xfId="7408" xr:uid="{00000000-0005-0000-0000-000044010000}"/>
    <cellStyle name="40 % - Markeringsfarve4 4 2 2 2" xfId="10076" xr:uid="{21441A4C-BCED-4482-AF76-BEBD1E00A16A}"/>
    <cellStyle name="40 % - Markeringsfarve4 4 2 2 2 2" xfId="15466" xr:uid="{6717CCFC-1F07-40B5-9FF9-4B5A88B5A166}"/>
    <cellStyle name="40 % - Markeringsfarve4 4 2 2 3" xfId="12713" xr:uid="{6FDA223E-2C72-4482-91AA-E5F50D5E19E6}"/>
    <cellStyle name="40 % - Markeringsfarve4 4 2 3" xfId="8745" xr:uid="{5B4748E0-8068-42D5-8D22-1B8452EC1F13}"/>
    <cellStyle name="40 % - Markeringsfarve4 4 2 3 2" xfId="14104" xr:uid="{94275531-0C4B-4285-BFD7-763CFC5D5B5C}"/>
    <cellStyle name="40 % - Markeringsfarve4 4 2 4" xfId="11382" xr:uid="{2D444E49-49A9-4342-8D3A-C4F2512E2103}"/>
    <cellStyle name="40 % - Markeringsfarve4 4 3" xfId="6785" xr:uid="{00000000-0005-0000-0000-000045010000}"/>
    <cellStyle name="40 % - Markeringsfarve4 4 3 2" xfId="9453" xr:uid="{E9713FCE-8D61-40A0-A221-A9E4E407FFC9}"/>
    <cellStyle name="40 % - Markeringsfarve4 4 3 2 2" xfId="14843" xr:uid="{543AA95A-C0AA-4117-AAC9-2AD81944C26B}"/>
    <cellStyle name="40 % - Markeringsfarve4 4 3 3" xfId="12090" xr:uid="{A307536C-B89E-4649-9391-1D45EE8A9224}"/>
    <cellStyle name="40 % - Markeringsfarve4 4 4" xfId="8122" xr:uid="{F23EFC92-C59A-474F-A07D-C0F17BAEEC2D}"/>
    <cellStyle name="40 % - Markeringsfarve4 4 4 2" xfId="13481" xr:uid="{1D17412E-6F17-48CE-B444-7D010FF4B355}"/>
    <cellStyle name="40 % - Markeringsfarve4 4 5" xfId="10759" xr:uid="{DD5C14F1-B2B0-42C7-B309-4E4041A85764}"/>
    <cellStyle name="40 % - Markeringsfarve4 5" xfId="3599" xr:uid="{00000000-0005-0000-0000-000046010000}"/>
    <cellStyle name="40 % - Markeringsfarve4 5 2" xfId="4241" xr:uid="{00000000-0005-0000-0000-000047010000}"/>
    <cellStyle name="40 % - Markeringsfarve4 5 2 2" xfId="7409" xr:uid="{00000000-0005-0000-0000-000048010000}"/>
    <cellStyle name="40 % - Markeringsfarve4 5 2 2 2" xfId="10077" xr:uid="{25F0EA13-8C39-4AA3-A11D-23F9D3B86AF4}"/>
    <cellStyle name="40 % - Markeringsfarve4 5 2 2 2 2" xfId="15467" xr:uid="{16E2283E-9DE3-41BD-84A6-3B8EC101AE0E}"/>
    <cellStyle name="40 % - Markeringsfarve4 5 2 2 3" xfId="12714" xr:uid="{9C4999D1-21C2-445D-BB25-59C64906D695}"/>
    <cellStyle name="40 % - Markeringsfarve4 5 2 3" xfId="8746" xr:uid="{D5D3A65B-5878-44AF-A833-A9F6E98039D5}"/>
    <cellStyle name="40 % - Markeringsfarve4 5 2 3 2" xfId="14105" xr:uid="{7C3363A6-B41E-4329-AE8D-0A6C058ED99B}"/>
    <cellStyle name="40 % - Markeringsfarve4 5 2 4" xfId="11383" xr:uid="{83A3ACC5-0F19-4CA2-B5BB-09872667EF82}"/>
    <cellStyle name="40 % - Markeringsfarve4 5 3" xfId="6786" xr:uid="{00000000-0005-0000-0000-000049010000}"/>
    <cellStyle name="40 % - Markeringsfarve4 5 3 2" xfId="9454" xr:uid="{5DE8FEAB-2231-4053-9386-823F687AC532}"/>
    <cellStyle name="40 % - Markeringsfarve4 5 3 2 2" xfId="14844" xr:uid="{A7B4DC15-D751-4751-AB1F-E9B37C4088F0}"/>
    <cellStyle name="40 % - Markeringsfarve4 5 3 3" xfId="12091" xr:uid="{99D90710-A88E-450D-97D7-209DE67893A2}"/>
    <cellStyle name="40 % - Markeringsfarve4 5 4" xfId="8123" xr:uid="{5349C7BF-17B2-4037-AD46-3B61A163C8F0}"/>
    <cellStyle name="40 % - Markeringsfarve4 5 4 2" xfId="13482" xr:uid="{06071995-F489-4C37-85DE-9797C2405521}"/>
    <cellStyle name="40 % - Markeringsfarve4 5 5" xfId="10760" xr:uid="{463256AE-262E-45E2-9739-E269AB774FE4}"/>
    <cellStyle name="40 % - Markeringsfarve4 6" xfId="3600" xr:uid="{00000000-0005-0000-0000-00004A010000}"/>
    <cellStyle name="40 % - Markeringsfarve4 6 2" xfId="4242" xr:uid="{00000000-0005-0000-0000-00004B010000}"/>
    <cellStyle name="40 % - Markeringsfarve4 6 2 2" xfId="7410" xr:uid="{00000000-0005-0000-0000-00004C010000}"/>
    <cellStyle name="40 % - Markeringsfarve4 6 2 2 2" xfId="10078" xr:uid="{3CF57AC1-9582-42C9-9271-9CE283B48622}"/>
    <cellStyle name="40 % - Markeringsfarve4 6 2 2 2 2" xfId="15468" xr:uid="{8EEC7786-B343-4D6D-A033-CAE82FEF4806}"/>
    <cellStyle name="40 % - Markeringsfarve4 6 2 2 3" xfId="12715" xr:uid="{229F2B21-0C43-4CDB-96E9-3BE64560DA09}"/>
    <cellStyle name="40 % - Markeringsfarve4 6 2 3" xfId="8747" xr:uid="{DB39C10D-340D-4C34-A5C3-F3C0AE4A684B}"/>
    <cellStyle name="40 % - Markeringsfarve4 6 2 3 2" xfId="14106" xr:uid="{4B254191-3D23-475B-A9F3-70247701E89F}"/>
    <cellStyle name="40 % - Markeringsfarve4 6 2 4" xfId="11384" xr:uid="{5A0C42D5-9309-4AA7-AB24-4265C5245C16}"/>
    <cellStyle name="40 % - Markeringsfarve4 6 3" xfId="6787" xr:uid="{00000000-0005-0000-0000-00004D010000}"/>
    <cellStyle name="40 % - Markeringsfarve4 6 3 2" xfId="9455" xr:uid="{07D10EE0-26D5-43E3-9322-FB9BCC5C2A00}"/>
    <cellStyle name="40 % - Markeringsfarve4 6 3 2 2" xfId="14845" xr:uid="{A6679F18-466D-4295-A539-D99CF21A8B04}"/>
    <cellStyle name="40 % - Markeringsfarve4 6 3 3" xfId="12092" xr:uid="{12D19A94-6A91-44E5-B756-1D75EE221999}"/>
    <cellStyle name="40 % - Markeringsfarve4 6 4" xfId="8124" xr:uid="{82CD34BC-14E6-4AC2-8B79-B36D9FBF304A}"/>
    <cellStyle name="40 % - Markeringsfarve4 6 4 2" xfId="13483" xr:uid="{CA13BB46-A80B-459C-97D1-CD0242E65AD0}"/>
    <cellStyle name="40 % - Markeringsfarve4 6 5" xfId="10761" xr:uid="{8C21BFA3-38D6-45E7-BB2A-DC6F7D9FBEA9}"/>
    <cellStyle name="40 % - Markeringsfarve4 7" xfId="4166" xr:uid="{00000000-0005-0000-0000-00004E010000}"/>
    <cellStyle name="40 % - Markeringsfarve4 7 2" xfId="7334" xr:uid="{00000000-0005-0000-0000-00004F010000}"/>
    <cellStyle name="40 % - Markeringsfarve4 7 2 2" xfId="10002" xr:uid="{CB28F4CC-AD8F-42C6-A0E1-914249AE098A}"/>
    <cellStyle name="40 % - Markeringsfarve4 7 2 2 2" xfId="15392" xr:uid="{8EF2814B-8DA1-4AD2-92DE-3F748E77CB3B}"/>
    <cellStyle name="40 % - Markeringsfarve4 7 2 3" xfId="12639" xr:uid="{520ACC40-432C-4F1A-B14E-7C9982053401}"/>
    <cellStyle name="40 % - Markeringsfarve4 7 3" xfId="8671" xr:uid="{C23175FE-C0AC-4C6E-A0D6-42936166E006}"/>
    <cellStyle name="40 % - Markeringsfarve4 7 3 2" xfId="14030" xr:uid="{171ABA06-2730-4B3B-A0D8-6DC1B4CBE65D}"/>
    <cellStyle name="40 % - Markeringsfarve4 7 4" xfId="11308" xr:uid="{AC0E9981-5A59-4BA5-A875-21C2221C5EC7}"/>
    <cellStyle name="40 % - Markeringsfarve5 2" xfId="3601" xr:uid="{00000000-0005-0000-0000-000050010000}"/>
    <cellStyle name="40 % - Markeringsfarve5 2 2" xfId="3602" xr:uid="{00000000-0005-0000-0000-000051010000}"/>
    <cellStyle name="40 % - Markeringsfarve5 2 2 2" xfId="4244" xr:uid="{00000000-0005-0000-0000-000052010000}"/>
    <cellStyle name="40 % - Markeringsfarve5 2 2 2 2" xfId="7412" xr:uid="{00000000-0005-0000-0000-000053010000}"/>
    <cellStyle name="40 % - Markeringsfarve5 2 2 2 2 2" xfId="10080" xr:uid="{FBFBFFC5-0BE3-4CD0-8A8F-80B97FDDD2F8}"/>
    <cellStyle name="40 % - Markeringsfarve5 2 2 2 2 2 2" xfId="15470" xr:uid="{D5D81A0A-982C-49D4-B9AA-95F62664B913}"/>
    <cellStyle name="40 % - Markeringsfarve5 2 2 2 2 3" xfId="12717" xr:uid="{992CB37E-8E98-494F-A408-6D4F94133562}"/>
    <cellStyle name="40 % - Markeringsfarve5 2 2 2 3" xfId="8749" xr:uid="{E91EE772-8D17-4CCC-8BDB-154122C4EB59}"/>
    <cellStyle name="40 % - Markeringsfarve5 2 2 2 3 2" xfId="14108" xr:uid="{AE2C8805-6DC0-4380-8673-ED0225B73BF8}"/>
    <cellStyle name="40 % - Markeringsfarve5 2 2 2 4" xfId="11386" xr:uid="{CB941CF4-B257-4EFA-B38B-3B2F5D49557A}"/>
    <cellStyle name="40 % - Markeringsfarve5 2 2 3" xfId="6789" xr:uid="{00000000-0005-0000-0000-000054010000}"/>
    <cellStyle name="40 % - Markeringsfarve5 2 2 3 2" xfId="9457" xr:uid="{D3D06BCE-D1B4-450D-BDBD-15A493F1A26B}"/>
    <cellStyle name="40 % - Markeringsfarve5 2 2 3 2 2" xfId="14847" xr:uid="{D7D35E21-A50A-4582-A2C3-89BFA2FF850A}"/>
    <cellStyle name="40 % - Markeringsfarve5 2 2 3 3" xfId="12094" xr:uid="{77CF20C3-0E61-4F6D-99C8-A0A41F81CD09}"/>
    <cellStyle name="40 % - Markeringsfarve5 2 2 4" xfId="8126" xr:uid="{8A947E4D-DB9A-432D-9375-5D1927656119}"/>
    <cellStyle name="40 % - Markeringsfarve5 2 2 4 2" xfId="13485" xr:uid="{8E62939D-3DEB-4706-A776-193E10CC4108}"/>
    <cellStyle name="40 % - Markeringsfarve5 2 2 5" xfId="10763" xr:uid="{0C9F262D-28DE-4D41-AAB7-9046E8EC1689}"/>
    <cellStyle name="40 % - Markeringsfarve5 2 3" xfId="3603" xr:uid="{00000000-0005-0000-0000-000055010000}"/>
    <cellStyle name="40 % - Markeringsfarve5 2 3 2" xfId="4245" xr:uid="{00000000-0005-0000-0000-000056010000}"/>
    <cellStyle name="40 % - Markeringsfarve5 2 3 2 2" xfId="7413" xr:uid="{00000000-0005-0000-0000-000057010000}"/>
    <cellStyle name="40 % - Markeringsfarve5 2 3 2 2 2" xfId="10081" xr:uid="{62D6A7B7-DBE6-4703-8D7B-47C9BD0CAC63}"/>
    <cellStyle name="40 % - Markeringsfarve5 2 3 2 2 2 2" xfId="15471" xr:uid="{335EE4E4-3AF7-4C01-95D1-609C92612405}"/>
    <cellStyle name="40 % - Markeringsfarve5 2 3 2 2 3" xfId="12718" xr:uid="{90A506FF-8121-4937-8959-1365A380A850}"/>
    <cellStyle name="40 % - Markeringsfarve5 2 3 2 3" xfId="8750" xr:uid="{7C3A7009-303D-4FA1-BE3B-EC582D326790}"/>
    <cellStyle name="40 % - Markeringsfarve5 2 3 2 3 2" xfId="14109" xr:uid="{9C5F7E93-D74E-47CF-ACAD-8F50329CA02E}"/>
    <cellStyle name="40 % - Markeringsfarve5 2 3 2 4" xfId="11387" xr:uid="{636F8D6B-9C48-4EA1-81E7-723074056410}"/>
    <cellStyle name="40 % - Markeringsfarve5 2 3 3" xfId="6790" xr:uid="{00000000-0005-0000-0000-000058010000}"/>
    <cellStyle name="40 % - Markeringsfarve5 2 3 3 2" xfId="9458" xr:uid="{BE0B6DA4-0384-4F12-96C8-CA74F025DB0D}"/>
    <cellStyle name="40 % - Markeringsfarve5 2 3 3 2 2" xfId="14848" xr:uid="{F20F9356-E588-44B6-BC02-D7F571C9FA3F}"/>
    <cellStyle name="40 % - Markeringsfarve5 2 3 3 3" xfId="12095" xr:uid="{DE00EAED-3357-4B7C-A942-331C4C14B8F7}"/>
    <cellStyle name="40 % - Markeringsfarve5 2 3 4" xfId="8127" xr:uid="{497371B8-3D4E-4D94-BE21-D6D7715D03CF}"/>
    <cellStyle name="40 % - Markeringsfarve5 2 3 4 2" xfId="13486" xr:uid="{8AFB6B44-1572-46C4-8C02-FF895949446B}"/>
    <cellStyle name="40 % - Markeringsfarve5 2 3 5" xfId="10764" xr:uid="{E657ED00-319C-43D2-AC2A-F5CC2AE2566A}"/>
    <cellStyle name="40 % - Markeringsfarve5 2 4" xfId="4243" xr:uid="{00000000-0005-0000-0000-000059010000}"/>
    <cellStyle name="40 % - Markeringsfarve5 2 4 2" xfId="7411" xr:uid="{00000000-0005-0000-0000-00005A010000}"/>
    <cellStyle name="40 % - Markeringsfarve5 2 4 2 2" xfId="10079" xr:uid="{94BBC3A5-1CA7-4983-9C75-FBAB3C2651F8}"/>
    <cellStyle name="40 % - Markeringsfarve5 2 4 2 2 2" xfId="15469" xr:uid="{78509520-8424-422A-806F-C2866C4B6EDF}"/>
    <cellStyle name="40 % - Markeringsfarve5 2 4 2 3" xfId="12716" xr:uid="{5BF70348-4090-438A-955D-2CDE052F6B6E}"/>
    <cellStyle name="40 % - Markeringsfarve5 2 4 3" xfId="8748" xr:uid="{93DA79A2-C2B5-4652-AFCD-813AE9A089A2}"/>
    <cellStyle name="40 % - Markeringsfarve5 2 4 3 2" xfId="14107" xr:uid="{C2E2D528-5569-4C06-BDC4-295FA3F7A8B7}"/>
    <cellStyle name="40 % - Markeringsfarve5 2 4 4" xfId="11385" xr:uid="{07AAB4F0-BB8A-4AB1-A129-6C4E1BF75D09}"/>
    <cellStyle name="40 % - Markeringsfarve5 2 5" xfId="6788" xr:uid="{00000000-0005-0000-0000-00005B010000}"/>
    <cellStyle name="40 % - Markeringsfarve5 2 5 2" xfId="9456" xr:uid="{2AE410D6-36F3-41B3-8A81-23061599AB08}"/>
    <cellStyle name="40 % - Markeringsfarve5 2 5 2 2" xfId="14846" xr:uid="{538E1BB6-AB35-42C2-B235-3B8B63CD0566}"/>
    <cellStyle name="40 % - Markeringsfarve5 2 5 3" xfId="12093" xr:uid="{E5D6ACC5-5280-476E-A173-4ED4A236CD01}"/>
    <cellStyle name="40 % - Markeringsfarve5 2 6" xfId="8125" xr:uid="{F5AA38BC-90C7-4416-A831-42FE30A74887}"/>
    <cellStyle name="40 % - Markeringsfarve5 2 6 2" xfId="13484" xr:uid="{19387FB9-8DF6-47F4-AC3B-57B9950BB553}"/>
    <cellStyle name="40 % - Markeringsfarve5 2 7" xfId="10762" xr:uid="{07829B4E-BF6C-4AE4-B510-374784755F63}"/>
    <cellStyle name="40 % - Markeringsfarve5 3" xfId="3604" xr:uid="{00000000-0005-0000-0000-00005C010000}"/>
    <cellStyle name="40 % - Markeringsfarve5 3 2" xfId="4246" xr:uid="{00000000-0005-0000-0000-00005D010000}"/>
    <cellStyle name="40 % - Markeringsfarve5 3 2 2" xfId="7414" xr:uid="{00000000-0005-0000-0000-00005E010000}"/>
    <cellStyle name="40 % - Markeringsfarve5 3 2 2 2" xfId="10082" xr:uid="{37D01E23-98F9-464D-81AB-760C4689BA0D}"/>
    <cellStyle name="40 % - Markeringsfarve5 3 2 2 2 2" xfId="15472" xr:uid="{87C4DC71-EFDD-40B1-93A2-EA65FABE7099}"/>
    <cellStyle name="40 % - Markeringsfarve5 3 2 2 3" xfId="12719" xr:uid="{3D7D69CA-3613-4D4B-AAC0-9B2E645D282C}"/>
    <cellStyle name="40 % - Markeringsfarve5 3 2 3" xfId="8751" xr:uid="{BE2F4CE8-0598-4504-BF49-5EEF5FC82349}"/>
    <cellStyle name="40 % - Markeringsfarve5 3 2 3 2" xfId="14110" xr:uid="{1C5BB4D0-8F23-4D2A-9242-98F8EB307B5B}"/>
    <cellStyle name="40 % - Markeringsfarve5 3 2 4" xfId="11388" xr:uid="{ACD2A545-EEFD-42FB-8766-6E2A4CAD845A}"/>
    <cellStyle name="40 % - Markeringsfarve5 3 3" xfId="6791" xr:uid="{00000000-0005-0000-0000-00005F010000}"/>
    <cellStyle name="40 % - Markeringsfarve5 3 3 2" xfId="9459" xr:uid="{B3CF3AB6-31B9-44A0-943C-DF9FBFB00679}"/>
    <cellStyle name="40 % - Markeringsfarve5 3 3 2 2" xfId="14849" xr:uid="{50693212-777A-41A4-B6D5-7284C41B9EA8}"/>
    <cellStyle name="40 % - Markeringsfarve5 3 3 3" xfId="12096" xr:uid="{F7E2738A-6990-4FAC-B7D8-DAA933DF315B}"/>
    <cellStyle name="40 % - Markeringsfarve5 3 4" xfId="8128" xr:uid="{DED60044-E007-4DDE-9E30-B1F77C91765C}"/>
    <cellStyle name="40 % - Markeringsfarve5 3 4 2" xfId="13487" xr:uid="{6DB77335-146F-47CC-927B-1DDE59A1EA1B}"/>
    <cellStyle name="40 % - Markeringsfarve5 3 5" xfId="10765" xr:uid="{B88BEE18-8C69-4718-9188-92B26ADE1AF3}"/>
    <cellStyle name="40 % - Markeringsfarve5 4" xfId="3605" xr:uid="{00000000-0005-0000-0000-000060010000}"/>
    <cellStyle name="40 % - Markeringsfarve5 4 2" xfId="4247" xr:uid="{00000000-0005-0000-0000-000061010000}"/>
    <cellStyle name="40 % - Markeringsfarve5 4 2 2" xfId="7415" xr:uid="{00000000-0005-0000-0000-000062010000}"/>
    <cellStyle name="40 % - Markeringsfarve5 4 2 2 2" xfId="10083" xr:uid="{2AF9012C-959F-4EBD-8803-52DC65599B81}"/>
    <cellStyle name="40 % - Markeringsfarve5 4 2 2 2 2" xfId="15473" xr:uid="{36A79FB2-3F76-43C9-B218-B88AF2609300}"/>
    <cellStyle name="40 % - Markeringsfarve5 4 2 2 3" xfId="12720" xr:uid="{07875CD7-8181-4A9A-8595-527D5C0BC5B2}"/>
    <cellStyle name="40 % - Markeringsfarve5 4 2 3" xfId="8752" xr:uid="{7137530D-F017-42DC-AB03-F163BA4472BD}"/>
    <cellStyle name="40 % - Markeringsfarve5 4 2 3 2" xfId="14111" xr:uid="{AD767B76-3ABA-4469-AEDD-24C76AE9BDB9}"/>
    <cellStyle name="40 % - Markeringsfarve5 4 2 4" xfId="11389" xr:uid="{E155527D-ED4E-4CB8-8054-CB32965D3DEF}"/>
    <cellStyle name="40 % - Markeringsfarve5 4 3" xfId="6792" xr:uid="{00000000-0005-0000-0000-000063010000}"/>
    <cellStyle name="40 % - Markeringsfarve5 4 3 2" xfId="9460" xr:uid="{F68A472E-8E75-456A-97CF-9040AF7F9AE7}"/>
    <cellStyle name="40 % - Markeringsfarve5 4 3 2 2" xfId="14850" xr:uid="{6B972086-EC65-45CD-B311-177FA19A137F}"/>
    <cellStyle name="40 % - Markeringsfarve5 4 3 3" xfId="12097" xr:uid="{0EC712E9-17C1-41BB-9048-CA4B83D0A944}"/>
    <cellStyle name="40 % - Markeringsfarve5 4 4" xfId="8129" xr:uid="{16F438DF-21D2-4B6C-9AE7-54CF1266944A}"/>
    <cellStyle name="40 % - Markeringsfarve5 4 4 2" xfId="13488" xr:uid="{43648CF1-0A9B-4ABA-92F8-4742F58AF85C}"/>
    <cellStyle name="40 % - Markeringsfarve5 4 5" xfId="10766" xr:uid="{C3CC463D-497E-4C4F-8646-40B93638A1D3}"/>
    <cellStyle name="40 % - Markeringsfarve5 5" xfId="3606" xr:uid="{00000000-0005-0000-0000-000064010000}"/>
    <cellStyle name="40 % - Markeringsfarve5 5 2" xfId="4248" xr:uid="{00000000-0005-0000-0000-000065010000}"/>
    <cellStyle name="40 % - Markeringsfarve5 5 2 2" xfId="7416" xr:uid="{00000000-0005-0000-0000-000066010000}"/>
    <cellStyle name="40 % - Markeringsfarve5 5 2 2 2" xfId="10084" xr:uid="{8608023D-10BC-4D95-A6F2-2F4C7BEBED61}"/>
    <cellStyle name="40 % - Markeringsfarve5 5 2 2 2 2" xfId="15474" xr:uid="{EFE3EC2C-3DE2-438E-BC16-956EF42AC7DE}"/>
    <cellStyle name="40 % - Markeringsfarve5 5 2 2 3" xfId="12721" xr:uid="{7C47BC8B-6D44-42C6-BA0C-20E8FB2D3AC1}"/>
    <cellStyle name="40 % - Markeringsfarve5 5 2 3" xfId="8753" xr:uid="{0036DE52-5064-425D-8FA9-9C4EF95D696D}"/>
    <cellStyle name="40 % - Markeringsfarve5 5 2 3 2" xfId="14112" xr:uid="{15462C9E-EDDC-46A0-B6CA-FAEA7603EC2C}"/>
    <cellStyle name="40 % - Markeringsfarve5 5 2 4" xfId="11390" xr:uid="{56CFE710-49A8-46A5-8268-C0921D72F5CB}"/>
    <cellStyle name="40 % - Markeringsfarve5 5 3" xfId="6793" xr:uid="{00000000-0005-0000-0000-000067010000}"/>
    <cellStyle name="40 % - Markeringsfarve5 5 3 2" xfId="9461" xr:uid="{1BDCCF35-69A6-4521-BBE6-C9492F12D57B}"/>
    <cellStyle name="40 % - Markeringsfarve5 5 3 2 2" xfId="14851" xr:uid="{7885AE09-451A-4E8A-B0B2-CA2A428E5EFB}"/>
    <cellStyle name="40 % - Markeringsfarve5 5 3 3" xfId="12098" xr:uid="{4ADE2BD0-CC3E-40D1-B56A-E1904EB7E7E0}"/>
    <cellStyle name="40 % - Markeringsfarve5 5 4" xfId="8130" xr:uid="{13F30389-C1C2-4DB1-897B-760DC607D9E5}"/>
    <cellStyle name="40 % - Markeringsfarve5 5 4 2" xfId="13489" xr:uid="{0E984F31-4AE0-4539-9737-1ADBD1A95BE4}"/>
    <cellStyle name="40 % - Markeringsfarve5 5 5" xfId="10767" xr:uid="{28473EEE-9CB9-43D9-9EEF-EC622ECBCFC5}"/>
    <cellStyle name="40 % - Markeringsfarve5 6" xfId="3607" xr:uid="{00000000-0005-0000-0000-000068010000}"/>
    <cellStyle name="40 % - Markeringsfarve5 6 2" xfId="4249" xr:uid="{00000000-0005-0000-0000-000069010000}"/>
    <cellStyle name="40 % - Markeringsfarve5 6 2 2" xfId="7417" xr:uid="{00000000-0005-0000-0000-00006A010000}"/>
    <cellStyle name="40 % - Markeringsfarve5 6 2 2 2" xfId="10085" xr:uid="{2D12A84C-0CE4-4EDD-8CEF-CA1F863E3C0D}"/>
    <cellStyle name="40 % - Markeringsfarve5 6 2 2 2 2" xfId="15475" xr:uid="{DD03EAFF-6519-453A-B5B7-CCDD4E3CD689}"/>
    <cellStyle name="40 % - Markeringsfarve5 6 2 2 3" xfId="12722" xr:uid="{B434A658-DC47-4DD1-AB7E-58D587C5BD6F}"/>
    <cellStyle name="40 % - Markeringsfarve5 6 2 3" xfId="8754" xr:uid="{30DA5704-F94C-41B2-8DC4-16F4D4E811FA}"/>
    <cellStyle name="40 % - Markeringsfarve5 6 2 3 2" xfId="14113" xr:uid="{47EDF306-9B92-45BD-8D37-448E2F76BD0D}"/>
    <cellStyle name="40 % - Markeringsfarve5 6 2 4" xfId="11391" xr:uid="{2B44DA3B-16C8-4F86-A9FF-7547F2E3E9F9}"/>
    <cellStyle name="40 % - Markeringsfarve5 6 3" xfId="6794" xr:uid="{00000000-0005-0000-0000-00006B010000}"/>
    <cellStyle name="40 % - Markeringsfarve5 6 3 2" xfId="9462" xr:uid="{47061E09-6415-4D2E-B5E5-2A949802F814}"/>
    <cellStyle name="40 % - Markeringsfarve5 6 3 2 2" xfId="14852" xr:uid="{1E8D5608-305D-4D31-90A0-E4DB9AC1D263}"/>
    <cellStyle name="40 % - Markeringsfarve5 6 3 3" xfId="12099" xr:uid="{E09D366B-BA40-4A18-8619-46640E3F6C98}"/>
    <cellStyle name="40 % - Markeringsfarve5 6 4" xfId="8131" xr:uid="{52878E94-7837-4E10-BCCD-DB335E093B1A}"/>
    <cellStyle name="40 % - Markeringsfarve5 6 4 2" xfId="13490" xr:uid="{D5C8A359-0CB2-411D-858F-82F1ED097BEA}"/>
    <cellStyle name="40 % - Markeringsfarve5 6 5" xfId="10768" xr:uid="{8A72AFA1-69B2-4E4C-8962-A6178273B529}"/>
    <cellStyle name="40 % - Markeringsfarve5 7" xfId="4168" xr:uid="{00000000-0005-0000-0000-00006C010000}"/>
    <cellStyle name="40 % - Markeringsfarve5 7 2" xfId="7336" xr:uid="{00000000-0005-0000-0000-00006D010000}"/>
    <cellStyle name="40 % - Markeringsfarve5 7 2 2" xfId="10004" xr:uid="{9F041843-3793-4A7E-BE46-802FB46DFF0C}"/>
    <cellStyle name="40 % - Markeringsfarve5 7 2 2 2" xfId="15394" xr:uid="{CABB2645-5D87-4D92-9BA9-E3CC6FBB1976}"/>
    <cellStyle name="40 % - Markeringsfarve5 7 2 3" xfId="12641" xr:uid="{6E98C092-0732-41FD-99A4-620EAB9FF9CE}"/>
    <cellStyle name="40 % - Markeringsfarve5 7 3" xfId="8673" xr:uid="{4B7FE942-FE54-421B-BCB8-76F090A265D5}"/>
    <cellStyle name="40 % - Markeringsfarve5 7 3 2" xfId="14032" xr:uid="{61592FF4-22B6-496B-BE9B-DA98A18BCF3F}"/>
    <cellStyle name="40 % - Markeringsfarve5 7 4" xfId="11310" xr:uid="{4E5DF5D5-8256-4F05-BC23-ACAEF3F55E81}"/>
    <cellStyle name="40 % - Markeringsfarve6 2" xfId="3608" xr:uid="{00000000-0005-0000-0000-00006E010000}"/>
    <cellStyle name="40 % - Markeringsfarve6 2 2" xfId="3609" xr:uid="{00000000-0005-0000-0000-00006F010000}"/>
    <cellStyle name="40 % - Markeringsfarve6 2 2 2" xfId="4251" xr:uid="{00000000-0005-0000-0000-000070010000}"/>
    <cellStyle name="40 % - Markeringsfarve6 2 2 2 2" xfId="7419" xr:uid="{00000000-0005-0000-0000-000071010000}"/>
    <cellStyle name="40 % - Markeringsfarve6 2 2 2 2 2" xfId="10087" xr:uid="{814ED845-16AE-42E4-ADBC-66FA0ABF67B7}"/>
    <cellStyle name="40 % - Markeringsfarve6 2 2 2 2 2 2" xfId="15477" xr:uid="{219195DE-1435-4291-BDE8-32FAC7A7D51E}"/>
    <cellStyle name="40 % - Markeringsfarve6 2 2 2 2 3" xfId="12724" xr:uid="{304CFF20-95AC-471B-BE59-83342CB18A8B}"/>
    <cellStyle name="40 % - Markeringsfarve6 2 2 2 3" xfId="8756" xr:uid="{9C5AC5F6-0C75-4624-A694-BC3E9DCA5459}"/>
    <cellStyle name="40 % - Markeringsfarve6 2 2 2 3 2" xfId="14115" xr:uid="{ED523FE8-86AB-49CF-BFD6-E93FCC12F583}"/>
    <cellStyle name="40 % - Markeringsfarve6 2 2 2 4" xfId="11393" xr:uid="{F9C4B887-36F6-4743-80CC-D45A1CF39467}"/>
    <cellStyle name="40 % - Markeringsfarve6 2 2 3" xfId="6796" xr:uid="{00000000-0005-0000-0000-000072010000}"/>
    <cellStyle name="40 % - Markeringsfarve6 2 2 3 2" xfId="9464" xr:uid="{92414FD9-3C5E-41AB-8162-048F541F37A1}"/>
    <cellStyle name="40 % - Markeringsfarve6 2 2 3 2 2" xfId="14854" xr:uid="{F8DDECC5-783F-442B-898D-90CDDE530EB8}"/>
    <cellStyle name="40 % - Markeringsfarve6 2 2 3 3" xfId="12101" xr:uid="{46FEC76A-C200-4312-B471-2B964C2B8EF5}"/>
    <cellStyle name="40 % - Markeringsfarve6 2 2 4" xfId="8133" xr:uid="{10E42D43-446D-400A-982C-247FDCAC1C95}"/>
    <cellStyle name="40 % - Markeringsfarve6 2 2 4 2" xfId="13492" xr:uid="{FAB5493C-FD9A-4B44-AFC7-A17B0AFA1870}"/>
    <cellStyle name="40 % - Markeringsfarve6 2 2 5" xfId="10770" xr:uid="{5FC41C13-2DBF-499B-BBDE-19761F9D04F8}"/>
    <cellStyle name="40 % - Markeringsfarve6 2 3" xfId="3610" xr:uid="{00000000-0005-0000-0000-000073010000}"/>
    <cellStyle name="40 % - Markeringsfarve6 2 3 2" xfId="4252" xr:uid="{00000000-0005-0000-0000-000074010000}"/>
    <cellStyle name="40 % - Markeringsfarve6 2 3 2 2" xfId="7420" xr:uid="{00000000-0005-0000-0000-000075010000}"/>
    <cellStyle name="40 % - Markeringsfarve6 2 3 2 2 2" xfId="10088" xr:uid="{1D334664-F4F2-473E-83C1-E43A61B9DCB0}"/>
    <cellStyle name="40 % - Markeringsfarve6 2 3 2 2 2 2" xfId="15478" xr:uid="{22181F5D-EFFA-45FE-88DA-F8A610E0ADE5}"/>
    <cellStyle name="40 % - Markeringsfarve6 2 3 2 2 3" xfId="12725" xr:uid="{C9A267B6-9B54-42A3-9F30-934C21CEC913}"/>
    <cellStyle name="40 % - Markeringsfarve6 2 3 2 3" xfId="8757" xr:uid="{26A3A1A5-7AD2-42F1-94A0-6CB36BBABF33}"/>
    <cellStyle name="40 % - Markeringsfarve6 2 3 2 3 2" xfId="14116" xr:uid="{000A2DFD-CD7E-4B59-B5DB-06B4A91DEA3E}"/>
    <cellStyle name="40 % - Markeringsfarve6 2 3 2 4" xfId="11394" xr:uid="{426180C1-7B82-424E-8236-F0164AD58F95}"/>
    <cellStyle name="40 % - Markeringsfarve6 2 3 3" xfId="6797" xr:uid="{00000000-0005-0000-0000-000076010000}"/>
    <cellStyle name="40 % - Markeringsfarve6 2 3 3 2" xfId="9465" xr:uid="{6812EF93-F0E3-45AF-B390-C14523B47165}"/>
    <cellStyle name="40 % - Markeringsfarve6 2 3 3 2 2" xfId="14855" xr:uid="{7A5564A2-12E4-459B-A5AB-724FB93CD583}"/>
    <cellStyle name="40 % - Markeringsfarve6 2 3 3 3" xfId="12102" xr:uid="{F64008E0-7781-4D2A-8BCA-076095692A4F}"/>
    <cellStyle name="40 % - Markeringsfarve6 2 3 4" xfId="8134" xr:uid="{72049701-5422-4B59-89FE-7A14D68EF958}"/>
    <cellStyle name="40 % - Markeringsfarve6 2 3 4 2" xfId="13493" xr:uid="{2D2EF386-D923-4342-9768-E842AB5D14D0}"/>
    <cellStyle name="40 % - Markeringsfarve6 2 3 5" xfId="10771" xr:uid="{0BDAF96C-7A14-40E1-8EE3-3052D113D86A}"/>
    <cellStyle name="40 % - Markeringsfarve6 2 4" xfId="4250" xr:uid="{00000000-0005-0000-0000-000077010000}"/>
    <cellStyle name="40 % - Markeringsfarve6 2 4 2" xfId="7418" xr:uid="{00000000-0005-0000-0000-000078010000}"/>
    <cellStyle name="40 % - Markeringsfarve6 2 4 2 2" xfId="10086" xr:uid="{F9A5B1DA-1C93-42F8-BBAD-0CA16B2A5DA8}"/>
    <cellStyle name="40 % - Markeringsfarve6 2 4 2 2 2" xfId="15476" xr:uid="{EB19B32D-1CC3-4E97-9723-F1F11C284E8B}"/>
    <cellStyle name="40 % - Markeringsfarve6 2 4 2 3" xfId="12723" xr:uid="{61895224-F3B0-45C4-9117-9968A3305698}"/>
    <cellStyle name="40 % - Markeringsfarve6 2 4 3" xfId="8755" xr:uid="{4FBF0272-DF15-4A6A-B7F1-FE0638EEFE72}"/>
    <cellStyle name="40 % - Markeringsfarve6 2 4 3 2" xfId="14114" xr:uid="{E5BF0E05-115F-48BB-BF59-D116A5E35282}"/>
    <cellStyle name="40 % - Markeringsfarve6 2 4 4" xfId="11392" xr:uid="{54F10424-6DE4-4027-BC76-876AB641D1E9}"/>
    <cellStyle name="40 % - Markeringsfarve6 2 5" xfId="6795" xr:uid="{00000000-0005-0000-0000-000079010000}"/>
    <cellStyle name="40 % - Markeringsfarve6 2 5 2" xfId="9463" xr:uid="{8038CC14-012A-469E-A5AE-D560BD177A9E}"/>
    <cellStyle name="40 % - Markeringsfarve6 2 5 2 2" xfId="14853" xr:uid="{7FB44CF6-EEF8-440E-8F63-6014E16B0023}"/>
    <cellStyle name="40 % - Markeringsfarve6 2 5 3" xfId="12100" xr:uid="{E6FBEDCE-DD74-4148-A404-E017407CB81C}"/>
    <cellStyle name="40 % - Markeringsfarve6 2 6" xfId="8132" xr:uid="{35A8386B-82D3-452C-957E-BC536229DAA0}"/>
    <cellStyle name="40 % - Markeringsfarve6 2 6 2" xfId="13491" xr:uid="{B8E456F0-E910-4AD2-A181-A1B367F09CE2}"/>
    <cellStyle name="40 % - Markeringsfarve6 2 7" xfId="10769" xr:uid="{76A8534E-C858-456D-B30F-A6DA4A5C7998}"/>
    <cellStyle name="40 % - Markeringsfarve6 3" xfId="3611" xr:uid="{00000000-0005-0000-0000-00007A010000}"/>
    <cellStyle name="40 % - Markeringsfarve6 3 2" xfId="4253" xr:uid="{00000000-0005-0000-0000-00007B010000}"/>
    <cellStyle name="40 % - Markeringsfarve6 3 2 2" xfId="7421" xr:uid="{00000000-0005-0000-0000-00007C010000}"/>
    <cellStyle name="40 % - Markeringsfarve6 3 2 2 2" xfId="10089" xr:uid="{FF71EDEB-9537-4169-A1DF-DFC9C775CE23}"/>
    <cellStyle name="40 % - Markeringsfarve6 3 2 2 2 2" xfId="15479" xr:uid="{C9B685C4-02BD-457D-818B-1CE8661A8D0E}"/>
    <cellStyle name="40 % - Markeringsfarve6 3 2 2 3" xfId="12726" xr:uid="{90CA6B43-5489-418F-B31D-7818EBDBE9D2}"/>
    <cellStyle name="40 % - Markeringsfarve6 3 2 3" xfId="8758" xr:uid="{84E337B9-A77A-42EB-A75F-10A4A464342E}"/>
    <cellStyle name="40 % - Markeringsfarve6 3 2 3 2" xfId="14117" xr:uid="{9E45D633-0604-482C-A556-4C101C7648C4}"/>
    <cellStyle name="40 % - Markeringsfarve6 3 2 4" xfId="11395" xr:uid="{02A71F33-35A5-4B4B-AA23-0C061CA50E74}"/>
    <cellStyle name="40 % - Markeringsfarve6 3 3" xfId="6798" xr:uid="{00000000-0005-0000-0000-00007D010000}"/>
    <cellStyle name="40 % - Markeringsfarve6 3 3 2" xfId="9466" xr:uid="{F7312393-1EFA-44D9-BE01-50636E158A67}"/>
    <cellStyle name="40 % - Markeringsfarve6 3 3 2 2" xfId="14856" xr:uid="{F4D41AB4-AA65-4159-A7FE-D76FA32702FE}"/>
    <cellStyle name="40 % - Markeringsfarve6 3 3 3" xfId="12103" xr:uid="{B6EFC757-39E8-421B-BC9E-FD3FFD6F92E8}"/>
    <cellStyle name="40 % - Markeringsfarve6 3 4" xfId="8135" xr:uid="{073F53D4-4DAD-4D28-9A39-0A79F324A7D9}"/>
    <cellStyle name="40 % - Markeringsfarve6 3 4 2" xfId="13494" xr:uid="{EA46D32F-27E6-4D19-A720-0C84204BE7E4}"/>
    <cellStyle name="40 % - Markeringsfarve6 3 5" xfId="10772" xr:uid="{E4472A4F-30E6-4680-ACA6-52E4E5AACF22}"/>
    <cellStyle name="40 % - Markeringsfarve6 4" xfId="3612" xr:uid="{00000000-0005-0000-0000-00007E010000}"/>
    <cellStyle name="40 % - Markeringsfarve6 4 2" xfId="4254" xr:uid="{00000000-0005-0000-0000-00007F010000}"/>
    <cellStyle name="40 % - Markeringsfarve6 4 2 2" xfId="7422" xr:uid="{00000000-0005-0000-0000-000080010000}"/>
    <cellStyle name="40 % - Markeringsfarve6 4 2 2 2" xfId="10090" xr:uid="{A29308E7-11EE-4385-B2A9-412200086EDC}"/>
    <cellStyle name="40 % - Markeringsfarve6 4 2 2 2 2" xfId="15480" xr:uid="{C9CA7D65-97EE-401D-8A89-8CB941EDB935}"/>
    <cellStyle name="40 % - Markeringsfarve6 4 2 2 3" xfId="12727" xr:uid="{CE3A32AA-F06A-420D-B889-9F2B8E598086}"/>
    <cellStyle name="40 % - Markeringsfarve6 4 2 3" xfId="8759" xr:uid="{58776258-F9BF-4FE4-9C45-5EDF1176C764}"/>
    <cellStyle name="40 % - Markeringsfarve6 4 2 3 2" xfId="14118" xr:uid="{213C7C4E-4173-4297-BEC1-9F4ADE5A0F80}"/>
    <cellStyle name="40 % - Markeringsfarve6 4 2 4" xfId="11396" xr:uid="{5EB96134-A95F-4BA7-B4B4-6431D51A98F1}"/>
    <cellStyle name="40 % - Markeringsfarve6 4 3" xfId="6799" xr:uid="{00000000-0005-0000-0000-000081010000}"/>
    <cellStyle name="40 % - Markeringsfarve6 4 3 2" xfId="9467" xr:uid="{665960CB-C8B5-4F16-A557-0D548F3133B2}"/>
    <cellStyle name="40 % - Markeringsfarve6 4 3 2 2" xfId="14857" xr:uid="{BB8B8ADE-991D-48D4-8C50-20664C3E3508}"/>
    <cellStyle name="40 % - Markeringsfarve6 4 3 3" xfId="12104" xr:uid="{D2EDBE7E-5A75-45CF-A452-9E5F190BA7CA}"/>
    <cellStyle name="40 % - Markeringsfarve6 4 4" xfId="8136" xr:uid="{D4ADFF78-AB8D-43B4-BF09-E0E8C6674DEC}"/>
    <cellStyle name="40 % - Markeringsfarve6 4 4 2" xfId="13495" xr:uid="{83FA0E1B-F008-484A-ABC4-4802B18AA313}"/>
    <cellStyle name="40 % - Markeringsfarve6 4 5" xfId="10773" xr:uid="{4B80A3CB-848D-4322-B513-75E5FEA2D634}"/>
    <cellStyle name="40 % - Markeringsfarve6 5" xfId="3613" xr:uid="{00000000-0005-0000-0000-000082010000}"/>
    <cellStyle name="40 % - Markeringsfarve6 5 2" xfId="4255" xr:uid="{00000000-0005-0000-0000-000083010000}"/>
    <cellStyle name="40 % - Markeringsfarve6 5 2 2" xfId="7423" xr:uid="{00000000-0005-0000-0000-000084010000}"/>
    <cellStyle name="40 % - Markeringsfarve6 5 2 2 2" xfId="10091" xr:uid="{9FB7F605-5106-45CC-9833-5B244201FF64}"/>
    <cellStyle name="40 % - Markeringsfarve6 5 2 2 2 2" xfId="15481" xr:uid="{C2148E2D-D54E-4923-9CEF-4D2259849F24}"/>
    <cellStyle name="40 % - Markeringsfarve6 5 2 2 3" xfId="12728" xr:uid="{1BAA3A6D-342F-4560-B584-2B6C75D1F517}"/>
    <cellStyle name="40 % - Markeringsfarve6 5 2 3" xfId="8760" xr:uid="{CEECE2E5-A32E-4263-B97D-6BD318577DDC}"/>
    <cellStyle name="40 % - Markeringsfarve6 5 2 3 2" xfId="14119" xr:uid="{94A2BBD8-51FC-493F-939E-3AE3F95F1734}"/>
    <cellStyle name="40 % - Markeringsfarve6 5 2 4" xfId="11397" xr:uid="{9B7F277D-A5AA-4ED6-80E3-DF4A886EEAF6}"/>
    <cellStyle name="40 % - Markeringsfarve6 5 3" xfId="6800" xr:uid="{00000000-0005-0000-0000-000085010000}"/>
    <cellStyle name="40 % - Markeringsfarve6 5 3 2" xfId="9468" xr:uid="{E3EC377D-AD65-4D69-9FBA-A708CE9CEDD5}"/>
    <cellStyle name="40 % - Markeringsfarve6 5 3 2 2" xfId="14858" xr:uid="{64714D1B-79AA-4312-B5A4-D9EFBFF32A0A}"/>
    <cellStyle name="40 % - Markeringsfarve6 5 3 3" xfId="12105" xr:uid="{BC1D9B3D-3902-48F4-A6DE-1093CDBB741F}"/>
    <cellStyle name="40 % - Markeringsfarve6 5 4" xfId="8137" xr:uid="{35FB1D26-53B3-4FCE-8166-38430039906B}"/>
    <cellStyle name="40 % - Markeringsfarve6 5 4 2" xfId="13496" xr:uid="{219F885A-8D26-44A6-ACF5-04CEB7DE1367}"/>
    <cellStyle name="40 % - Markeringsfarve6 5 5" xfId="10774" xr:uid="{9CE9A959-214B-4EE2-B15E-692EF522BE5D}"/>
    <cellStyle name="40 % - Markeringsfarve6 6" xfId="3614" xr:uid="{00000000-0005-0000-0000-000086010000}"/>
    <cellStyle name="40 % - Markeringsfarve6 6 2" xfId="4256" xr:uid="{00000000-0005-0000-0000-000087010000}"/>
    <cellStyle name="40 % - Markeringsfarve6 6 2 2" xfId="7424" xr:uid="{00000000-0005-0000-0000-000088010000}"/>
    <cellStyle name="40 % - Markeringsfarve6 6 2 2 2" xfId="10092" xr:uid="{2C9FD871-594A-46B6-995F-F4B003C5AC79}"/>
    <cellStyle name="40 % - Markeringsfarve6 6 2 2 2 2" xfId="15482" xr:uid="{19E80B40-C938-4F86-9AFE-37732D9DF5E4}"/>
    <cellStyle name="40 % - Markeringsfarve6 6 2 2 3" xfId="12729" xr:uid="{AF52AA19-9767-447D-9EC7-97B122F97CDD}"/>
    <cellStyle name="40 % - Markeringsfarve6 6 2 3" xfId="8761" xr:uid="{891A8FBB-890D-477A-81E0-7603A0A3F681}"/>
    <cellStyle name="40 % - Markeringsfarve6 6 2 3 2" xfId="14120" xr:uid="{3797F6DB-519E-482E-8455-5DE392FB8DD6}"/>
    <cellStyle name="40 % - Markeringsfarve6 6 2 4" xfId="11398" xr:uid="{0F17E7D9-98D8-4581-861E-1D6E9D1EE67F}"/>
    <cellStyle name="40 % - Markeringsfarve6 6 3" xfId="6801" xr:uid="{00000000-0005-0000-0000-000089010000}"/>
    <cellStyle name="40 % - Markeringsfarve6 6 3 2" xfId="9469" xr:uid="{03412360-B70E-4DCE-BFCE-E7852CDDDD30}"/>
    <cellStyle name="40 % - Markeringsfarve6 6 3 2 2" xfId="14859" xr:uid="{3A3FA244-15E1-4757-ABF7-D2FEEC1DD44F}"/>
    <cellStyle name="40 % - Markeringsfarve6 6 3 3" xfId="12106" xr:uid="{72CCA007-4B15-4B29-8FE7-2213F03F1DDD}"/>
    <cellStyle name="40 % - Markeringsfarve6 6 4" xfId="8138" xr:uid="{91820DAA-D1AE-41D6-88C4-64AD0FF84FC4}"/>
    <cellStyle name="40 % - Markeringsfarve6 6 4 2" xfId="13497" xr:uid="{E5CC90A2-C6DA-41FF-92B5-599070BBE41C}"/>
    <cellStyle name="40 % - Markeringsfarve6 6 5" xfId="10775" xr:uid="{EE4BD909-CEE1-4924-BC61-896A5CEC0E43}"/>
    <cellStyle name="40 % - Markeringsfarve6 7" xfId="4170" xr:uid="{00000000-0005-0000-0000-00008A010000}"/>
    <cellStyle name="40 % - Markeringsfarve6 7 2" xfId="7338" xr:uid="{00000000-0005-0000-0000-00008B010000}"/>
    <cellStyle name="40 % - Markeringsfarve6 7 2 2" xfId="10006" xr:uid="{5B6CB500-784E-43C6-9885-3577858347E5}"/>
    <cellStyle name="40 % - Markeringsfarve6 7 2 2 2" xfId="15396" xr:uid="{96368D4C-E475-4A59-A124-0B8392AAA650}"/>
    <cellStyle name="40 % - Markeringsfarve6 7 2 3" xfId="12643" xr:uid="{7CAFA61E-7593-4D6B-BF65-F72DD50106FB}"/>
    <cellStyle name="40 % - Markeringsfarve6 7 3" xfId="8675" xr:uid="{267B20BF-43E1-4B4A-82E2-D58278D7865F}"/>
    <cellStyle name="40 % - Markeringsfarve6 7 3 2" xfId="14034" xr:uid="{3E0875E9-1324-44C9-BF00-49530A6824EB}"/>
    <cellStyle name="40 % - Markeringsfarve6 7 4" xfId="11312" xr:uid="{375C32BD-5366-4D88-84D8-4A2CD61FF3BE}"/>
    <cellStyle name="40% - Accent1" xfId="3340" builtinId="31" customBuiltin="1"/>
    <cellStyle name="40% - Accent1 2" xfId="3396" xr:uid="{00000000-0005-0000-0000-00008D010000}"/>
    <cellStyle name="40% - Accent1 3" xfId="6635" xr:uid="{00000000-0005-0000-0000-00008E010000}"/>
    <cellStyle name="40% - Accent1 3 2" xfId="9312" xr:uid="{A332B9EF-104C-469B-8E48-E55D2BEBCFF4}"/>
    <cellStyle name="40% - Accent1 3 2 2" xfId="14702" xr:uid="{4FDF48F1-106E-4986-991F-01653514F15D}"/>
    <cellStyle name="40% - Accent1 3 3" xfId="11949" xr:uid="{02BB375F-C20F-4FBB-9E10-1EFC18356F89}"/>
    <cellStyle name="40% - Accent1 4" xfId="7972" xr:uid="{AFA90087-BEC1-4BD0-9D16-04E173DFB9B2}"/>
    <cellStyle name="40% - Accent1 4 2" xfId="13332" xr:uid="{6FE88724-9B44-414E-8BDA-87592098B6FD}"/>
    <cellStyle name="40% - Accent1 5" xfId="10618" xr:uid="{5FD63B6A-41EE-459B-909B-4E9EDF8FD3E3}"/>
    <cellStyle name="40% - Accent2" xfId="3344" builtinId="35" customBuiltin="1"/>
    <cellStyle name="40% - Accent2 2" xfId="3397" xr:uid="{00000000-0005-0000-0000-000090010000}"/>
    <cellStyle name="40% - Accent2 3" xfId="6637" xr:uid="{00000000-0005-0000-0000-000091010000}"/>
    <cellStyle name="40% - Accent2 3 2" xfId="9314" xr:uid="{62B6BE38-CB9A-4DE4-945D-FAFD790D272C}"/>
    <cellStyle name="40% - Accent2 3 2 2" xfId="14704" xr:uid="{DF38CF35-4734-406E-98E4-8782FA95E475}"/>
    <cellStyle name="40% - Accent2 3 3" xfId="11951" xr:uid="{EAF07001-A2E8-4E40-8201-8C6CE42D7DD0}"/>
    <cellStyle name="40% - Accent2 4" xfId="7974" xr:uid="{0CEBBECF-3417-4EC1-96E9-77FFC2EA83C9}"/>
    <cellStyle name="40% - Accent2 4 2" xfId="13334" xr:uid="{BA938245-9FDB-4913-954E-3E75CBC386F4}"/>
    <cellStyle name="40% - Accent2 5" xfId="10620" xr:uid="{00AAE506-3602-4FF4-A914-30437339B69D}"/>
    <cellStyle name="40% - Accent3" xfId="3348" builtinId="39" customBuiltin="1"/>
    <cellStyle name="40% - Accent3 2" xfId="3398" xr:uid="{00000000-0005-0000-0000-000093010000}"/>
    <cellStyle name="40% - Accent3 3" xfId="6639" xr:uid="{00000000-0005-0000-0000-000094010000}"/>
    <cellStyle name="40% - Accent3 3 2" xfId="9316" xr:uid="{29F6FDE6-94CE-4784-986F-5C1FCDC0DB79}"/>
    <cellStyle name="40% - Accent3 3 2 2" xfId="14706" xr:uid="{0DBAE14E-5E46-4396-8632-A2EE65576F62}"/>
    <cellStyle name="40% - Accent3 3 3" xfId="11953" xr:uid="{D2B2B5B7-A55F-48C0-957D-D7E616B52FDF}"/>
    <cellStyle name="40% - Accent3 4" xfId="7976" xr:uid="{1C9E87DD-1F64-4B17-A780-4943CEFCF8CB}"/>
    <cellStyle name="40% - Accent3 4 2" xfId="13336" xr:uid="{717DDC33-4CA5-426F-B206-739B89B8628C}"/>
    <cellStyle name="40% - Accent3 5" xfId="10622" xr:uid="{6837DA4C-09C8-45FA-BB1D-2AF1CF5C85F4}"/>
    <cellStyle name="40% - Accent4" xfId="3352" builtinId="43" customBuiltin="1"/>
    <cellStyle name="40% - Accent4 2" xfId="3399" xr:uid="{00000000-0005-0000-0000-000096010000}"/>
    <cellStyle name="40% - Accent4 3" xfId="6641" xr:uid="{00000000-0005-0000-0000-000097010000}"/>
    <cellStyle name="40% - Accent4 3 2" xfId="9318" xr:uid="{C2AEC605-5031-481E-89F7-6C27555B33D1}"/>
    <cellStyle name="40% - Accent4 3 2 2" xfId="14708" xr:uid="{EC62BF46-7F17-4920-B4B4-D9CEA4573CB8}"/>
    <cellStyle name="40% - Accent4 3 3" xfId="11955" xr:uid="{DAC27858-BE74-4B5F-A2CE-2A04A4978464}"/>
    <cellStyle name="40% - Accent4 4" xfId="7978" xr:uid="{B7C1842D-7370-47CF-96B1-24B503456D70}"/>
    <cellStyle name="40% - Accent4 4 2" xfId="13338" xr:uid="{E04FC0B8-662D-4E18-A7AA-B7D23F1816C7}"/>
    <cellStyle name="40% - Accent4 5" xfId="10624" xr:uid="{A73DD40D-2FDA-49B3-AEBD-04249FDA209A}"/>
    <cellStyle name="40% - Accent5" xfId="3356" builtinId="47" customBuiltin="1"/>
    <cellStyle name="40% - Accent5 2" xfId="3400" xr:uid="{00000000-0005-0000-0000-000099010000}"/>
    <cellStyle name="40% - Accent5 3" xfId="6643" xr:uid="{00000000-0005-0000-0000-00009A010000}"/>
    <cellStyle name="40% - Accent5 3 2" xfId="9320" xr:uid="{D72F6565-A9E0-4345-9B2E-043BFB9F753C}"/>
    <cellStyle name="40% - Accent5 3 2 2" xfId="14710" xr:uid="{E8DDCC63-3E71-4FE1-82D7-D930B587F7A0}"/>
    <cellStyle name="40% - Accent5 3 3" xfId="11957" xr:uid="{4085EC66-31AF-47D8-B1A8-AAE81B744CEC}"/>
    <cellStyle name="40% - Accent5 4" xfId="7980" xr:uid="{A15BD364-DE06-4362-AC66-D2C402F2D079}"/>
    <cellStyle name="40% - Accent5 4 2" xfId="13340" xr:uid="{FBBBFC4C-08AE-43A8-8EAE-B0075938BDC7}"/>
    <cellStyle name="40% - Accent5 5" xfId="10626" xr:uid="{EEC405E2-BB0E-49AD-B9B3-834A0E59124A}"/>
    <cellStyle name="40% - Accent6" xfId="3360" builtinId="51" customBuiltin="1"/>
    <cellStyle name="40% - Accent6 2" xfId="3401" xr:uid="{00000000-0005-0000-0000-00009C010000}"/>
    <cellStyle name="40% - Accent6 3" xfId="6645" xr:uid="{00000000-0005-0000-0000-00009D010000}"/>
    <cellStyle name="40% - Accent6 3 2" xfId="9322" xr:uid="{D2C78CBC-BFE6-4DDC-AB44-B2BD034A1628}"/>
    <cellStyle name="40% - Accent6 3 2 2" xfId="14712" xr:uid="{FBC20022-B069-40B4-8982-745665ADE757}"/>
    <cellStyle name="40% - Accent6 3 3" xfId="11959" xr:uid="{435E291B-C715-46FB-B38B-4B3F8F29DF00}"/>
    <cellStyle name="40% - Accent6 4" xfId="7982" xr:uid="{56135ECF-181A-4195-801E-2228B420E73D}"/>
    <cellStyle name="40% - Accent6 4 2" xfId="13342" xr:uid="{FE8C7C9A-5F68-49DF-98BF-1219106F5199}"/>
    <cellStyle name="40% - Accent6 5" xfId="10628" xr:uid="{D28E4F28-F8A6-4C9C-80D0-B1F71E98F0A4}"/>
    <cellStyle name="40% - Colore 1" xfId="9" xr:uid="{00000000-0005-0000-0000-00009E010000}"/>
    <cellStyle name="40% - Colore 2" xfId="10" xr:uid="{00000000-0005-0000-0000-00009F010000}"/>
    <cellStyle name="40% - Colore 3" xfId="11" xr:uid="{00000000-0005-0000-0000-0000A0010000}"/>
    <cellStyle name="40% - Colore 4" xfId="12" xr:uid="{00000000-0005-0000-0000-0000A1010000}"/>
    <cellStyle name="40% - Colore 5" xfId="13" xr:uid="{00000000-0005-0000-0000-0000A2010000}"/>
    <cellStyle name="40% - Colore 6" xfId="14" xr:uid="{00000000-0005-0000-0000-0000A3010000}"/>
    <cellStyle name="5x indented GHG Textfiels" xfId="15" xr:uid="{00000000-0005-0000-0000-0000A4010000}"/>
    <cellStyle name="5x indented GHG Textfiels 2" xfId="2075" xr:uid="{00000000-0005-0000-0000-0000A5010000}"/>
    <cellStyle name="60% - Accent1" xfId="3341" builtinId="32" customBuiltin="1"/>
    <cellStyle name="60% - Accent1 2" xfId="3402" xr:uid="{00000000-0005-0000-0000-0000A7010000}"/>
    <cellStyle name="60% - Accent2" xfId="3345" builtinId="36" customBuiltin="1"/>
    <cellStyle name="60% - Accent2 2" xfId="3403" xr:uid="{00000000-0005-0000-0000-0000A9010000}"/>
    <cellStyle name="60% - Accent3" xfId="3349" builtinId="40" customBuiltin="1"/>
    <cellStyle name="60% - Accent3 2" xfId="3404" xr:uid="{00000000-0005-0000-0000-0000AB010000}"/>
    <cellStyle name="60% - Accent4" xfId="3353" builtinId="44" customBuiltin="1"/>
    <cellStyle name="60% - Accent4 2" xfId="3405" xr:uid="{00000000-0005-0000-0000-0000AD010000}"/>
    <cellStyle name="60% - Accent5" xfId="3357" builtinId="48" customBuiltin="1"/>
    <cellStyle name="60% - Accent5 2" xfId="3406" xr:uid="{00000000-0005-0000-0000-0000AF010000}"/>
    <cellStyle name="60% - Accent6" xfId="3361" builtinId="52" customBuiltin="1"/>
    <cellStyle name="60% - Accent6 2" xfId="3407" xr:uid="{00000000-0005-0000-0000-0000B1010000}"/>
    <cellStyle name="60% - Colore 1" xfId="16" xr:uid="{00000000-0005-0000-0000-0000B2010000}"/>
    <cellStyle name="60% - Colore 2" xfId="17" xr:uid="{00000000-0005-0000-0000-0000B3010000}"/>
    <cellStyle name="60% - Colore 3" xfId="18" xr:uid="{00000000-0005-0000-0000-0000B4010000}"/>
    <cellStyle name="60% - Colore 4" xfId="19" xr:uid="{00000000-0005-0000-0000-0000B5010000}"/>
    <cellStyle name="60% - Colore 5" xfId="20" xr:uid="{00000000-0005-0000-0000-0000B6010000}"/>
    <cellStyle name="60% - Colore 6" xfId="21" xr:uid="{00000000-0005-0000-0000-0000B7010000}"/>
    <cellStyle name="Accent1" xfId="3338" builtinId="29" customBuiltin="1"/>
    <cellStyle name="Accent1 2" xfId="3408" xr:uid="{00000000-0005-0000-0000-0000B9010000}"/>
    <cellStyle name="Accent2" xfId="3342" builtinId="33" customBuiltin="1"/>
    <cellStyle name="Accent2 2" xfId="3409" xr:uid="{00000000-0005-0000-0000-0000BB010000}"/>
    <cellStyle name="Accent3" xfId="3346" builtinId="37" customBuiltin="1"/>
    <cellStyle name="Accent3 2" xfId="3410" xr:uid="{00000000-0005-0000-0000-0000BD010000}"/>
    <cellStyle name="Accent4" xfId="3350" builtinId="41" customBuiltin="1"/>
    <cellStyle name="Accent4 2" xfId="3411" xr:uid="{00000000-0005-0000-0000-0000BF010000}"/>
    <cellStyle name="Accent5" xfId="3354" builtinId="45" customBuiltin="1"/>
    <cellStyle name="Accent5 2" xfId="3412" xr:uid="{00000000-0005-0000-0000-0000C1010000}"/>
    <cellStyle name="Accent6" xfId="3358" builtinId="49" customBuiltin="1"/>
    <cellStyle name="Accent6 2" xfId="3413" xr:uid="{00000000-0005-0000-0000-0000C3010000}"/>
    <cellStyle name="AggOrange_CRFReport-template" xfId="22" xr:uid="{00000000-0005-0000-0000-0000C4010000}"/>
    <cellStyle name="AggOrange9_CRFReport-template" xfId="23" xr:uid="{00000000-0005-0000-0000-0000C5010000}"/>
    <cellStyle name="Bad" xfId="3331" builtinId="27" customBuiltin="1"/>
    <cellStyle name="Bad 2" xfId="24" xr:uid="{00000000-0005-0000-0000-0000C7010000}"/>
    <cellStyle name="Bad 2 2" xfId="3414" xr:uid="{00000000-0005-0000-0000-0000C8010000}"/>
    <cellStyle name="Bad 3" xfId="2008" xr:uid="{00000000-0005-0000-0000-0000C9010000}"/>
    <cellStyle name="Bemærk! 2" xfId="3615" xr:uid="{00000000-0005-0000-0000-0000CA010000}"/>
    <cellStyle name="Bemærk! 2 10" xfId="8139" xr:uid="{E603D73A-6485-4DAB-BA87-B3360C6D1ED7}"/>
    <cellStyle name="Bemærk! 2 10 2" xfId="13498" xr:uid="{91C8F2D0-2D7D-4D38-87CC-19DBCB29855B}"/>
    <cellStyle name="Bemærk! 2 11" xfId="10776" xr:uid="{0C38A732-4F8E-413B-B985-FB37B477AED2}"/>
    <cellStyle name="Bemærk! 2 2" xfId="3616" xr:uid="{00000000-0005-0000-0000-0000CB010000}"/>
    <cellStyle name="Bemærk! 2 2 2" xfId="3617" xr:uid="{00000000-0005-0000-0000-0000CC010000}"/>
    <cellStyle name="Bemærk! 2 2 2 2" xfId="4259" xr:uid="{00000000-0005-0000-0000-0000CD010000}"/>
    <cellStyle name="Bemærk! 2 2 2 2 2" xfId="7427" xr:uid="{00000000-0005-0000-0000-0000CE010000}"/>
    <cellStyle name="Bemærk! 2 2 2 2 2 2" xfId="10095" xr:uid="{45349552-E192-413B-B948-9C1354DBD3FB}"/>
    <cellStyle name="Bemærk! 2 2 2 2 2 2 2" xfId="15485" xr:uid="{1C0BF17C-7410-45F5-A79D-EA1F2D9AADDC}"/>
    <cellStyle name="Bemærk! 2 2 2 2 2 3" xfId="12732" xr:uid="{2D8E1C45-313E-409F-96A6-2213BF600A51}"/>
    <cellStyle name="Bemærk! 2 2 2 2 3" xfId="8764" xr:uid="{67A43B8F-11F4-4792-9914-AE68F842AB1B}"/>
    <cellStyle name="Bemærk! 2 2 2 2 3 2" xfId="14123" xr:uid="{43B64230-4744-4442-A08A-FFB210AC6342}"/>
    <cellStyle name="Bemærk! 2 2 2 2 4" xfId="11401" xr:uid="{ABC447EB-F282-47AE-90CA-A215AC81F62D}"/>
    <cellStyle name="Bemærk! 2 2 2 3" xfId="6804" xr:uid="{00000000-0005-0000-0000-0000CF010000}"/>
    <cellStyle name="Bemærk! 2 2 2 3 2" xfId="9472" xr:uid="{07C73039-C51F-45E1-9AF1-86CF24EAA516}"/>
    <cellStyle name="Bemærk! 2 2 2 3 2 2" xfId="14862" xr:uid="{F1A85392-B012-4F0B-AFA9-2FE42D1FA383}"/>
    <cellStyle name="Bemærk! 2 2 2 3 3" xfId="12109" xr:uid="{F265AD72-20D9-41A6-9706-D370D422BE64}"/>
    <cellStyle name="Bemærk! 2 2 2 4" xfId="8141" xr:uid="{CD761D82-F29B-41A4-AEEB-1151A1EC186E}"/>
    <cellStyle name="Bemærk! 2 2 2 4 2" xfId="13500" xr:uid="{5C3978DC-F99E-4B72-AB9C-6A75A3E1DE50}"/>
    <cellStyle name="Bemærk! 2 2 2 5" xfId="10778" xr:uid="{C104A847-1127-4FEE-BE81-70751A624B4D}"/>
    <cellStyle name="Bemærk! 2 2 3" xfId="3618" xr:uid="{00000000-0005-0000-0000-0000D0010000}"/>
    <cellStyle name="Bemærk! 2 2 3 2" xfId="4260" xr:uid="{00000000-0005-0000-0000-0000D1010000}"/>
    <cellStyle name="Bemærk! 2 2 3 2 2" xfId="7428" xr:uid="{00000000-0005-0000-0000-0000D2010000}"/>
    <cellStyle name="Bemærk! 2 2 3 2 2 2" xfId="10096" xr:uid="{2A1211FA-0B7F-4F42-9126-6E05142DEF96}"/>
    <cellStyle name="Bemærk! 2 2 3 2 2 2 2" xfId="15486" xr:uid="{8D15459F-45E1-44B3-8A1D-C69488CDF4AF}"/>
    <cellStyle name="Bemærk! 2 2 3 2 2 3" xfId="12733" xr:uid="{DE776727-3192-4734-BC57-0B240A1D60CD}"/>
    <cellStyle name="Bemærk! 2 2 3 2 3" xfId="8765" xr:uid="{CC3B411B-93E4-43C8-BE1F-3892AF3B0E2C}"/>
    <cellStyle name="Bemærk! 2 2 3 2 3 2" xfId="14124" xr:uid="{648FE5DC-B3B0-4E9F-A64C-71077EE1A03D}"/>
    <cellStyle name="Bemærk! 2 2 3 2 4" xfId="11402" xr:uid="{33BE1DA8-BCB3-4BF3-80E6-66E31E7794F6}"/>
    <cellStyle name="Bemærk! 2 2 3 3" xfId="6805" xr:uid="{00000000-0005-0000-0000-0000D3010000}"/>
    <cellStyle name="Bemærk! 2 2 3 3 2" xfId="9473" xr:uid="{E53F8592-3E99-4A85-A432-CB70915FD067}"/>
    <cellStyle name="Bemærk! 2 2 3 3 2 2" xfId="14863" xr:uid="{102F13D6-DDA9-4FC4-8AE0-B28ACEC6EDAB}"/>
    <cellStyle name="Bemærk! 2 2 3 3 3" xfId="12110" xr:uid="{AB8A7224-9E1D-437F-920B-67400B70F527}"/>
    <cellStyle name="Bemærk! 2 2 3 4" xfId="8142" xr:uid="{FFA4F47A-8BF1-46FA-82C5-3D98A6558AB6}"/>
    <cellStyle name="Bemærk! 2 2 3 4 2" xfId="13501" xr:uid="{B6EC1DFF-9573-42C9-BC41-FDF52A44B228}"/>
    <cellStyle name="Bemærk! 2 2 3 5" xfId="10779" xr:uid="{265B78C0-3945-4858-BDE6-3E1109C5865D}"/>
    <cellStyle name="Bemærk! 2 2 4" xfId="4258" xr:uid="{00000000-0005-0000-0000-0000D4010000}"/>
    <cellStyle name="Bemærk! 2 2 4 2" xfId="7426" xr:uid="{00000000-0005-0000-0000-0000D5010000}"/>
    <cellStyle name="Bemærk! 2 2 4 2 2" xfId="10094" xr:uid="{EDA72EBA-D884-4B33-AE2B-F94E8ED5BB78}"/>
    <cellStyle name="Bemærk! 2 2 4 2 2 2" xfId="15484" xr:uid="{E2608710-8BBB-40B0-8F35-D8BAB583CB1C}"/>
    <cellStyle name="Bemærk! 2 2 4 2 3" xfId="12731" xr:uid="{E6F3EB1F-7808-49D2-BA30-12CF37C48E01}"/>
    <cellStyle name="Bemærk! 2 2 4 3" xfId="8763" xr:uid="{239F0D16-4AE5-472E-BE37-E6D2FE59D1D7}"/>
    <cellStyle name="Bemærk! 2 2 4 3 2" xfId="14122" xr:uid="{36642E44-0828-497C-8730-4879C5159F47}"/>
    <cellStyle name="Bemærk! 2 2 4 4" xfId="11400" xr:uid="{B7FE60CE-DBBE-4759-BE69-4276BEA23B43}"/>
    <cellStyle name="Bemærk! 2 2 5" xfId="6803" xr:uid="{00000000-0005-0000-0000-0000D6010000}"/>
    <cellStyle name="Bemærk! 2 2 5 2" xfId="9471" xr:uid="{2DDC69E6-780C-45CF-B07C-97A20AEE18C3}"/>
    <cellStyle name="Bemærk! 2 2 5 2 2" xfId="14861" xr:uid="{5497FCD7-400B-421A-A80F-92314441D24E}"/>
    <cellStyle name="Bemærk! 2 2 5 3" xfId="12108" xr:uid="{3F15D31A-3B70-4E4E-90E2-B127F5CD1323}"/>
    <cellStyle name="Bemærk! 2 2 6" xfId="8140" xr:uid="{4E018A93-0936-486D-87FE-E32EAD3CF2A9}"/>
    <cellStyle name="Bemærk! 2 2 6 2" xfId="13499" xr:uid="{79F99615-4224-4960-846E-E48A1B7B2813}"/>
    <cellStyle name="Bemærk! 2 2 7" xfId="10777" xr:uid="{F8D7E97D-0356-4BB0-A93E-E9F65C8CBC25}"/>
    <cellStyle name="Bemærk! 2 3" xfId="3619" xr:uid="{00000000-0005-0000-0000-0000D7010000}"/>
    <cellStyle name="Bemærk! 2 3 2" xfId="4261" xr:uid="{00000000-0005-0000-0000-0000D8010000}"/>
    <cellStyle name="Bemærk! 2 3 2 2" xfId="7429" xr:uid="{00000000-0005-0000-0000-0000D9010000}"/>
    <cellStyle name="Bemærk! 2 3 2 2 2" xfId="10097" xr:uid="{4D2E222C-9C1B-4BB8-BE8B-9FB0F5EAF994}"/>
    <cellStyle name="Bemærk! 2 3 2 2 2 2" xfId="15487" xr:uid="{F182282F-2428-44C8-807F-916C82918D2C}"/>
    <cellStyle name="Bemærk! 2 3 2 2 3" xfId="12734" xr:uid="{72DBCDEE-06B6-49AF-BE91-3FBE5846B593}"/>
    <cellStyle name="Bemærk! 2 3 2 3" xfId="8766" xr:uid="{9E45D267-D189-4B1C-947D-D91AD608AA40}"/>
    <cellStyle name="Bemærk! 2 3 2 3 2" xfId="14125" xr:uid="{2883B081-8D7F-442D-B734-181F8ECF3648}"/>
    <cellStyle name="Bemærk! 2 3 2 4" xfId="11403" xr:uid="{DACAF085-ADCE-45E3-9E13-BEE326D2A023}"/>
    <cellStyle name="Bemærk! 2 3 3" xfId="6806" xr:uid="{00000000-0005-0000-0000-0000DA010000}"/>
    <cellStyle name="Bemærk! 2 3 3 2" xfId="9474" xr:uid="{AE19A981-A1BC-42A3-BFED-2CFCCD69457A}"/>
    <cellStyle name="Bemærk! 2 3 3 2 2" xfId="14864" xr:uid="{F6479172-E899-4A14-80FB-F7E203AA10F1}"/>
    <cellStyle name="Bemærk! 2 3 3 3" xfId="12111" xr:uid="{D01E4E34-08C2-497D-B97C-B0D701120963}"/>
    <cellStyle name="Bemærk! 2 3 4" xfId="8143" xr:uid="{F7852289-52E6-4AB6-9A95-B3A8DDD0BC23}"/>
    <cellStyle name="Bemærk! 2 3 4 2" xfId="13502" xr:uid="{CDC0D02E-7F60-4152-9CBD-262FC0E2F537}"/>
    <cellStyle name="Bemærk! 2 3 5" xfId="10780" xr:uid="{EDCF2118-5E30-424D-B613-697BEC4F0ABF}"/>
    <cellStyle name="Bemærk! 2 4" xfId="3620" xr:uid="{00000000-0005-0000-0000-0000DB010000}"/>
    <cellStyle name="Bemærk! 2 4 2" xfId="4262" xr:uid="{00000000-0005-0000-0000-0000DC010000}"/>
    <cellStyle name="Bemærk! 2 4 2 2" xfId="7430" xr:uid="{00000000-0005-0000-0000-0000DD010000}"/>
    <cellStyle name="Bemærk! 2 4 2 2 2" xfId="10098" xr:uid="{4421FC39-1DA2-4017-B69A-67BB81156F4C}"/>
    <cellStyle name="Bemærk! 2 4 2 2 2 2" xfId="15488" xr:uid="{F05BE03A-2AD6-4466-9E2C-29DA2686AACA}"/>
    <cellStyle name="Bemærk! 2 4 2 2 3" xfId="12735" xr:uid="{82A76C96-BCAB-4717-BE0F-55D729102768}"/>
    <cellStyle name="Bemærk! 2 4 2 3" xfId="8767" xr:uid="{42601035-0AC1-4E0A-9F7A-069E6FF1FDB8}"/>
    <cellStyle name="Bemærk! 2 4 2 3 2" xfId="14126" xr:uid="{479A6C2B-E9E5-413C-95E2-17C12E0E6428}"/>
    <cellStyle name="Bemærk! 2 4 2 4" xfId="11404" xr:uid="{CF8F2454-E9DE-404C-8EFD-2C5A40BE24EE}"/>
    <cellStyle name="Bemærk! 2 4 3" xfId="6807" xr:uid="{00000000-0005-0000-0000-0000DE010000}"/>
    <cellStyle name="Bemærk! 2 4 3 2" xfId="9475" xr:uid="{5560DE2C-806C-4A16-98F7-85A95E6D84C0}"/>
    <cellStyle name="Bemærk! 2 4 3 2 2" xfId="14865" xr:uid="{C1C18328-78DF-4578-8430-52A3FC1E6D5D}"/>
    <cellStyle name="Bemærk! 2 4 3 3" xfId="12112" xr:uid="{AAE0D027-B4F0-4B57-827F-AEE41868EF16}"/>
    <cellStyle name="Bemærk! 2 4 4" xfId="8144" xr:uid="{3A78705C-AA0B-43D6-BB92-A31A81D2D681}"/>
    <cellStyle name="Bemærk! 2 4 4 2" xfId="13503" xr:uid="{4DA64CB5-F950-460D-8EE0-305FA5D302BF}"/>
    <cellStyle name="Bemærk! 2 4 5" xfId="10781" xr:uid="{1D275A71-2C29-4EFD-BB3E-89DA345FC96D}"/>
    <cellStyle name="Bemærk! 2 5" xfId="3621" xr:uid="{00000000-0005-0000-0000-0000DF010000}"/>
    <cellStyle name="Bemærk! 2 5 2" xfId="4263" xr:uid="{00000000-0005-0000-0000-0000E0010000}"/>
    <cellStyle name="Bemærk! 2 5 2 2" xfId="7431" xr:uid="{00000000-0005-0000-0000-0000E1010000}"/>
    <cellStyle name="Bemærk! 2 5 2 2 2" xfId="10099" xr:uid="{5B6CCC2C-6A55-4B57-8DA4-07F07B75A8D7}"/>
    <cellStyle name="Bemærk! 2 5 2 2 2 2" xfId="15489" xr:uid="{86EFD379-ED46-45DA-BAA1-38C18D17C425}"/>
    <cellStyle name="Bemærk! 2 5 2 2 3" xfId="12736" xr:uid="{95586260-9C09-4DFB-A9A6-47D763473206}"/>
    <cellStyle name="Bemærk! 2 5 2 3" xfId="8768" xr:uid="{981EB3D8-4C2E-4F86-87EF-5F9A5D63B6E8}"/>
    <cellStyle name="Bemærk! 2 5 2 3 2" xfId="14127" xr:uid="{6C86E2B6-1063-42FA-8664-845B78CC25A0}"/>
    <cellStyle name="Bemærk! 2 5 2 4" xfId="11405" xr:uid="{EA8E8EA4-71F2-465A-AAB1-B15B245A40CE}"/>
    <cellStyle name="Bemærk! 2 5 3" xfId="6808" xr:uid="{00000000-0005-0000-0000-0000E2010000}"/>
    <cellStyle name="Bemærk! 2 5 3 2" xfId="9476" xr:uid="{05215EED-7095-471C-AD73-ACE67ABA2551}"/>
    <cellStyle name="Bemærk! 2 5 3 2 2" xfId="14866" xr:uid="{7321CF96-42FF-4BBC-9FAF-09E08D2D5CC4}"/>
    <cellStyle name="Bemærk! 2 5 3 3" xfId="12113" xr:uid="{56F56E12-A22A-4A54-B1AD-4A62972CAA4E}"/>
    <cellStyle name="Bemærk! 2 5 4" xfId="8145" xr:uid="{643694E1-68EC-4CFC-9592-C00A2247D861}"/>
    <cellStyle name="Bemærk! 2 5 4 2" xfId="13504" xr:uid="{00F37081-C4F9-4DEC-8393-D4851C5B6DE9}"/>
    <cellStyle name="Bemærk! 2 5 5" xfId="10782" xr:uid="{966922DC-0488-460E-8CD7-72195F134D60}"/>
    <cellStyle name="Bemærk! 2 6" xfId="3622" xr:uid="{00000000-0005-0000-0000-0000E3010000}"/>
    <cellStyle name="Bemærk! 2 7" xfId="3623" xr:uid="{00000000-0005-0000-0000-0000E4010000}"/>
    <cellStyle name="Bemærk! 2 7 2" xfId="4264" xr:uid="{00000000-0005-0000-0000-0000E5010000}"/>
    <cellStyle name="Bemærk! 2 7 2 2" xfId="7432" xr:uid="{00000000-0005-0000-0000-0000E6010000}"/>
    <cellStyle name="Bemærk! 2 7 2 2 2" xfId="10100" xr:uid="{666B1D34-7DE2-4DBE-ADE8-BDA7265384E9}"/>
    <cellStyle name="Bemærk! 2 7 2 2 2 2" xfId="15490" xr:uid="{114A5F10-C00E-46F6-ACC1-FE4FD71F6B1B}"/>
    <cellStyle name="Bemærk! 2 7 2 2 3" xfId="12737" xr:uid="{2DDAA41C-D83A-4C8F-92C5-E782847AC6A1}"/>
    <cellStyle name="Bemærk! 2 7 2 3" xfId="8769" xr:uid="{6D6DC903-8725-4DB3-9A03-5A140F24F756}"/>
    <cellStyle name="Bemærk! 2 7 2 3 2" xfId="14128" xr:uid="{732E719B-654C-4366-B529-FD77CE1ADAEC}"/>
    <cellStyle name="Bemærk! 2 7 2 4" xfId="11406" xr:uid="{CCA78AF9-157F-4CB4-A365-E5283000D3EB}"/>
    <cellStyle name="Bemærk! 2 7 3" xfId="6809" xr:uid="{00000000-0005-0000-0000-0000E7010000}"/>
    <cellStyle name="Bemærk! 2 7 3 2" xfId="9477" xr:uid="{66827754-E6E2-4C1D-8633-4035DEB9245A}"/>
    <cellStyle name="Bemærk! 2 7 3 2 2" xfId="14867" xr:uid="{343C97AD-8C0A-4B97-81E5-0AD2FD737540}"/>
    <cellStyle name="Bemærk! 2 7 3 3" xfId="12114" xr:uid="{96D046B9-43CE-4FC3-8AEB-2D11651863A1}"/>
    <cellStyle name="Bemærk! 2 7 4" xfId="8146" xr:uid="{9806654A-AA2D-43A4-8192-9155A1895783}"/>
    <cellStyle name="Bemærk! 2 7 4 2" xfId="13505" xr:uid="{924FFAFD-D6C5-404B-9135-E3ABACF075DB}"/>
    <cellStyle name="Bemærk! 2 7 5" xfId="10783" xr:uid="{0C5691BB-2113-47EF-BBF8-E863C960FB0E}"/>
    <cellStyle name="Bemærk! 2 8" xfId="4257" xr:uid="{00000000-0005-0000-0000-0000E8010000}"/>
    <cellStyle name="Bemærk! 2 8 2" xfId="7425" xr:uid="{00000000-0005-0000-0000-0000E9010000}"/>
    <cellStyle name="Bemærk! 2 8 2 2" xfId="10093" xr:uid="{6C992657-F15C-4C18-A49A-D2668CEF1080}"/>
    <cellStyle name="Bemærk! 2 8 2 2 2" xfId="15483" xr:uid="{25F92131-09C1-47FC-97DF-42A47FF32BC5}"/>
    <cellStyle name="Bemærk! 2 8 2 3" xfId="12730" xr:uid="{4B27A449-7D07-4BA5-A7EC-B61E7BB30F91}"/>
    <cellStyle name="Bemærk! 2 8 3" xfId="8762" xr:uid="{6F4A8129-3AD4-4F34-8658-74402A392C53}"/>
    <cellStyle name="Bemærk! 2 8 3 2" xfId="14121" xr:uid="{DDAEF23B-516F-4A16-BCE9-017571EF535A}"/>
    <cellStyle name="Bemærk! 2 8 4" xfId="11399" xr:uid="{840CAE5D-67C6-47A3-88BF-D64D62E71288}"/>
    <cellStyle name="Bemærk! 2 9" xfId="6802" xr:uid="{00000000-0005-0000-0000-0000EA010000}"/>
    <cellStyle name="Bemærk! 2 9 2" xfId="9470" xr:uid="{91281B23-57C6-4B91-A67B-52652E25C89E}"/>
    <cellStyle name="Bemærk! 2 9 2 2" xfId="14860" xr:uid="{14B1AD74-5778-4574-8AF5-EC7CFA1F1EE9}"/>
    <cellStyle name="Bemærk! 2 9 3" xfId="12107" xr:uid="{90C21A63-B6A1-48C6-8877-7CD7DE08EC5B}"/>
    <cellStyle name="Bemærk! 3" xfId="3624" xr:uid="{00000000-0005-0000-0000-0000EB010000}"/>
    <cellStyle name="Bemærk! 4" xfId="3625" xr:uid="{00000000-0005-0000-0000-0000EC010000}"/>
    <cellStyle name="Bemærk! 4 2" xfId="3626" xr:uid="{00000000-0005-0000-0000-0000ED010000}"/>
    <cellStyle name="Bemærk! 4 2 2" xfId="4265" xr:uid="{00000000-0005-0000-0000-0000EE010000}"/>
    <cellStyle name="Bemærk! 4 2 2 2" xfId="7433" xr:uid="{00000000-0005-0000-0000-0000EF010000}"/>
    <cellStyle name="Bemærk! 4 2 2 2 2" xfId="10101" xr:uid="{30F1417C-A9F4-4802-8776-CCD287A27134}"/>
    <cellStyle name="Bemærk! 4 2 2 2 2 2" xfId="15491" xr:uid="{AEB4B777-4178-4B84-931A-1D34317124BB}"/>
    <cellStyle name="Bemærk! 4 2 2 2 3" xfId="12738" xr:uid="{6D04A740-470A-4DAF-898F-CABB389C0677}"/>
    <cellStyle name="Bemærk! 4 2 2 3" xfId="8770" xr:uid="{B7BDCF60-0CD1-491D-A0B5-6EA48FCBD0D1}"/>
    <cellStyle name="Bemærk! 4 2 2 3 2" xfId="14129" xr:uid="{E4F5E817-1844-4158-BEFC-1B33CEA9EEC9}"/>
    <cellStyle name="Bemærk! 4 2 2 4" xfId="11407" xr:uid="{3455E63D-0852-4888-84C5-FB6AE32E752D}"/>
    <cellStyle name="Bemærk! 4 2 3" xfId="6810" xr:uid="{00000000-0005-0000-0000-0000F0010000}"/>
    <cellStyle name="Bemærk! 4 2 3 2" xfId="9478" xr:uid="{0E41BD39-E71A-494A-828F-4865A296250C}"/>
    <cellStyle name="Bemærk! 4 2 3 2 2" xfId="14868" xr:uid="{5E54CC8F-E44A-41D1-885F-AC1AA26F5F3D}"/>
    <cellStyle name="Bemærk! 4 2 3 3" xfId="12115" xr:uid="{88C4F49A-1438-4FE8-8F77-CA7C24F8ACDC}"/>
    <cellStyle name="Bemærk! 4 2 4" xfId="8147" xr:uid="{39C2ADB5-60B4-43DC-B119-1B8D1441E624}"/>
    <cellStyle name="Bemærk! 4 2 4 2" xfId="13506" xr:uid="{88801AEF-CF7B-4E2D-8117-340FE1564276}"/>
    <cellStyle name="Bemærk! 4 2 5" xfId="10784" xr:uid="{A2DEF8E8-6644-4D74-B1C1-2FE26D37BDEC}"/>
    <cellStyle name="Bemærk! 5" xfId="3627" xr:uid="{00000000-0005-0000-0000-0000F1010000}"/>
    <cellStyle name="Bemærk! 6" xfId="3628" xr:uid="{00000000-0005-0000-0000-0000F2010000}"/>
    <cellStyle name="Bemærk! 6 2" xfId="4266" xr:uid="{00000000-0005-0000-0000-0000F3010000}"/>
    <cellStyle name="Bemærk! 6 2 2" xfId="7434" xr:uid="{00000000-0005-0000-0000-0000F4010000}"/>
    <cellStyle name="Bemærk! 6 2 2 2" xfId="10102" xr:uid="{EF92FF60-00B9-45E1-888D-9E8DC32A7051}"/>
    <cellStyle name="Bemærk! 6 2 2 2 2" xfId="15492" xr:uid="{FDF0EB44-474D-4CF1-A02B-BF8085B08564}"/>
    <cellStyle name="Bemærk! 6 2 2 3" xfId="12739" xr:uid="{A63CCDA7-A1B7-4EB3-AB78-5C3DF936DF8F}"/>
    <cellStyle name="Bemærk! 6 2 3" xfId="8771" xr:uid="{FFF2695D-9AA8-4575-9920-7295242DE03D}"/>
    <cellStyle name="Bemærk! 6 2 3 2" xfId="14130" xr:uid="{7C9F58DB-C5B4-4B0B-9D42-D6B25B98CE55}"/>
    <cellStyle name="Bemærk! 6 2 4" xfId="11408" xr:uid="{C806A932-92BB-40A4-A7B0-F55B0FC7E0B0}"/>
    <cellStyle name="Bemærk! 6 3" xfId="6811" xr:uid="{00000000-0005-0000-0000-0000F5010000}"/>
    <cellStyle name="Bemærk! 6 3 2" xfId="9479" xr:uid="{18EBC537-D668-40E6-A0E1-933AC07A36A4}"/>
    <cellStyle name="Bemærk! 6 3 2 2" xfId="14869" xr:uid="{81B25BAE-AC9D-42A1-8C99-2FF679FDCE46}"/>
    <cellStyle name="Bemærk! 6 3 3" xfId="12116" xr:uid="{0C4429F4-ADB4-4ACE-A5A6-20C8E43EEB8F}"/>
    <cellStyle name="Bemærk! 6 4" xfId="8148" xr:uid="{92F2E74C-22A9-4511-B3AC-4B57BF0D8A50}"/>
    <cellStyle name="Bemærk! 6 4 2" xfId="13507" xr:uid="{46BAA524-F2B2-4B93-8785-E66631ADBF24}"/>
    <cellStyle name="Bemærk! 6 5" xfId="10785" xr:uid="{BCF3EB7B-28EF-471C-8C74-9ACE7EF50260}"/>
    <cellStyle name="Bruger data" xfId="25" xr:uid="{00000000-0005-0000-0000-0000F6010000}"/>
    <cellStyle name="C01_Main head" xfId="3415" xr:uid="{00000000-0005-0000-0000-0000F7010000}"/>
    <cellStyle name="C02_Column heads" xfId="3416" xr:uid="{00000000-0005-0000-0000-0000F8010000}"/>
    <cellStyle name="C03_Sub head bold" xfId="3417" xr:uid="{00000000-0005-0000-0000-0000F9010000}"/>
    <cellStyle name="C03a_Sub head" xfId="3418" xr:uid="{00000000-0005-0000-0000-0000FA010000}"/>
    <cellStyle name="C04_Total text white bold" xfId="3419" xr:uid="{00000000-0005-0000-0000-0000FB010000}"/>
    <cellStyle name="C04a_Total text black with rule" xfId="3420" xr:uid="{00000000-0005-0000-0000-0000FC010000}"/>
    <cellStyle name="C05_Main text" xfId="3421" xr:uid="{00000000-0005-0000-0000-0000FD010000}"/>
    <cellStyle name="C06_Figs" xfId="3422" xr:uid="{00000000-0005-0000-0000-0000FE010000}"/>
    <cellStyle name="C07_Figs 1 dec percent" xfId="3423" xr:uid="{00000000-0005-0000-0000-0000FF010000}"/>
    <cellStyle name="C08_Figs 1 decimal" xfId="3424" xr:uid="{00000000-0005-0000-0000-000000020000}"/>
    <cellStyle name="C09_Notes" xfId="3425" xr:uid="{00000000-0005-0000-0000-000001020000}"/>
    <cellStyle name="Calcolo" xfId="26" xr:uid="{00000000-0005-0000-0000-000002020000}"/>
    <cellStyle name="Calcolo 2" xfId="7896" xr:uid="{FD3E0AA0-DA0E-4C5E-8858-31F80D4D5DC9}"/>
    <cellStyle name="Calcolo 2 2" xfId="13201" xr:uid="{3C3C4406-A16C-475E-9BCB-CC407BF24F55}"/>
    <cellStyle name="Calcolo 3" xfId="13294" xr:uid="{C379F379-7AD4-4513-B5AA-747A9449AE06}"/>
    <cellStyle name="Calcolo 4" xfId="14595" xr:uid="{D18C9BE7-5ACD-47EF-85EC-9E67750097B1}"/>
    <cellStyle name="Calcolo 5" xfId="15967" xr:uid="{19217D58-D198-4638-9580-66A6828A0CFE}"/>
    <cellStyle name="Calcolo 6" xfId="15968" xr:uid="{065A4808-4A21-4637-A6FC-7C85AA7567AB}"/>
    <cellStyle name="Calculation" xfId="27" builtinId="22" customBuiltin="1"/>
    <cellStyle name="Calculation 2" xfId="2009" xr:uid="{00000000-0005-0000-0000-000004020000}"/>
    <cellStyle name="Calculation 2 2" xfId="3520" xr:uid="{00000000-0005-0000-0000-000005020000}"/>
    <cellStyle name="Calculation 2 2 2" xfId="8048" xr:uid="{2BBD07B2-FE73-4295-821A-A54A0F98731C}"/>
    <cellStyle name="Calculation 2 2 2 2" xfId="13407" xr:uid="{918753F6-DBB8-4B26-BC7B-CFF2DD9AD474}"/>
    <cellStyle name="Calculation 2 2 3" xfId="14654" xr:uid="{FC81CD5B-8223-4FAE-BF16-B6796798527A}"/>
    <cellStyle name="Calculation 2 2 4" xfId="15981" xr:uid="{51B43292-9B76-462C-9E6F-7481104FBDCD}"/>
    <cellStyle name="Calculation 2 2 5" xfId="14636" xr:uid="{762B1D66-A852-4FFF-82C4-B1EF18D40B45}"/>
    <cellStyle name="Calculation 2 2 6" xfId="15974" xr:uid="{1C48C47F-2DCA-4940-90A2-44193045F006}"/>
    <cellStyle name="Calculation 2 3" xfId="3426" xr:uid="{00000000-0005-0000-0000-000006020000}"/>
    <cellStyle name="Calculation 2 3 2" xfId="7992" xr:uid="{FB8E0A96-7CF2-454A-8961-52EB16A8F435}"/>
    <cellStyle name="Calculation 2 3 2 2" xfId="13352" xr:uid="{2F4A37C4-5116-4442-963B-A27054D414D3}"/>
    <cellStyle name="Calculation 2 3 3" xfId="13217" xr:uid="{EE8F104A-1AB6-4F27-83BC-F2708A8ACA34}"/>
    <cellStyle name="Calculation 2 3 4" xfId="13213" xr:uid="{9089AA7F-0A38-4CCB-A125-9EF578740281}"/>
    <cellStyle name="Calculation 2 3 5" xfId="15965" xr:uid="{0EE7AA5E-57FA-4120-97E1-639E75FAAC59}"/>
    <cellStyle name="Calculation 2 3 6" xfId="13263" xr:uid="{EB5D9511-D6C1-472C-8C98-AE81153A5242}"/>
    <cellStyle name="Calculations" xfId="28" xr:uid="{00000000-0005-0000-0000-000007020000}"/>
    <cellStyle name="Cella collegata" xfId="29" xr:uid="{00000000-0005-0000-0000-000008020000}"/>
    <cellStyle name="Cella da controllare" xfId="30" xr:uid="{00000000-0005-0000-0000-000009020000}"/>
    <cellStyle name="Check Cell" xfId="3334" builtinId="23" customBuiltin="1"/>
    <cellStyle name="Check Cell 2" xfId="3427" xr:uid="{00000000-0005-0000-0000-00000B020000}"/>
    <cellStyle name="Colore 1" xfId="31" xr:uid="{00000000-0005-0000-0000-00000C020000}"/>
    <cellStyle name="Colore 2" xfId="32" xr:uid="{00000000-0005-0000-0000-00000D020000}"/>
    <cellStyle name="Colore 3" xfId="33" xr:uid="{00000000-0005-0000-0000-00000E020000}"/>
    <cellStyle name="Colore 4" xfId="34" xr:uid="{00000000-0005-0000-0000-00000F020000}"/>
    <cellStyle name="Colore 5" xfId="35" xr:uid="{00000000-0005-0000-0000-000010020000}"/>
    <cellStyle name="Colore 6" xfId="36" xr:uid="{00000000-0005-0000-0000-000011020000}"/>
    <cellStyle name="Comma 10" xfId="3428" xr:uid="{00000000-0005-0000-0000-000012020000}"/>
    <cellStyle name="Comma 2" xfId="37" xr:uid="{00000000-0005-0000-0000-000013020000}"/>
    <cellStyle name="Comma 2 10" xfId="3375" xr:uid="{00000000-0005-0000-0000-000014020000}"/>
    <cellStyle name="Comma 2 11" xfId="4861" xr:uid="{00000000-0005-0000-0000-000015020000}"/>
    <cellStyle name="Comma 2 11 2" xfId="9235" xr:uid="{D5CCBE22-B423-4EEA-8B6D-E21C370D8C34}"/>
    <cellStyle name="Comma 2 11 2 2" xfId="14597" xr:uid="{184AFFEE-71C5-4DDF-90AA-D2667C5E85AF}"/>
    <cellStyle name="Comma 2 11 3" xfId="11872" xr:uid="{AA3DDBBC-FDF1-406B-9561-872E3C67688C}"/>
    <cellStyle name="Comma 2 2" xfId="38" xr:uid="{00000000-0005-0000-0000-000016020000}"/>
    <cellStyle name="Comma 2 2 2" xfId="39" xr:uid="{00000000-0005-0000-0000-000017020000}"/>
    <cellStyle name="Comma 2 2 2 2" xfId="2076" xr:uid="{00000000-0005-0000-0000-000018020000}"/>
    <cellStyle name="Comma 2 2 2 2 2" xfId="3293" xr:uid="{00000000-0005-0000-0000-000019020000}"/>
    <cellStyle name="Comma 2 2 2 3" xfId="3265" xr:uid="{00000000-0005-0000-0000-00001A020000}"/>
    <cellStyle name="Comma 2 2 3" xfId="3264" xr:uid="{00000000-0005-0000-0000-00001B020000}"/>
    <cellStyle name="Comma 2 2 4" xfId="3368" xr:uid="{00000000-0005-0000-0000-00001C020000}"/>
    <cellStyle name="Comma 2 2 5" xfId="3429" xr:uid="{00000000-0005-0000-0000-00001D020000}"/>
    <cellStyle name="Comma 2 2 5 2" xfId="6656" xr:uid="{00000000-0005-0000-0000-00001E020000}"/>
    <cellStyle name="Comma 2 3" xfId="40" xr:uid="{00000000-0005-0000-0000-00001F020000}"/>
    <cellStyle name="Comma 2 3 2" xfId="41" xr:uid="{00000000-0005-0000-0000-000020020000}"/>
    <cellStyle name="Comma 2 3 2 2" xfId="3267" xr:uid="{00000000-0005-0000-0000-000021020000}"/>
    <cellStyle name="Comma 2 3 3" xfId="42" xr:uid="{00000000-0005-0000-0000-000022020000}"/>
    <cellStyle name="Comma 2 3 3 2" xfId="2078" xr:uid="{00000000-0005-0000-0000-000023020000}"/>
    <cellStyle name="Comma 2 3 3 2 2" xfId="3295" xr:uid="{00000000-0005-0000-0000-000024020000}"/>
    <cellStyle name="Comma 2 3 3 3" xfId="3268" xr:uid="{00000000-0005-0000-0000-000025020000}"/>
    <cellStyle name="Comma 2 3 4" xfId="2077" xr:uid="{00000000-0005-0000-0000-000026020000}"/>
    <cellStyle name="Comma 2 3 4 2" xfId="3294" xr:uid="{00000000-0005-0000-0000-000027020000}"/>
    <cellStyle name="Comma 2 3 5" xfId="3266" xr:uid="{00000000-0005-0000-0000-000028020000}"/>
    <cellStyle name="Comma 2 4" xfId="43" xr:uid="{00000000-0005-0000-0000-000029020000}"/>
    <cellStyle name="Comma 2 4 2" xfId="3269" xr:uid="{00000000-0005-0000-0000-00002A020000}"/>
    <cellStyle name="Comma 2 5" xfId="44" xr:uid="{00000000-0005-0000-0000-00002B020000}"/>
    <cellStyle name="Comma 2 5 2" xfId="3270" xr:uid="{00000000-0005-0000-0000-00002C020000}"/>
    <cellStyle name="Comma 2 5 2 2" xfId="6600" xr:uid="{00000000-0005-0000-0000-00002D020000}"/>
    <cellStyle name="Comma 2 5 3" xfId="4927" xr:uid="{00000000-0005-0000-0000-00002E020000}"/>
    <cellStyle name="Comma 2 6" xfId="45" xr:uid="{00000000-0005-0000-0000-00002F020000}"/>
    <cellStyle name="Comma 2 6 2" xfId="46" xr:uid="{00000000-0005-0000-0000-000030020000}"/>
    <cellStyle name="Comma 2 6 2 2" xfId="4929" xr:uid="{00000000-0005-0000-0000-000031020000}"/>
    <cellStyle name="Comma 2 6 2 3" xfId="5679" xr:uid="{00000000-0005-0000-0000-000032020000}"/>
    <cellStyle name="Comma 2 6 3" xfId="4928" xr:uid="{00000000-0005-0000-0000-000033020000}"/>
    <cellStyle name="Comma 2 6 4" xfId="5678" xr:uid="{00000000-0005-0000-0000-000034020000}"/>
    <cellStyle name="Comma 2 7" xfId="3314" xr:uid="{00000000-0005-0000-0000-000035020000}"/>
    <cellStyle name="Comma 2 7 2" xfId="4926" xr:uid="{00000000-0005-0000-0000-000036020000}"/>
    <cellStyle name="Comma 2 7 3" xfId="6623" xr:uid="{00000000-0005-0000-0000-000037020000}"/>
    <cellStyle name="Comma 2 7 3 2" xfId="9300" xr:uid="{AA6E8C5C-FE11-4418-A304-216BBE64E121}"/>
    <cellStyle name="Comma 2 7 3 2 2" xfId="14690" xr:uid="{241256E1-BBB1-4550-BF63-802677B81E9C}"/>
    <cellStyle name="Comma 2 7 3 3" xfId="11937" xr:uid="{EB860283-AE05-4322-8393-D7D5142755A2}"/>
    <cellStyle name="Comma 2 7 4" xfId="7960" xr:uid="{CB1D6A59-28CA-4E4B-BFD0-8B1188527A58}"/>
    <cellStyle name="Comma 2 7 4 2" xfId="13320" xr:uid="{93667C80-E261-41BE-8F8D-191B12143139}"/>
    <cellStyle name="Comma 2 7 5" xfId="10606" xr:uid="{F6468446-6F33-43CD-9C7D-A2D380BA4050}"/>
    <cellStyle name="Comma 2 8" xfId="3263" xr:uid="{00000000-0005-0000-0000-000038020000}"/>
    <cellStyle name="Comma 2 9" xfId="3365" xr:uid="{00000000-0005-0000-0000-000039020000}"/>
    <cellStyle name="Comma 2 9 2" xfId="6649" xr:uid="{00000000-0005-0000-0000-00003A020000}"/>
    <cellStyle name="Comma 22" xfId="15958" xr:uid="{597A6F76-75E7-470A-BA52-F8BA6752B30B}"/>
    <cellStyle name="Comma 3" xfId="47" xr:uid="{00000000-0005-0000-0000-00003B020000}"/>
    <cellStyle name="Comma 3 2" xfId="48" xr:uid="{00000000-0005-0000-0000-00003C020000}"/>
    <cellStyle name="Comma 3 2 2" xfId="49" xr:uid="{00000000-0005-0000-0000-00003D020000}"/>
    <cellStyle name="Comma 3 2 2 2" xfId="3273" xr:uid="{00000000-0005-0000-0000-00003E020000}"/>
    <cellStyle name="Comma 3 2 3" xfId="3272" xr:uid="{00000000-0005-0000-0000-00003F020000}"/>
    <cellStyle name="Comma 3 2 4" xfId="3430" xr:uid="{00000000-0005-0000-0000-000040020000}"/>
    <cellStyle name="Comma 3 2 4 2" xfId="6657" xr:uid="{00000000-0005-0000-0000-000041020000}"/>
    <cellStyle name="Comma 3 3" xfId="50" xr:uid="{00000000-0005-0000-0000-000042020000}"/>
    <cellStyle name="Comma 3 3 2" xfId="2080" xr:uid="{00000000-0005-0000-0000-000043020000}"/>
    <cellStyle name="Comma 3 3 2 2" xfId="3297" xr:uid="{00000000-0005-0000-0000-000044020000}"/>
    <cellStyle name="Comma 3 3 2 2 2" xfId="6611" xr:uid="{00000000-0005-0000-0000-000045020000}"/>
    <cellStyle name="Comma 3 3 2 2 2 2" xfId="9288" xr:uid="{33CF4391-ED3D-4C6C-ADFC-CDDA3C64286A}"/>
    <cellStyle name="Comma 3 3 2 2 2 2 2" xfId="14678" xr:uid="{94F20E83-3F10-419F-87DD-FAF5B7BB8B14}"/>
    <cellStyle name="Comma 3 3 2 2 2 3" xfId="11925" xr:uid="{443FEEF7-53D1-48AD-8D7A-55C0235C7A25}"/>
    <cellStyle name="Comma 3 3 2 2 3" xfId="7948" xr:uid="{7278AF4D-FF00-423F-8899-33F569A68E38}"/>
    <cellStyle name="Comma 3 3 2 2 3 2" xfId="13308" xr:uid="{615BDD81-C575-4475-927C-5BB3EC3D34EF}"/>
    <cellStyle name="Comma 3 3 2 2 4" xfId="10594" xr:uid="{17857DB8-8190-4B2D-B5FF-4631A6FBD22A}"/>
    <cellStyle name="Comma 3 3 2 3" xfId="5369" xr:uid="{00000000-0005-0000-0000-000046020000}"/>
    <cellStyle name="Comma 3 3 2 3 2" xfId="9248" xr:uid="{DF37F802-B36F-4465-8197-4DFD53F261AC}"/>
    <cellStyle name="Comma 3 3 2 3 2 2" xfId="14617" xr:uid="{26A20B70-BBEC-47EA-94C8-6B5CE65E0668}"/>
    <cellStyle name="Comma 3 3 2 3 3" xfId="11885" xr:uid="{19785357-664C-45ED-9D17-90F02EAE5A2B}"/>
    <cellStyle name="Comma 3 3 2 4" xfId="6291" xr:uid="{00000000-0005-0000-0000-000047020000}"/>
    <cellStyle name="Comma 3 3 2 4 2" xfId="9268" xr:uid="{BD5C2FBF-50ED-497B-BF23-0AC42703E5B4}"/>
    <cellStyle name="Comma 3 3 2 4 2 2" xfId="14651" xr:uid="{06C5267F-A475-4626-B4BB-384B1423D1B4}"/>
    <cellStyle name="Comma 3 3 2 4 3" xfId="11905" xr:uid="{88458E1D-7563-48EE-AD46-12DB1D117E9B}"/>
    <cellStyle name="Comma 3 3 2 5" xfId="7923" xr:uid="{392A9A68-C254-43BD-A27E-F586506DD736}"/>
    <cellStyle name="Comma 3 3 2 5 2" xfId="13261" xr:uid="{51A892B6-6170-41CC-9006-B6631A5368F8}"/>
    <cellStyle name="Comma 3 3 2 6" xfId="10574" xr:uid="{83EC1F15-FAFF-4F34-8DFE-816FCCFED9DE}"/>
    <cellStyle name="Comma 3 3 3" xfId="3274" xr:uid="{00000000-0005-0000-0000-000048020000}"/>
    <cellStyle name="Comma 3 3 3 2" xfId="6601" xr:uid="{00000000-0005-0000-0000-000049020000}"/>
    <cellStyle name="Comma 3 3 3 2 2" xfId="9278" xr:uid="{6686EA49-FE5E-46E9-B80D-58F6DE913DE3}"/>
    <cellStyle name="Comma 3 3 3 2 2 2" xfId="14668" xr:uid="{30C78E65-A1A8-4EB0-A7E3-5B223814FA1D}"/>
    <cellStyle name="Comma 3 3 3 2 3" xfId="11915" xr:uid="{3CDF0027-EFFE-4DCD-AD9F-CAB7FAAC6C19}"/>
    <cellStyle name="Comma 3 3 3 3" xfId="7938" xr:uid="{4A1AD620-61FC-47C6-AF3A-479DA2B77391}"/>
    <cellStyle name="Comma 3 3 3 3 2" xfId="13298" xr:uid="{1AED053F-2122-4996-BC08-837A0A33FA7D}"/>
    <cellStyle name="Comma 3 3 3 4" xfId="10584" xr:uid="{2040F6FB-BF0E-471E-A70F-9ECCC14384E5}"/>
    <cellStyle name="Comma 3 3 4" xfId="4931" xr:uid="{00000000-0005-0000-0000-00004A020000}"/>
    <cellStyle name="Comma 3 3 4 2" xfId="9238" xr:uid="{3C832D0B-E979-4932-A665-1E7E646EF244}"/>
    <cellStyle name="Comma 3 3 4 2 2" xfId="14600" xr:uid="{4F72065D-04C6-4AA5-AB69-8737C8C2F605}"/>
    <cellStyle name="Comma 3 3 4 3" xfId="11875" xr:uid="{F59DF6A2-6D0F-4622-B57A-97F95CEB69F6}"/>
    <cellStyle name="Comma 3 3 5" xfId="5680" xr:uid="{00000000-0005-0000-0000-00004B020000}"/>
    <cellStyle name="Comma 3 3 5 2" xfId="9258" xr:uid="{CB11CB2C-5C4C-44AF-8652-2E42850B8EE4}"/>
    <cellStyle name="Comma 3 3 5 2 2" xfId="14631" xr:uid="{A1F3190C-3D3C-44E5-9DB8-DFD032432AB9}"/>
    <cellStyle name="Comma 3 3 5 3" xfId="11895" xr:uid="{F8C63E1D-D023-4683-A679-04B6C46AC935}"/>
    <cellStyle name="Comma 3 3 6" xfId="7897" xr:uid="{D8FFF2EC-9E6F-44BA-ABC5-C12A2EB991AD}"/>
    <cellStyle name="Comma 3 3 6 2" xfId="13202" xr:uid="{8B88BAA7-EB95-422D-B9CB-5406774BE36D}"/>
    <cellStyle name="Comma 3 3 7" xfId="10564" xr:uid="{989F7CFF-0BEA-4BAF-8DDC-8ABA0EE4942D}"/>
    <cellStyle name="Comma 3 4" xfId="2079" xr:uid="{00000000-0005-0000-0000-00004C020000}"/>
    <cellStyle name="Comma 3 4 2" xfId="3296" xr:uid="{00000000-0005-0000-0000-00004D020000}"/>
    <cellStyle name="Comma 3 5" xfId="3316" xr:uid="{00000000-0005-0000-0000-00004E020000}"/>
    <cellStyle name="Comma 3 5 2" xfId="4930" xr:uid="{00000000-0005-0000-0000-00004F020000}"/>
    <cellStyle name="Comma 3 5 3" xfId="6625" xr:uid="{00000000-0005-0000-0000-000050020000}"/>
    <cellStyle name="Comma 3 5 3 2" xfId="9302" xr:uid="{EC6A5293-970A-444C-A56B-38B571867454}"/>
    <cellStyle name="Comma 3 5 3 2 2" xfId="14692" xr:uid="{4E555A96-2D84-4681-9F97-467DC25504B2}"/>
    <cellStyle name="Comma 3 5 3 3" xfId="11939" xr:uid="{74C9671B-B095-4FA3-A194-A73EB56972B8}"/>
    <cellStyle name="Comma 3 5 4" xfId="7962" xr:uid="{FA678945-4E6F-4BEE-935B-2960D46C11C5}"/>
    <cellStyle name="Comma 3 5 4 2" xfId="13322" xr:uid="{F52432B2-A85B-492D-819E-3A13B19CF869}"/>
    <cellStyle name="Comma 3 5 5" xfId="10608" xr:uid="{238981A9-3591-4202-A535-6E2E8DB89939}"/>
    <cellStyle name="Comma 3 6" xfId="3271" xr:uid="{00000000-0005-0000-0000-000051020000}"/>
    <cellStyle name="Comma 3 7" xfId="3366" xr:uid="{00000000-0005-0000-0000-000052020000}"/>
    <cellStyle name="Comma 3 7 2" xfId="6650" xr:uid="{00000000-0005-0000-0000-000053020000}"/>
    <cellStyle name="Comma 3 7 2 2" xfId="9326" xr:uid="{76A4870F-CEC9-4542-86DA-F97C38B9264F}"/>
    <cellStyle name="Comma 3 7 2 2 2" xfId="14716" xr:uid="{7365330F-6DF7-41C5-A5B0-019ED1A9578A}"/>
    <cellStyle name="Comma 3 7 2 3" xfId="11963" xr:uid="{42EF1DDC-C573-4924-A3F0-DD8F316D9CCB}"/>
    <cellStyle name="Comma 3 7 3" xfId="7986" xr:uid="{DAEC5F98-103C-4E40-B847-414128B07543}"/>
    <cellStyle name="Comma 3 7 3 2" xfId="13346" xr:uid="{A2677A58-8195-4202-B38E-A2441CFC86FB}"/>
    <cellStyle name="Comma 3 7 4" xfId="10632" xr:uid="{1BCF863D-684F-41AC-8327-3E45C8FD64A7}"/>
    <cellStyle name="Comma 3 8" xfId="3374" xr:uid="{00000000-0005-0000-0000-000054020000}"/>
    <cellStyle name="Comma 3 9" xfId="4862" xr:uid="{00000000-0005-0000-0000-000055020000}"/>
    <cellStyle name="Comma 3 9 2" xfId="9236" xr:uid="{244E74C8-D8E7-40D4-A917-0D373943DA52}"/>
    <cellStyle name="Comma 3 9 2 2" xfId="14598" xr:uid="{4313B2B9-8578-4BF1-B430-E2B4DD6E588B}"/>
    <cellStyle name="Comma 3 9 3" xfId="11873" xr:uid="{B5AFC590-600E-4CC3-9289-70FCF110155C}"/>
    <cellStyle name="Comma 4" xfId="51" xr:uid="{00000000-0005-0000-0000-000056020000}"/>
    <cellStyle name="Comma 4 2" xfId="52" xr:uid="{00000000-0005-0000-0000-000057020000}"/>
    <cellStyle name="Comma 4 2 2" xfId="53" xr:uid="{00000000-0005-0000-0000-000058020000}"/>
    <cellStyle name="Comma 4 2 2 2" xfId="3277" xr:uid="{00000000-0005-0000-0000-000059020000}"/>
    <cellStyle name="Comma 4 2 3" xfId="3276" xr:uid="{00000000-0005-0000-0000-00005A020000}"/>
    <cellStyle name="Comma 4 2 4" xfId="3431" xr:uid="{00000000-0005-0000-0000-00005B020000}"/>
    <cellStyle name="Comma 4 2 4 2" xfId="6658" xr:uid="{00000000-0005-0000-0000-00005C020000}"/>
    <cellStyle name="Comma 4 3" xfId="54" xr:uid="{00000000-0005-0000-0000-00005D020000}"/>
    <cellStyle name="Comma 4 3 2" xfId="2082" xr:uid="{00000000-0005-0000-0000-00005E020000}"/>
    <cellStyle name="Comma 4 3 2 2" xfId="3299" xr:uid="{00000000-0005-0000-0000-00005F020000}"/>
    <cellStyle name="Comma 4 3 2 2 2" xfId="6612" xr:uid="{00000000-0005-0000-0000-000060020000}"/>
    <cellStyle name="Comma 4 3 2 2 2 2" xfId="9289" xr:uid="{B3E9AAC8-E437-46A8-A572-753B9F49EDBE}"/>
    <cellStyle name="Comma 4 3 2 2 2 2 2" xfId="14679" xr:uid="{64DDEACB-B259-40BD-A43E-782457EC8BDF}"/>
    <cellStyle name="Comma 4 3 2 2 2 3" xfId="11926" xr:uid="{937246C1-7957-47D2-9DB4-5563A0309872}"/>
    <cellStyle name="Comma 4 3 2 2 3" xfId="7949" xr:uid="{546B407D-FF43-4BB0-B566-0DF80DE07733}"/>
    <cellStyle name="Comma 4 3 2 2 3 2" xfId="13309" xr:uid="{27A8906F-E07E-4DEC-95D8-E885EDEA3042}"/>
    <cellStyle name="Comma 4 3 2 2 4" xfId="10595" xr:uid="{9D716234-BE9E-44FD-B30C-3F99E914DED3}"/>
    <cellStyle name="Comma 4 3 2 3" xfId="5370" xr:uid="{00000000-0005-0000-0000-000061020000}"/>
    <cellStyle name="Comma 4 3 2 3 2" xfId="9249" xr:uid="{1247F595-CC6E-433B-9DBA-EAD9F6422582}"/>
    <cellStyle name="Comma 4 3 2 3 2 2" xfId="14618" xr:uid="{B66ADE82-BE27-477E-AC9B-6FDA0D90C5B3}"/>
    <cellStyle name="Comma 4 3 2 3 3" xfId="11886" xr:uid="{B2639D92-AC77-495F-8579-B1AF77B130FA}"/>
    <cellStyle name="Comma 4 3 2 4" xfId="6292" xr:uid="{00000000-0005-0000-0000-000062020000}"/>
    <cellStyle name="Comma 4 3 2 4 2" xfId="9269" xr:uid="{B50D7DF6-9D4D-40EC-96F4-AF8B4037B569}"/>
    <cellStyle name="Comma 4 3 2 4 2 2" xfId="14652" xr:uid="{46A89B8F-E1D9-4BAD-ABB4-38C3E919AA29}"/>
    <cellStyle name="Comma 4 3 2 4 3" xfId="11906" xr:uid="{4BFDB651-814E-4B19-A046-863031C3DAFE}"/>
    <cellStyle name="Comma 4 3 2 5" xfId="7924" xr:uid="{5875C404-F56D-42FE-93C3-16D91F86D9F0}"/>
    <cellStyle name="Comma 4 3 2 5 2" xfId="13262" xr:uid="{C228E106-5BF3-4325-A7FE-45A5E7744328}"/>
    <cellStyle name="Comma 4 3 2 6" xfId="10575" xr:uid="{8C7DFC0E-326D-4DA3-9A24-71DEAAA9F278}"/>
    <cellStyle name="Comma 4 3 3" xfId="3278" xr:uid="{00000000-0005-0000-0000-000063020000}"/>
    <cellStyle name="Comma 4 3 3 2" xfId="6602" xr:uid="{00000000-0005-0000-0000-000064020000}"/>
    <cellStyle name="Comma 4 3 3 2 2" xfId="9279" xr:uid="{BD9BE527-277B-4941-94D8-F02BC229C270}"/>
    <cellStyle name="Comma 4 3 3 2 2 2" xfId="14669" xr:uid="{B52307C1-64F5-4A0D-AAC6-4561DED1FE65}"/>
    <cellStyle name="Comma 4 3 3 2 3" xfId="11916" xr:uid="{8B974B02-19C0-4143-95A4-D7BE93203370}"/>
    <cellStyle name="Comma 4 3 3 3" xfId="7939" xr:uid="{AB10E61C-5F87-4AC0-9F2A-D02580EAD68F}"/>
    <cellStyle name="Comma 4 3 3 3 2" xfId="13299" xr:uid="{D25FCAA9-16A1-478F-9EB4-50E4FA95806D}"/>
    <cellStyle name="Comma 4 3 3 4" xfId="10585" xr:uid="{81ECE0E4-93BC-48B9-B248-F8089BF37C41}"/>
    <cellStyle name="Comma 4 3 4" xfId="4932" xr:uid="{00000000-0005-0000-0000-000065020000}"/>
    <cellStyle name="Comma 4 3 4 2" xfId="9239" xr:uid="{516C1B65-F107-4783-B12F-29B7F1F3EEC5}"/>
    <cellStyle name="Comma 4 3 4 2 2" xfId="14601" xr:uid="{655B4236-190D-4456-888C-74FBAC2E5ADE}"/>
    <cellStyle name="Comma 4 3 4 3" xfId="11876" xr:uid="{B168707F-B2E0-4FD0-A3BE-D08D120A7EFF}"/>
    <cellStyle name="Comma 4 3 5" xfId="5681" xr:uid="{00000000-0005-0000-0000-000066020000}"/>
    <cellStyle name="Comma 4 3 5 2" xfId="9259" xr:uid="{B65E7613-0B8D-4A93-BF91-88FBAE92B82E}"/>
    <cellStyle name="Comma 4 3 5 2 2" xfId="14632" xr:uid="{DF8643C1-5302-4C27-8A7B-A7114A7DC808}"/>
    <cellStyle name="Comma 4 3 5 3" xfId="11896" xr:uid="{F503FFAE-D630-4A6F-B0E5-632501F9DEEC}"/>
    <cellStyle name="Comma 4 3 6" xfId="7898" xr:uid="{8E8DFA07-316C-4BAB-86D6-2F9D9DBFB0F0}"/>
    <cellStyle name="Comma 4 3 6 2" xfId="13203" xr:uid="{38049CA1-61FC-4049-81D7-FFD404FED801}"/>
    <cellStyle name="Comma 4 3 7" xfId="10565" xr:uid="{D07AD774-12ED-417D-9B03-FDDDEEE4224B}"/>
    <cellStyle name="Comma 4 4" xfId="55" xr:uid="{00000000-0005-0000-0000-000067020000}"/>
    <cellStyle name="Comma 4 4 2" xfId="2083" xr:uid="{00000000-0005-0000-0000-000068020000}"/>
    <cellStyle name="Comma 4 4 2 2" xfId="3300" xr:uid="{00000000-0005-0000-0000-000069020000}"/>
    <cellStyle name="Comma 4 4 3" xfId="3279" xr:uid="{00000000-0005-0000-0000-00006A020000}"/>
    <cellStyle name="Comma 4 5" xfId="2081" xr:uid="{00000000-0005-0000-0000-00006B020000}"/>
    <cellStyle name="Comma 4 5 2" xfId="3298" xr:uid="{00000000-0005-0000-0000-00006C020000}"/>
    <cellStyle name="Comma 4 6" xfId="3275" xr:uid="{00000000-0005-0000-0000-00006D020000}"/>
    <cellStyle name="Comma 4 7" xfId="3367" xr:uid="{00000000-0005-0000-0000-00006E020000}"/>
    <cellStyle name="Comma 4 7 2" xfId="6651" xr:uid="{00000000-0005-0000-0000-00006F020000}"/>
    <cellStyle name="Comma 4 7 2 2" xfId="9327" xr:uid="{048E1F0E-6B09-484B-B1F6-C5DAAC2829A6}"/>
    <cellStyle name="Comma 4 7 2 2 2" xfId="14717" xr:uid="{16675185-30DD-4CD6-A485-63373A1B8DC5}"/>
    <cellStyle name="Comma 4 7 2 3" xfId="11964" xr:uid="{734181E4-4F05-405F-8252-05B07E35DFFB}"/>
    <cellStyle name="Comma 4 7 3" xfId="7987" xr:uid="{4DE83700-2B39-4D21-82C4-520423D92235}"/>
    <cellStyle name="Comma 4 7 3 2" xfId="13347" xr:uid="{457614F8-58DD-4CAE-A3C7-E2409D79E2F0}"/>
    <cellStyle name="Comma 4 7 4" xfId="10633" xr:uid="{66387EAF-560C-4EDA-AFFC-E44A5C9206AB}"/>
    <cellStyle name="Comma 4 8" xfId="3376" xr:uid="{00000000-0005-0000-0000-000070020000}"/>
    <cellStyle name="Comma 5" xfId="56" xr:uid="{00000000-0005-0000-0000-000071020000}"/>
    <cellStyle name="Comma 5 2" xfId="2084" xr:uid="{00000000-0005-0000-0000-000072020000}"/>
    <cellStyle name="Comma 5 2 2" xfId="3301" xr:uid="{00000000-0005-0000-0000-000073020000}"/>
    <cellStyle name="Comma 5 2 3" xfId="3432" xr:uid="{00000000-0005-0000-0000-000074020000}"/>
    <cellStyle name="Comma 5 2 3 2" xfId="6659" xr:uid="{00000000-0005-0000-0000-000075020000}"/>
    <cellStyle name="Comma 5 3" xfId="3280" xr:uid="{00000000-0005-0000-0000-000076020000}"/>
    <cellStyle name="Comma 5 4" xfId="3369" xr:uid="{00000000-0005-0000-0000-000077020000}"/>
    <cellStyle name="Comma 5 5" xfId="3377" xr:uid="{00000000-0005-0000-0000-000078020000}"/>
    <cellStyle name="Comma 6" xfId="57" xr:uid="{00000000-0005-0000-0000-000079020000}"/>
    <cellStyle name="Comma 6 2" xfId="2085" xr:uid="{00000000-0005-0000-0000-00007A020000}"/>
    <cellStyle name="Comma 6 2 2" xfId="3302" xr:uid="{00000000-0005-0000-0000-00007B020000}"/>
    <cellStyle name="Comma 6 2 3" xfId="3433" xr:uid="{00000000-0005-0000-0000-00007C020000}"/>
    <cellStyle name="Comma 6 2 3 2" xfId="6660" xr:uid="{00000000-0005-0000-0000-00007D020000}"/>
    <cellStyle name="Comma 6 3" xfId="3281" xr:uid="{00000000-0005-0000-0000-00007E020000}"/>
    <cellStyle name="Comma 6 4" xfId="3373" xr:uid="{00000000-0005-0000-0000-00007F020000}"/>
    <cellStyle name="Comma 7" xfId="2006" xr:uid="{00000000-0005-0000-0000-000080020000}"/>
    <cellStyle name="Comma 7 2" xfId="3262" xr:uid="{00000000-0005-0000-0000-000081020000}"/>
    <cellStyle name="Comma 7 2 2" xfId="3311" xr:uid="{00000000-0005-0000-0000-000082020000}"/>
    <cellStyle name="Comma 7 2 2 2" xfId="6620" xr:uid="{00000000-0005-0000-0000-000083020000}"/>
    <cellStyle name="Comma 7 2 2 2 2" xfId="9297" xr:uid="{0FA3F1C7-2945-43C7-A98D-3778109C1245}"/>
    <cellStyle name="Comma 7 2 2 2 2 2" xfId="14687" xr:uid="{CBE1E3B7-3F27-48AA-B476-D0C7782158E2}"/>
    <cellStyle name="Comma 7 2 2 2 3" xfId="11934" xr:uid="{8490A2B2-71E9-4F3A-975E-085E27B59E8B}"/>
    <cellStyle name="Comma 7 2 2 3" xfId="7957" xr:uid="{6E382101-61AB-422C-BC6E-A635291B36F3}"/>
    <cellStyle name="Comma 7 2 2 3 2" xfId="13317" xr:uid="{0E45237C-F61E-4CB5-864A-02C4E32B8D6A}"/>
    <cellStyle name="Comma 7 2 2 4" xfId="10603" xr:uid="{5CCB1D6D-C0EA-4820-8741-A3CFD88EBE4C}"/>
    <cellStyle name="Comma 7 2 3" xfId="5677" xr:uid="{00000000-0005-0000-0000-000084020000}"/>
    <cellStyle name="Comma 7 2 3 2" xfId="9257" xr:uid="{DDF0CF11-74BE-4805-9E28-51AE43EB20A6}"/>
    <cellStyle name="Comma 7 2 3 2 2" xfId="14630" xr:uid="{257BAFA5-0ED5-4C5F-BC1A-51D3892E3B0C}"/>
    <cellStyle name="Comma 7 2 3 3" xfId="11894" xr:uid="{6BE41E7D-253E-4953-A46C-8AD8952704D2}"/>
    <cellStyle name="Comma 7 2 4" xfId="6599" xr:uid="{00000000-0005-0000-0000-000085020000}"/>
    <cellStyle name="Comma 7 2 4 2" xfId="9277" xr:uid="{29794707-B566-4081-8F47-D14CC0B10238}"/>
    <cellStyle name="Comma 7 2 4 2 2" xfId="14666" xr:uid="{E61DE2D6-0662-4396-8C45-21E2C5C9ED04}"/>
    <cellStyle name="Comma 7 2 4 3" xfId="11914" xr:uid="{22292329-AE64-4BE9-81B8-9CAD0D49D191}"/>
    <cellStyle name="Comma 7 2 5" xfId="7937" xr:uid="{2996549C-4FA5-479E-9305-D65127D0F944}"/>
    <cellStyle name="Comma 7 2 5 2" xfId="13297" xr:uid="{A060FCF2-2FCF-44EB-AD36-57BFF02BB6FD}"/>
    <cellStyle name="Comma 7 2 6" xfId="10583" xr:uid="{388D8E0B-62E1-41CF-9292-AA54ADB0AEC7}"/>
    <cellStyle name="Comma 7 3" xfId="3292" xr:uid="{00000000-0005-0000-0000-000086020000}"/>
    <cellStyle name="Comma 7 3 2" xfId="6610" xr:uid="{00000000-0005-0000-0000-000087020000}"/>
    <cellStyle name="Comma 7 3 2 2" xfId="9287" xr:uid="{B670AF05-7C08-421B-A3C4-4BF8A7AFBB4C}"/>
    <cellStyle name="Comma 7 3 2 2 2" xfId="14677" xr:uid="{56EF1925-9768-490A-93E1-55AE67DE5F83}"/>
    <cellStyle name="Comma 7 3 2 3" xfId="11924" xr:uid="{A48E20FA-7F0A-4E42-9019-586E8DCDF961}"/>
    <cellStyle name="Comma 7 3 3" xfId="7947" xr:uid="{7A3261E5-74E2-44A8-B757-74A0ECADB109}"/>
    <cellStyle name="Comma 7 3 3 2" xfId="13307" xr:uid="{7E3CD575-4704-4941-BE53-16A4451E7E3C}"/>
    <cellStyle name="Comma 7 3 4" xfId="10593" xr:uid="{AFBF91FF-A6D1-4A63-B73F-FC4C9ED58A06}"/>
    <cellStyle name="Comma 7 4" xfId="3434" xr:uid="{00000000-0005-0000-0000-000088020000}"/>
    <cellStyle name="Comma 7 4 2" xfId="6661" xr:uid="{00000000-0005-0000-0000-000089020000}"/>
    <cellStyle name="Comma 7 5" xfId="5308" xr:uid="{00000000-0005-0000-0000-00008A020000}"/>
    <cellStyle name="Comma 7 5 2" xfId="9247" xr:uid="{12C454EB-227B-4292-8F22-A04D843A1A86}"/>
    <cellStyle name="Comma 7 5 2 2" xfId="14616" xr:uid="{5183063B-0F42-4C23-B408-BB1A2F8F62AE}"/>
    <cellStyle name="Comma 7 5 3" xfId="11884" xr:uid="{48DE3621-03A2-4F00-ABE1-5D5ED924183A}"/>
    <cellStyle name="Comma 7 6" xfId="6230" xr:uid="{00000000-0005-0000-0000-00008B020000}"/>
    <cellStyle name="Comma 7 6 2" xfId="9267" xr:uid="{EDC650E5-B744-4C6B-B1E6-226500313A0F}"/>
    <cellStyle name="Comma 7 6 2 2" xfId="14649" xr:uid="{93239DF0-25A8-4AF0-989B-646C315F46CD}"/>
    <cellStyle name="Comma 7 6 3" xfId="11904" xr:uid="{40122E3F-94AF-4FC2-B36D-1A91AAFF24CA}"/>
    <cellStyle name="Comma 7 7" xfId="7922" xr:uid="{80C3FA41-0EE3-4845-AAC8-831B1D51EFA8}"/>
    <cellStyle name="Comma 7 7 2" xfId="13259" xr:uid="{73D3E4D0-648E-4152-BDC2-DC9562914EE2}"/>
    <cellStyle name="Comma 7 8" xfId="10573" xr:uid="{CACDC77B-D016-40E4-A228-A6E83684AADC}"/>
    <cellStyle name="Comma 8" xfId="3435" xr:uid="{00000000-0005-0000-0000-00008C020000}"/>
    <cellStyle name="Comma 8 2" xfId="6662" xr:uid="{00000000-0005-0000-0000-00008D020000}"/>
    <cellStyle name="Comma 9" xfId="3436" xr:uid="{00000000-0005-0000-0000-00008E020000}"/>
    <cellStyle name="Comma 9 2" xfId="3464" xr:uid="{00000000-0005-0000-0000-00008F020000}"/>
    <cellStyle name="Comma 9 2 2" xfId="3480" xr:uid="{00000000-0005-0000-0000-000090020000}"/>
    <cellStyle name="Comma 9 2 2 2" xfId="4131" xr:uid="{00000000-0005-0000-0000-000091020000}"/>
    <cellStyle name="Comma 9 2 2 2 2" xfId="7299" xr:uid="{00000000-0005-0000-0000-000092020000}"/>
    <cellStyle name="Comma 9 2 2 2 2 2" xfId="9967" xr:uid="{4E06BADD-C79C-4BB8-8BFD-592845BF4BAA}"/>
    <cellStyle name="Comma 9 2 2 2 2 2 2" xfId="15357" xr:uid="{05E46573-D205-4ADF-895B-46DA72CA8299}"/>
    <cellStyle name="Comma 9 2 2 2 2 3" xfId="12604" xr:uid="{3EC89320-0BB2-42E6-9C36-FD7A5B7C590B}"/>
    <cellStyle name="Comma 9 2 2 2 3" xfId="8636" xr:uid="{0CC7119E-3F4C-40BB-A649-EC038D85521D}"/>
    <cellStyle name="Comma 9 2 2 2 3 2" xfId="13995" xr:uid="{B2D39BBC-F09E-4351-9CC4-190FC08F3E20}"/>
    <cellStyle name="Comma 9 2 2 2 4" xfId="11273" xr:uid="{CC7B31B8-5223-4573-B481-F60642761CB4}"/>
    <cellStyle name="Comma 9 2 2 3" xfId="6688" xr:uid="{00000000-0005-0000-0000-000093020000}"/>
    <cellStyle name="Comma 9 2 2 3 2" xfId="9356" xr:uid="{EED942F2-A449-4134-8BF5-152068AD3360}"/>
    <cellStyle name="Comma 9 2 2 3 2 2" xfId="14746" xr:uid="{512BF067-1BD9-47CD-9B8F-6AD963EF7B20}"/>
    <cellStyle name="Comma 9 2 2 3 3" xfId="11993" xr:uid="{0A3D8CEF-6B4A-4AFE-A3D2-158F64E9561B}"/>
    <cellStyle name="Comma 9 2 2 4" xfId="8020" xr:uid="{EA05351D-477A-4203-961A-1FBB190787D0}"/>
    <cellStyle name="Comma 9 2 2 4 2" xfId="13379" xr:uid="{BE1273A1-73FF-450B-97E0-C7CA4A09E852}"/>
    <cellStyle name="Comma 9 2 2 5" xfId="10662" xr:uid="{F898AF70-FF36-48E6-BAF4-71A0A8A95D72}"/>
    <cellStyle name="Comma 9 2 3" xfId="3496" xr:uid="{00000000-0005-0000-0000-000094020000}"/>
    <cellStyle name="Comma 9 2 3 2" xfId="4147" xr:uid="{00000000-0005-0000-0000-000095020000}"/>
    <cellStyle name="Comma 9 2 3 2 2" xfId="7315" xr:uid="{00000000-0005-0000-0000-000096020000}"/>
    <cellStyle name="Comma 9 2 3 2 2 2" xfId="9983" xr:uid="{2E8162D1-1D1F-4D10-9110-38157A4676DF}"/>
    <cellStyle name="Comma 9 2 3 2 2 2 2" xfId="15373" xr:uid="{AB51BD5F-B205-414D-B11A-382CCBE28F51}"/>
    <cellStyle name="Comma 9 2 3 2 2 3" xfId="12620" xr:uid="{CB3F8C23-82AE-47F4-988E-D8643B384B67}"/>
    <cellStyle name="Comma 9 2 3 2 3" xfId="8652" xr:uid="{DA129A85-5C38-42B6-8B09-2D77C209AA7C}"/>
    <cellStyle name="Comma 9 2 3 2 3 2" xfId="14011" xr:uid="{DA0F0188-033B-41A0-B829-A371EB7CC0F1}"/>
    <cellStyle name="Comma 9 2 3 2 4" xfId="11289" xr:uid="{4C329680-ECC1-4E9E-AEE8-C0DDA96E2CC0}"/>
    <cellStyle name="Comma 9 2 3 3" xfId="6704" xr:uid="{00000000-0005-0000-0000-000097020000}"/>
    <cellStyle name="Comma 9 2 3 3 2" xfId="9372" xr:uid="{608C8B26-B858-41F7-993E-8D31B241EB16}"/>
    <cellStyle name="Comma 9 2 3 3 2 2" xfId="14762" xr:uid="{952FA0FA-A190-42D0-B089-67D921C48078}"/>
    <cellStyle name="Comma 9 2 3 3 3" xfId="12009" xr:uid="{508516C4-2686-450C-8800-BE608A479919}"/>
    <cellStyle name="Comma 9 2 3 4" xfId="8036" xr:uid="{E96E6532-0B84-4087-A391-62FF48CE662F}"/>
    <cellStyle name="Comma 9 2 3 4 2" xfId="13395" xr:uid="{1F2C0D7D-D1E8-41EF-9960-9D047A39CEB5}"/>
    <cellStyle name="Comma 9 2 3 5" xfId="10678" xr:uid="{AA7554D9-EFE2-4705-BDCD-8E0EF8C2994C}"/>
    <cellStyle name="Comma 9 2 4" xfId="4115" xr:uid="{00000000-0005-0000-0000-000098020000}"/>
    <cellStyle name="Comma 9 2 4 2" xfId="7283" xr:uid="{00000000-0005-0000-0000-000099020000}"/>
    <cellStyle name="Comma 9 2 4 2 2" xfId="9951" xr:uid="{BD8751DB-FF11-4AAD-ACE5-2C8DEC9D7792}"/>
    <cellStyle name="Comma 9 2 4 2 2 2" xfId="15341" xr:uid="{9CBC7075-C76E-4C0E-84DE-315F7EC8CC59}"/>
    <cellStyle name="Comma 9 2 4 2 3" xfId="12588" xr:uid="{1587B651-FACB-40DC-BF39-92539B3BC6C8}"/>
    <cellStyle name="Comma 9 2 4 3" xfId="8620" xr:uid="{A51C6FB6-49BE-4C26-9FF9-F197AA8E5DB2}"/>
    <cellStyle name="Comma 9 2 4 3 2" xfId="13979" xr:uid="{E5B0F434-5E03-47EC-AFEA-01500C5AA308}"/>
    <cellStyle name="Comma 9 2 4 4" xfId="11257" xr:uid="{9BEBDBEE-6A6C-4C15-B8EF-FBACC2278F68}"/>
    <cellStyle name="Comma 9 2 5" xfId="6672" xr:uid="{00000000-0005-0000-0000-00009A020000}"/>
    <cellStyle name="Comma 9 2 5 2" xfId="9340" xr:uid="{70E864CE-19BE-4EBE-B601-9E6F0B775B05}"/>
    <cellStyle name="Comma 9 2 5 2 2" xfId="14730" xr:uid="{68957D57-E4CB-41EF-B406-2F6E68D946DC}"/>
    <cellStyle name="Comma 9 2 5 3" xfId="11977" xr:uid="{F04D728A-2E49-44ED-A268-0D8A2885313B}"/>
    <cellStyle name="Comma 9 2 6" xfId="8004" xr:uid="{1011856B-E455-48AA-8029-3F63A1148BCD}"/>
    <cellStyle name="Comma 9 2 6 2" xfId="13363" xr:uid="{1B0080DB-00EB-403B-869D-3F561D76A418}"/>
    <cellStyle name="Comma 9 2 7" xfId="10646" xr:uid="{96EA9AAE-B1F4-458D-98A6-C8295D13B396}"/>
    <cellStyle name="Comma 9 3" xfId="3472" xr:uid="{00000000-0005-0000-0000-00009B020000}"/>
    <cellStyle name="Comma 9 3 2" xfId="4123" xr:uid="{00000000-0005-0000-0000-00009C020000}"/>
    <cellStyle name="Comma 9 3 2 2" xfId="7291" xr:uid="{00000000-0005-0000-0000-00009D020000}"/>
    <cellStyle name="Comma 9 3 2 2 2" xfId="9959" xr:uid="{6BA12BCA-A682-4A04-ABAE-B8AA13AD4CE4}"/>
    <cellStyle name="Comma 9 3 2 2 2 2" xfId="15349" xr:uid="{29F0DE97-7811-42E5-B321-2338A5E69109}"/>
    <cellStyle name="Comma 9 3 2 2 3" xfId="12596" xr:uid="{3E019F18-29F7-41D5-BA08-96DAC3768645}"/>
    <cellStyle name="Comma 9 3 2 3" xfId="8628" xr:uid="{392959C4-A068-482E-8D64-B131F5478B94}"/>
    <cellStyle name="Comma 9 3 2 3 2" xfId="13987" xr:uid="{2A40D2F8-9DC1-4C1B-87E5-851DA4EE91D5}"/>
    <cellStyle name="Comma 9 3 2 4" xfId="11265" xr:uid="{31DD0CCA-29C7-40FC-938E-68C98ED93740}"/>
    <cellStyle name="Comma 9 3 3" xfId="6680" xr:uid="{00000000-0005-0000-0000-00009E020000}"/>
    <cellStyle name="Comma 9 3 3 2" xfId="9348" xr:uid="{36E79978-088B-4C19-A41F-37A16E12D9AA}"/>
    <cellStyle name="Comma 9 3 3 2 2" xfId="14738" xr:uid="{A2373334-317A-43D1-9A42-8DE48CF0A61B}"/>
    <cellStyle name="Comma 9 3 3 3" xfId="11985" xr:uid="{F0AE2787-8444-4D7E-ACCA-628F3AA663EE}"/>
    <cellStyle name="Comma 9 3 4" xfId="8012" xr:uid="{14D4E7DF-5185-4AC0-9FCF-95600CB8C1E7}"/>
    <cellStyle name="Comma 9 3 4 2" xfId="13371" xr:uid="{CB4832E1-A276-4F90-B210-547525BDAC53}"/>
    <cellStyle name="Comma 9 3 5" xfId="10654" xr:uid="{CB5DF873-AF2C-41C0-BDE5-5AD79C43E366}"/>
    <cellStyle name="Comma 9 4" xfId="3488" xr:uid="{00000000-0005-0000-0000-00009F020000}"/>
    <cellStyle name="Comma 9 4 2" xfId="4139" xr:uid="{00000000-0005-0000-0000-0000A0020000}"/>
    <cellStyle name="Comma 9 4 2 2" xfId="7307" xr:uid="{00000000-0005-0000-0000-0000A1020000}"/>
    <cellStyle name="Comma 9 4 2 2 2" xfId="9975" xr:uid="{6A159F46-7BB1-42A8-96CE-862A7C3797D0}"/>
    <cellStyle name="Comma 9 4 2 2 2 2" xfId="15365" xr:uid="{9EBECE46-0BDB-4E44-B159-757890F35DDA}"/>
    <cellStyle name="Comma 9 4 2 2 3" xfId="12612" xr:uid="{01D98B94-C03F-4940-B860-EBC6FA1326EB}"/>
    <cellStyle name="Comma 9 4 2 3" xfId="8644" xr:uid="{D8C163E5-9BB1-4222-8894-4C161DE3F921}"/>
    <cellStyle name="Comma 9 4 2 3 2" xfId="14003" xr:uid="{3A318BD9-A856-4B00-AA4B-F1AF49B00355}"/>
    <cellStyle name="Comma 9 4 2 4" xfId="11281" xr:uid="{A7D4CA46-C367-4C94-A29D-45F6D3161382}"/>
    <cellStyle name="Comma 9 4 3" xfId="6696" xr:uid="{00000000-0005-0000-0000-0000A2020000}"/>
    <cellStyle name="Comma 9 4 3 2" xfId="9364" xr:uid="{7668A3A0-7DCD-4F06-9B5F-DBDF28EBDD86}"/>
    <cellStyle name="Comma 9 4 3 2 2" xfId="14754" xr:uid="{5514A580-A3AD-4FE1-8DE2-8246D453A5FD}"/>
    <cellStyle name="Comma 9 4 3 3" xfId="12001" xr:uid="{D89E436C-3B08-44FF-82EE-96F21278647F}"/>
    <cellStyle name="Comma 9 4 4" xfId="8028" xr:uid="{43EACCFD-7A84-4E44-8076-185D7635A10C}"/>
    <cellStyle name="Comma 9 4 4 2" xfId="13387" xr:uid="{23AA5937-19C4-44C8-9FB9-D594B38CBF12}"/>
    <cellStyle name="Comma 9 4 5" xfId="10670" xr:uid="{A0E2AA01-0AAA-43EA-9957-B728966420D1}"/>
    <cellStyle name="Comma 9 5" xfId="3516" xr:uid="{00000000-0005-0000-0000-0000A3020000}"/>
    <cellStyle name="Comma 9 5 2" xfId="4157" xr:uid="{00000000-0005-0000-0000-0000A4020000}"/>
    <cellStyle name="Comma 9 5 2 2" xfId="7325" xr:uid="{00000000-0005-0000-0000-0000A5020000}"/>
    <cellStyle name="Comma 9 5 2 2 2" xfId="9993" xr:uid="{DD595E1B-E988-4416-A2D4-19B71C942119}"/>
    <cellStyle name="Comma 9 5 2 2 2 2" xfId="15383" xr:uid="{51959BF0-7C87-4202-ADB0-FDDA65B8B6A7}"/>
    <cellStyle name="Comma 9 5 2 2 3" xfId="12630" xr:uid="{8ABF5F73-4D08-4C0C-9F6C-D108B003CFEE}"/>
    <cellStyle name="Comma 9 5 2 3" xfId="8662" xr:uid="{734DD6E1-09A0-4020-BDF6-3B2EB3B6D207}"/>
    <cellStyle name="Comma 9 5 2 3 2" xfId="14021" xr:uid="{C8F4FD7A-018A-4BA0-9FEA-B578BBA9F314}"/>
    <cellStyle name="Comma 9 5 2 4" xfId="11299" xr:uid="{79589F45-529F-475B-B933-9D646ACD875F}"/>
    <cellStyle name="Comma 9 5 3" xfId="6714" xr:uid="{00000000-0005-0000-0000-0000A6020000}"/>
    <cellStyle name="Comma 9 5 3 2" xfId="9382" xr:uid="{950EB5BC-BC72-4C46-B8A0-7B1E3F339196}"/>
    <cellStyle name="Comma 9 5 3 2 2" xfId="14772" xr:uid="{EF1B261D-E887-4359-A48E-338AE66DAACF}"/>
    <cellStyle name="Comma 9 5 3 3" xfId="12019" xr:uid="{9C836860-D517-42D0-B61A-E68A90EC48F0}"/>
    <cellStyle name="Comma 9 5 4" xfId="8046" xr:uid="{9C9740CA-F62F-46F8-9383-6F17BFDDDE2F}"/>
    <cellStyle name="Comma 9 5 4 2" xfId="13405" xr:uid="{D1674F98-2D8D-4B27-BD8B-58CCCA0BABCD}"/>
    <cellStyle name="Comma 9 5 5" xfId="10688" xr:uid="{686514B8-BEFB-45C0-8880-F0E08BEE4798}"/>
    <cellStyle name="Comma 9 6" xfId="4107" xr:uid="{00000000-0005-0000-0000-0000A7020000}"/>
    <cellStyle name="Comma 9 6 2" xfId="7275" xr:uid="{00000000-0005-0000-0000-0000A8020000}"/>
    <cellStyle name="Comma 9 6 2 2" xfId="9943" xr:uid="{5F1855EB-911E-4E27-A1C0-A44ACC58A0C7}"/>
    <cellStyle name="Comma 9 6 2 2 2" xfId="15333" xr:uid="{7D1EB8F4-8B3C-44DD-B5E5-AA7B586D394D}"/>
    <cellStyle name="Comma 9 6 2 3" xfId="12580" xr:uid="{05651BB4-2AC1-4397-BCC1-D243595C6163}"/>
    <cellStyle name="Comma 9 6 3" xfId="8612" xr:uid="{109317E9-646B-4105-A50A-505B9861A32F}"/>
    <cellStyle name="Comma 9 6 3 2" xfId="13971" xr:uid="{F839147D-C6D0-42E8-8EA8-7741C7A9E6C4}"/>
    <cellStyle name="Comma 9 6 4" xfId="11249" xr:uid="{6BA2F701-733B-4BD6-9C38-58582E1C3B0F}"/>
    <cellStyle name="Comma 9 7" xfId="6663" xr:uid="{00000000-0005-0000-0000-0000A9020000}"/>
    <cellStyle name="Comma 9 7 2" xfId="9332" xr:uid="{F9E8229B-6F6E-485C-AE40-DB0802CD43FA}"/>
    <cellStyle name="Comma 9 7 2 2" xfId="14722" xr:uid="{F83682D8-ED97-4BA0-8E36-B3FA8F44E396}"/>
    <cellStyle name="Comma 9 7 3" xfId="11969" xr:uid="{90FA7558-EAAD-4638-8600-9C956EFC551B}"/>
    <cellStyle name="Comma 9 8" xfId="7993" xr:uid="{42F3DC99-EC36-4B83-B165-DE9EF36CB961}"/>
    <cellStyle name="Comma 9 8 2" xfId="13353" xr:uid="{3E8F3567-04CA-439C-AB45-A900B45FAA03}"/>
    <cellStyle name="Comma 9 9" xfId="10638" xr:uid="{14545753-E911-465B-9264-72D95FC77FAB}"/>
    <cellStyle name="Comma0 - Type3" xfId="58" xr:uid="{00000000-0005-0000-0000-0000AA020000}"/>
    <cellStyle name="Constants" xfId="15993" xr:uid="{F4A6734B-0433-4E60-A5CB-6930CEBC2ABE}"/>
    <cellStyle name="CustomizationCells" xfId="59" xr:uid="{00000000-0005-0000-0000-0000AB020000}"/>
    <cellStyle name="CustomizationCells 2" xfId="7899" xr:uid="{1821B4E6-BD36-4A73-8932-196FF4FFCA71}"/>
    <cellStyle name="CustomizationCells 2 2" xfId="13204" xr:uid="{0F88C8BA-D19A-44BC-83A0-9A183A0DAF97}"/>
    <cellStyle name="CustomizationCells 3" xfId="13255" xr:uid="{5912C7EA-8A8E-4005-B4B5-2FDF80C403C5}"/>
    <cellStyle name="CustomizationCells 4" xfId="15979" xr:uid="{807694AF-7EEE-4600-9399-72203938FCBB}"/>
    <cellStyle name="CustomizationCells 5" xfId="15969" xr:uid="{1BB68BF5-FAF6-4714-A6FB-831C9304887D}"/>
    <cellStyle name="Euro" xfId="60" xr:uid="{00000000-0005-0000-0000-0000AC020000}"/>
    <cellStyle name="Euro 10" xfId="61" xr:uid="{00000000-0005-0000-0000-0000AD020000}"/>
    <cellStyle name="Euro 10 2" xfId="62" xr:uid="{00000000-0005-0000-0000-0000AE020000}"/>
    <cellStyle name="Euro 10 2 2" xfId="2086" xr:uid="{00000000-0005-0000-0000-0000AF020000}"/>
    <cellStyle name="Euro 10 3" xfId="63" xr:uid="{00000000-0005-0000-0000-0000B0020000}"/>
    <cellStyle name="Euro 10 3 2" xfId="64" xr:uid="{00000000-0005-0000-0000-0000B1020000}"/>
    <cellStyle name="Euro 10 3 3" xfId="65" xr:uid="{00000000-0005-0000-0000-0000B2020000}"/>
    <cellStyle name="Euro 10 3 3 2" xfId="2088" xr:uid="{00000000-0005-0000-0000-0000B3020000}"/>
    <cellStyle name="Euro 10 3 4" xfId="2087" xr:uid="{00000000-0005-0000-0000-0000B4020000}"/>
    <cellStyle name="Euro 10 4" xfId="66" xr:uid="{00000000-0005-0000-0000-0000B5020000}"/>
    <cellStyle name="Euro 10 4 2" xfId="67" xr:uid="{00000000-0005-0000-0000-0000B6020000}"/>
    <cellStyle name="Euro 10 4 2 2" xfId="2090" xr:uid="{00000000-0005-0000-0000-0000B7020000}"/>
    <cellStyle name="Euro 10 4 3" xfId="2089" xr:uid="{00000000-0005-0000-0000-0000B8020000}"/>
    <cellStyle name="Euro 10 5" xfId="68" xr:uid="{00000000-0005-0000-0000-0000B9020000}"/>
    <cellStyle name="Euro 11" xfId="69" xr:uid="{00000000-0005-0000-0000-0000BA020000}"/>
    <cellStyle name="Euro 11 2" xfId="70" xr:uid="{00000000-0005-0000-0000-0000BB020000}"/>
    <cellStyle name="Euro 11 2 2" xfId="2091" xr:uid="{00000000-0005-0000-0000-0000BC020000}"/>
    <cellStyle name="Euro 11 3" xfId="71" xr:uid="{00000000-0005-0000-0000-0000BD020000}"/>
    <cellStyle name="Euro 11 3 2" xfId="72" xr:uid="{00000000-0005-0000-0000-0000BE020000}"/>
    <cellStyle name="Euro 11 3 3" xfId="73" xr:uid="{00000000-0005-0000-0000-0000BF020000}"/>
    <cellStyle name="Euro 11 3 3 2" xfId="2093" xr:uid="{00000000-0005-0000-0000-0000C0020000}"/>
    <cellStyle name="Euro 11 3 4" xfId="2092" xr:uid="{00000000-0005-0000-0000-0000C1020000}"/>
    <cellStyle name="Euro 11 4" xfId="74" xr:uid="{00000000-0005-0000-0000-0000C2020000}"/>
    <cellStyle name="Euro 11 4 2" xfId="75" xr:uid="{00000000-0005-0000-0000-0000C3020000}"/>
    <cellStyle name="Euro 11 4 2 2" xfId="2095" xr:uid="{00000000-0005-0000-0000-0000C4020000}"/>
    <cellStyle name="Euro 11 4 3" xfId="2094" xr:uid="{00000000-0005-0000-0000-0000C5020000}"/>
    <cellStyle name="Euro 11 5" xfId="76" xr:uid="{00000000-0005-0000-0000-0000C6020000}"/>
    <cellStyle name="Euro 12" xfId="77" xr:uid="{00000000-0005-0000-0000-0000C7020000}"/>
    <cellStyle name="Euro 12 2" xfId="78" xr:uid="{00000000-0005-0000-0000-0000C8020000}"/>
    <cellStyle name="Euro 12 2 2" xfId="2096" xr:uid="{00000000-0005-0000-0000-0000C9020000}"/>
    <cellStyle name="Euro 12 3" xfId="79" xr:uid="{00000000-0005-0000-0000-0000CA020000}"/>
    <cellStyle name="Euro 12 3 2" xfId="80" xr:uid="{00000000-0005-0000-0000-0000CB020000}"/>
    <cellStyle name="Euro 12 3 3" xfId="81" xr:uid="{00000000-0005-0000-0000-0000CC020000}"/>
    <cellStyle name="Euro 12 3 3 2" xfId="2098" xr:uid="{00000000-0005-0000-0000-0000CD020000}"/>
    <cellStyle name="Euro 12 3 4" xfId="2097" xr:uid="{00000000-0005-0000-0000-0000CE020000}"/>
    <cellStyle name="Euro 12 4" xfId="82" xr:uid="{00000000-0005-0000-0000-0000CF020000}"/>
    <cellStyle name="Euro 12 4 2" xfId="83" xr:uid="{00000000-0005-0000-0000-0000D0020000}"/>
    <cellStyle name="Euro 12 4 2 2" xfId="2100" xr:uid="{00000000-0005-0000-0000-0000D1020000}"/>
    <cellStyle name="Euro 12 4 3" xfId="2099" xr:uid="{00000000-0005-0000-0000-0000D2020000}"/>
    <cellStyle name="Euro 12 5" xfId="84" xr:uid="{00000000-0005-0000-0000-0000D3020000}"/>
    <cellStyle name="Euro 13" xfId="85" xr:uid="{00000000-0005-0000-0000-0000D4020000}"/>
    <cellStyle name="Euro 13 2" xfId="86" xr:uid="{00000000-0005-0000-0000-0000D5020000}"/>
    <cellStyle name="Euro 13 2 2" xfId="2101" xr:uid="{00000000-0005-0000-0000-0000D6020000}"/>
    <cellStyle name="Euro 13 3" xfId="87" xr:uid="{00000000-0005-0000-0000-0000D7020000}"/>
    <cellStyle name="Euro 13 3 2" xfId="88" xr:uid="{00000000-0005-0000-0000-0000D8020000}"/>
    <cellStyle name="Euro 13 3 3" xfId="89" xr:uid="{00000000-0005-0000-0000-0000D9020000}"/>
    <cellStyle name="Euro 13 3 3 2" xfId="2103" xr:uid="{00000000-0005-0000-0000-0000DA020000}"/>
    <cellStyle name="Euro 13 3 4" xfId="2102" xr:uid="{00000000-0005-0000-0000-0000DB020000}"/>
    <cellStyle name="Euro 13 4" xfId="90" xr:uid="{00000000-0005-0000-0000-0000DC020000}"/>
    <cellStyle name="Euro 13 4 2" xfId="91" xr:uid="{00000000-0005-0000-0000-0000DD020000}"/>
    <cellStyle name="Euro 13 4 2 2" xfId="2105" xr:uid="{00000000-0005-0000-0000-0000DE020000}"/>
    <cellStyle name="Euro 13 4 3" xfId="2104" xr:uid="{00000000-0005-0000-0000-0000DF020000}"/>
    <cellStyle name="Euro 13 5" xfId="92" xr:uid="{00000000-0005-0000-0000-0000E0020000}"/>
    <cellStyle name="Euro 14" xfId="93" xr:uid="{00000000-0005-0000-0000-0000E1020000}"/>
    <cellStyle name="Euro 14 2" xfId="94" xr:uid="{00000000-0005-0000-0000-0000E2020000}"/>
    <cellStyle name="Euro 14 2 2" xfId="2106" xr:uid="{00000000-0005-0000-0000-0000E3020000}"/>
    <cellStyle name="Euro 14 3" xfId="95" xr:uid="{00000000-0005-0000-0000-0000E4020000}"/>
    <cellStyle name="Euro 14 3 2" xfId="96" xr:uid="{00000000-0005-0000-0000-0000E5020000}"/>
    <cellStyle name="Euro 14 3 3" xfId="97" xr:uid="{00000000-0005-0000-0000-0000E6020000}"/>
    <cellStyle name="Euro 14 3 3 2" xfId="2108" xr:uid="{00000000-0005-0000-0000-0000E7020000}"/>
    <cellStyle name="Euro 14 3 4" xfId="2107" xr:uid="{00000000-0005-0000-0000-0000E8020000}"/>
    <cellStyle name="Euro 14 4" xfId="98" xr:uid="{00000000-0005-0000-0000-0000E9020000}"/>
    <cellStyle name="Euro 14 4 2" xfId="99" xr:uid="{00000000-0005-0000-0000-0000EA020000}"/>
    <cellStyle name="Euro 14 4 2 2" xfId="2110" xr:uid="{00000000-0005-0000-0000-0000EB020000}"/>
    <cellStyle name="Euro 14 4 3" xfId="2109" xr:uid="{00000000-0005-0000-0000-0000EC020000}"/>
    <cellStyle name="Euro 14 5" xfId="100" xr:uid="{00000000-0005-0000-0000-0000ED020000}"/>
    <cellStyle name="Euro 15" xfId="101" xr:uid="{00000000-0005-0000-0000-0000EE020000}"/>
    <cellStyle name="Euro 15 2" xfId="102" xr:uid="{00000000-0005-0000-0000-0000EF020000}"/>
    <cellStyle name="Euro 15 2 2" xfId="2111" xr:uid="{00000000-0005-0000-0000-0000F0020000}"/>
    <cellStyle name="Euro 15 3" xfId="103" xr:uid="{00000000-0005-0000-0000-0000F1020000}"/>
    <cellStyle name="Euro 15 3 2" xfId="104" xr:uid="{00000000-0005-0000-0000-0000F2020000}"/>
    <cellStyle name="Euro 15 3 3" xfId="105" xr:uid="{00000000-0005-0000-0000-0000F3020000}"/>
    <cellStyle name="Euro 15 3 3 2" xfId="2113" xr:uid="{00000000-0005-0000-0000-0000F4020000}"/>
    <cellStyle name="Euro 15 3 4" xfId="2112" xr:uid="{00000000-0005-0000-0000-0000F5020000}"/>
    <cellStyle name="Euro 15 4" xfId="106" xr:uid="{00000000-0005-0000-0000-0000F6020000}"/>
    <cellStyle name="Euro 15 4 2" xfId="107" xr:uid="{00000000-0005-0000-0000-0000F7020000}"/>
    <cellStyle name="Euro 15 4 2 2" xfId="2115" xr:uid="{00000000-0005-0000-0000-0000F8020000}"/>
    <cellStyle name="Euro 15 4 3" xfId="2114" xr:uid="{00000000-0005-0000-0000-0000F9020000}"/>
    <cellStyle name="Euro 15 5" xfId="108" xr:uid="{00000000-0005-0000-0000-0000FA020000}"/>
    <cellStyle name="Euro 16" xfId="109" xr:uid="{00000000-0005-0000-0000-0000FB020000}"/>
    <cellStyle name="Euro 16 2" xfId="110" xr:uid="{00000000-0005-0000-0000-0000FC020000}"/>
    <cellStyle name="Euro 16 2 2" xfId="2116" xr:uid="{00000000-0005-0000-0000-0000FD020000}"/>
    <cellStyle name="Euro 16 3" xfId="111" xr:uid="{00000000-0005-0000-0000-0000FE020000}"/>
    <cellStyle name="Euro 16 3 2" xfId="112" xr:uid="{00000000-0005-0000-0000-0000FF020000}"/>
    <cellStyle name="Euro 16 3 3" xfId="113" xr:uid="{00000000-0005-0000-0000-000000030000}"/>
    <cellStyle name="Euro 16 3 3 2" xfId="2118" xr:uid="{00000000-0005-0000-0000-000001030000}"/>
    <cellStyle name="Euro 16 3 4" xfId="2117" xr:uid="{00000000-0005-0000-0000-000002030000}"/>
    <cellStyle name="Euro 16 4" xfId="114" xr:uid="{00000000-0005-0000-0000-000003030000}"/>
    <cellStyle name="Euro 16 4 2" xfId="115" xr:uid="{00000000-0005-0000-0000-000004030000}"/>
    <cellStyle name="Euro 16 4 2 2" xfId="2120" xr:uid="{00000000-0005-0000-0000-000005030000}"/>
    <cellStyle name="Euro 16 4 3" xfId="2119" xr:uid="{00000000-0005-0000-0000-000006030000}"/>
    <cellStyle name="Euro 16 5" xfId="116" xr:uid="{00000000-0005-0000-0000-000007030000}"/>
    <cellStyle name="Euro 17" xfId="117" xr:uid="{00000000-0005-0000-0000-000008030000}"/>
    <cellStyle name="Euro 17 2" xfId="118" xr:uid="{00000000-0005-0000-0000-000009030000}"/>
    <cellStyle name="Euro 17 2 2" xfId="2121" xr:uid="{00000000-0005-0000-0000-00000A030000}"/>
    <cellStyle name="Euro 17 3" xfId="119" xr:uid="{00000000-0005-0000-0000-00000B030000}"/>
    <cellStyle name="Euro 17 3 2" xfId="120" xr:uid="{00000000-0005-0000-0000-00000C030000}"/>
    <cellStyle name="Euro 17 3 3" xfId="121" xr:uid="{00000000-0005-0000-0000-00000D030000}"/>
    <cellStyle name="Euro 17 3 3 2" xfId="2123" xr:uid="{00000000-0005-0000-0000-00000E030000}"/>
    <cellStyle name="Euro 17 3 4" xfId="2122" xr:uid="{00000000-0005-0000-0000-00000F030000}"/>
    <cellStyle name="Euro 17 4" xfId="122" xr:uid="{00000000-0005-0000-0000-000010030000}"/>
    <cellStyle name="Euro 17 4 2" xfId="123" xr:uid="{00000000-0005-0000-0000-000011030000}"/>
    <cellStyle name="Euro 17 4 2 2" xfId="2125" xr:uid="{00000000-0005-0000-0000-000012030000}"/>
    <cellStyle name="Euro 17 4 3" xfId="2124" xr:uid="{00000000-0005-0000-0000-000013030000}"/>
    <cellStyle name="Euro 17 5" xfId="124" xr:uid="{00000000-0005-0000-0000-000014030000}"/>
    <cellStyle name="Euro 18" xfId="125" xr:uid="{00000000-0005-0000-0000-000015030000}"/>
    <cellStyle name="Euro 18 2" xfId="126" xr:uid="{00000000-0005-0000-0000-000016030000}"/>
    <cellStyle name="Euro 18 2 2" xfId="2126" xr:uid="{00000000-0005-0000-0000-000017030000}"/>
    <cellStyle name="Euro 18 3" xfId="127" xr:uid="{00000000-0005-0000-0000-000018030000}"/>
    <cellStyle name="Euro 18 3 2" xfId="128" xr:uid="{00000000-0005-0000-0000-000019030000}"/>
    <cellStyle name="Euro 18 3 3" xfId="129" xr:uid="{00000000-0005-0000-0000-00001A030000}"/>
    <cellStyle name="Euro 18 3 3 2" xfId="2128" xr:uid="{00000000-0005-0000-0000-00001B030000}"/>
    <cellStyle name="Euro 18 3 4" xfId="2127" xr:uid="{00000000-0005-0000-0000-00001C030000}"/>
    <cellStyle name="Euro 18 4" xfId="130" xr:uid="{00000000-0005-0000-0000-00001D030000}"/>
    <cellStyle name="Euro 18 4 2" xfId="131" xr:uid="{00000000-0005-0000-0000-00001E030000}"/>
    <cellStyle name="Euro 18 4 2 2" xfId="2130" xr:uid="{00000000-0005-0000-0000-00001F030000}"/>
    <cellStyle name="Euro 18 4 3" xfId="2129" xr:uid="{00000000-0005-0000-0000-000020030000}"/>
    <cellStyle name="Euro 18 5" xfId="132" xr:uid="{00000000-0005-0000-0000-000021030000}"/>
    <cellStyle name="Euro 19" xfId="133" xr:uid="{00000000-0005-0000-0000-000022030000}"/>
    <cellStyle name="Euro 19 2" xfId="134" xr:uid="{00000000-0005-0000-0000-000023030000}"/>
    <cellStyle name="Euro 19 2 2" xfId="2131" xr:uid="{00000000-0005-0000-0000-000024030000}"/>
    <cellStyle name="Euro 19 3" xfId="135" xr:uid="{00000000-0005-0000-0000-000025030000}"/>
    <cellStyle name="Euro 19 3 2" xfId="136" xr:uid="{00000000-0005-0000-0000-000026030000}"/>
    <cellStyle name="Euro 19 3 3" xfId="137" xr:uid="{00000000-0005-0000-0000-000027030000}"/>
    <cellStyle name="Euro 19 3 3 2" xfId="2133" xr:uid="{00000000-0005-0000-0000-000028030000}"/>
    <cellStyle name="Euro 19 3 4" xfId="2132" xr:uid="{00000000-0005-0000-0000-000029030000}"/>
    <cellStyle name="Euro 19 4" xfId="138" xr:uid="{00000000-0005-0000-0000-00002A030000}"/>
    <cellStyle name="Euro 19 4 2" xfId="139" xr:uid="{00000000-0005-0000-0000-00002B030000}"/>
    <cellStyle name="Euro 19 4 2 2" xfId="2135" xr:uid="{00000000-0005-0000-0000-00002C030000}"/>
    <cellStyle name="Euro 19 4 3" xfId="2134" xr:uid="{00000000-0005-0000-0000-00002D030000}"/>
    <cellStyle name="Euro 19 5" xfId="140" xr:uid="{00000000-0005-0000-0000-00002E030000}"/>
    <cellStyle name="Euro 2" xfId="141" xr:uid="{00000000-0005-0000-0000-00002F030000}"/>
    <cellStyle name="Euro 2 2" xfId="142" xr:uid="{00000000-0005-0000-0000-000030030000}"/>
    <cellStyle name="Euro 2 2 2" xfId="2136" xr:uid="{00000000-0005-0000-0000-000031030000}"/>
    <cellStyle name="Euro 2 3" xfId="143" xr:uid="{00000000-0005-0000-0000-000032030000}"/>
    <cellStyle name="Euro 2 3 2" xfId="144" xr:uid="{00000000-0005-0000-0000-000033030000}"/>
    <cellStyle name="Euro 2 3 3" xfId="145" xr:uid="{00000000-0005-0000-0000-000034030000}"/>
    <cellStyle name="Euro 2 3 3 2" xfId="2138" xr:uid="{00000000-0005-0000-0000-000035030000}"/>
    <cellStyle name="Euro 2 3 4" xfId="2137" xr:uid="{00000000-0005-0000-0000-000036030000}"/>
    <cellStyle name="Euro 2 4" xfId="146" xr:uid="{00000000-0005-0000-0000-000037030000}"/>
    <cellStyle name="Euro 2 4 2" xfId="147" xr:uid="{00000000-0005-0000-0000-000038030000}"/>
    <cellStyle name="Euro 2 4 2 2" xfId="2140" xr:uid="{00000000-0005-0000-0000-000039030000}"/>
    <cellStyle name="Euro 2 4 3" xfId="2139" xr:uid="{00000000-0005-0000-0000-00003A030000}"/>
    <cellStyle name="Euro 2 5" xfId="148" xr:uid="{00000000-0005-0000-0000-00003B030000}"/>
    <cellStyle name="Euro 20" xfId="149" xr:uid="{00000000-0005-0000-0000-00003C030000}"/>
    <cellStyle name="Euro 20 2" xfId="150" xr:uid="{00000000-0005-0000-0000-00003D030000}"/>
    <cellStyle name="Euro 20 2 2" xfId="2141" xr:uid="{00000000-0005-0000-0000-00003E030000}"/>
    <cellStyle name="Euro 20 3" xfId="151" xr:uid="{00000000-0005-0000-0000-00003F030000}"/>
    <cellStyle name="Euro 20 3 2" xfId="152" xr:uid="{00000000-0005-0000-0000-000040030000}"/>
    <cellStyle name="Euro 20 3 3" xfId="153" xr:uid="{00000000-0005-0000-0000-000041030000}"/>
    <cellStyle name="Euro 20 3 3 2" xfId="2143" xr:uid="{00000000-0005-0000-0000-000042030000}"/>
    <cellStyle name="Euro 20 3 4" xfId="2142" xr:uid="{00000000-0005-0000-0000-000043030000}"/>
    <cellStyle name="Euro 20 4" xfId="154" xr:uid="{00000000-0005-0000-0000-000044030000}"/>
    <cellStyle name="Euro 20 4 2" xfId="155" xr:uid="{00000000-0005-0000-0000-000045030000}"/>
    <cellStyle name="Euro 20 4 2 2" xfId="2145" xr:uid="{00000000-0005-0000-0000-000046030000}"/>
    <cellStyle name="Euro 20 4 3" xfId="2144" xr:uid="{00000000-0005-0000-0000-000047030000}"/>
    <cellStyle name="Euro 20 5" xfId="156" xr:uid="{00000000-0005-0000-0000-000048030000}"/>
    <cellStyle name="Euro 21" xfId="157" xr:uid="{00000000-0005-0000-0000-000049030000}"/>
    <cellStyle name="Euro 21 2" xfId="158" xr:uid="{00000000-0005-0000-0000-00004A030000}"/>
    <cellStyle name="Euro 21 2 2" xfId="2146" xr:uid="{00000000-0005-0000-0000-00004B030000}"/>
    <cellStyle name="Euro 21 3" xfId="159" xr:uid="{00000000-0005-0000-0000-00004C030000}"/>
    <cellStyle name="Euro 21 3 2" xfId="160" xr:uid="{00000000-0005-0000-0000-00004D030000}"/>
    <cellStyle name="Euro 21 3 3" xfId="161" xr:uid="{00000000-0005-0000-0000-00004E030000}"/>
    <cellStyle name="Euro 21 3 3 2" xfId="2148" xr:uid="{00000000-0005-0000-0000-00004F030000}"/>
    <cellStyle name="Euro 21 3 4" xfId="2147" xr:uid="{00000000-0005-0000-0000-000050030000}"/>
    <cellStyle name="Euro 21 4" xfId="162" xr:uid="{00000000-0005-0000-0000-000051030000}"/>
    <cellStyle name="Euro 21 4 2" xfId="163" xr:uid="{00000000-0005-0000-0000-000052030000}"/>
    <cellStyle name="Euro 21 4 2 2" xfId="2150" xr:uid="{00000000-0005-0000-0000-000053030000}"/>
    <cellStyle name="Euro 21 4 3" xfId="2149" xr:uid="{00000000-0005-0000-0000-000054030000}"/>
    <cellStyle name="Euro 21 5" xfId="164" xr:uid="{00000000-0005-0000-0000-000055030000}"/>
    <cellStyle name="Euro 22" xfId="165" xr:uid="{00000000-0005-0000-0000-000056030000}"/>
    <cellStyle name="Euro 22 2" xfId="166" xr:uid="{00000000-0005-0000-0000-000057030000}"/>
    <cellStyle name="Euro 22 2 2" xfId="2151" xr:uid="{00000000-0005-0000-0000-000058030000}"/>
    <cellStyle name="Euro 22 3" xfId="167" xr:uid="{00000000-0005-0000-0000-000059030000}"/>
    <cellStyle name="Euro 22 3 2" xfId="168" xr:uid="{00000000-0005-0000-0000-00005A030000}"/>
    <cellStyle name="Euro 22 3 3" xfId="169" xr:uid="{00000000-0005-0000-0000-00005B030000}"/>
    <cellStyle name="Euro 22 3 3 2" xfId="2153" xr:uid="{00000000-0005-0000-0000-00005C030000}"/>
    <cellStyle name="Euro 22 3 4" xfId="2152" xr:uid="{00000000-0005-0000-0000-00005D030000}"/>
    <cellStyle name="Euro 22 4" xfId="170" xr:uid="{00000000-0005-0000-0000-00005E030000}"/>
    <cellStyle name="Euro 22 4 2" xfId="171" xr:uid="{00000000-0005-0000-0000-00005F030000}"/>
    <cellStyle name="Euro 22 4 2 2" xfId="2155" xr:uid="{00000000-0005-0000-0000-000060030000}"/>
    <cellStyle name="Euro 22 4 3" xfId="2154" xr:uid="{00000000-0005-0000-0000-000061030000}"/>
    <cellStyle name="Euro 22 5" xfId="172" xr:uid="{00000000-0005-0000-0000-000062030000}"/>
    <cellStyle name="Euro 23" xfId="173" xr:uid="{00000000-0005-0000-0000-000063030000}"/>
    <cellStyle name="Euro 23 2" xfId="174" xr:uid="{00000000-0005-0000-0000-000064030000}"/>
    <cellStyle name="Euro 23 2 2" xfId="2156" xr:uid="{00000000-0005-0000-0000-000065030000}"/>
    <cellStyle name="Euro 23 3" xfId="175" xr:uid="{00000000-0005-0000-0000-000066030000}"/>
    <cellStyle name="Euro 23 3 2" xfId="176" xr:uid="{00000000-0005-0000-0000-000067030000}"/>
    <cellStyle name="Euro 23 3 3" xfId="177" xr:uid="{00000000-0005-0000-0000-000068030000}"/>
    <cellStyle name="Euro 23 3 3 2" xfId="2158" xr:uid="{00000000-0005-0000-0000-000069030000}"/>
    <cellStyle name="Euro 23 3 4" xfId="2157" xr:uid="{00000000-0005-0000-0000-00006A030000}"/>
    <cellStyle name="Euro 23 4" xfId="178" xr:uid="{00000000-0005-0000-0000-00006B030000}"/>
    <cellStyle name="Euro 23 4 2" xfId="179" xr:uid="{00000000-0005-0000-0000-00006C030000}"/>
    <cellStyle name="Euro 23 4 2 2" xfId="2160" xr:uid="{00000000-0005-0000-0000-00006D030000}"/>
    <cellStyle name="Euro 23 4 3" xfId="2159" xr:uid="{00000000-0005-0000-0000-00006E030000}"/>
    <cellStyle name="Euro 23 5" xfId="180" xr:uid="{00000000-0005-0000-0000-00006F030000}"/>
    <cellStyle name="Euro 24" xfId="181" xr:uid="{00000000-0005-0000-0000-000070030000}"/>
    <cellStyle name="Euro 24 2" xfId="182" xr:uid="{00000000-0005-0000-0000-000071030000}"/>
    <cellStyle name="Euro 24 2 2" xfId="2161" xr:uid="{00000000-0005-0000-0000-000072030000}"/>
    <cellStyle name="Euro 24 3" xfId="183" xr:uid="{00000000-0005-0000-0000-000073030000}"/>
    <cellStyle name="Euro 24 3 2" xfId="184" xr:uid="{00000000-0005-0000-0000-000074030000}"/>
    <cellStyle name="Euro 24 3 3" xfId="185" xr:uid="{00000000-0005-0000-0000-000075030000}"/>
    <cellStyle name="Euro 24 3 3 2" xfId="2163" xr:uid="{00000000-0005-0000-0000-000076030000}"/>
    <cellStyle name="Euro 24 3 4" xfId="2162" xr:uid="{00000000-0005-0000-0000-000077030000}"/>
    <cellStyle name="Euro 24 4" xfId="186" xr:uid="{00000000-0005-0000-0000-000078030000}"/>
    <cellStyle name="Euro 24 4 2" xfId="187" xr:uid="{00000000-0005-0000-0000-000079030000}"/>
    <cellStyle name="Euro 24 4 2 2" xfId="2165" xr:uid="{00000000-0005-0000-0000-00007A030000}"/>
    <cellStyle name="Euro 24 4 3" xfId="2164" xr:uid="{00000000-0005-0000-0000-00007B030000}"/>
    <cellStyle name="Euro 24 5" xfId="188" xr:uid="{00000000-0005-0000-0000-00007C030000}"/>
    <cellStyle name="Euro 25" xfId="189" xr:uid="{00000000-0005-0000-0000-00007D030000}"/>
    <cellStyle name="Euro 25 2" xfId="190" xr:uid="{00000000-0005-0000-0000-00007E030000}"/>
    <cellStyle name="Euro 25 2 2" xfId="2166" xr:uid="{00000000-0005-0000-0000-00007F030000}"/>
    <cellStyle name="Euro 25 3" xfId="191" xr:uid="{00000000-0005-0000-0000-000080030000}"/>
    <cellStyle name="Euro 25 3 2" xfId="192" xr:uid="{00000000-0005-0000-0000-000081030000}"/>
    <cellStyle name="Euro 25 3 3" xfId="193" xr:uid="{00000000-0005-0000-0000-000082030000}"/>
    <cellStyle name="Euro 25 3 3 2" xfId="2168" xr:uid="{00000000-0005-0000-0000-000083030000}"/>
    <cellStyle name="Euro 25 3 4" xfId="2167" xr:uid="{00000000-0005-0000-0000-000084030000}"/>
    <cellStyle name="Euro 25 4" xfId="194" xr:uid="{00000000-0005-0000-0000-000085030000}"/>
    <cellStyle name="Euro 25 4 2" xfId="195" xr:uid="{00000000-0005-0000-0000-000086030000}"/>
    <cellStyle name="Euro 25 4 2 2" xfId="2170" xr:uid="{00000000-0005-0000-0000-000087030000}"/>
    <cellStyle name="Euro 25 4 3" xfId="2169" xr:uid="{00000000-0005-0000-0000-000088030000}"/>
    <cellStyle name="Euro 25 5" xfId="196" xr:uid="{00000000-0005-0000-0000-000089030000}"/>
    <cellStyle name="Euro 26" xfId="197" xr:uid="{00000000-0005-0000-0000-00008A030000}"/>
    <cellStyle name="Euro 26 2" xfId="198" xr:uid="{00000000-0005-0000-0000-00008B030000}"/>
    <cellStyle name="Euro 26 2 2" xfId="2171" xr:uid="{00000000-0005-0000-0000-00008C030000}"/>
    <cellStyle name="Euro 26 3" xfId="199" xr:uid="{00000000-0005-0000-0000-00008D030000}"/>
    <cellStyle name="Euro 26 3 2" xfId="200" xr:uid="{00000000-0005-0000-0000-00008E030000}"/>
    <cellStyle name="Euro 26 3 3" xfId="201" xr:uid="{00000000-0005-0000-0000-00008F030000}"/>
    <cellStyle name="Euro 26 3 3 2" xfId="2173" xr:uid="{00000000-0005-0000-0000-000090030000}"/>
    <cellStyle name="Euro 26 3 4" xfId="2172" xr:uid="{00000000-0005-0000-0000-000091030000}"/>
    <cellStyle name="Euro 26 4" xfId="202" xr:uid="{00000000-0005-0000-0000-000092030000}"/>
    <cellStyle name="Euro 26 4 2" xfId="203" xr:uid="{00000000-0005-0000-0000-000093030000}"/>
    <cellStyle name="Euro 26 4 2 2" xfId="2175" xr:uid="{00000000-0005-0000-0000-000094030000}"/>
    <cellStyle name="Euro 26 4 3" xfId="2174" xr:uid="{00000000-0005-0000-0000-000095030000}"/>
    <cellStyle name="Euro 26 5" xfId="204" xr:uid="{00000000-0005-0000-0000-000096030000}"/>
    <cellStyle name="Euro 27" xfId="205" xr:uid="{00000000-0005-0000-0000-000097030000}"/>
    <cellStyle name="Euro 27 2" xfId="206" xr:uid="{00000000-0005-0000-0000-000098030000}"/>
    <cellStyle name="Euro 27 2 2" xfId="2176" xr:uid="{00000000-0005-0000-0000-000099030000}"/>
    <cellStyle name="Euro 27 3" xfId="207" xr:uid="{00000000-0005-0000-0000-00009A030000}"/>
    <cellStyle name="Euro 27 3 2" xfId="208" xr:uid="{00000000-0005-0000-0000-00009B030000}"/>
    <cellStyle name="Euro 27 3 3" xfId="209" xr:uid="{00000000-0005-0000-0000-00009C030000}"/>
    <cellStyle name="Euro 27 3 3 2" xfId="2178" xr:uid="{00000000-0005-0000-0000-00009D030000}"/>
    <cellStyle name="Euro 27 3 4" xfId="2177" xr:uid="{00000000-0005-0000-0000-00009E030000}"/>
    <cellStyle name="Euro 27 4" xfId="210" xr:uid="{00000000-0005-0000-0000-00009F030000}"/>
    <cellStyle name="Euro 27 4 2" xfId="211" xr:uid="{00000000-0005-0000-0000-0000A0030000}"/>
    <cellStyle name="Euro 27 4 2 2" xfId="2180" xr:uid="{00000000-0005-0000-0000-0000A1030000}"/>
    <cellStyle name="Euro 27 4 3" xfId="2179" xr:uid="{00000000-0005-0000-0000-0000A2030000}"/>
    <cellStyle name="Euro 27 5" xfId="212" xr:uid="{00000000-0005-0000-0000-0000A3030000}"/>
    <cellStyle name="Euro 28" xfId="213" xr:uid="{00000000-0005-0000-0000-0000A4030000}"/>
    <cellStyle name="Euro 28 2" xfId="214" xr:uid="{00000000-0005-0000-0000-0000A5030000}"/>
    <cellStyle name="Euro 28 2 2" xfId="2181" xr:uid="{00000000-0005-0000-0000-0000A6030000}"/>
    <cellStyle name="Euro 28 3" xfId="215" xr:uid="{00000000-0005-0000-0000-0000A7030000}"/>
    <cellStyle name="Euro 28 3 2" xfId="216" xr:uid="{00000000-0005-0000-0000-0000A8030000}"/>
    <cellStyle name="Euro 28 3 3" xfId="217" xr:uid="{00000000-0005-0000-0000-0000A9030000}"/>
    <cellStyle name="Euro 28 3 3 2" xfId="2183" xr:uid="{00000000-0005-0000-0000-0000AA030000}"/>
    <cellStyle name="Euro 28 3 4" xfId="2182" xr:uid="{00000000-0005-0000-0000-0000AB030000}"/>
    <cellStyle name="Euro 28 4" xfId="218" xr:uid="{00000000-0005-0000-0000-0000AC030000}"/>
    <cellStyle name="Euro 28 4 2" xfId="219" xr:uid="{00000000-0005-0000-0000-0000AD030000}"/>
    <cellStyle name="Euro 28 4 2 2" xfId="2185" xr:uid="{00000000-0005-0000-0000-0000AE030000}"/>
    <cellStyle name="Euro 28 4 3" xfId="2184" xr:uid="{00000000-0005-0000-0000-0000AF030000}"/>
    <cellStyle name="Euro 28 5" xfId="220" xr:uid="{00000000-0005-0000-0000-0000B0030000}"/>
    <cellStyle name="Euro 29" xfId="221" xr:uid="{00000000-0005-0000-0000-0000B1030000}"/>
    <cellStyle name="Euro 29 2" xfId="222" xr:uid="{00000000-0005-0000-0000-0000B2030000}"/>
    <cellStyle name="Euro 29 2 2" xfId="2186" xr:uid="{00000000-0005-0000-0000-0000B3030000}"/>
    <cellStyle name="Euro 29 3" xfId="223" xr:uid="{00000000-0005-0000-0000-0000B4030000}"/>
    <cellStyle name="Euro 29 3 2" xfId="224" xr:uid="{00000000-0005-0000-0000-0000B5030000}"/>
    <cellStyle name="Euro 29 3 3" xfId="225" xr:uid="{00000000-0005-0000-0000-0000B6030000}"/>
    <cellStyle name="Euro 29 3 3 2" xfId="2188" xr:uid="{00000000-0005-0000-0000-0000B7030000}"/>
    <cellStyle name="Euro 29 3 4" xfId="2187" xr:uid="{00000000-0005-0000-0000-0000B8030000}"/>
    <cellStyle name="Euro 29 4" xfId="226" xr:uid="{00000000-0005-0000-0000-0000B9030000}"/>
    <cellStyle name="Euro 29 4 2" xfId="227" xr:uid="{00000000-0005-0000-0000-0000BA030000}"/>
    <cellStyle name="Euro 29 4 2 2" xfId="2190" xr:uid="{00000000-0005-0000-0000-0000BB030000}"/>
    <cellStyle name="Euro 29 4 3" xfId="2189" xr:uid="{00000000-0005-0000-0000-0000BC030000}"/>
    <cellStyle name="Euro 29 5" xfId="228" xr:uid="{00000000-0005-0000-0000-0000BD030000}"/>
    <cellStyle name="Euro 3" xfId="229" xr:uid="{00000000-0005-0000-0000-0000BE030000}"/>
    <cellStyle name="Euro 3 2" xfId="230" xr:uid="{00000000-0005-0000-0000-0000BF030000}"/>
    <cellStyle name="Euro 3 2 2" xfId="2191" xr:uid="{00000000-0005-0000-0000-0000C0030000}"/>
    <cellStyle name="Euro 3 3" xfId="231" xr:uid="{00000000-0005-0000-0000-0000C1030000}"/>
    <cellStyle name="Euro 3 3 2" xfId="232" xr:uid="{00000000-0005-0000-0000-0000C2030000}"/>
    <cellStyle name="Euro 3 3 3" xfId="233" xr:uid="{00000000-0005-0000-0000-0000C3030000}"/>
    <cellStyle name="Euro 3 3 3 2" xfId="2193" xr:uid="{00000000-0005-0000-0000-0000C4030000}"/>
    <cellStyle name="Euro 3 3 4" xfId="2192" xr:uid="{00000000-0005-0000-0000-0000C5030000}"/>
    <cellStyle name="Euro 3 4" xfId="234" xr:uid="{00000000-0005-0000-0000-0000C6030000}"/>
    <cellStyle name="Euro 3 4 2" xfId="235" xr:uid="{00000000-0005-0000-0000-0000C7030000}"/>
    <cellStyle name="Euro 3 4 2 2" xfId="2195" xr:uid="{00000000-0005-0000-0000-0000C8030000}"/>
    <cellStyle name="Euro 3 4 3" xfId="2194" xr:uid="{00000000-0005-0000-0000-0000C9030000}"/>
    <cellStyle name="Euro 3 5" xfId="236" xr:uid="{00000000-0005-0000-0000-0000CA030000}"/>
    <cellStyle name="Euro 30" xfId="237" xr:uid="{00000000-0005-0000-0000-0000CB030000}"/>
    <cellStyle name="Euro 30 2" xfId="238" xr:uid="{00000000-0005-0000-0000-0000CC030000}"/>
    <cellStyle name="Euro 30 2 2" xfId="2196" xr:uid="{00000000-0005-0000-0000-0000CD030000}"/>
    <cellStyle name="Euro 30 3" xfId="239" xr:uid="{00000000-0005-0000-0000-0000CE030000}"/>
    <cellStyle name="Euro 30 3 2" xfId="240" xr:uid="{00000000-0005-0000-0000-0000CF030000}"/>
    <cellStyle name="Euro 30 3 3" xfId="241" xr:uid="{00000000-0005-0000-0000-0000D0030000}"/>
    <cellStyle name="Euro 30 3 3 2" xfId="2198" xr:uid="{00000000-0005-0000-0000-0000D1030000}"/>
    <cellStyle name="Euro 30 3 4" xfId="2197" xr:uid="{00000000-0005-0000-0000-0000D2030000}"/>
    <cellStyle name="Euro 30 4" xfId="242" xr:uid="{00000000-0005-0000-0000-0000D3030000}"/>
    <cellStyle name="Euro 30 4 2" xfId="243" xr:uid="{00000000-0005-0000-0000-0000D4030000}"/>
    <cellStyle name="Euro 30 4 2 2" xfId="2200" xr:uid="{00000000-0005-0000-0000-0000D5030000}"/>
    <cellStyle name="Euro 30 4 3" xfId="2199" xr:uid="{00000000-0005-0000-0000-0000D6030000}"/>
    <cellStyle name="Euro 30 5" xfId="244" xr:uid="{00000000-0005-0000-0000-0000D7030000}"/>
    <cellStyle name="Euro 31" xfId="245" xr:uid="{00000000-0005-0000-0000-0000D8030000}"/>
    <cellStyle name="Euro 31 2" xfId="246" xr:uid="{00000000-0005-0000-0000-0000D9030000}"/>
    <cellStyle name="Euro 31 2 2" xfId="2201" xr:uid="{00000000-0005-0000-0000-0000DA030000}"/>
    <cellStyle name="Euro 31 3" xfId="247" xr:uid="{00000000-0005-0000-0000-0000DB030000}"/>
    <cellStyle name="Euro 31 3 2" xfId="248" xr:uid="{00000000-0005-0000-0000-0000DC030000}"/>
    <cellStyle name="Euro 31 3 3" xfId="249" xr:uid="{00000000-0005-0000-0000-0000DD030000}"/>
    <cellStyle name="Euro 31 3 3 2" xfId="2203" xr:uid="{00000000-0005-0000-0000-0000DE030000}"/>
    <cellStyle name="Euro 31 3 4" xfId="2202" xr:uid="{00000000-0005-0000-0000-0000DF030000}"/>
    <cellStyle name="Euro 31 4" xfId="250" xr:uid="{00000000-0005-0000-0000-0000E0030000}"/>
    <cellStyle name="Euro 31 4 2" xfId="251" xr:uid="{00000000-0005-0000-0000-0000E1030000}"/>
    <cellStyle name="Euro 31 4 2 2" xfId="2205" xr:uid="{00000000-0005-0000-0000-0000E2030000}"/>
    <cellStyle name="Euro 31 4 3" xfId="2204" xr:uid="{00000000-0005-0000-0000-0000E3030000}"/>
    <cellStyle name="Euro 31 5" xfId="252" xr:uid="{00000000-0005-0000-0000-0000E4030000}"/>
    <cellStyle name="Euro 32" xfId="253" xr:uid="{00000000-0005-0000-0000-0000E5030000}"/>
    <cellStyle name="Euro 32 2" xfId="254" xr:uid="{00000000-0005-0000-0000-0000E6030000}"/>
    <cellStyle name="Euro 32 2 2" xfId="2206" xr:uid="{00000000-0005-0000-0000-0000E7030000}"/>
    <cellStyle name="Euro 32 3" xfId="255" xr:uid="{00000000-0005-0000-0000-0000E8030000}"/>
    <cellStyle name="Euro 32 3 2" xfId="256" xr:uid="{00000000-0005-0000-0000-0000E9030000}"/>
    <cellStyle name="Euro 32 3 3" xfId="257" xr:uid="{00000000-0005-0000-0000-0000EA030000}"/>
    <cellStyle name="Euro 32 3 3 2" xfId="2208" xr:uid="{00000000-0005-0000-0000-0000EB030000}"/>
    <cellStyle name="Euro 32 3 4" xfId="2207" xr:uid="{00000000-0005-0000-0000-0000EC030000}"/>
    <cellStyle name="Euro 32 4" xfId="258" xr:uid="{00000000-0005-0000-0000-0000ED030000}"/>
    <cellStyle name="Euro 32 4 2" xfId="259" xr:uid="{00000000-0005-0000-0000-0000EE030000}"/>
    <cellStyle name="Euro 32 4 2 2" xfId="2210" xr:uid="{00000000-0005-0000-0000-0000EF030000}"/>
    <cellStyle name="Euro 32 4 3" xfId="2209" xr:uid="{00000000-0005-0000-0000-0000F0030000}"/>
    <cellStyle name="Euro 32 5" xfId="260" xr:uid="{00000000-0005-0000-0000-0000F1030000}"/>
    <cellStyle name="Euro 33" xfId="261" xr:uid="{00000000-0005-0000-0000-0000F2030000}"/>
    <cellStyle name="Euro 33 2" xfId="262" xr:uid="{00000000-0005-0000-0000-0000F3030000}"/>
    <cellStyle name="Euro 33 2 2" xfId="2211" xr:uid="{00000000-0005-0000-0000-0000F4030000}"/>
    <cellStyle name="Euro 33 3" xfId="263" xr:uid="{00000000-0005-0000-0000-0000F5030000}"/>
    <cellStyle name="Euro 33 3 2" xfId="264" xr:uid="{00000000-0005-0000-0000-0000F6030000}"/>
    <cellStyle name="Euro 33 3 3" xfId="265" xr:uid="{00000000-0005-0000-0000-0000F7030000}"/>
    <cellStyle name="Euro 33 3 3 2" xfId="2213" xr:uid="{00000000-0005-0000-0000-0000F8030000}"/>
    <cellStyle name="Euro 33 3 4" xfId="2212" xr:uid="{00000000-0005-0000-0000-0000F9030000}"/>
    <cellStyle name="Euro 33 4" xfId="266" xr:uid="{00000000-0005-0000-0000-0000FA030000}"/>
    <cellStyle name="Euro 33 4 2" xfId="267" xr:uid="{00000000-0005-0000-0000-0000FB030000}"/>
    <cellStyle name="Euro 33 4 2 2" xfId="2215" xr:uid="{00000000-0005-0000-0000-0000FC030000}"/>
    <cellStyle name="Euro 33 4 3" xfId="2214" xr:uid="{00000000-0005-0000-0000-0000FD030000}"/>
    <cellStyle name="Euro 33 5" xfId="268" xr:uid="{00000000-0005-0000-0000-0000FE030000}"/>
    <cellStyle name="Euro 34" xfId="269" xr:uid="{00000000-0005-0000-0000-0000FF030000}"/>
    <cellStyle name="Euro 34 2" xfId="270" xr:uid="{00000000-0005-0000-0000-000000040000}"/>
    <cellStyle name="Euro 34 2 2" xfId="2216" xr:uid="{00000000-0005-0000-0000-000001040000}"/>
    <cellStyle name="Euro 34 3" xfId="271" xr:uid="{00000000-0005-0000-0000-000002040000}"/>
    <cellStyle name="Euro 34 3 2" xfId="272" xr:uid="{00000000-0005-0000-0000-000003040000}"/>
    <cellStyle name="Euro 34 3 3" xfId="273" xr:uid="{00000000-0005-0000-0000-000004040000}"/>
    <cellStyle name="Euro 34 3 3 2" xfId="2218" xr:uid="{00000000-0005-0000-0000-000005040000}"/>
    <cellStyle name="Euro 34 3 4" xfId="2217" xr:uid="{00000000-0005-0000-0000-000006040000}"/>
    <cellStyle name="Euro 34 4" xfId="274" xr:uid="{00000000-0005-0000-0000-000007040000}"/>
    <cellStyle name="Euro 34 4 2" xfId="275" xr:uid="{00000000-0005-0000-0000-000008040000}"/>
    <cellStyle name="Euro 34 4 2 2" xfId="2220" xr:uid="{00000000-0005-0000-0000-000009040000}"/>
    <cellStyle name="Euro 34 4 3" xfId="2219" xr:uid="{00000000-0005-0000-0000-00000A040000}"/>
    <cellStyle name="Euro 34 5" xfId="276" xr:uid="{00000000-0005-0000-0000-00000B040000}"/>
    <cellStyle name="Euro 35" xfId="277" xr:uid="{00000000-0005-0000-0000-00000C040000}"/>
    <cellStyle name="Euro 35 2" xfId="278" xr:uid="{00000000-0005-0000-0000-00000D040000}"/>
    <cellStyle name="Euro 35 2 2" xfId="2221" xr:uid="{00000000-0005-0000-0000-00000E040000}"/>
    <cellStyle name="Euro 35 3" xfId="279" xr:uid="{00000000-0005-0000-0000-00000F040000}"/>
    <cellStyle name="Euro 35 3 2" xfId="280" xr:uid="{00000000-0005-0000-0000-000010040000}"/>
    <cellStyle name="Euro 35 3 3" xfId="281" xr:uid="{00000000-0005-0000-0000-000011040000}"/>
    <cellStyle name="Euro 35 3 3 2" xfId="2223" xr:uid="{00000000-0005-0000-0000-000012040000}"/>
    <cellStyle name="Euro 35 3 4" xfId="2222" xr:uid="{00000000-0005-0000-0000-000013040000}"/>
    <cellStyle name="Euro 35 4" xfId="282" xr:uid="{00000000-0005-0000-0000-000014040000}"/>
    <cellStyle name="Euro 35 4 2" xfId="283" xr:uid="{00000000-0005-0000-0000-000015040000}"/>
    <cellStyle name="Euro 35 4 2 2" xfId="2225" xr:uid="{00000000-0005-0000-0000-000016040000}"/>
    <cellStyle name="Euro 35 4 3" xfId="2224" xr:uid="{00000000-0005-0000-0000-000017040000}"/>
    <cellStyle name="Euro 35 5" xfId="284" xr:uid="{00000000-0005-0000-0000-000018040000}"/>
    <cellStyle name="Euro 36" xfId="285" xr:uid="{00000000-0005-0000-0000-000019040000}"/>
    <cellStyle name="Euro 36 2" xfId="286" xr:uid="{00000000-0005-0000-0000-00001A040000}"/>
    <cellStyle name="Euro 36 2 2" xfId="2226" xr:uid="{00000000-0005-0000-0000-00001B040000}"/>
    <cellStyle name="Euro 36 3" xfId="287" xr:uid="{00000000-0005-0000-0000-00001C040000}"/>
    <cellStyle name="Euro 36 3 2" xfId="288" xr:uid="{00000000-0005-0000-0000-00001D040000}"/>
    <cellStyle name="Euro 36 3 3" xfId="289" xr:uid="{00000000-0005-0000-0000-00001E040000}"/>
    <cellStyle name="Euro 36 3 3 2" xfId="2228" xr:uid="{00000000-0005-0000-0000-00001F040000}"/>
    <cellStyle name="Euro 36 3 4" xfId="2227" xr:uid="{00000000-0005-0000-0000-000020040000}"/>
    <cellStyle name="Euro 36 4" xfId="290" xr:uid="{00000000-0005-0000-0000-000021040000}"/>
    <cellStyle name="Euro 36 4 2" xfId="291" xr:uid="{00000000-0005-0000-0000-000022040000}"/>
    <cellStyle name="Euro 36 4 2 2" xfId="2230" xr:uid="{00000000-0005-0000-0000-000023040000}"/>
    <cellStyle name="Euro 36 4 3" xfId="2229" xr:uid="{00000000-0005-0000-0000-000024040000}"/>
    <cellStyle name="Euro 36 5" xfId="292" xr:uid="{00000000-0005-0000-0000-000025040000}"/>
    <cellStyle name="Euro 37" xfId="293" xr:uid="{00000000-0005-0000-0000-000026040000}"/>
    <cellStyle name="Euro 37 2" xfId="294" xr:uid="{00000000-0005-0000-0000-000027040000}"/>
    <cellStyle name="Euro 37 2 2" xfId="2231" xr:uid="{00000000-0005-0000-0000-000028040000}"/>
    <cellStyle name="Euro 37 3" xfId="295" xr:uid="{00000000-0005-0000-0000-000029040000}"/>
    <cellStyle name="Euro 37 3 2" xfId="296" xr:uid="{00000000-0005-0000-0000-00002A040000}"/>
    <cellStyle name="Euro 37 3 3" xfId="297" xr:uid="{00000000-0005-0000-0000-00002B040000}"/>
    <cellStyle name="Euro 37 3 3 2" xfId="2233" xr:uid="{00000000-0005-0000-0000-00002C040000}"/>
    <cellStyle name="Euro 37 3 4" xfId="2232" xr:uid="{00000000-0005-0000-0000-00002D040000}"/>
    <cellStyle name="Euro 37 4" xfId="298" xr:uid="{00000000-0005-0000-0000-00002E040000}"/>
    <cellStyle name="Euro 37 4 2" xfId="299" xr:uid="{00000000-0005-0000-0000-00002F040000}"/>
    <cellStyle name="Euro 37 4 2 2" xfId="2235" xr:uid="{00000000-0005-0000-0000-000030040000}"/>
    <cellStyle name="Euro 37 4 3" xfId="2234" xr:uid="{00000000-0005-0000-0000-000031040000}"/>
    <cellStyle name="Euro 37 5" xfId="300" xr:uid="{00000000-0005-0000-0000-000032040000}"/>
    <cellStyle name="Euro 38" xfId="301" xr:uid="{00000000-0005-0000-0000-000033040000}"/>
    <cellStyle name="Euro 38 2" xfId="302" xr:uid="{00000000-0005-0000-0000-000034040000}"/>
    <cellStyle name="Euro 38 2 2" xfId="2236" xr:uid="{00000000-0005-0000-0000-000035040000}"/>
    <cellStyle name="Euro 38 3" xfId="303" xr:uid="{00000000-0005-0000-0000-000036040000}"/>
    <cellStyle name="Euro 38 3 2" xfId="304" xr:uid="{00000000-0005-0000-0000-000037040000}"/>
    <cellStyle name="Euro 38 3 3" xfId="305" xr:uid="{00000000-0005-0000-0000-000038040000}"/>
    <cellStyle name="Euro 38 3 3 2" xfId="2238" xr:uid="{00000000-0005-0000-0000-000039040000}"/>
    <cellStyle name="Euro 38 3 4" xfId="2237" xr:uid="{00000000-0005-0000-0000-00003A040000}"/>
    <cellStyle name="Euro 38 4" xfId="306" xr:uid="{00000000-0005-0000-0000-00003B040000}"/>
    <cellStyle name="Euro 38 4 2" xfId="307" xr:uid="{00000000-0005-0000-0000-00003C040000}"/>
    <cellStyle name="Euro 38 4 2 2" xfId="2240" xr:uid="{00000000-0005-0000-0000-00003D040000}"/>
    <cellStyle name="Euro 38 4 3" xfId="2239" xr:uid="{00000000-0005-0000-0000-00003E040000}"/>
    <cellStyle name="Euro 38 5" xfId="308" xr:uid="{00000000-0005-0000-0000-00003F040000}"/>
    <cellStyle name="Euro 39" xfId="309" xr:uid="{00000000-0005-0000-0000-000040040000}"/>
    <cellStyle name="Euro 39 2" xfId="310" xr:uid="{00000000-0005-0000-0000-000041040000}"/>
    <cellStyle name="Euro 39 2 2" xfId="2241" xr:uid="{00000000-0005-0000-0000-000042040000}"/>
    <cellStyle name="Euro 39 3" xfId="311" xr:uid="{00000000-0005-0000-0000-000043040000}"/>
    <cellStyle name="Euro 39 3 2" xfId="312" xr:uid="{00000000-0005-0000-0000-000044040000}"/>
    <cellStyle name="Euro 39 3 3" xfId="313" xr:uid="{00000000-0005-0000-0000-000045040000}"/>
    <cellStyle name="Euro 39 3 3 2" xfId="2243" xr:uid="{00000000-0005-0000-0000-000046040000}"/>
    <cellStyle name="Euro 39 3 4" xfId="2242" xr:uid="{00000000-0005-0000-0000-000047040000}"/>
    <cellStyle name="Euro 39 4" xfId="314" xr:uid="{00000000-0005-0000-0000-000048040000}"/>
    <cellStyle name="Euro 39 4 2" xfId="315" xr:uid="{00000000-0005-0000-0000-000049040000}"/>
    <cellStyle name="Euro 39 4 2 2" xfId="2245" xr:uid="{00000000-0005-0000-0000-00004A040000}"/>
    <cellStyle name="Euro 39 4 3" xfId="2244" xr:uid="{00000000-0005-0000-0000-00004B040000}"/>
    <cellStyle name="Euro 39 5" xfId="316" xr:uid="{00000000-0005-0000-0000-00004C040000}"/>
    <cellStyle name="Euro 4" xfId="317" xr:uid="{00000000-0005-0000-0000-00004D040000}"/>
    <cellStyle name="Euro 4 2" xfId="318" xr:uid="{00000000-0005-0000-0000-00004E040000}"/>
    <cellStyle name="Euro 4 2 2" xfId="2246" xr:uid="{00000000-0005-0000-0000-00004F040000}"/>
    <cellStyle name="Euro 4 3" xfId="319" xr:uid="{00000000-0005-0000-0000-000050040000}"/>
    <cellStyle name="Euro 4 3 2" xfId="320" xr:uid="{00000000-0005-0000-0000-000051040000}"/>
    <cellStyle name="Euro 4 3 3" xfId="321" xr:uid="{00000000-0005-0000-0000-000052040000}"/>
    <cellStyle name="Euro 4 3 3 2" xfId="2248" xr:uid="{00000000-0005-0000-0000-000053040000}"/>
    <cellStyle name="Euro 4 3 4" xfId="2247" xr:uid="{00000000-0005-0000-0000-000054040000}"/>
    <cellStyle name="Euro 4 4" xfId="322" xr:uid="{00000000-0005-0000-0000-000055040000}"/>
    <cellStyle name="Euro 4 4 2" xfId="323" xr:uid="{00000000-0005-0000-0000-000056040000}"/>
    <cellStyle name="Euro 4 4 2 2" xfId="2250" xr:uid="{00000000-0005-0000-0000-000057040000}"/>
    <cellStyle name="Euro 4 4 3" xfId="2249" xr:uid="{00000000-0005-0000-0000-000058040000}"/>
    <cellStyle name="Euro 4 5" xfId="324" xr:uid="{00000000-0005-0000-0000-000059040000}"/>
    <cellStyle name="Euro 40" xfId="325" xr:uid="{00000000-0005-0000-0000-00005A040000}"/>
    <cellStyle name="Euro 40 2" xfId="326" xr:uid="{00000000-0005-0000-0000-00005B040000}"/>
    <cellStyle name="Euro 40 2 2" xfId="2251" xr:uid="{00000000-0005-0000-0000-00005C040000}"/>
    <cellStyle name="Euro 40 3" xfId="327" xr:uid="{00000000-0005-0000-0000-00005D040000}"/>
    <cellStyle name="Euro 40 3 2" xfId="328" xr:uid="{00000000-0005-0000-0000-00005E040000}"/>
    <cellStyle name="Euro 40 3 3" xfId="329" xr:uid="{00000000-0005-0000-0000-00005F040000}"/>
    <cellStyle name="Euro 40 3 3 2" xfId="2253" xr:uid="{00000000-0005-0000-0000-000060040000}"/>
    <cellStyle name="Euro 40 3 4" xfId="2252" xr:uid="{00000000-0005-0000-0000-000061040000}"/>
    <cellStyle name="Euro 40 4" xfId="330" xr:uid="{00000000-0005-0000-0000-000062040000}"/>
    <cellStyle name="Euro 40 4 2" xfId="331" xr:uid="{00000000-0005-0000-0000-000063040000}"/>
    <cellStyle name="Euro 40 4 2 2" xfId="2255" xr:uid="{00000000-0005-0000-0000-000064040000}"/>
    <cellStyle name="Euro 40 4 3" xfId="2254" xr:uid="{00000000-0005-0000-0000-000065040000}"/>
    <cellStyle name="Euro 40 5" xfId="332" xr:uid="{00000000-0005-0000-0000-000066040000}"/>
    <cellStyle name="Euro 41" xfId="333" xr:uid="{00000000-0005-0000-0000-000067040000}"/>
    <cellStyle name="Euro 41 2" xfId="334" xr:uid="{00000000-0005-0000-0000-000068040000}"/>
    <cellStyle name="Euro 41 2 2" xfId="2256" xr:uid="{00000000-0005-0000-0000-000069040000}"/>
    <cellStyle name="Euro 41 3" xfId="335" xr:uid="{00000000-0005-0000-0000-00006A040000}"/>
    <cellStyle name="Euro 41 3 2" xfId="336" xr:uid="{00000000-0005-0000-0000-00006B040000}"/>
    <cellStyle name="Euro 41 3 3" xfId="337" xr:uid="{00000000-0005-0000-0000-00006C040000}"/>
    <cellStyle name="Euro 41 3 3 2" xfId="2258" xr:uid="{00000000-0005-0000-0000-00006D040000}"/>
    <cellStyle name="Euro 41 3 4" xfId="2257" xr:uid="{00000000-0005-0000-0000-00006E040000}"/>
    <cellStyle name="Euro 41 4" xfId="338" xr:uid="{00000000-0005-0000-0000-00006F040000}"/>
    <cellStyle name="Euro 41 4 2" xfId="339" xr:uid="{00000000-0005-0000-0000-000070040000}"/>
    <cellStyle name="Euro 41 4 2 2" xfId="2260" xr:uid="{00000000-0005-0000-0000-000071040000}"/>
    <cellStyle name="Euro 41 4 3" xfId="2259" xr:uid="{00000000-0005-0000-0000-000072040000}"/>
    <cellStyle name="Euro 41 5" xfId="340" xr:uid="{00000000-0005-0000-0000-000073040000}"/>
    <cellStyle name="Euro 42" xfId="341" xr:uid="{00000000-0005-0000-0000-000074040000}"/>
    <cellStyle name="Euro 42 2" xfId="342" xr:uid="{00000000-0005-0000-0000-000075040000}"/>
    <cellStyle name="Euro 42 2 2" xfId="2261" xr:uid="{00000000-0005-0000-0000-000076040000}"/>
    <cellStyle name="Euro 42 3" xfId="343" xr:uid="{00000000-0005-0000-0000-000077040000}"/>
    <cellStyle name="Euro 42 3 2" xfId="344" xr:uid="{00000000-0005-0000-0000-000078040000}"/>
    <cellStyle name="Euro 42 3 3" xfId="345" xr:uid="{00000000-0005-0000-0000-000079040000}"/>
    <cellStyle name="Euro 42 3 3 2" xfId="2263" xr:uid="{00000000-0005-0000-0000-00007A040000}"/>
    <cellStyle name="Euro 42 3 4" xfId="2262" xr:uid="{00000000-0005-0000-0000-00007B040000}"/>
    <cellStyle name="Euro 42 4" xfId="346" xr:uid="{00000000-0005-0000-0000-00007C040000}"/>
    <cellStyle name="Euro 42 4 2" xfId="347" xr:uid="{00000000-0005-0000-0000-00007D040000}"/>
    <cellStyle name="Euro 42 4 2 2" xfId="2265" xr:uid="{00000000-0005-0000-0000-00007E040000}"/>
    <cellStyle name="Euro 42 4 3" xfId="2264" xr:uid="{00000000-0005-0000-0000-00007F040000}"/>
    <cellStyle name="Euro 42 5" xfId="348" xr:uid="{00000000-0005-0000-0000-000080040000}"/>
    <cellStyle name="Euro 43" xfId="349" xr:uid="{00000000-0005-0000-0000-000081040000}"/>
    <cellStyle name="Euro 43 2" xfId="350" xr:uid="{00000000-0005-0000-0000-000082040000}"/>
    <cellStyle name="Euro 43 2 2" xfId="2266" xr:uid="{00000000-0005-0000-0000-000083040000}"/>
    <cellStyle name="Euro 43 3" xfId="351" xr:uid="{00000000-0005-0000-0000-000084040000}"/>
    <cellStyle name="Euro 43 3 2" xfId="352" xr:uid="{00000000-0005-0000-0000-000085040000}"/>
    <cellStyle name="Euro 43 3 3" xfId="353" xr:uid="{00000000-0005-0000-0000-000086040000}"/>
    <cellStyle name="Euro 43 3 3 2" xfId="2268" xr:uid="{00000000-0005-0000-0000-000087040000}"/>
    <cellStyle name="Euro 43 3 4" xfId="2267" xr:uid="{00000000-0005-0000-0000-000088040000}"/>
    <cellStyle name="Euro 43 4" xfId="354" xr:uid="{00000000-0005-0000-0000-000089040000}"/>
    <cellStyle name="Euro 43 4 2" xfId="355" xr:uid="{00000000-0005-0000-0000-00008A040000}"/>
    <cellStyle name="Euro 43 4 2 2" xfId="2270" xr:uid="{00000000-0005-0000-0000-00008B040000}"/>
    <cellStyle name="Euro 43 4 3" xfId="2269" xr:uid="{00000000-0005-0000-0000-00008C040000}"/>
    <cellStyle name="Euro 43 5" xfId="356" xr:uid="{00000000-0005-0000-0000-00008D040000}"/>
    <cellStyle name="Euro 44" xfId="357" xr:uid="{00000000-0005-0000-0000-00008E040000}"/>
    <cellStyle name="Euro 44 2" xfId="358" xr:uid="{00000000-0005-0000-0000-00008F040000}"/>
    <cellStyle name="Euro 44 2 2" xfId="2271" xr:uid="{00000000-0005-0000-0000-000090040000}"/>
    <cellStyle name="Euro 44 3" xfId="359" xr:uid="{00000000-0005-0000-0000-000091040000}"/>
    <cellStyle name="Euro 44 3 2" xfId="360" xr:uid="{00000000-0005-0000-0000-000092040000}"/>
    <cellStyle name="Euro 44 3 3" xfId="361" xr:uid="{00000000-0005-0000-0000-000093040000}"/>
    <cellStyle name="Euro 44 3 3 2" xfId="2273" xr:uid="{00000000-0005-0000-0000-000094040000}"/>
    <cellStyle name="Euro 44 3 4" xfId="2272" xr:uid="{00000000-0005-0000-0000-000095040000}"/>
    <cellStyle name="Euro 44 4" xfId="362" xr:uid="{00000000-0005-0000-0000-000096040000}"/>
    <cellStyle name="Euro 44 4 2" xfId="363" xr:uid="{00000000-0005-0000-0000-000097040000}"/>
    <cellStyle name="Euro 44 4 2 2" xfId="2275" xr:uid="{00000000-0005-0000-0000-000098040000}"/>
    <cellStyle name="Euro 44 4 3" xfId="2274" xr:uid="{00000000-0005-0000-0000-000099040000}"/>
    <cellStyle name="Euro 44 5" xfId="364" xr:uid="{00000000-0005-0000-0000-00009A040000}"/>
    <cellStyle name="Euro 45" xfId="365" xr:uid="{00000000-0005-0000-0000-00009B040000}"/>
    <cellStyle name="Euro 45 2" xfId="366" xr:uid="{00000000-0005-0000-0000-00009C040000}"/>
    <cellStyle name="Euro 45 2 2" xfId="2277" xr:uid="{00000000-0005-0000-0000-00009D040000}"/>
    <cellStyle name="Euro 45 3" xfId="2276" xr:uid="{00000000-0005-0000-0000-00009E040000}"/>
    <cellStyle name="Euro 45 4" xfId="4933" xr:uid="{00000000-0005-0000-0000-00009F040000}"/>
    <cellStyle name="Euro 46" xfId="367" xr:uid="{00000000-0005-0000-0000-0000A0040000}"/>
    <cellStyle name="Euro 46 2" xfId="2278" xr:uid="{00000000-0005-0000-0000-0000A1040000}"/>
    <cellStyle name="Euro 47" xfId="368" xr:uid="{00000000-0005-0000-0000-0000A2040000}"/>
    <cellStyle name="Euro 47 2" xfId="369" xr:uid="{00000000-0005-0000-0000-0000A3040000}"/>
    <cellStyle name="Euro 47 3" xfId="370" xr:uid="{00000000-0005-0000-0000-0000A4040000}"/>
    <cellStyle name="Euro 47 3 2" xfId="2280" xr:uid="{00000000-0005-0000-0000-0000A5040000}"/>
    <cellStyle name="Euro 47 4" xfId="2279" xr:uid="{00000000-0005-0000-0000-0000A6040000}"/>
    <cellStyle name="Euro 48" xfId="371" xr:uid="{00000000-0005-0000-0000-0000A7040000}"/>
    <cellStyle name="Euro 48 2" xfId="2281" xr:uid="{00000000-0005-0000-0000-0000A8040000}"/>
    <cellStyle name="Euro 49" xfId="372" xr:uid="{00000000-0005-0000-0000-0000A9040000}"/>
    <cellStyle name="Euro 49 2" xfId="373" xr:uid="{00000000-0005-0000-0000-0000AA040000}"/>
    <cellStyle name="Euro 49 2 2" xfId="2283" xr:uid="{00000000-0005-0000-0000-0000AB040000}"/>
    <cellStyle name="Euro 49 3" xfId="2282" xr:uid="{00000000-0005-0000-0000-0000AC040000}"/>
    <cellStyle name="Euro 5" xfId="374" xr:uid="{00000000-0005-0000-0000-0000AD040000}"/>
    <cellStyle name="Euro 5 2" xfId="375" xr:uid="{00000000-0005-0000-0000-0000AE040000}"/>
    <cellStyle name="Euro 5 2 2" xfId="2284" xr:uid="{00000000-0005-0000-0000-0000AF040000}"/>
    <cellStyle name="Euro 5 3" xfId="376" xr:uid="{00000000-0005-0000-0000-0000B0040000}"/>
    <cellStyle name="Euro 5 3 2" xfId="377" xr:uid="{00000000-0005-0000-0000-0000B1040000}"/>
    <cellStyle name="Euro 5 3 3" xfId="378" xr:uid="{00000000-0005-0000-0000-0000B2040000}"/>
    <cellStyle name="Euro 5 3 3 2" xfId="2286" xr:uid="{00000000-0005-0000-0000-0000B3040000}"/>
    <cellStyle name="Euro 5 3 4" xfId="2285" xr:uid="{00000000-0005-0000-0000-0000B4040000}"/>
    <cellStyle name="Euro 5 4" xfId="379" xr:uid="{00000000-0005-0000-0000-0000B5040000}"/>
    <cellStyle name="Euro 5 4 2" xfId="380" xr:uid="{00000000-0005-0000-0000-0000B6040000}"/>
    <cellStyle name="Euro 5 4 2 2" xfId="2288" xr:uid="{00000000-0005-0000-0000-0000B7040000}"/>
    <cellStyle name="Euro 5 4 3" xfId="2287" xr:uid="{00000000-0005-0000-0000-0000B8040000}"/>
    <cellStyle name="Euro 5 5" xfId="381" xr:uid="{00000000-0005-0000-0000-0000B9040000}"/>
    <cellStyle name="Euro 50" xfId="382" xr:uid="{00000000-0005-0000-0000-0000BA040000}"/>
    <cellStyle name="Euro 51" xfId="383" xr:uid="{00000000-0005-0000-0000-0000BB040000}"/>
    <cellStyle name="Euro 51 2" xfId="2289" xr:uid="{00000000-0005-0000-0000-0000BC040000}"/>
    <cellStyle name="Euro 6" xfId="384" xr:uid="{00000000-0005-0000-0000-0000BD040000}"/>
    <cellStyle name="Euro 6 2" xfId="385" xr:uid="{00000000-0005-0000-0000-0000BE040000}"/>
    <cellStyle name="Euro 6 2 2" xfId="2290" xr:uid="{00000000-0005-0000-0000-0000BF040000}"/>
    <cellStyle name="Euro 6 3" xfId="386" xr:uid="{00000000-0005-0000-0000-0000C0040000}"/>
    <cellStyle name="Euro 6 3 2" xfId="387" xr:uid="{00000000-0005-0000-0000-0000C1040000}"/>
    <cellStyle name="Euro 6 3 3" xfId="388" xr:uid="{00000000-0005-0000-0000-0000C2040000}"/>
    <cellStyle name="Euro 6 3 3 2" xfId="2292" xr:uid="{00000000-0005-0000-0000-0000C3040000}"/>
    <cellStyle name="Euro 6 3 4" xfId="2291" xr:uid="{00000000-0005-0000-0000-0000C4040000}"/>
    <cellStyle name="Euro 6 4" xfId="389" xr:uid="{00000000-0005-0000-0000-0000C5040000}"/>
    <cellStyle name="Euro 6 4 2" xfId="390" xr:uid="{00000000-0005-0000-0000-0000C6040000}"/>
    <cellStyle name="Euro 6 4 2 2" xfId="2294" xr:uid="{00000000-0005-0000-0000-0000C7040000}"/>
    <cellStyle name="Euro 6 4 3" xfId="2293" xr:uid="{00000000-0005-0000-0000-0000C8040000}"/>
    <cellStyle name="Euro 6 5" xfId="391" xr:uid="{00000000-0005-0000-0000-0000C9040000}"/>
    <cellStyle name="Euro 7" xfId="392" xr:uid="{00000000-0005-0000-0000-0000CA040000}"/>
    <cellStyle name="Euro 7 2" xfId="393" xr:uid="{00000000-0005-0000-0000-0000CB040000}"/>
    <cellStyle name="Euro 7 2 2" xfId="2295" xr:uid="{00000000-0005-0000-0000-0000CC040000}"/>
    <cellStyle name="Euro 7 3" xfId="394" xr:uid="{00000000-0005-0000-0000-0000CD040000}"/>
    <cellStyle name="Euro 7 3 2" xfId="395" xr:uid="{00000000-0005-0000-0000-0000CE040000}"/>
    <cellStyle name="Euro 7 3 3" xfId="396" xr:uid="{00000000-0005-0000-0000-0000CF040000}"/>
    <cellStyle name="Euro 7 3 3 2" xfId="2297" xr:uid="{00000000-0005-0000-0000-0000D0040000}"/>
    <cellStyle name="Euro 7 3 4" xfId="2296" xr:uid="{00000000-0005-0000-0000-0000D1040000}"/>
    <cellStyle name="Euro 7 4" xfId="397" xr:uid="{00000000-0005-0000-0000-0000D2040000}"/>
    <cellStyle name="Euro 7 4 2" xfId="398" xr:uid="{00000000-0005-0000-0000-0000D3040000}"/>
    <cellStyle name="Euro 7 4 2 2" xfId="2299" xr:uid="{00000000-0005-0000-0000-0000D4040000}"/>
    <cellStyle name="Euro 7 4 3" xfId="2298" xr:uid="{00000000-0005-0000-0000-0000D5040000}"/>
    <cellStyle name="Euro 7 5" xfId="399" xr:uid="{00000000-0005-0000-0000-0000D6040000}"/>
    <cellStyle name="Euro 8" xfId="400" xr:uid="{00000000-0005-0000-0000-0000D7040000}"/>
    <cellStyle name="Euro 8 2" xfId="401" xr:uid="{00000000-0005-0000-0000-0000D8040000}"/>
    <cellStyle name="Euro 8 2 2" xfId="2300" xr:uid="{00000000-0005-0000-0000-0000D9040000}"/>
    <cellStyle name="Euro 8 3" xfId="402" xr:uid="{00000000-0005-0000-0000-0000DA040000}"/>
    <cellStyle name="Euro 8 3 2" xfId="403" xr:uid="{00000000-0005-0000-0000-0000DB040000}"/>
    <cellStyle name="Euro 8 3 3" xfId="404" xr:uid="{00000000-0005-0000-0000-0000DC040000}"/>
    <cellStyle name="Euro 8 3 3 2" xfId="2302" xr:uid="{00000000-0005-0000-0000-0000DD040000}"/>
    <cellStyle name="Euro 8 3 4" xfId="2301" xr:uid="{00000000-0005-0000-0000-0000DE040000}"/>
    <cellStyle name="Euro 8 4" xfId="405" xr:uid="{00000000-0005-0000-0000-0000DF040000}"/>
    <cellStyle name="Euro 8 4 2" xfId="406" xr:uid="{00000000-0005-0000-0000-0000E0040000}"/>
    <cellStyle name="Euro 8 4 2 2" xfId="2304" xr:uid="{00000000-0005-0000-0000-0000E1040000}"/>
    <cellStyle name="Euro 8 4 3" xfId="2303" xr:uid="{00000000-0005-0000-0000-0000E2040000}"/>
    <cellStyle name="Euro 8 5" xfId="407" xr:uid="{00000000-0005-0000-0000-0000E3040000}"/>
    <cellStyle name="Euro 9" xfId="408" xr:uid="{00000000-0005-0000-0000-0000E4040000}"/>
    <cellStyle name="Euro 9 2" xfId="409" xr:uid="{00000000-0005-0000-0000-0000E5040000}"/>
    <cellStyle name="Euro 9 2 2" xfId="2305" xr:uid="{00000000-0005-0000-0000-0000E6040000}"/>
    <cellStyle name="Euro 9 3" xfId="410" xr:uid="{00000000-0005-0000-0000-0000E7040000}"/>
    <cellStyle name="Euro 9 3 2" xfId="411" xr:uid="{00000000-0005-0000-0000-0000E8040000}"/>
    <cellStyle name="Euro 9 3 3" xfId="412" xr:uid="{00000000-0005-0000-0000-0000E9040000}"/>
    <cellStyle name="Euro 9 3 3 2" xfId="2307" xr:uid="{00000000-0005-0000-0000-0000EA040000}"/>
    <cellStyle name="Euro 9 3 4" xfId="2306" xr:uid="{00000000-0005-0000-0000-0000EB040000}"/>
    <cellStyle name="Euro 9 4" xfId="413" xr:uid="{00000000-0005-0000-0000-0000EC040000}"/>
    <cellStyle name="Euro 9 4 2" xfId="414" xr:uid="{00000000-0005-0000-0000-0000ED040000}"/>
    <cellStyle name="Euro 9 4 2 2" xfId="2309" xr:uid="{00000000-0005-0000-0000-0000EE040000}"/>
    <cellStyle name="Euro 9 4 3" xfId="2308" xr:uid="{00000000-0005-0000-0000-0000EF040000}"/>
    <cellStyle name="Euro 9 5" xfId="415" xr:uid="{00000000-0005-0000-0000-0000F0040000}"/>
    <cellStyle name="Explanatory Text" xfId="3336" builtinId="53" customBuiltin="1"/>
    <cellStyle name="Explanatory Text 2" xfId="3437" xr:uid="{00000000-0005-0000-0000-0000F2040000}"/>
    <cellStyle name="Fixed2 - Type2" xfId="416" xr:uid="{00000000-0005-0000-0000-0000F3040000}"/>
    <cellStyle name="Good" xfId="417" builtinId="26" customBuiltin="1"/>
    <cellStyle name="Good 2" xfId="3438" xr:uid="{00000000-0005-0000-0000-0000F5040000}"/>
    <cellStyle name="Heading 1" xfId="418" builtinId="16"/>
    <cellStyle name="Heading 1 2" xfId="3439" xr:uid="{00000000-0005-0000-0000-0000F7040000}"/>
    <cellStyle name="Heading 2" xfId="419" builtinId="17"/>
    <cellStyle name="Heading 2 2" xfId="3440" xr:uid="{00000000-0005-0000-0000-0000F9040000}"/>
    <cellStyle name="Heading 3 2" xfId="3441" xr:uid="{00000000-0005-0000-0000-0000FA040000}"/>
    <cellStyle name="Heading 3 2 2" xfId="7994" xr:uid="{83B77BEC-98BC-4B54-8C65-A69A043BB399}"/>
    <cellStyle name="Heading 4" xfId="420" builtinId="19"/>
    <cellStyle name="Heading 4 2" xfId="3442" xr:uid="{00000000-0005-0000-0000-0000FC040000}"/>
    <cellStyle name="Headline" xfId="15992" xr:uid="{4C6F53B7-F707-427E-9D78-28CF019914A8}"/>
    <cellStyle name="Hyperlink 2" xfId="421" xr:uid="{00000000-0005-0000-0000-0000FD040000}"/>
    <cellStyle name="Hyperlink 2 2" xfId="3443" xr:uid="{00000000-0005-0000-0000-0000FE040000}"/>
    <cellStyle name="Hyperlink 3" xfId="3444" xr:uid="{00000000-0005-0000-0000-0000FF040000}"/>
    <cellStyle name="Input" xfId="422" builtinId="20" customBuiltin="1"/>
    <cellStyle name="Input 2" xfId="423" xr:uid="{00000000-0005-0000-0000-000001050000}"/>
    <cellStyle name="Input 2 2" xfId="3521" xr:uid="{00000000-0005-0000-0000-000002050000}"/>
    <cellStyle name="Input 2 2 2" xfId="8049" xr:uid="{5A8DD4B5-1B0A-4F36-A9B9-42F1388C08A1}"/>
    <cellStyle name="Input 2 2 2 2" xfId="13408" xr:uid="{1D99CC78-3254-4FE0-9259-211B212643CC}"/>
    <cellStyle name="Input 2 2 3" xfId="14620" xr:uid="{0A7071AC-7D68-4695-B2B5-ADCF811B1F34}"/>
    <cellStyle name="Input 2 2 4" xfId="14634" xr:uid="{FA859E8F-1875-4D21-94B1-4F42B7B99850}"/>
    <cellStyle name="Input 2 2 5" xfId="14608" xr:uid="{CA9BC524-E811-4250-810C-5D7213A6EC67}"/>
    <cellStyle name="Input 2 2 6" xfId="15978" xr:uid="{023033C4-5C9C-459C-AF9D-A3922F815365}"/>
    <cellStyle name="Input 2 3" xfId="7901" xr:uid="{A0E5E462-244C-40B4-B946-590DCEFFCBE0}"/>
    <cellStyle name="Input 2 3 2" xfId="13211" xr:uid="{E39503B5-E481-48AE-82BB-9361E04D1439}"/>
    <cellStyle name="Input 2 4" xfId="13251" xr:uid="{C5ED38C8-2071-42C8-B649-F81A64D0955E}"/>
    <cellStyle name="Input 2 5" xfId="13214" xr:uid="{70923553-0F22-4CB8-8DC5-CB8276ED7611}"/>
    <cellStyle name="Input 2 6" xfId="13292" xr:uid="{7478AE1C-E1B5-458D-99FA-FCBBD5BC2EF9}"/>
    <cellStyle name="Input 2 7" xfId="13219" xr:uid="{A586C742-4849-4308-8CAC-479FAF7CA067}"/>
    <cellStyle name="Input 3" xfId="424" xr:uid="{00000000-0005-0000-0000-000003050000}"/>
    <cellStyle name="Input 4" xfId="7900" xr:uid="{E1BAD2EB-D9CD-4A6D-8114-7A3D5A61B5E7}"/>
    <cellStyle name="Input 4 2" xfId="13210" xr:uid="{C50B86DE-45EF-4CB4-A72C-FB685C6F4DF2}"/>
    <cellStyle name="Input 5" xfId="13252" xr:uid="{C9C32AF5-2904-4F5D-B754-0C679E80EE66}"/>
    <cellStyle name="Input 6" xfId="13265" xr:uid="{CBB15D25-B407-4ED9-901B-E18E590F7457}"/>
    <cellStyle name="Input 7" xfId="13250" xr:uid="{9082E349-3CD6-4F8D-8726-1C714F60F968}"/>
    <cellStyle name="Input 8" xfId="14638" xr:uid="{46DE7BAF-55EA-4565-B74B-3E75E229A392}"/>
    <cellStyle name="InputCells" xfId="425" xr:uid="{00000000-0005-0000-0000-000004050000}"/>
    <cellStyle name="Komma 10" xfId="3501" xr:uid="{00000000-0005-0000-0000-000005050000}"/>
    <cellStyle name="Komma 10 2" xfId="4151" xr:uid="{00000000-0005-0000-0000-000006050000}"/>
    <cellStyle name="Komma 10 2 2" xfId="7319" xr:uid="{00000000-0005-0000-0000-000007050000}"/>
    <cellStyle name="Komma 10 2 2 2" xfId="9987" xr:uid="{72A36C73-A05E-47DD-9458-E43A277DC7C9}"/>
    <cellStyle name="Komma 10 2 2 2 2" xfId="15377" xr:uid="{F09A2E71-F74B-43BC-AB6E-4E9AAEFF64A6}"/>
    <cellStyle name="Komma 10 2 2 3" xfId="12624" xr:uid="{E943CD38-9992-4F04-ACA5-DA63DD67442F}"/>
    <cellStyle name="Komma 10 2 3" xfId="8656" xr:uid="{9276BB71-C35C-4B15-A63C-5B30BCB07985}"/>
    <cellStyle name="Komma 10 2 3 2" xfId="14015" xr:uid="{77CDD725-2B86-4DA6-B2F8-1CB1857B4A35}"/>
    <cellStyle name="Komma 10 2 4" xfId="11293" xr:uid="{A79CEB9E-19F3-4CF4-B933-80CEB6097AA9}"/>
    <cellStyle name="Komma 10 3" xfId="6708" xr:uid="{00000000-0005-0000-0000-000008050000}"/>
    <cellStyle name="Komma 10 3 2" xfId="9376" xr:uid="{4DC3D95F-DED6-4D4C-A07A-576733DAAE81}"/>
    <cellStyle name="Komma 10 3 2 2" xfId="14766" xr:uid="{81714406-0D8C-4609-918D-D790883DAC6F}"/>
    <cellStyle name="Komma 10 3 3" xfId="12013" xr:uid="{0554F408-4809-49D3-870A-52E4DAFA9C14}"/>
    <cellStyle name="Komma 10 4" xfId="8040" xr:uid="{84CB0A08-69C5-48B1-A6FC-C21566A97F59}"/>
    <cellStyle name="Komma 10 4 2" xfId="13399" xr:uid="{59891C5A-13D3-4126-8D09-4F0CF8848477}"/>
    <cellStyle name="Komma 10 5" xfId="10682" xr:uid="{D277D0B6-C235-4B31-B896-BECA45381F05}"/>
    <cellStyle name="Komma 11" xfId="3370" xr:uid="{00000000-0005-0000-0000-000009050000}"/>
    <cellStyle name="Komma 2" xfId="426" xr:uid="{00000000-0005-0000-0000-00000A050000}"/>
    <cellStyle name="Komma 2 2" xfId="427" xr:uid="{00000000-0005-0000-0000-00000B050000}"/>
    <cellStyle name="Komma 2 2 2" xfId="3283" xr:uid="{00000000-0005-0000-0000-00000C050000}"/>
    <cellStyle name="Komma 2 2 3" xfId="3504" xr:uid="{00000000-0005-0000-0000-00000D050000}"/>
    <cellStyle name="Komma 2 3" xfId="3315" xr:uid="{00000000-0005-0000-0000-00000E050000}"/>
    <cellStyle name="Komma 2 3 2" xfId="3629" xr:uid="{00000000-0005-0000-0000-00000F050000}"/>
    <cellStyle name="Komma 2 3 3" xfId="4934" xr:uid="{00000000-0005-0000-0000-000010050000}"/>
    <cellStyle name="Komma 2 3 4" xfId="6624" xr:uid="{00000000-0005-0000-0000-000011050000}"/>
    <cellStyle name="Komma 2 3 4 2" xfId="9301" xr:uid="{44F3447A-A686-40C3-957F-B29ED63DCAA2}"/>
    <cellStyle name="Komma 2 3 4 2 2" xfId="14691" xr:uid="{71B04C43-BD58-44BF-B279-0A014B3288A4}"/>
    <cellStyle name="Komma 2 3 4 3" xfId="11938" xr:uid="{A4EDDCEF-812E-4318-92ED-7ACCD414AFE3}"/>
    <cellStyle name="Komma 2 3 5" xfId="7961" xr:uid="{78D961D2-9052-4663-8E5B-F278419289A3}"/>
    <cellStyle name="Komma 2 3 5 2" xfId="13321" xr:uid="{1CA7D13B-5EA3-417C-A6FC-97B5CD549EE4}"/>
    <cellStyle name="Komma 2 3 6" xfId="10607" xr:uid="{391DBAD3-9262-4332-9FDE-306FD2325A3C}"/>
    <cellStyle name="Komma 2 4" xfId="3282" xr:uid="{00000000-0005-0000-0000-000012050000}"/>
    <cellStyle name="Komma 2 4 2" xfId="4154" xr:uid="{00000000-0005-0000-0000-000013050000}"/>
    <cellStyle name="Komma 2 4 2 2" xfId="7322" xr:uid="{00000000-0005-0000-0000-000014050000}"/>
    <cellStyle name="Komma 2 4 2 2 2" xfId="9990" xr:uid="{ADECA9AF-129A-4D57-B656-9ACDA4A2706E}"/>
    <cellStyle name="Komma 2 4 2 2 2 2" xfId="15380" xr:uid="{9396F812-94E7-430F-A3E9-8603A0A93FF0}"/>
    <cellStyle name="Komma 2 4 2 2 3" xfId="12627" xr:uid="{26760BC3-3F81-4560-9C08-3D42FE5D482C}"/>
    <cellStyle name="Komma 2 4 2 3" xfId="8659" xr:uid="{C748C9A1-91F0-4282-B56A-D9F82E14432A}"/>
    <cellStyle name="Komma 2 4 2 3 2" xfId="14018" xr:uid="{AE7575EB-19ED-4E55-8639-6F4B7CB952E1}"/>
    <cellStyle name="Komma 2 4 2 4" xfId="11296" xr:uid="{DD3589EA-725D-4BDF-9A05-FF33123AE5DB}"/>
    <cellStyle name="Komma 2 4 3" xfId="3513" xr:uid="{00000000-0005-0000-0000-000015050000}"/>
    <cellStyle name="Komma 2 4 3 2" xfId="6711" xr:uid="{00000000-0005-0000-0000-000016050000}"/>
    <cellStyle name="Komma 2 4 3 2 2" xfId="9379" xr:uid="{DA0A5EED-003E-43FF-B535-00715A88634D}"/>
    <cellStyle name="Komma 2 4 3 2 2 2" xfId="14769" xr:uid="{E6092666-6F86-4A99-9566-4D7373D46D17}"/>
    <cellStyle name="Komma 2 4 3 2 3" xfId="12016" xr:uid="{11087468-D147-4E8A-8AC8-DBC0A91EDC7E}"/>
    <cellStyle name="Komma 2 4 3 3" xfId="8043" xr:uid="{BA63A4B2-5803-4186-8302-E91BCED9D1A9}"/>
    <cellStyle name="Komma 2 4 3 3 2" xfId="13402" xr:uid="{8BC997F9-835F-4795-8A90-36D35C20AC66}"/>
    <cellStyle name="Komma 2 4 3 4" xfId="10685" xr:uid="{A45135A2-3B36-4C33-AC99-CFB90C554C8D}"/>
    <cellStyle name="Komma 2 5" xfId="3388" xr:uid="{00000000-0005-0000-0000-000017050000}"/>
    <cellStyle name="Komma 2 6" xfId="4863" xr:uid="{00000000-0005-0000-0000-000018050000}"/>
    <cellStyle name="Komma 2 6 2" xfId="9237" xr:uid="{7AC28558-F9CF-4B05-8861-40FA29A4D395}"/>
    <cellStyle name="Komma 2 6 2 2" xfId="14599" xr:uid="{6780FDA7-4819-4B25-B439-90DD8D56EE10}"/>
    <cellStyle name="Komma 2 6 3" xfId="11874" xr:uid="{6173F2EE-F15A-4AE7-8B02-D167120EBE40}"/>
    <cellStyle name="Komma 3" xfId="428" xr:uid="{00000000-0005-0000-0000-000019050000}"/>
    <cellStyle name="Komma 3 10" xfId="3386" xr:uid="{00000000-0005-0000-0000-00001A050000}"/>
    <cellStyle name="Komma 3 10 2" xfId="6654" xr:uid="{00000000-0005-0000-0000-00001B050000}"/>
    <cellStyle name="Komma 3 10 2 2" xfId="9330" xr:uid="{0EE17099-49E0-49B7-88A9-898378CFEB58}"/>
    <cellStyle name="Komma 3 10 2 2 2" xfId="14720" xr:uid="{C55B654E-64BD-4F24-965D-9BC81C40B9E2}"/>
    <cellStyle name="Komma 3 10 2 3" xfId="11967" xr:uid="{3AD5D568-017C-4984-89C0-3D17F9B1B133}"/>
    <cellStyle name="Komma 3 10 3" xfId="7990" xr:uid="{C52BFABD-CDB4-40E9-A78A-A5C9956BDA93}"/>
    <cellStyle name="Komma 3 10 3 2" xfId="13350" xr:uid="{CF0D5470-2A77-4EA1-A23D-9411D5DB0A59}"/>
    <cellStyle name="Komma 3 10 4" xfId="10636" xr:uid="{29B281DD-6B8D-4CB5-9343-DFBEBEF6A3C1}"/>
    <cellStyle name="Komma 3 11" xfId="4864" xr:uid="{00000000-0005-0000-0000-00001C050000}"/>
    <cellStyle name="Komma 3 12" xfId="5682" xr:uid="{00000000-0005-0000-0000-00001D050000}"/>
    <cellStyle name="Komma 3 2" xfId="429" xr:uid="{00000000-0005-0000-0000-00001E050000}"/>
    <cellStyle name="Komma 3 2 2" xfId="3478" xr:uid="{00000000-0005-0000-0000-00001F050000}"/>
    <cellStyle name="Komma 3 2 2 2" xfId="3632" xr:uid="{00000000-0005-0000-0000-000020050000}"/>
    <cellStyle name="Komma 3 2 2 2 2" xfId="4269" xr:uid="{00000000-0005-0000-0000-000021050000}"/>
    <cellStyle name="Komma 3 2 2 2 2 2" xfId="7437" xr:uid="{00000000-0005-0000-0000-000022050000}"/>
    <cellStyle name="Komma 3 2 2 2 2 2 2" xfId="10105" xr:uid="{3E4ACD76-1795-41FA-83C3-EC1D8AEFE971}"/>
    <cellStyle name="Komma 3 2 2 2 2 2 2 2" xfId="15495" xr:uid="{57EC60BF-84F3-4E0D-84E6-098F3292792D}"/>
    <cellStyle name="Komma 3 2 2 2 2 2 3" xfId="12742" xr:uid="{E5BCB362-49D0-408B-9F39-A0A196E1F6D3}"/>
    <cellStyle name="Komma 3 2 2 2 2 3" xfId="8774" xr:uid="{5A84032D-DE25-4FBA-A5C1-17EBDFA73595}"/>
    <cellStyle name="Komma 3 2 2 2 2 3 2" xfId="14133" xr:uid="{E033A5ED-3966-419C-9E8A-203277C2064E}"/>
    <cellStyle name="Komma 3 2 2 2 2 4" xfId="11411" xr:uid="{465BBD4A-E19C-41BA-BD93-1D035F8F29B2}"/>
    <cellStyle name="Komma 3 2 2 2 3" xfId="6814" xr:uid="{00000000-0005-0000-0000-000023050000}"/>
    <cellStyle name="Komma 3 2 2 2 3 2" xfId="9482" xr:uid="{CA98AA74-4DD5-4D02-B5A5-F2C6DD0B7C12}"/>
    <cellStyle name="Komma 3 2 2 2 3 2 2" xfId="14872" xr:uid="{72C05936-9F80-4353-A567-910B51800853}"/>
    <cellStyle name="Komma 3 2 2 2 3 3" xfId="12119" xr:uid="{2A071791-E91D-4AC5-8EDC-59AAFCC54CDF}"/>
    <cellStyle name="Komma 3 2 2 2 4" xfId="8151" xr:uid="{2AC97264-F628-4D2B-88F7-125D9B7631D2}"/>
    <cellStyle name="Komma 3 2 2 2 4 2" xfId="13510" xr:uid="{1951A5FE-85C0-4B17-8574-A67CC3122314}"/>
    <cellStyle name="Komma 3 2 2 2 5" xfId="10788" xr:uid="{35E86F3E-2672-4AC9-82B3-A75C76A156EB}"/>
    <cellStyle name="Komma 3 2 2 3" xfId="4129" xr:uid="{00000000-0005-0000-0000-000024050000}"/>
    <cellStyle name="Komma 3 2 2 3 2" xfId="7297" xr:uid="{00000000-0005-0000-0000-000025050000}"/>
    <cellStyle name="Komma 3 2 2 3 2 2" xfId="9965" xr:uid="{CEA30238-2CA4-4E20-BD9E-C25A888E2E0E}"/>
    <cellStyle name="Komma 3 2 2 3 2 2 2" xfId="15355" xr:uid="{D5B7CC72-F69B-4E53-8E7F-1BCC7A25DB59}"/>
    <cellStyle name="Komma 3 2 2 3 2 3" xfId="12602" xr:uid="{406DF77C-2C75-4DF3-8447-CDA9EC29A79C}"/>
    <cellStyle name="Komma 3 2 2 3 3" xfId="8634" xr:uid="{F18D9D63-2A4A-4C94-9F45-DAB0913A860D}"/>
    <cellStyle name="Komma 3 2 2 3 3 2" xfId="13993" xr:uid="{68CDC7CD-29CA-41A9-997C-2D5ECEEDBE00}"/>
    <cellStyle name="Komma 3 2 2 3 4" xfId="11271" xr:uid="{443AC325-8B90-4B81-B5B5-3303C4A20FBA}"/>
    <cellStyle name="Komma 3 2 2 4" xfId="6686" xr:uid="{00000000-0005-0000-0000-000026050000}"/>
    <cellStyle name="Komma 3 2 2 4 2" xfId="9354" xr:uid="{273FF426-01EF-4650-9A34-648C7846AE32}"/>
    <cellStyle name="Komma 3 2 2 4 2 2" xfId="14744" xr:uid="{4D4A3E01-1C2A-43DF-B6FE-E1CB079BFE80}"/>
    <cellStyle name="Komma 3 2 2 4 3" xfId="11991" xr:uid="{8A608A0A-7F88-4598-B7D6-55F0D07C2775}"/>
    <cellStyle name="Komma 3 2 2 5" xfId="8018" xr:uid="{8B5355A7-07DB-4AA9-9CD6-880A86AD66B8}"/>
    <cellStyle name="Komma 3 2 2 5 2" xfId="13377" xr:uid="{8BE88DB6-8177-438F-AAD7-07DCAE33FDE9}"/>
    <cellStyle name="Komma 3 2 2 6" xfId="10660" xr:uid="{EBE48D66-8286-4D8F-8C65-8622FFB3BF3E}"/>
    <cellStyle name="Komma 3 2 3" xfId="3494" xr:uid="{00000000-0005-0000-0000-000027050000}"/>
    <cellStyle name="Komma 3 2 3 2" xfId="3633" xr:uid="{00000000-0005-0000-0000-000028050000}"/>
    <cellStyle name="Komma 3 2 3 2 2" xfId="4270" xr:uid="{00000000-0005-0000-0000-000029050000}"/>
    <cellStyle name="Komma 3 2 3 2 2 2" xfId="7438" xr:uid="{00000000-0005-0000-0000-00002A050000}"/>
    <cellStyle name="Komma 3 2 3 2 2 2 2" xfId="10106" xr:uid="{D1469034-2528-4A8E-B881-1911B39448FB}"/>
    <cellStyle name="Komma 3 2 3 2 2 2 2 2" xfId="15496" xr:uid="{F1FD93C8-E5F9-4CD3-8134-DE086ED39CF6}"/>
    <cellStyle name="Komma 3 2 3 2 2 2 3" xfId="12743" xr:uid="{4A50E4D1-CFC0-4942-AE70-C80B76C66E00}"/>
    <cellStyle name="Komma 3 2 3 2 2 3" xfId="8775" xr:uid="{5295AD7C-9337-4579-BCFE-D5C4DEF9363B}"/>
    <cellStyle name="Komma 3 2 3 2 2 3 2" xfId="14134" xr:uid="{D5FEDFF6-B94A-4847-9F9F-1BD3D891F2C0}"/>
    <cellStyle name="Komma 3 2 3 2 2 4" xfId="11412" xr:uid="{7B99D453-1547-496E-9910-64EA100BB57D}"/>
    <cellStyle name="Komma 3 2 3 2 3" xfId="6815" xr:uid="{00000000-0005-0000-0000-00002B050000}"/>
    <cellStyle name="Komma 3 2 3 2 3 2" xfId="9483" xr:uid="{28112547-A7F1-414B-AE92-53ED54FD64FA}"/>
    <cellStyle name="Komma 3 2 3 2 3 2 2" xfId="14873" xr:uid="{B6A650AF-05F5-4B35-BAD1-B08AAC4F6859}"/>
    <cellStyle name="Komma 3 2 3 2 3 3" xfId="12120" xr:uid="{C36A739A-1D55-47C1-82E6-EE5373D008AB}"/>
    <cellStyle name="Komma 3 2 3 2 4" xfId="8152" xr:uid="{851EEA13-020B-4FC4-AE2B-6E6317DBE640}"/>
    <cellStyle name="Komma 3 2 3 2 4 2" xfId="13511" xr:uid="{92A6B179-9A36-4B6A-B3AE-5636D5ECB103}"/>
    <cellStyle name="Komma 3 2 3 2 5" xfId="10789" xr:uid="{B6216A03-23E9-4743-9FA5-356929669B39}"/>
    <cellStyle name="Komma 3 2 3 3" xfId="4145" xr:uid="{00000000-0005-0000-0000-00002C050000}"/>
    <cellStyle name="Komma 3 2 3 3 2" xfId="7313" xr:uid="{00000000-0005-0000-0000-00002D050000}"/>
    <cellStyle name="Komma 3 2 3 3 2 2" xfId="9981" xr:uid="{C9F0A08F-CFBE-4332-9438-EFF13258D026}"/>
    <cellStyle name="Komma 3 2 3 3 2 2 2" xfId="15371" xr:uid="{C48328C4-85EC-44BC-83B3-5876F4B429AB}"/>
    <cellStyle name="Komma 3 2 3 3 2 3" xfId="12618" xr:uid="{2E530522-57A5-4751-9E7D-6982DD6C2B7E}"/>
    <cellStyle name="Komma 3 2 3 3 3" xfId="8650" xr:uid="{C9916E4D-E43B-4850-9D33-D1567CD37BE6}"/>
    <cellStyle name="Komma 3 2 3 3 3 2" xfId="14009" xr:uid="{F2B18E56-611F-4CC1-B460-A13CE85AEA78}"/>
    <cellStyle name="Komma 3 2 3 3 4" xfId="11287" xr:uid="{4C2B32EC-BC5E-4BE5-ADD3-022F6DA421E8}"/>
    <cellStyle name="Komma 3 2 3 4" xfId="6702" xr:uid="{00000000-0005-0000-0000-00002E050000}"/>
    <cellStyle name="Komma 3 2 3 4 2" xfId="9370" xr:uid="{3C4615CF-4943-42EF-9F4F-DFFA2B3C4852}"/>
    <cellStyle name="Komma 3 2 3 4 2 2" xfId="14760" xr:uid="{8C14FEDF-7CFC-4402-9F08-2C4CFE709E4B}"/>
    <cellStyle name="Komma 3 2 3 4 3" xfId="12007" xr:uid="{2B07128D-7E02-463D-9499-37AB99928118}"/>
    <cellStyle name="Komma 3 2 3 5" xfId="8034" xr:uid="{E5D7DBF4-6D33-4B31-AB9F-DC29498C4E30}"/>
    <cellStyle name="Komma 3 2 3 5 2" xfId="13393" xr:uid="{621EF774-8FEB-491B-A228-6C538B7FB3AC}"/>
    <cellStyle name="Komma 3 2 3 6" xfId="10676" xr:uid="{CC938BE1-1AED-4D6C-BB76-A0CD892295C7}"/>
    <cellStyle name="Komma 3 2 4" xfId="3631" xr:uid="{00000000-0005-0000-0000-00002F050000}"/>
    <cellStyle name="Komma 3 2 4 2" xfId="4268" xr:uid="{00000000-0005-0000-0000-000030050000}"/>
    <cellStyle name="Komma 3 2 4 2 2" xfId="7436" xr:uid="{00000000-0005-0000-0000-000031050000}"/>
    <cellStyle name="Komma 3 2 4 2 2 2" xfId="10104" xr:uid="{4EA18562-0954-43D5-9B4C-35E4B08CBEDC}"/>
    <cellStyle name="Komma 3 2 4 2 2 2 2" xfId="15494" xr:uid="{BD0FED71-9C57-466C-BE7F-EBDFF302B750}"/>
    <cellStyle name="Komma 3 2 4 2 2 3" xfId="12741" xr:uid="{2A218FAA-5BF8-41FE-A7BE-591B0B737EA5}"/>
    <cellStyle name="Komma 3 2 4 2 3" xfId="8773" xr:uid="{09BA7A26-A2C0-4A9E-A3A6-DCA68AE78D9F}"/>
    <cellStyle name="Komma 3 2 4 2 3 2" xfId="14132" xr:uid="{7E9DD93D-FC37-44C7-ABC9-C9369DC181B8}"/>
    <cellStyle name="Komma 3 2 4 2 4" xfId="11410" xr:uid="{7E4A9A1F-399D-4C36-9A41-001291CB03EA}"/>
    <cellStyle name="Komma 3 2 4 3" xfId="6813" xr:uid="{00000000-0005-0000-0000-000032050000}"/>
    <cellStyle name="Komma 3 2 4 3 2" xfId="9481" xr:uid="{38D4AED4-AD58-4C18-8924-E644CF299960}"/>
    <cellStyle name="Komma 3 2 4 3 2 2" xfId="14871" xr:uid="{76482EAA-5680-4870-B48A-8501678D8020}"/>
    <cellStyle name="Komma 3 2 4 3 3" xfId="12118" xr:uid="{D5884EEB-FD96-476D-9A87-AB28A7EC1953}"/>
    <cellStyle name="Komma 3 2 4 4" xfId="8150" xr:uid="{1159E106-3E3F-4EBA-9B75-09A821DA733B}"/>
    <cellStyle name="Komma 3 2 4 4 2" xfId="13509" xr:uid="{FE07CDF7-4ACD-4C3C-8D70-741A439A5259}"/>
    <cellStyle name="Komma 3 2 4 5" xfId="10787" xr:uid="{64B3C9E7-71DC-4930-8131-C17E3927EAF5}"/>
    <cellStyle name="Komma 3 2 5" xfId="4113" xr:uid="{00000000-0005-0000-0000-000033050000}"/>
    <cellStyle name="Komma 3 2 5 2" xfId="7281" xr:uid="{00000000-0005-0000-0000-000034050000}"/>
    <cellStyle name="Komma 3 2 5 2 2" xfId="9949" xr:uid="{C20E325C-EFD5-4C0E-A3EC-46C9D1DE2963}"/>
    <cellStyle name="Komma 3 2 5 2 2 2" xfId="15339" xr:uid="{32CB9C33-BDA1-4CA0-8212-CEE7FD48F798}"/>
    <cellStyle name="Komma 3 2 5 2 3" xfId="12586" xr:uid="{DBB61A98-F852-452B-A221-52E83EE037BA}"/>
    <cellStyle name="Komma 3 2 5 3" xfId="8618" xr:uid="{458AAF73-E18E-44FE-B4D8-1F807FC42946}"/>
    <cellStyle name="Komma 3 2 5 3 2" xfId="13977" xr:uid="{80293803-24AA-4AD6-A705-1D214AC2D201}"/>
    <cellStyle name="Komma 3 2 5 4" xfId="11255" xr:uid="{FD5BAEC6-F0EC-4FFD-BDD9-6A73775B3BF6}"/>
    <cellStyle name="Komma 3 2 6" xfId="3462" xr:uid="{00000000-0005-0000-0000-000035050000}"/>
    <cellStyle name="Komma 3 2 6 2" xfId="6670" xr:uid="{00000000-0005-0000-0000-000036050000}"/>
    <cellStyle name="Komma 3 2 6 2 2" xfId="9338" xr:uid="{1E62242C-E490-41FE-B0C9-1A51A64471A4}"/>
    <cellStyle name="Komma 3 2 6 2 2 2" xfId="14728" xr:uid="{A537E052-6626-4A66-80C1-02884EE7C344}"/>
    <cellStyle name="Komma 3 2 6 2 3" xfId="11975" xr:uid="{D3C00756-BC24-49BE-9148-EA1D31072A9B}"/>
    <cellStyle name="Komma 3 2 6 3" xfId="8002" xr:uid="{FAA3CB0E-DA8B-4469-855C-6BAFCFD99DD6}"/>
    <cellStyle name="Komma 3 2 6 3 2" xfId="13361" xr:uid="{8F760931-4719-4208-97AE-FCEE6794E3D4}"/>
    <cellStyle name="Komma 3 2 6 4" xfId="10644" xr:uid="{7850782E-D5DA-460E-A05C-A6E0ADC31006}"/>
    <cellStyle name="Komma 3 2 7" xfId="4936" xr:uid="{00000000-0005-0000-0000-000037050000}"/>
    <cellStyle name="Komma 3 2 8" xfId="5683" xr:uid="{00000000-0005-0000-0000-000038050000}"/>
    <cellStyle name="Komma 3 3" xfId="3470" xr:uid="{00000000-0005-0000-0000-000039050000}"/>
    <cellStyle name="Komma 3 3 2" xfId="3634" xr:uid="{00000000-0005-0000-0000-00003A050000}"/>
    <cellStyle name="Komma 3 3 2 2" xfId="4271" xr:uid="{00000000-0005-0000-0000-00003B050000}"/>
    <cellStyle name="Komma 3 3 2 2 2" xfId="7439" xr:uid="{00000000-0005-0000-0000-00003C050000}"/>
    <cellStyle name="Komma 3 3 2 2 2 2" xfId="10107" xr:uid="{801C1622-E8B5-4134-A136-6762F9E8EA1F}"/>
    <cellStyle name="Komma 3 3 2 2 2 2 2" xfId="15497" xr:uid="{CBEB704D-22A8-4D8F-8E4D-E444D9D9C384}"/>
    <cellStyle name="Komma 3 3 2 2 2 3" xfId="12744" xr:uid="{9228F0BF-CE12-45A4-AFEC-6E7514302F81}"/>
    <cellStyle name="Komma 3 3 2 2 3" xfId="8776" xr:uid="{B8F5805D-012B-467F-B324-20812509D387}"/>
    <cellStyle name="Komma 3 3 2 2 3 2" xfId="14135" xr:uid="{7E4F0C1B-4392-47B4-B824-ED6910C6146C}"/>
    <cellStyle name="Komma 3 3 2 2 4" xfId="11413" xr:uid="{D85277B1-D951-4C1B-8D8D-4ED3ABF4536A}"/>
    <cellStyle name="Komma 3 3 2 3" xfId="6816" xr:uid="{00000000-0005-0000-0000-00003D050000}"/>
    <cellStyle name="Komma 3 3 2 3 2" xfId="9484" xr:uid="{A5FF786A-E770-472D-891B-820868E23774}"/>
    <cellStyle name="Komma 3 3 2 3 2 2" xfId="14874" xr:uid="{82EBBEE8-841F-449D-A11E-502856674E22}"/>
    <cellStyle name="Komma 3 3 2 3 3" xfId="12121" xr:uid="{D1F384AB-E3B9-4955-913E-65A1067CA028}"/>
    <cellStyle name="Komma 3 3 2 4" xfId="8153" xr:uid="{42B78AFA-CBD0-4D26-AB88-C0037A13050C}"/>
    <cellStyle name="Komma 3 3 2 4 2" xfId="13512" xr:uid="{1A446728-9F67-473E-B149-5B8F4C0684B4}"/>
    <cellStyle name="Komma 3 3 2 5" xfId="10790" xr:uid="{C13B370B-4BB0-4EA2-BDBB-1B57DD0FB153}"/>
    <cellStyle name="Komma 3 3 3" xfId="4121" xr:uid="{00000000-0005-0000-0000-00003E050000}"/>
    <cellStyle name="Komma 3 3 3 2" xfId="7289" xr:uid="{00000000-0005-0000-0000-00003F050000}"/>
    <cellStyle name="Komma 3 3 3 2 2" xfId="9957" xr:uid="{A14EC65F-97C7-447E-B3A5-41DE9C67104C}"/>
    <cellStyle name="Komma 3 3 3 2 2 2" xfId="15347" xr:uid="{CB43022D-FBB7-4C6F-B41F-0F38AA09BBEA}"/>
    <cellStyle name="Komma 3 3 3 2 3" xfId="12594" xr:uid="{5CABF477-BE6F-4BBC-8E93-A761872862CC}"/>
    <cellStyle name="Komma 3 3 3 3" xfId="8626" xr:uid="{493A7B58-0754-4AEC-97C2-9F7479C4FECA}"/>
    <cellStyle name="Komma 3 3 3 3 2" xfId="13985" xr:uid="{A644CF64-81EA-4268-8BD4-D93CA186A5CA}"/>
    <cellStyle name="Komma 3 3 3 4" xfId="11263" xr:uid="{1F3646AC-0621-4B8D-83C8-E49EA1A89478}"/>
    <cellStyle name="Komma 3 3 4" xfId="4935" xr:uid="{00000000-0005-0000-0000-000040050000}"/>
    <cellStyle name="Komma 3 3 5" xfId="6678" xr:uid="{00000000-0005-0000-0000-000041050000}"/>
    <cellStyle name="Komma 3 3 5 2" xfId="9346" xr:uid="{238ADF21-FAA8-4C2D-8884-8910F77468BA}"/>
    <cellStyle name="Komma 3 3 5 2 2" xfId="14736" xr:uid="{1EC9A81D-A2F4-482C-B0BC-5BA25D733202}"/>
    <cellStyle name="Komma 3 3 5 3" xfId="11983" xr:uid="{60F30E82-79EB-46E0-9847-7E39F0794A1D}"/>
    <cellStyle name="Komma 3 3 6" xfId="8010" xr:uid="{C1887562-C89D-4985-9C85-5370406B3619}"/>
    <cellStyle name="Komma 3 3 6 2" xfId="13369" xr:uid="{2352AFC6-0DFF-4495-AADA-DD497D2BBDF6}"/>
    <cellStyle name="Komma 3 3 7" xfId="10652" xr:uid="{5F3E1134-7117-4D6D-A9F7-3555BC79ECF9}"/>
    <cellStyle name="Komma 3 4" xfId="3486" xr:uid="{00000000-0005-0000-0000-000042050000}"/>
    <cellStyle name="Komma 3 4 2" xfId="3635" xr:uid="{00000000-0005-0000-0000-000043050000}"/>
    <cellStyle name="Komma 3 4 2 2" xfId="4272" xr:uid="{00000000-0005-0000-0000-000044050000}"/>
    <cellStyle name="Komma 3 4 2 2 2" xfId="7440" xr:uid="{00000000-0005-0000-0000-000045050000}"/>
    <cellStyle name="Komma 3 4 2 2 2 2" xfId="10108" xr:uid="{CDF076E2-985E-4D9C-8152-7E995173447A}"/>
    <cellStyle name="Komma 3 4 2 2 2 2 2" xfId="15498" xr:uid="{2643BB29-16D5-44F3-90E0-7C6251837F72}"/>
    <cellStyle name="Komma 3 4 2 2 2 3" xfId="12745" xr:uid="{1E3D3D44-659F-471E-80E5-803805A0A183}"/>
    <cellStyle name="Komma 3 4 2 2 3" xfId="8777" xr:uid="{6A01BCDE-1F7B-4554-BD09-F2F11A4D5367}"/>
    <cellStyle name="Komma 3 4 2 2 3 2" xfId="14136" xr:uid="{7F25605D-8943-4199-86DA-77628FAA1E97}"/>
    <cellStyle name="Komma 3 4 2 2 4" xfId="11414" xr:uid="{64D969A2-DA06-435E-9100-AD1CA4DBBE99}"/>
    <cellStyle name="Komma 3 4 2 3" xfId="6817" xr:uid="{00000000-0005-0000-0000-000046050000}"/>
    <cellStyle name="Komma 3 4 2 3 2" xfId="9485" xr:uid="{4E8C3118-BE7F-45D7-AFAD-09AF4F9E6858}"/>
    <cellStyle name="Komma 3 4 2 3 2 2" xfId="14875" xr:uid="{AC21DD27-C041-43C7-AF7B-8E2CFFFDA0D2}"/>
    <cellStyle name="Komma 3 4 2 3 3" xfId="12122" xr:uid="{0A92F5E0-4911-48B7-A484-E37D67819303}"/>
    <cellStyle name="Komma 3 4 2 4" xfId="8154" xr:uid="{3B88F174-A624-40A8-8528-37BE5A5C5A2B}"/>
    <cellStyle name="Komma 3 4 2 4 2" xfId="13513" xr:uid="{F621A1EA-CEF6-43FA-B9CC-151AA8771422}"/>
    <cellStyle name="Komma 3 4 2 5" xfId="10791" xr:uid="{9A64DEAA-A47E-4D6E-8790-DD66A50DE793}"/>
    <cellStyle name="Komma 3 4 3" xfId="4137" xr:uid="{00000000-0005-0000-0000-000047050000}"/>
    <cellStyle name="Komma 3 4 3 2" xfId="7305" xr:uid="{00000000-0005-0000-0000-000048050000}"/>
    <cellStyle name="Komma 3 4 3 2 2" xfId="9973" xr:uid="{B4F3818C-B725-4F38-80BF-F6077F9D1BED}"/>
    <cellStyle name="Komma 3 4 3 2 2 2" xfId="15363" xr:uid="{8881A3E9-5716-4F18-92B1-9CD1DEE164C0}"/>
    <cellStyle name="Komma 3 4 3 2 3" xfId="12610" xr:uid="{5623C4F1-E388-463D-876C-BCEF71C30EE5}"/>
    <cellStyle name="Komma 3 4 3 3" xfId="8642" xr:uid="{E9E1EE7D-9B3E-4088-9981-8B177EF3E671}"/>
    <cellStyle name="Komma 3 4 3 3 2" xfId="14001" xr:uid="{2F577F3D-DF40-44E5-94FB-2EEDC0FA0732}"/>
    <cellStyle name="Komma 3 4 3 4" xfId="11279" xr:uid="{3CA3B046-95A8-4FAB-BCA1-C49ED6090025}"/>
    <cellStyle name="Komma 3 4 4" xfId="6694" xr:uid="{00000000-0005-0000-0000-000049050000}"/>
    <cellStyle name="Komma 3 4 4 2" xfId="9362" xr:uid="{5DEEA119-E861-4D12-999F-AE3D2BFE139E}"/>
    <cellStyle name="Komma 3 4 4 2 2" xfId="14752" xr:uid="{FC5A7C09-A5F1-4D71-B2F7-6A20D6B6BC28}"/>
    <cellStyle name="Komma 3 4 4 3" xfId="11999" xr:uid="{27DD28E2-3D7E-425B-BE4D-D354D36CD697}"/>
    <cellStyle name="Komma 3 4 5" xfId="8026" xr:uid="{770FE45C-2722-4956-A4EC-5E85D3F858C5}"/>
    <cellStyle name="Komma 3 4 5 2" xfId="13385" xr:uid="{A9E6614C-4764-4F73-B2F7-52478B858C82}"/>
    <cellStyle name="Komma 3 4 6" xfId="10668" xr:uid="{D3DCE234-D1AD-43C8-93DA-BE53B1FADA6C}"/>
    <cellStyle name="Komma 3 5" xfId="3636" xr:uid="{00000000-0005-0000-0000-00004A050000}"/>
    <cellStyle name="Komma 3 5 2" xfId="4273" xr:uid="{00000000-0005-0000-0000-00004B050000}"/>
    <cellStyle name="Komma 3 5 2 2" xfId="7441" xr:uid="{00000000-0005-0000-0000-00004C050000}"/>
    <cellStyle name="Komma 3 5 2 2 2" xfId="10109" xr:uid="{CC11D451-6610-45ED-BD32-78F53650CFFE}"/>
    <cellStyle name="Komma 3 5 2 2 2 2" xfId="15499" xr:uid="{9803B0D0-3E97-4776-8DC0-331B140BC306}"/>
    <cellStyle name="Komma 3 5 2 2 3" xfId="12746" xr:uid="{F48B3028-ADF0-4B1A-B253-A7651C10ADCB}"/>
    <cellStyle name="Komma 3 5 2 3" xfId="8778" xr:uid="{5B51F7D2-D24D-4BCF-A9D8-8F7454E317C4}"/>
    <cellStyle name="Komma 3 5 2 3 2" xfId="14137" xr:uid="{B7A4DB8D-AAA6-4CCD-B992-DAB58C16C14C}"/>
    <cellStyle name="Komma 3 5 2 4" xfId="11415" xr:uid="{CF606874-9170-4A62-8B71-A4195E739D50}"/>
    <cellStyle name="Komma 3 5 3" xfId="6818" xr:uid="{00000000-0005-0000-0000-00004D050000}"/>
    <cellStyle name="Komma 3 5 3 2" xfId="9486" xr:uid="{EB26CE0E-6327-494D-800B-96717BEDF8CE}"/>
    <cellStyle name="Komma 3 5 3 2 2" xfId="14876" xr:uid="{B6306B6A-97D2-4DEB-BD67-1174455385BB}"/>
    <cellStyle name="Komma 3 5 3 3" xfId="12123" xr:uid="{848C2D30-79F4-4306-B61A-DC483D0975D4}"/>
    <cellStyle name="Komma 3 5 4" xfId="8155" xr:uid="{F9BA81C3-366A-4A71-8B62-FD410F448F3A}"/>
    <cellStyle name="Komma 3 5 4 2" xfId="13514" xr:uid="{3DE33F66-1433-48BF-96EC-FB615FC15F20}"/>
    <cellStyle name="Komma 3 5 5" xfId="10792" xr:uid="{9F8FDB71-61DA-4123-8572-D2B4D33221C9}"/>
    <cellStyle name="Komma 3 6" xfId="3637" xr:uid="{00000000-0005-0000-0000-00004E050000}"/>
    <cellStyle name="Komma 3 7" xfId="3630" xr:uid="{00000000-0005-0000-0000-00004F050000}"/>
    <cellStyle name="Komma 3 7 2" xfId="4267" xr:uid="{00000000-0005-0000-0000-000050050000}"/>
    <cellStyle name="Komma 3 7 2 2" xfId="7435" xr:uid="{00000000-0005-0000-0000-000051050000}"/>
    <cellStyle name="Komma 3 7 2 2 2" xfId="10103" xr:uid="{08DF7636-C139-468F-99EC-01C1EFE08AB7}"/>
    <cellStyle name="Komma 3 7 2 2 2 2" xfId="15493" xr:uid="{CCD8A458-C7AD-45DA-B3A3-B72A8ACEE87C}"/>
    <cellStyle name="Komma 3 7 2 2 3" xfId="12740" xr:uid="{D8B25236-05A1-42E9-A526-A4C5298281A6}"/>
    <cellStyle name="Komma 3 7 2 3" xfId="8772" xr:uid="{FF5D7B75-2C54-4352-A470-CA59A8F5F21D}"/>
    <cellStyle name="Komma 3 7 2 3 2" xfId="14131" xr:uid="{12C8B970-A396-4927-AA19-0B776550833A}"/>
    <cellStyle name="Komma 3 7 2 4" xfId="11409" xr:uid="{F9F60051-6435-452A-80EF-62B56907B6FA}"/>
    <cellStyle name="Komma 3 7 3" xfId="6812" xr:uid="{00000000-0005-0000-0000-000052050000}"/>
    <cellStyle name="Komma 3 7 3 2" xfId="9480" xr:uid="{7B4CDF58-0D8D-415D-BAF9-3BD87614BC8A}"/>
    <cellStyle name="Komma 3 7 3 2 2" xfId="14870" xr:uid="{41DD75DC-B707-40FD-B648-3DE43008E4FB}"/>
    <cellStyle name="Komma 3 7 3 3" xfId="12117" xr:uid="{B37C4B10-3740-4EFB-8717-1E4BCE933D57}"/>
    <cellStyle name="Komma 3 7 4" xfId="8149" xr:uid="{3943E79C-2FF2-4F90-A872-9E2E082A9E80}"/>
    <cellStyle name="Komma 3 7 4 2" xfId="13508" xr:uid="{1607D4F1-3B22-46C6-9716-DAC1F0111152}"/>
    <cellStyle name="Komma 3 7 5" xfId="10786" xr:uid="{0B849936-A7F4-4043-B240-7EE92B5659F8}"/>
    <cellStyle name="Komma 3 8" xfId="3507" xr:uid="{00000000-0005-0000-0000-000053050000}"/>
    <cellStyle name="Komma 3 9" xfId="4105" xr:uid="{00000000-0005-0000-0000-000054050000}"/>
    <cellStyle name="Komma 3 9 2" xfId="7273" xr:uid="{00000000-0005-0000-0000-000055050000}"/>
    <cellStyle name="Komma 3 9 2 2" xfId="9941" xr:uid="{CA8328AA-E4C8-4F35-B749-C2776A831D4A}"/>
    <cellStyle name="Komma 3 9 2 2 2" xfId="15331" xr:uid="{4A75C6E3-3436-4BE7-B7D0-8ADBDCE62BF9}"/>
    <cellStyle name="Komma 3 9 2 3" xfId="12578" xr:uid="{F6570D2B-F1B4-4147-B0AC-254C064E79F8}"/>
    <cellStyle name="Komma 3 9 3" xfId="8610" xr:uid="{D20D5914-3E30-4936-8C94-DEB746E0750D}"/>
    <cellStyle name="Komma 3 9 3 2" xfId="13969" xr:uid="{A7E22326-8205-4399-8039-5FDCE8329234}"/>
    <cellStyle name="Komma 3 9 4" xfId="11247" xr:uid="{4BEB13E6-5F5F-49F7-828F-14D4C47568E1}"/>
    <cellStyle name="Komma 4" xfId="430" xr:uid="{00000000-0005-0000-0000-000056050000}"/>
    <cellStyle name="Komma 4 10" xfId="5684" xr:uid="{00000000-0005-0000-0000-000057050000}"/>
    <cellStyle name="Komma 4 10 2" xfId="9260" xr:uid="{066FF9A2-4289-4889-B025-644DD924E55E}"/>
    <cellStyle name="Komma 4 10 2 2" xfId="14633" xr:uid="{2F36AAE6-8790-43AC-9BFC-F5B80A5B4D0F}"/>
    <cellStyle name="Komma 4 10 3" xfId="11897" xr:uid="{5F3C144A-2DA4-4AAA-A0CC-EFA3C9729B80}"/>
    <cellStyle name="Komma 4 11" xfId="7902" xr:uid="{98563DA2-3ED6-4EC9-A1E9-739FBD91F22C}"/>
    <cellStyle name="Komma 4 11 2" xfId="13212" xr:uid="{0893CECF-75D1-4444-9439-1308E985D2E9}"/>
    <cellStyle name="Komma 4 12" xfId="10566" xr:uid="{B04B0145-CC95-4E55-83B9-E31DA02D51CF}"/>
    <cellStyle name="Komma 4 2" xfId="2310" xr:uid="{00000000-0005-0000-0000-000058050000}"/>
    <cellStyle name="Komma 4 2 10" xfId="10576" xr:uid="{4AB661BF-31EA-4B07-806E-885836218436}"/>
    <cellStyle name="Komma 4 2 2" xfId="3303" xr:uid="{00000000-0005-0000-0000-000059050000}"/>
    <cellStyle name="Komma 4 2 2 2" xfId="4276" xr:uid="{00000000-0005-0000-0000-00005A050000}"/>
    <cellStyle name="Komma 4 2 2 2 2" xfId="7444" xr:uid="{00000000-0005-0000-0000-00005B050000}"/>
    <cellStyle name="Komma 4 2 2 2 2 2" xfId="10112" xr:uid="{076FEC10-53D5-47CA-8F3C-4AF96C39943A}"/>
    <cellStyle name="Komma 4 2 2 2 2 2 2" xfId="15502" xr:uid="{BDCC135F-C807-4C99-84B4-92227680E5B5}"/>
    <cellStyle name="Komma 4 2 2 2 2 3" xfId="12749" xr:uid="{3B404444-1D0E-4ECA-A0A3-DCEC9E54C58B}"/>
    <cellStyle name="Komma 4 2 2 2 3" xfId="8781" xr:uid="{F04E7125-AE43-4878-9580-CCE9B9EEA507}"/>
    <cellStyle name="Komma 4 2 2 2 3 2" xfId="14140" xr:uid="{F9725A2C-6A44-4F28-B20C-C98D85C11EA8}"/>
    <cellStyle name="Komma 4 2 2 2 4" xfId="11418" xr:uid="{BD6B1371-90FA-4071-B6B6-216B6AB218E2}"/>
    <cellStyle name="Komma 4 2 2 3" xfId="3640" xr:uid="{00000000-0005-0000-0000-00005C050000}"/>
    <cellStyle name="Komma 4 2 2 3 2" xfId="6821" xr:uid="{00000000-0005-0000-0000-00005D050000}"/>
    <cellStyle name="Komma 4 2 2 3 2 2" xfId="9489" xr:uid="{E1FA737F-E438-4565-ADFA-1FFDD5851C60}"/>
    <cellStyle name="Komma 4 2 2 3 2 2 2" xfId="14879" xr:uid="{50AEC056-B90E-491D-BC40-8972D26B08C7}"/>
    <cellStyle name="Komma 4 2 2 3 2 3" xfId="12126" xr:uid="{07059554-E70A-4754-9883-FF1704F128BD}"/>
    <cellStyle name="Komma 4 2 2 3 3" xfId="8158" xr:uid="{1E43FB47-3C22-41B8-9E0D-384C2BC86587}"/>
    <cellStyle name="Komma 4 2 2 3 3 2" xfId="13517" xr:uid="{C534CB5F-43BF-406F-AA81-0D4BEC314222}"/>
    <cellStyle name="Komma 4 2 2 3 4" xfId="10795" xr:uid="{EFABFE59-0B58-42A7-9C07-083D9D7E98F8}"/>
    <cellStyle name="Komma 4 2 2 4" xfId="6613" xr:uid="{00000000-0005-0000-0000-00005E050000}"/>
    <cellStyle name="Komma 4 2 2 4 2" xfId="9290" xr:uid="{D79E44CF-6EF0-4E66-9BEB-A351A8BFE1DB}"/>
    <cellStyle name="Komma 4 2 2 4 2 2" xfId="14680" xr:uid="{B9863C5D-1C6D-4F37-A21E-59FDBF4553DE}"/>
    <cellStyle name="Komma 4 2 2 4 3" xfId="11927" xr:uid="{4EE1EA36-5C55-495D-8CFB-69EACBF0B422}"/>
    <cellStyle name="Komma 4 2 2 5" xfId="7950" xr:uid="{87872539-9200-4BE8-940B-D0E5611B0B2E}"/>
    <cellStyle name="Komma 4 2 2 5 2" xfId="13310" xr:uid="{C13D55EB-18B6-40DF-93C3-5B3046B7F39A}"/>
    <cellStyle name="Komma 4 2 2 6" xfId="10596" xr:uid="{36F94155-3433-4519-8FA6-E770E5F0C215}"/>
    <cellStyle name="Komma 4 2 3" xfId="3641" xr:uid="{00000000-0005-0000-0000-00005F050000}"/>
    <cellStyle name="Komma 4 2 3 2" xfId="4277" xr:uid="{00000000-0005-0000-0000-000060050000}"/>
    <cellStyle name="Komma 4 2 3 2 2" xfId="7445" xr:uid="{00000000-0005-0000-0000-000061050000}"/>
    <cellStyle name="Komma 4 2 3 2 2 2" xfId="10113" xr:uid="{4DDED48C-5735-4EF3-AC3E-D32B2AF7B7B7}"/>
    <cellStyle name="Komma 4 2 3 2 2 2 2" xfId="15503" xr:uid="{F99D67B4-4645-40E6-83DA-7D6C40509A3E}"/>
    <cellStyle name="Komma 4 2 3 2 2 3" xfId="12750" xr:uid="{92B0FE6F-947E-4AA5-ACF1-F16045738E28}"/>
    <cellStyle name="Komma 4 2 3 2 3" xfId="8782" xr:uid="{15EC74B9-BC74-4719-A21E-7BF7B2B3EAAB}"/>
    <cellStyle name="Komma 4 2 3 2 3 2" xfId="14141" xr:uid="{67F3332A-C3CA-4B72-9545-318FE48926E9}"/>
    <cellStyle name="Komma 4 2 3 2 4" xfId="11419" xr:uid="{20A6F4E5-AF0D-41E0-9EE7-77BE3D697D88}"/>
    <cellStyle name="Komma 4 2 3 3" xfId="6822" xr:uid="{00000000-0005-0000-0000-000062050000}"/>
    <cellStyle name="Komma 4 2 3 3 2" xfId="9490" xr:uid="{3693CC35-7247-4CEE-8FB7-4F1F12AA47ED}"/>
    <cellStyle name="Komma 4 2 3 3 2 2" xfId="14880" xr:uid="{967FACFF-A0A5-4996-89E2-FF5B630455D9}"/>
    <cellStyle name="Komma 4 2 3 3 3" xfId="12127" xr:uid="{2605C3D1-27F5-492B-97B0-7CD72C300BAA}"/>
    <cellStyle name="Komma 4 2 3 4" xfId="8159" xr:uid="{E6B1AFC0-111F-4411-9E07-BEF0DCC68921}"/>
    <cellStyle name="Komma 4 2 3 4 2" xfId="13518" xr:uid="{BA142B0C-C32E-44B6-A516-55CF025AA13E}"/>
    <cellStyle name="Komma 4 2 3 5" xfId="10796" xr:uid="{323F03F4-E295-4B42-9EBC-1681CE67BD8F}"/>
    <cellStyle name="Komma 4 2 4" xfId="3642" xr:uid="{00000000-0005-0000-0000-000063050000}"/>
    <cellStyle name="Komma 4 2 4 2" xfId="4278" xr:uid="{00000000-0005-0000-0000-000064050000}"/>
    <cellStyle name="Komma 4 2 4 2 2" xfId="7446" xr:uid="{00000000-0005-0000-0000-000065050000}"/>
    <cellStyle name="Komma 4 2 4 2 2 2" xfId="10114" xr:uid="{78367A57-5DFA-4F82-9D6C-B792972A3B32}"/>
    <cellStyle name="Komma 4 2 4 2 2 2 2" xfId="15504" xr:uid="{705CDABA-A91F-4CCC-998D-22294810C80A}"/>
    <cellStyle name="Komma 4 2 4 2 2 3" xfId="12751" xr:uid="{400CEE1F-D8F7-445E-90DD-D65D5036460C}"/>
    <cellStyle name="Komma 4 2 4 2 3" xfId="8783" xr:uid="{8663D90C-6B45-44BC-86DE-1CA32C7F7E92}"/>
    <cellStyle name="Komma 4 2 4 2 3 2" xfId="14142" xr:uid="{9A3F2BB7-B95D-4D37-88B8-6C5811DC0BE2}"/>
    <cellStyle name="Komma 4 2 4 2 4" xfId="11420" xr:uid="{A355B64B-E0CB-4B91-A816-348EF72743AC}"/>
    <cellStyle name="Komma 4 2 4 3" xfId="6823" xr:uid="{00000000-0005-0000-0000-000066050000}"/>
    <cellStyle name="Komma 4 2 4 3 2" xfId="9491" xr:uid="{84395BD7-4405-4A32-8E80-8BB97AAC4D4A}"/>
    <cellStyle name="Komma 4 2 4 3 2 2" xfId="14881" xr:uid="{6F463667-62CE-4E5F-91DE-AD49F5FEBD60}"/>
    <cellStyle name="Komma 4 2 4 3 3" xfId="12128" xr:uid="{64814A50-E9F3-455C-8C04-64491FF18EA1}"/>
    <cellStyle name="Komma 4 2 4 4" xfId="8160" xr:uid="{EFEB2A15-4962-45A5-8677-01D1BD1673E2}"/>
    <cellStyle name="Komma 4 2 4 4 2" xfId="13519" xr:uid="{5F2A6DA5-F3DF-4195-8685-0373308A071A}"/>
    <cellStyle name="Komma 4 2 4 5" xfId="10797" xr:uid="{15F70F35-F4B0-4D75-8CD7-23C266B68D50}"/>
    <cellStyle name="Komma 4 2 5" xfId="4275" xr:uid="{00000000-0005-0000-0000-000067050000}"/>
    <cellStyle name="Komma 4 2 5 2" xfId="7443" xr:uid="{00000000-0005-0000-0000-000068050000}"/>
    <cellStyle name="Komma 4 2 5 2 2" xfId="10111" xr:uid="{C86D29EC-C3B1-4CF2-93BC-2E5A60256265}"/>
    <cellStyle name="Komma 4 2 5 2 2 2" xfId="15501" xr:uid="{B54D20E8-C7BE-4BB1-9C4E-6E60C30D17A5}"/>
    <cellStyle name="Komma 4 2 5 2 3" xfId="12748" xr:uid="{A7370047-B6C0-4167-9168-B54921BD38CC}"/>
    <cellStyle name="Komma 4 2 5 3" xfId="8780" xr:uid="{1079FCCD-C4DE-46A8-A132-160C4EAC9F14}"/>
    <cellStyle name="Komma 4 2 5 3 2" xfId="14139" xr:uid="{E5DF6694-DFF1-4A26-8211-9F309D1A1E6D}"/>
    <cellStyle name="Komma 4 2 5 4" xfId="11417" xr:uid="{E75D6027-24A4-4999-A1EA-8CF3867EBDFA}"/>
    <cellStyle name="Komma 4 2 6" xfId="3639" xr:uid="{00000000-0005-0000-0000-000069050000}"/>
    <cellStyle name="Komma 4 2 6 2" xfId="6820" xr:uid="{00000000-0005-0000-0000-00006A050000}"/>
    <cellStyle name="Komma 4 2 6 2 2" xfId="9488" xr:uid="{66C93302-FD65-4AC1-A06F-830C1A7C3AAF}"/>
    <cellStyle name="Komma 4 2 6 2 2 2" xfId="14878" xr:uid="{CF44D0E6-7D32-4A2E-A81C-133808173AA3}"/>
    <cellStyle name="Komma 4 2 6 2 3" xfId="12125" xr:uid="{72117633-F05F-4FE4-9F0F-204A2F9E4B90}"/>
    <cellStyle name="Komma 4 2 6 3" xfId="8157" xr:uid="{5A2871A9-1FD0-468D-8E3A-600F0576C2DA}"/>
    <cellStyle name="Komma 4 2 6 3 2" xfId="13516" xr:uid="{90E9DE5B-F0FA-4495-967E-E94F0540337F}"/>
    <cellStyle name="Komma 4 2 6 4" xfId="10794" xr:uid="{CBA4E6A5-AAD4-453E-A9BE-6A98F8DD6F9C}"/>
    <cellStyle name="Komma 4 2 7" xfId="5371" xr:uid="{00000000-0005-0000-0000-00006B050000}"/>
    <cellStyle name="Komma 4 2 7 2" xfId="9250" xr:uid="{BB90418E-A008-4103-BA82-9586144F7C6E}"/>
    <cellStyle name="Komma 4 2 7 2 2" xfId="14619" xr:uid="{C5B2B826-8348-4D88-8693-9B29372AD6A7}"/>
    <cellStyle name="Komma 4 2 7 3" xfId="11887" xr:uid="{75E613BD-04D6-4E8A-9AD4-EA73D89D6F6C}"/>
    <cellStyle name="Komma 4 2 8" xfId="6293" xr:uid="{00000000-0005-0000-0000-00006C050000}"/>
    <cellStyle name="Komma 4 2 8 2" xfId="9270" xr:uid="{62C9A81B-F29B-49CE-AC73-183847DF2D2D}"/>
    <cellStyle name="Komma 4 2 8 2 2" xfId="14653" xr:uid="{F5D95347-E1F6-403A-82B5-2B8CB9BB8591}"/>
    <cellStyle name="Komma 4 2 8 3" xfId="11907" xr:uid="{247A47B2-7D06-433A-8015-7DF65E2C5C1C}"/>
    <cellStyle name="Komma 4 2 9" xfId="7925" xr:uid="{45244008-7E85-4892-8172-1C5928F2C352}"/>
    <cellStyle name="Komma 4 2 9 2" xfId="13266" xr:uid="{514C3AFD-7AD4-42B1-8651-32B765522A05}"/>
    <cellStyle name="Komma 4 3" xfId="3284" xr:uid="{00000000-0005-0000-0000-00006D050000}"/>
    <cellStyle name="Komma 4 3 2" xfId="3644" xr:uid="{00000000-0005-0000-0000-00006E050000}"/>
    <cellStyle name="Komma 4 3 2 2" xfId="4280" xr:uid="{00000000-0005-0000-0000-00006F050000}"/>
    <cellStyle name="Komma 4 3 2 2 2" xfId="7448" xr:uid="{00000000-0005-0000-0000-000070050000}"/>
    <cellStyle name="Komma 4 3 2 2 2 2" xfId="10116" xr:uid="{66718BA2-B748-4AAC-8D27-EE34560F0ED4}"/>
    <cellStyle name="Komma 4 3 2 2 2 2 2" xfId="15506" xr:uid="{661E9CB7-1531-439C-A519-C48184F6ACEE}"/>
    <cellStyle name="Komma 4 3 2 2 2 3" xfId="12753" xr:uid="{6DB0A70F-9C47-415C-85F4-F1E9F22BF6E3}"/>
    <cellStyle name="Komma 4 3 2 2 3" xfId="8785" xr:uid="{1AD4E3CD-52E5-45EB-9FD7-ADDB6D82858A}"/>
    <cellStyle name="Komma 4 3 2 2 3 2" xfId="14144" xr:uid="{5BCD01E3-D489-4DAE-A0BA-FFD2468837F6}"/>
    <cellStyle name="Komma 4 3 2 2 4" xfId="11422" xr:uid="{EE8A7BEA-09AE-49FA-A057-63607604FA9C}"/>
    <cellStyle name="Komma 4 3 2 3" xfId="6825" xr:uid="{00000000-0005-0000-0000-000071050000}"/>
    <cellStyle name="Komma 4 3 2 3 2" xfId="9493" xr:uid="{D213EFAA-8FB7-4F77-92AA-EE194FFDE84C}"/>
    <cellStyle name="Komma 4 3 2 3 2 2" xfId="14883" xr:uid="{7F849069-8D10-4614-96BE-825CCE0CA10E}"/>
    <cellStyle name="Komma 4 3 2 3 3" xfId="12130" xr:uid="{559730D9-DE70-451F-A018-053AB1588EAC}"/>
    <cellStyle name="Komma 4 3 2 4" xfId="8162" xr:uid="{FA18A7BB-286B-4E44-A269-CE972C849821}"/>
    <cellStyle name="Komma 4 3 2 4 2" xfId="13521" xr:uid="{AA8A7E26-34BB-4E94-A9A6-9529BF8341A3}"/>
    <cellStyle name="Komma 4 3 2 5" xfId="10799" xr:uid="{9561E540-EC35-44BF-9D6C-227A24485CB8}"/>
    <cellStyle name="Komma 4 3 3" xfId="3645" xr:uid="{00000000-0005-0000-0000-000072050000}"/>
    <cellStyle name="Komma 4 3 3 2" xfId="4281" xr:uid="{00000000-0005-0000-0000-000073050000}"/>
    <cellStyle name="Komma 4 3 3 2 2" xfId="7449" xr:uid="{00000000-0005-0000-0000-000074050000}"/>
    <cellStyle name="Komma 4 3 3 2 2 2" xfId="10117" xr:uid="{04CF2DAE-ECB2-459F-B995-75D11D73BA54}"/>
    <cellStyle name="Komma 4 3 3 2 2 2 2" xfId="15507" xr:uid="{D8213116-4EDF-45C1-A3E6-C983942639D8}"/>
    <cellStyle name="Komma 4 3 3 2 2 3" xfId="12754" xr:uid="{A5F15604-AC4E-420B-96F0-3E94C79129A2}"/>
    <cellStyle name="Komma 4 3 3 2 3" xfId="8786" xr:uid="{CDF85B1A-564C-4B31-8E9B-3C0B4FCC3CC1}"/>
    <cellStyle name="Komma 4 3 3 2 3 2" xfId="14145" xr:uid="{A54466B7-DB5C-4634-B8FC-A1973AD0C2A4}"/>
    <cellStyle name="Komma 4 3 3 2 4" xfId="11423" xr:uid="{C5DAF671-DBE4-4C9C-9F80-2DE007C10F75}"/>
    <cellStyle name="Komma 4 3 3 3" xfId="6826" xr:uid="{00000000-0005-0000-0000-000075050000}"/>
    <cellStyle name="Komma 4 3 3 3 2" xfId="9494" xr:uid="{DA75A2E4-800A-4357-846E-68124CC2C3FC}"/>
    <cellStyle name="Komma 4 3 3 3 2 2" xfId="14884" xr:uid="{EDC72F5C-FA62-47F7-B2A4-79330AC8CC67}"/>
    <cellStyle name="Komma 4 3 3 3 3" xfId="12131" xr:uid="{1C953D60-EB6D-426C-9CA6-536ACF0E2F82}"/>
    <cellStyle name="Komma 4 3 3 4" xfId="8163" xr:uid="{9C9E4EE8-B7D8-4570-9E77-C33BDAFAA421}"/>
    <cellStyle name="Komma 4 3 3 4 2" xfId="13522" xr:uid="{3B30A530-292C-419E-964D-8D5DCB76EE80}"/>
    <cellStyle name="Komma 4 3 3 5" xfId="10800" xr:uid="{7D6CF8C6-59BC-46AC-9381-AE273051ED95}"/>
    <cellStyle name="Komma 4 3 4" xfId="4279" xr:uid="{00000000-0005-0000-0000-000076050000}"/>
    <cellStyle name="Komma 4 3 4 2" xfId="7447" xr:uid="{00000000-0005-0000-0000-000077050000}"/>
    <cellStyle name="Komma 4 3 4 2 2" xfId="10115" xr:uid="{A3F946BA-268B-40CB-B58C-EB418CBCC2DF}"/>
    <cellStyle name="Komma 4 3 4 2 2 2" xfId="15505" xr:uid="{FB84D53B-E03A-4879-92A4-BF76752321C5}"/>
    <cellStyle name="Komma 4 3 4 2 3" xfId="12752" xr:uid="{8109F589-1159-4141-A1AB-4B781732A596}"/>
    <cellStyle name="Komma 4 3 4 3" xfId="8784" xr:uid="{54425225-539F-4BD3-887C-1832BAD98E98}"/>
    <cellStyle name="Komma 4 3 4 3 2" xfId="14143" xr:uid="{16D78898-39F9-4066-A237-5FBF9EFE1242}"/>
    <cellStyle name="Komma 4 3 4 4" xfId="11421" xr:uid="{A17C6D66-548B-4750-86E4-D94FB9B0A6D6}"/>
    <cellStyle name="Komma 4 3 5" xfId="3643" xr:uid="{00000000-0005-0000-0000-000078050000}"/>
    <cellStyle name="Komma 4 3 5 2" xfId="6824" xr:uid="{00000000-0005-0000-0000-000079050000}"/>
    <cellStyle name="Komma 4 3 5 2 2" xfId="9492" xr:uid="{0321D0FA-EE8A-4847-BE53-E337716B166A}"/>
    <cellStyle name="Komma 4 3 5 2 2 2" xfId="14882" xr:uid="{7EBF05D8-F108-4132-992B-7829C17C5D96}"/>
    <cellStyle name="Komma 4 3 5 2 3" xfId="12129" xr:uid="{D5F098FC-8893-4A28-85C6-472ACB45A9CD}"/>
    <cellStyle name="Komma 4 3 5 3" xfId="8161" xr:uid="{2E0079DF-FEF0-4D38-A8F4-468935E215D9}"/>
    <cellStyle name="Komma 4 3 5 3 2" xfId="13520" xr:uid="{C9B3B1CF-1898-44D8-AA04-CA8EC8E277FC}"/>
    <cellStyle name="Komma 4 3 5 4" xfId="10798" xr:uid="{3AED8DEC-1C39-4C53-B0B6-6BECFAEB9BC0}"/>
    <cellStyle name="Komma 4 3 6" xfId="6603" xr:uid="{00000000-0005-0000-0000-00007A050000}"/>
    <cellStyle name="Komma 4 3 6 2" xfId="9280" xr:uid="{690AF72C-EFF1-47D6-AAD5-611D82FACB93}"/>
    <cellStyle name="Komma 4 3 6 2 2" xfId="14670" xr:uid="{A7176273-4E3C-4828-AD7E-81AC3175A616}"/>
    <cellStyle name="Komma 4 3 6 3" xfId="11917" xr:uid="{E032F20D-6FDE-4312-8F07-789C82B1BA38}"/>
    <cellStyle name="Komma 4 3 7" xfId="7940" xr:uid="{C57F3D8C-6654-4531-B93E-5BD0184414C7}"/>
    <cellStyle name="Komma 4 3 7 2" xfId="13300" xr:uid="{1AE71FD7-F8C6-4DE4-B299-232430D745FA}"/>
    <cellStyle name="Komma 4 3 8" xfId="10586" xr:uid="{D7D6EF0B-D40A-4EA6-AF8B-B08A773782A6}"/>
    <cellStyle name="Komma 4 4" xfId="3646" xr:uid="{00000000-0005-0000-0000-00007B050000}"/>
    <cellStyle name="Komma 4 4 2" xfId="4282" xr:uid="{00000000-0005-0000-0000-00007C050000}"/>
    <cellStyle name="Komma 4 4 2 2" xfId="7450" xr:uid="{00000000-0005-0000-0000-00007D050000}"/>
    <cellStyle name="Komma 4 4 2 2 2" xfId="10118" xr:uid="{F167E9BD-13F8-48CF-9196-9EE3A6C0D21E}"/>
    <cellStyle name="Komma 4 4 2 2 2 2" xfId="15508" xr:uid="{36BDE6B1-6C68-4F5A-8413-23D047F5F57E}"/>
    <cellStyle name="Komma 4 4 2 2 3" xfId="12755" xr:uid="{7D1961D8-E333-4F9C-AA67-9324B0CCAF5D}"/>
    <cellStyle name="Komma 4 4 2 3" xfId="8787" xr:uid="{9B033F05-3525-4038-9864-435B80E4F80F}"/>
    <cellStyle name="Komma 4 4 2 3 2" xfId="14146" xr:uid="{E1D37189-56EF-4852-95A8-94EEBDD51CB3}"/>
    <cellStyle name="Komma 4 4 2 4" xfId="11424" xr:uid="{DCA18F36-63C1-41DD-A339-01287BD190AF}"/>
    <cellStyle name="Komma 4 4 3" xfId="6827" xr:uid="{00000000-0005-0000-0000-00007E050000}"/>
    <cellStyle name="Komma 4 4 3 2" xfId="9495" xr:uid="{F82D1F43-6400-424E-8B3D-2F771FDE21D5}"/>
    <cellStyle name="Komma 4 4 3 2 2" xfId="14885" xr:uid="{B8BAE088-B09D-4D9D-90D8-0137B505F855}"/>
    <cellStyle name="Komma 4 4 3 3" xfId="12132" xr:uid="{51DBAEA3-0C3C-491F-B323-E91A904F6B01}"/>
    <cellStyle name="Komma 4 4 4" xfId="8164" xr:uid="{EE13BBB9-97E2-4DB2-BA91-70099B24E1C4}"/>
    <cellStyle name="Komma 4 4 4 2" xfId="13523" xr:uid="{02585A46-4648-4242-B74E-2C8E25558B8B}"/>
    <cellStyle name="Komma 4 4 5" xfId="10801" xr:uid="{DC7B2A2B-B1CB-4E34-B487-A2A02632B7A1}"/>
    <cellStyle name="Komma 4 5" xfId="3647" xr:uid="{00000000-0005-0000-0000-00007F050000}"/>
    <cellStyle name="Komma 4 5 2" xfId="4283" xr:uid="{00000000-0005-0000-0000-000080050000}"/>
    <cellStyle name="Komma 4 5 2 2" xfId="7451" xr:uid="{00000000-0005-0000-0000-000081050000}"/>
    <cellStyle name="Komma 4 5 2 2 2" xfId="10119" xr:uid="{E54B04EC-4A25-4251-A512-5FC2408FC7E7}"/>
    <cellStyle name="Komma 4 5 2 2 2 2" xfId="15509" xr:uid="{54838EF9-0D67-4D5D-9546-6F456550C762}"/>
    <cellStyle name="Komma 4 5 2 2 3" xfId="12756" xr:uid="{230846A3-08B1-4422-A660-67131EC77E81}"/>
    <cellStyle name="Komma 4 5 2 3" xfId="8788" xr:uid="{95EEA90C-1121-4065-92E5-1C67D834FEE6}"/>
    <cellStyle name="Komma 4 5 2 3 2" xfId="14147" xr:uid="{02E431F0-D78D-474F-A565-ADC6DB29DDFB}"/>
    <cellStyle name="Komma 4 5 2 4" xfId="11425" xr:uid="{451225E6-8045-45A5-B380-07A1A2E1DBC0}"/>
    <cellStyle name="Komma 4 5 3" xfId="6828" xr:uid="{00000000-0005-0000-0000-000082050000}"/>
    <cellStyle name="Komma 4 5 3 2" xfId="9496" xr:uid="{10750603-AB5D-44B1-A5D0-8585B3775902}"/>
    <cellStyle name="Komma 4 5 3 2 2" xfId="14886" xr:uid="{99805A30-C7CC-4D12-8F8A-5FFA8F275BC4}"/>
    <cellStyle name="Komma 4 5 3 3" xfId="12133" xr:uid="{99CDD315-A3FF-44D3-A9E9-8B4F4AD10458}"/>
    <cellStyle name="Komma 4 5 4" xfId="8165" xr:uid="{3A44863D-1327-4B70-96E8-803140DF9D31}"/>
    <cellStyle name="Komma 4 5 4 2" xfId="13524" xr:uid="{40D26A6A-9139-4A6C-BCB2-40325AC1F9DA}"/>
    <cellStyle name="Komma 4 5 5" xfId="10802" xr:uid="{556AA85B-15A7-4EBB-A774-B0AE847D146F}"/>
    <cellStyle name="Komma 4 6" xfId="3648" xr:uid="{00000000-0005-0000-0000-000083050000}"/>
    <cellStyle name="Komma 4 6 2" xfId="4284" xr:uid="{00000000-0005-0000-0000-000084050000}"/>
    <cellStyle name="Komma 4 6 2 2" xfId="7452" xr:uid="{00000000-0005-0000-0000-000085050000}"/>
    <cellStyle name="Komma 4 6 2 2 2" xfId="10120" xr:uid="{FA8AD4F7-20D4-46A5-BC7F-42A7A1E6E6F4}"/>
    <cellStyle name="Komma 4 6 2 2 2 2" xfId="15510" xr:uid="{4AB68C80-370E-4494-871C-DDE9BBBD0BD8}"/>
    <cellStyle name="Komma 4 6 2 2 3" xfId="12757" xr:uid="{11EDCEAE-850E-4ECA-B4F2-E6F404A35916}"/>
    <cellStyle name="Komma 4 6 2 3" xfId="8789" xr:uid="{E8C34714-957C-4081-BC08-FE72101AAFC1}"/>
    <cellStyle name="Komma 4 6 2 3 2" xfId="14148" xr:uid="{3BB179B6-BF1D-477F-A92F-3209AC843EAF}"/>
    <cellStyle name="Komma 4 6 2 4" xfId="11426" xr:uid="{01128B59-3B10-4C6C-8DF8-04E679BB6824}"/>
    <cellStyle name="Komma 4 6 3" xfId="6829" xr:uid="{00000000-0005-0000-0000-000086050000}"/>
    <cellStyle name="Komma 4 6 3 2" xfId="9497" xr:uid="{A6B77F06-656B-43B9-B877-36F58CD9AC82}"/>
    <cellStyle name="Komma 4 6 3 2 2" xfId="14887" xr:uid="{6BB6C02E-56D4-4BB3-83A0-99EDE27E5169}"/>
    <cellStyle name="Komma 4 6 3 3" xfId="12134" xr:uid="{908F4EC7-926E-440E-8A63-A3D775F56660}"/>
    <cellStyle name="Komma 4 6 4" xfId="8166" xr:uid="{ADF04305-1FB5-4CE5-97D0-240EED4F67B3}"/>
    <cellStyle name="Komma 4 6 4 2" xfId="13525" xr:uid="{3DDBDD8C-AC02-4C89-B8CA-067FEF950885}"/>
    <cellStyle name="Komma 4 6 5" xfId="10803" xr:uid="{1A310606-EF8A-45C3-BFB5-0BD701D4BB83}"/>
    <cellStyle name="Komma 4 7" xfId="4274" xr:uid="{00000000-0005-0000-0000-000087050000}"/>
    <cellStyle name="Komma 4 7 2" xfId="7442" xr:uid="{00000000-0005-0000-0000-000088050000}"/>
    <cellStyle name="Komma 4 7 2 2" xfId="10110" xr:uid="{84BE8DBB-1874-405B-A002-8C48E5AB5F4E}"/>
    <cellStyle name="Komma 4 7 2 2 2" xfId="15500" xr:uid="{60F1CF1F-510D-4FDB-8032-93096C0F09ED}"/>
    <cellStyle name="Komma 4 7 2 3" xfId="12747" xr:uid="{F0B66913-7BBD-43BB-BCC7-AD54931A4C3A}"/>
    <cellStyle name="Komma 4 7 3" xfId="8779" xr:uid="{FC6579D4-E2F4-4A79-9827-9BEACE44E7EA}"/>
    <cellStyle name="Komma 4 7 3 2" xfId="14138" xr:uid="{2DB60427-2281-4780-A696-B91C0FF1F66E}"/>
    <cellStyle name="Komma 4 7 4" xfId="11416" xr:uid="{DB290D4E-783C-487F-AC78-A6C3D036A926}"/>
    <cellStyle name="Komma 4 8" xfId="3638" xr:uid="{00000000-0005-0000-0000-000089050000}"/>
    <cellStyle name="Komma 4 8 2" xfId="6819" xr:uid="{00000000-0005-0000-0000-00008A050000}"/>
    <cellStyle name="Komma 4 8 2 2" xfId="9487" xr:uid="{73383DA0-6C55-440F-8062-1E7103446110}"/>
    <cellStyle name="Komma 4 8 2 2 2" xfId="14877" xr:uid="{DDE60411-4262-435E-B8BB-C992B8BE41E8}"/>
    <cellStyle name="Komma 4 8 2 3" xfId="12124" xr:uid="{EBE2A576-B7C6-4F73-9053-DFF391E56E66}"/>
    <cellStyle name="Komma 4 8 3" xfId="8156" xr:uid="{D2DA0CE8-214F-4A3C-B4A7-2991C600EDA3}"/>
    <cellStyle name="Komma 4 8 3 2" xfId="13515" xr:uid="{702C1A1B-675C-4D53-94CF-7532B62764C2}"/>
    <cellStyle name="Komma 4 8 4" xfId="10793" xr:uid="{C409F7E9-5FEF-49AD-B565-E7FF7833D7D1}"/>
    <cellStyle name="Komma 4 9" xfId="4937" xr:uid="{00000000-0005-0000-0000-00008B050000}"/>
    <cellStyle name="Komma 4 9 2" xfId="9240" xr:uid="{EA9131CC-ED4C-424A-BF66-A133B9C2A53E}"/>
    <cellStyle name="Komma 4 9 2 2" xfId="14603" xr:uid="{F148AA83-C8D8-4C59-B070-57D949BE952A}"/>
    <cellStyle name="Komma 4 9 3" xfId="11877" xr:uid="{E787F5F3-F652-4DDB-A93B-C3D9CB8BC97F}"/>
    <cellStyle name="Komma 5" xfId="431" xr:uid="{00000000-0005-0000-0000-00008C050000}"/>
    <cellStyle name="Komma 5 2" xfId="2311" xr:uid="{00000000-0005-0000-0000-00008D050000}"/>
    <cellStyle name="Komma 5 2 2" xfId="3304" xr:uid="{00000000-0005-0000-0000-00008E050000}"/>
    <cellStyle name="Komma 5 2 2 2" xfId="4287" xr:uid="{00000000-0005-0000-0000-00008F050000}"/>
    <cellStyle name="Komma 5 2 2 2 2" xfId="7455" xr:uid="{00000000-0005-0000-0000-000090050000}"/>
    <cellStyle name="Komma 5 2 2 2 2 2" xfId="10123" xr:uid="{74CC612F-6F7F-43F3-B894-412A05B03D7D}"/>
    <cellStyle name="Komma 5 2 2 2 2 2 2" xfId="15513" xr:uid="{F412F69A-641D-42F0-A0C2-5CE30DD6981E}"/>
    <cellStyle name="Komma 5 2 2 2 2 3" xfId="12760" xr:uid="{EC0E2985-1734-40ED-B28E-584A3BD22909}"/>
    <cellStyle name="Komma 5 2 2 2 3" xfId="8792" xr:uid="{581923A7-255E-4616-BAFD-7CB7377A3ED4}"/>
    <cellStyle name="Komma 5 2 2 2 3 2" xfId="14151" xr:uid="{EC06902D-2AAB-43AE-A0BD-14A45B12FDAD}"/>
    <cellStyle name="Komma 5 2 2 2 4" xfId="11429" xr:uid="{70E3C2D9-5420-4CD5-9544-E5AECFF41566}"/>
    <cellStyle name="Komma 5 2 2 3" xfId="3651" xr:uid="{00000000-0005-0000-0000-000091050000}"/>
    <cellStyle name="Komma 5 2 2 3 2" xfId="6832" xr:uid="{00000000-0005-0000-0000-000092050000}"/>
    <cellStyle name="Komma 5 2 2 3 2 2" xfId="9500" xr:uid="{300F1141-6416-4D40-B776-55157F418198}"/>
    <cellStyle name="Komma 5 2 2 3 2 2 2" xfId="14890" xr:uid="{E0C57083-C698-48AA-A251-B21FBF6FAB4C}"/>
    <cellStyle name="Komma 5 2 2 3 2 3" xfId="12137" xr:uid="{5A96B677-9784-42EA-BFA5-463D1994DB98}"/>
    <cellStyle name="Komma 5 2 2 3 3" xfId="8169" xr:uid="{556A79F9-B75F-4F39-8D77-A68DCF0AFC32}"/>
    <cellStyle name="Komma 5 2 2 3 3 2" xfId="13528" xr:uid="{BC2449AE-E379-4E1D-9F1E-A5CC279DDE58}"/>
    <cellStyle name="Komma 5 2 2 3 4" xfId="10806" xr:uid="{0F522070-AAD3-4C97-B05B-A227101E6225}"/>
    <cellStyle name="Komma 5 2 3" xfId="3652" xr:uid="{00000000-0005-0000-0000-000093050000}"/>
    <cellStyle name="Komma 5 2 3 2" xfId="4288" xr:uid="{00000000-0005-0000-0000-000094050000}"/>
    <cellStyle name="Komma 5 2 3 2 2" xfId="7456" xr:uid="{00000000-0005-0000-0000-000095050000}"/>
    <cellStyle name="Komma 5 2 3 2 2 2" xfId="10124" xr:uid="{4ED0CE93-AAB4-454F-9898-ADA3BEFFF161}"/>
    <cellStyle name="Komma 5 2 3 2 2 2 2" xfId="15514" xr:uid="{C4C997D2-65E7-4199-A45E-ECE3B6A0CA0D}"/>
    <cellStyle name="Komma 5 2 3 2 2 3" xfId="12761" xr:uid="{9F6E50E3-128C-4918-AE6B-13C39499CA7A}"/>
    <cellStyle name="Komma 5 2 3 2 3" xfId="8793" xr:uid="{B2A232FB-402D-45AB-9FD9-F8683914B5C1}"/>
    <cellStyle name="Komma 5 2 3 2 3 2" xfId="14152" xr:uid="{37026B4B-E281-4D4A-86DD-608A91A13978}"/>
    <cellStyle name="Komma 5 2 3 2 4" xfId="11430" xr:uid="{D4050AA1-9A0E-44A0-8B39-59563629465B}"/>
    <cellStyle name="Komma 5 2 3 3" xfId="6833" xr:uid="{00000000-0005-0000-0000-000096050000}"/>
    <cellStyle name="Komma 5 2 3 3 2" xfId="9501" xr:uid="{B1043723-4208-4F9E-A2A4-1AACE2137942}"/>
    <cellStyle name="Komma 5 2 3 3 2 2" xfId="14891" xr:uid="{D0DB6A85-6A4B-4D1B-B845-C757100517EF}"/>
    <cellStyle name="Komma 5 2 3 3 3" xfId="12138" xr:uid="{EDD0127E-AEED-45C9-9BF9-502FD90226C9}"/>
    <cellStyle name="Komma 5 2 3 4" xfId="8170" xr:uid="{F918763F-36D4-487E-AF16-ADBD4369261C}"/>
    <cellStyle name="Komma 5 2 3 4 2" xfId="13529" xr:uid="{4A8812A4-F25E-4DE5-9069-4B65F1BDAFBD}"/>
    <cellStyle name="Komma 5 2 3 5" xfId="10807" xr:uid="{8F0436C9-B23D-4DE9-8F3C-E32973FD505A}"/>
    <cellStyle name="Komma 5 2 4" xfId="4286" xr:uid="{00000000-0005-0000-0000-000097050000}"/>
    <cellStyle name="Komma 5 2 4 2" xfId="7454" xr:uid="{00000000-0005-0000-0000-000098050000}"/>
    <cellStyle name="Komma 5 2 4 2 2" xfId="10122" xr:uid="{E80BE1AA-A1BA-4F4A-865A-ADC4096B9C57}"/>
    <cellStyle name="Komma 5 2 4 2 2 2" xfId="15512" xr:uid="{424EE04F-4AD1-464A-8972-C1FA5623E85C}"/>
    <cellStyle name="Komma 5 2 4 2 3" xfId="12759" xr:uid="{DC9BC484-C91C-4BEE-982D-12A81F0AA350}"/>
    <cellStyle name="Komma 5 2 4 3" xfId="8791" xr:uid="{E41D16C6-DDA1-4235-8A85-C3637C314EC5}"/>
    <cellStyle name="Komma 5 2 4 3 2" xfId="14150" xr:uid="{227770FA-DCCF-4BD1-B0EA-C4EE2FB7B37A}"/>
    <cellStyle name="Komma 5 2 4 4" xfId="11428" xr:uid="{5E8CB846-947E-4019-83E2-A7C9B694A72F}"/>
    <cellStyle name="Komma 5 2 5" xfId="3650" xr:uid="{00000000-0005-0000-0000-000099050000}"/>
    <cellStyle name="Komma 5 2 5 2" xfId="6831" xr:uid="{00000000-0005-0000-0000-00009A050000}"/>
    <cellStyle name="Komma 5 2 5 2 2" xfId="9499" xr:uid="{8B282A05-6435-4A88-92A6-73FD1872CFDF}"/>
    <cellStyle name="Komma 5 2 5 2 2 2" xfId="14889" xr:uid="{8B6830FA-75B5-4524-81B9-BE4B2AFACC0F}"/>
    <cellStyle name="Komma 5 2 5 2 3" xfId="12136" xr:uid="{B3726223-9FD4-4033-AACB-2C39FC67D045}"/>
    <cellStyle name="Komma 5 2 5 3" xfId="8168" xr:uid="{5478C66F-CC59-43B6-A95E-8C0F2850916F}"/>
    <cellStyle name="Komma 5 2 5 3 2" xfId="13527" xr:uid="{A439A7E1-8B72-4444-B869-0AFDC15ECBC3}"/>
    <cellStyle name="Komma 5 2 5 4" xfId="10805" xr:uid="{BBFB46F6-AD1A-4870-9DC4-0E40E05A5F2C}"/>
    <cellStyle name="Komma 5 3" xfId="3285" xr:uid="{00000000-0005-0000-0000-00009B050000}"/>
    <cellStyle name="Komma 5 3 2" xfId="4289" xr:uid="{00000000-0005-0000-0000-00009C050000}"/>
    <cellStyle name="Komma 5 3 2 2" xfId="7457" xr:uid="{00000000-0005-0000-0000-00009D050000}"/>
    <cellStyle name="Komma 5 3 2 2 2" xfId="10125" xr:uid="{9ACEEA9F-8907-445F-BEA6-66F7A9071BA0}"/>
    <cellStyle name="Komma 5 3 2 2 2 2" xfId="15515" xr:uid="{86AAD71A-3788-40F7-8A47-1F2BEABB6597}"/>
    <cellStyle name="Komma 5 3 2 2 3" xfId="12762" xr:uid="{32F064E6-0900-4244-B21D-EFA42AEBF8F1}"/>
    <cellStyle name="Komma 5 3 2 3" xfId="8794" xr:uid="{971FAD3E-638D-497C-815B-1277C662F285}"/>
    <cellStyle name="Komma 5 3 2 3 2" xfId="14153" xr:uid="{49CAA98C-8D61-4A2A-93BB-539399DB47A9}"/>
    <cellStyle name="Komma 5 3 2 4" xfId="11431" xr:uid="{A7DE7B90-B2CF-4CED-97AF-A62052DB0706}"/>
    <cellStyle name="Komma 5 3 3" xfId="3653" xr:uid="{00000000-0005-0000-0000-00009E050000}"/>
    <cellStyle name="Komma 5 3 3 2" xfId="6834" xr:uid="{00000000-0005-0000-0000-00009F050000}"/>
    <cellStyle name="Komma 5 3 3 2 2" xfId="9502" xr:uid="{4B5E0DB3-77AA-46C8-B0A9-EFCEF48371C6}"/>
    <cellStyle name="Komma 5 3 3 2 2 2" xfId="14892" xr:uid="{37DB0297-C201-4AE6-A841-4C29A4DE8F81}"/>
    <cellStyle name="Komma 5 3 3 2 3" xfId="12139" xr:uid="{A7CF9361-9C76-4B27-8B04-FFF4FE543A8A}"/>
    <cellStyle name="Komma 5 3 3 3" xfId="8171" xr:uid="{57FF71D8-4A56-43E9-97AD-2C0F89A55430}"/>
    <cellStyle name="Komma 5 3 3 3 2" xfId="13530" xr:uid="{FC0ADA79-7CDD-45B5-8CEF-F7AB4CC5AD3C}"/>
    <cellStyle name="Komma 5 3 3 4" xfId="10808" xr:uid="{EBCC2203-ECC8-4ADF-A686-6138FB5959CF}"/>
    <cellStyle name="Komma 5 4" xfId="3654" xr:uid="{00000000-0005-0000-0000-0000A0050000}"/>
    <cellStyle name="Komma 5 4 2" xfId="4290" xr:uid="{00000000-0005-0000-0000-0000A1050000}"/>
    <cellStyle name="Komma 5 4 2 2" xfId="7458" xr:uid="{00000000-0005-0000-0000-0000A2050000}"/>
    <cellStyle name="Komma 5 4 2 2 2" xfId="10126" xr:uid="{51833E5C-6774-4131-895B-B629CBEB5068}"/>
    <cellStyle name="Komma 5 4 2 2 2 2" xfId="15516" xr:uid="{A646729A-4D50-48C0-AFD4-232CEEE95975}"/>
    <cellStyle name="Komma 5 4 2 2 3" xfId="12763" xr:uid="{2F4988E8-FD83-4726-ACCB-A48ABDE4F731}"/>
    <cellStyle name="Komma 5 4 2 3" xfId="8795" xr:uid="{837AA76B-0AFB-4963-9BD4-D9610915FD1A}"/>
    <cellStyle name="Komma 5 4 2 3 2" xfId="14154" xr:uid="{83C3B36D-B5C0-4368-B8C7-D50A84F5F083}"/>
    <cellStyle name="Komma 5 4 2 4" xfId="11432" xr:uid="{80741A02-7531-4025-94B9-F35C23704190}"/>
    <cellStyle name="Komma 5 4 3" xfId="6835" xr:uid="{00000000-0005-0000-0000-0000A3050000}"/>
    <cellStyle name="Komma 5 4 3 2" xfId="9503" xr:uid="{466EA0C2-491F-4213-8BF0-27340D50A41B}"/>
    <cellStyle name="Komma 5 4 3 2 2" xfId="14893" xr:uid="{9FA521AA-D614-495D-8F52-F922F2B90BBD}"/>
    <cellStyle name="Komma 5 4 3 3" xfId="12140" xr:uid="{826C5560-8B5F-4BCB-AD67-20DB8B5255F9}"/>
    <cellStyle name="Komma 5 4 4" xfId="8172" xr:uid="{895C501B-EBC5-406E-A2AE-AF1853CB1C8B}"/>
    <cellStyle name="Komma 5 4 4 2" xfId="13531" xr:uid="{6F49FF22-2C01-436E-BC09-98461527C984}"/>
    <cellStyle name="Komma 5 4 5" xfId="10809" xr:uid="{27244001-021A-4A60-9122-F8C5DC2E4DDB}"/>
    <cellStyle name="Komma 5 5" xfId="3655" xr:uid="{00000000-0005-0000-0000-0000A4050000}"/>
    <cellStyle name="Komma 5 5 2" xfId="4291" xr:uid="{00000000-0005-0000-0000-0000A5050000}"/>
    <cellStyle name="Komma 5 5 2 2" xfId="7459" xr:uid="{00000000-0005-0000-0000-0000A6050000}"/>
    <cellStyle name="Komma 5 5 2 2 2" xfId="10127" xr:uid="{92376E92-30C6-45E5-B80D-4195BC93C069}"/>
    <cellStyle name="Komma 5 5 2 2 2 2" xfId="15517" xr:uid="{1D0D0528-6F62-4423-B88C-2E75ED7932AC}"/>
    <cellStyle name="Komma 5 5 2 2 3" xfId="12764" xr:uid="{0660E99D-871D-4D33-8DB1-C6EEA9C6FF92}"/>
    <cellStyle name="Komma 5 5 2 3" xfId="8796" xr:uid="{A4830098-23BD-442C-9CB8-5CCF0FBEA935}"/>
    <cellStyle name="Komma 5 5 2 3 2" xfId="14155" xr:uid="{2DF3C477-9671-42F0-923F-92BE524659E7}"/>
    <cellStyle name="Komma 5 5 2 4" xfId="11433" xr:uid="{8402AA09-FF69-4B5B-960D-C0EABEC66BF3}"/>
    <cellStyle name="Komma 5 5 3" xfId="6836" xr:uid="{00000000-0005-0000-0000-0000A7050000}"/>
    <cellStyle name="Komma 5 5 3 2" xfId="9504" xr:uid="{DDEFA502-694F-43B9-8183-CECEC3585DB9}"/>
    <cellStyle name="Komma 5 5 3 2 2" xfId="14894" xr:uid="{9CED4D3A-0DDB-4C2C-8CEE-E5DF3F70D038}"/>
    <cellStyle name="Komma 5 5 3 3" xfId="12141" xr:uid="{2CB99873-998D-460D-B4D5-49F2CEE20D94}"/>
    <cellStyle name="Komma 5 5 4" xfId="8173" xr:uid="{F119A52D-5ACE-4552-8404-BC68B0F02E50}"/>
    <cellStyle name="Komma 5 5 4 2" xfId="13532" xr:uid="{D6F03BD8-16DC-4916-8B21-7A42772EE0EA}"/>
    <cellStyle name="Komma 5 5 5" xfId="10810" xr:uid="{1B159A0D-DCC7-43E2-85E6-FFDEDB41D197}"/>
    <cellStyle name="Komma 5 6" xfId="4285" xr:uid="{00000000-0005-0000-0000-0000A8050000}"/>
    <cellStyle name="Komma 5 6 2" xfId="7453" xr:uid="{00000000-0005-0000-0000-0000A9050000}"/>
    <cellStyle name="Komma 5 6 2 2" xfId="10121" xr:uid="{3F40EC52-232E-4AEC-97E4-2CCE3786B81A}"/>
    <cellStyle name="Komma 5 6 2 2 2" xfId="15511" xr:uid="{359C552C-A6E8-440B-8562-37B20E647D29}"/>
    <cellStyle name="Komma 5 6 2 3" xfId="12758" xr:uid="{89912E57-2477-4F1E-B019-F3878921DE29}"/>
    <cellStyle name="Komma 5 6 3" xfId="8790" xr:uid="{6B3A5D46-51AE-4D50-B091-E935B2FF31B5}"/>
    <cellStyle name="Komma 5 6 3 2" xfId="14149" xr:uid="{E3558558-EF7D-4D4F-AB7E-4E6B3B7CD5F7}"/>
    <cellStyle name="Komma 5 6 4" xfId="11427" xr:uid="{45FED04D-CE97-4F05-9739-109319460F5C}"/>
    <cellStyle name="Komma 5 7" xfId="3649" xr:uid="{00000000-0005-0000-0000-0000AA050000}"/>
    <cellStyle name="Komma 5 7 2" xfId="6830" xr:uid="{00000000-0005-0000-0000-0000AB050000}"/>
    <cellStyle name="Komma 5 7 2 2" xfId="9498" xr:uid="{F4210F68-B2A1-442E-A2C7-D9A7128C3A95}"/>
    <cellStyle name="Komma 5 7 2 2 2" xfId="14888" xr:uid="{AC327A74-85A9-41AF-A98F-4E1D6FA8ADC9}"/>
    <cellStyle name="Komma 5 7 2 3" xfId="12135" xr:uid="{AFC67E13-38DF-48D5-8604-AEB492A66D7D}"/>
    <cellStyle name="Komma 5 7 3" xfId="8167" xr:uid="{E63F1A9D-DABE-4C73-8A17-57DF26580AFF}"/>
    <cellStyle name="Komma 5 7 3 2" xfId="13526" xr:uid="{EF55E04E-EC98-4089-BA01-4D2E9C4CD8D5}"/>
    <cellStyle name="Komma 5 7 4" xfId="10804" xr:uid="{2F01D37A-AE4E-4E41-9AC0-9FC52DF13B29}"/>
    <cellStyle name="Komma 6" xfId="3363" xr:uid="{00000000-0005-0000-0000-0000AC050000}"/>
    <cellStyle name="Komma 6 2" xfId="3656" xr:uid="{00000000-0005-0000-0000-0000AD050000}"/>
    <cellStyle name="Komma 6 2 2" xfId="3657" xr:uid="{00000000-0005-0000-0000-0000AE050000}"/>
    <cellStyle name="Komma 6 2 2 2" xfId="4294" xr:uid="{00000000-0005-0000-0000-0000AF050000}"/>
    <cellStyle name="Komma 6 2 2 2 2" xfId="7462" xr:uid="{00000000-0005-0000-0000-0000B0050000}"/>
    <cellStyle name="Komma 6 2 2 2 2 2" xfId="10130" xr:uid="{8C48845E-33EF-44A6-A2AD-1094E39FE253}"/>
    <cellStyle name="Komma 6 2 2 2 2 2 2" xfId="15520" xr:uid="{C89FA6E8-4420-45AA-A1CE-B0AFF60C830C}"/>
    <cellStyle name="Komma 6 2 2 2 2 3" xfId="12767" xr:uid="{2C6FFBC8-A889-4DB7-84A3-DF6F56E72A69}"/>
    <cellStyle name="Komma 6 2 2 2 3" xfId="8799" xr:uid="{001971AC-E90E-4F40-9149-4405CB8885DE}"/>
    <cellStyle name="Komma 6 2 2 2 3 2" xfId="14158" xr:uid="{778E42B2-7E93-4729-93F8-B98DBA8FD8D9}"/>
    <cellStyle name="Komma 6 2 2 2 4" xfId="11436" xr:uid="{1865E15B-FB4C-478B-BAE2-09B64CFA9451}"/>
    <cellStyle name="Komma 6 2 2 3" xfId="6838" xr:uid="{00000000-0005-0000-0000-0000B1050000}"/>
    <cellStyle name="Komma 6 2 2 3 2" xfId="9506" xr:uid="{1B5BE765-2FFA-4475-B7B8-946DBB9D59B3}"/>
    <cellStyle name="Komma 6 2 2 3 2 2" xfId="14896" xr:uid="{1591095B-8ED1-493F-AC1D-90265AD8DDEB}"/>
    <cellStyle name="Komma 6 2 2 3 3" xfId="12143" xr:uid="{11494316-E521-4F99-B9E8-9F403309D1BE}"/>
    <cellStyle name="Komma 6 2 2 4" xfId="8175" xr:uid="{6B6672CD-C561-48EA-92AC-B49B2108E00E}"/>
    <cellStyle name="Komma 6 2 2 4 2" xfId="13534" xr:uid="{5219B1BF-DCB9-4A45-9B20-CDE4864D7C20}"/>
    <cellStyle name="Komma 6 2 2 5" xfId="10812" xr:uid="{2152EDD8-894B-4DE0-8700-E2031A6A719B}"/>
    <cellStyle name="Komma 6 2 3" xfId="3658" xr:uid="{00000000-0005-0000-0000-0000B2050000}"/>
    <cellStyle name="Komma 6 2 3 2" xfId="4295" xr:uid="{00000000-0005-0000-0000-0000B3050000}"/>
    <cellStyle name="Komma 6 2 3 2 2" xfId="7463" xr:uid="{00000000-0005-0000-0000-0000B4050000}"/>
    <cellStyle name="Komma 6 2 3 2 2 2" xfId="10131" xr:uid="{6FDF9F24-0F78-40F4-8AF0-52C69BF8D922}"/>
    <cellStyle name="Komma 6 2 3 2 2 2 2" xfId="15521" xr:uid="{DA529B7C-EBEE-4946-A498-14054112A8E2}"/>
    <cellStyle name="Komma 6 2 3 2 2 3" xfId="12768" xr:uid="{EF28C534-C23F-4E86-B69D-3572BE17485B}"/>
    <cellStyle name="Komma 6 2 3 2 3" xfId="8800" xr:uid="{4B10C9E9-2EDB-441D-9535-3B670856AF15}"/>
    <cellStyle name="Komma 6 2 3 2 3 2" xfId="14159" xr:uid="{5CAA77F1-652B-4A30-9C48-A50C19A8637B}"/>
    <cellStyle name="Komma 6 2 3 2 4" xfId="11437" xr:uid="{0720EAC6-335C-4D73-BFE7-BB2A248F0F28}"/>
    <cellStyle name="Komma 6 2 3 3" xfId="6839" xr:uid="{00000000-0005-0000-0000-0000B5050000}"/>
    <cellStyle name="Komma 6 2 3 3 2" xfId="9507" xr:uid="{EA355FC7-C355-4F30-A3A1-7A144E234072}"/>
    <cellStyle name="Komma 6 2 3 3 2 2" xfId="14897" xr:uid="{AB4C9898-74F2-4437-A4BF-759BAC35B1AE}"/>
    <cellStyle name="Komma 6 2 3 3 3" xfId="12144" xr:uid="{B614EA05-B24E-450A-9585-8C013565FBDC}"/>
    <cellStyle name="Komma 6 2 3 4" xfId="8176" xr:uid="{2D615045-75AC-439E-A293-2CBB50B04D52}"/>
    <cellStyle name="Komma 6 2 3 4 2" xfId="13535" xr:uid="{1D089A4F-EFA5-40E0-9552-C529F2EBEE2D}"/>
    <cellStyle name="Komma 6 2 3 5" xfId="10813" xr:uid="{009D11ED-4E3B-42B4-B062-FDD87894FE30}"/>
    <cellStyle name="Komma 6 2 4" xfId="4293" xr:uid="{00000000-0005-0000-0000-0000B6050000}"/>
    <cellStyle name="Komma 6 2 4 2" xfId="7461" xr:uid="{00000000-0005-0000-0000-0000B7050000}"/>
    <cellStyle name="Komma 6 2 4 2 2" xfId="10129" xr:uid="{802496AB-AB5F-487D-8B3A-86DA9EF181A6}"/>
    <cellStyle name="Komma 6 2 4 2 2 2" xfId="15519" xr:uid="{1D09A631-B8E5-4798-93D7-A2EAA681CC00}"/>
    <cellStyle name="Komma 6 2 4 2 3" xfId="12766" xr:uid="{064AA4C4-ADAE-48BE-B8E9-1C99E225D2E3}"/>
    <cellStyle name="Komma 6 2 4 3" xfId="8798" xr:uid="{6CC40759-63C6-4FD3-A3DD-BEB7AAB0F4FD}"/>
    <cellStyle name="Komma 6 2 4 3 2" xfId="14157" xr:uid="{ABD7EC20-ED75-4E1E-BBDF-A4226BE994BC}"/>
    <cellStyle name="Komma 6 2 4 4" xfId="11435" xr:uid="{F3F019C3-2ED8-4367-A462-05BDBFE2BAC7}"/>
    <cellStyle name="Komma 6 2 5" xfId="6837" xr:uid="{00000000-0005-0000-0000-0000B8050000}"/>
    <cellStyle name="Komma 6 2 5 2" xfId="9505" xr:uid="{2BA5923F-5794-4647-84D3-EB09942D11C2}"/>
    <cellStyle name="Komma 6 2 5 2 2" xfId="14895" xr:uid="{0CFF9C41-FABE-4B1E-BBB3-B5F70C88CA50}"/>
    <cellStyle name="Komma 6 2 5 3" xfId="12142" xr:uid="{E0AE9177-0896-443C-AF28-887FBD16B643}"/>
    <cellStyle name="Komma 6 2 6" xfId="8174" xr:uid="{2BB7F930-0968-4F87-B2A7-DDE0F0221008}"/>
    <cellStyle name="Komma 6 2 6 2" xfId="13533" xr:uid="{BCDFBA73-F9A2-494A-9AF7-90CAF3CF4A9A}"/>
    <cellStyle name="Komma 6 2 7" xfId="10811" xr:uid="{701B98A6-2449-4909-AFE1-11C7EF390B08}"/>
    <cellStyle name="Komma 6 3" xfId="3659" xr:uid="{00000000-0005-0000-0000-0000B9050000}"/>
    <cellStyle name="Komma 6 3 2" xfId="4296" xr:uid="{00000000-0005-0000-0000-0000BA050000}"/>
    <cellStyle name="Komma 6 3 2 2" xfId="7464" xr:uid="{00000000-0005-0000-0000-0000BB050000}"/>
    <cellStyle name="Komma 6 3 2 2 2" xfId="10132" xr:uid="{5E621878-5E0F-48B1-B075-6DECC8098559}"/>
    <cellStyle name="Komma 6 3 2 2 2 2" xfId="15522" xr:uid="{4A1D0D6B-1AD0-4D27-A7E6-F4AC705AEA37}"/>
    <cellStyle name="Komma 6 3 2 2 3" xfId="12769" xr:uid="{A2CB6DB4-C686-4361-8753-3CA235948FD8}"/>
    <cellStyle name="Komma 6 3 2 3" xfId="8801" xr:uid="{EA472A70-C517-4288-A06C-97A53B68CD4A}"/>
    <cellStyle name="Komma 6 3 2 3 2" xfId="14160" xr:uid="{770F52D1-6AC2-4B23-843F-F100709E2C2D}"/>
    <cellStyle name="Komma 6 3 2 4" xfId="11438" xr:uid="{BDC3B931-CD5D-40FE-A686-A06034EDAE4D}"/>
    <cellStyle name="Komma 6 3 3" xfId="6840" xr:uid="{00000000-0005-0000-0000-0000BC050000}"/>
    <cellStyle name="Komma 6 3 3 2" xfId="9508" xr:uid="{67400AE0-D411-4B39-8177-8E6DC2110461}"/>
    <cellStyle name="Komma 6 3 3 2 2" xfId="14898" xr:uid="{705EE227-E2FE-481A-A29D-8D5064177750}"/>
    <cellStyle name="Komma 6 3 3 3" xfId="12145" xr:uid="{A17A94AA-CEC1-4441-9C8E-10EEEE1A284F}"/>
    <cellStyle name="Komma 6 3 4" xfId="8177" xr:uid="{CDCB709C-D809-47BE-A0D0-6171D45C7462}"/>
    <cellStyle name="Komma 6 3 4 2" xfId="13536" xr:uid="{026DA4A0-C775-4FC0-80ED-444B9F1EFABF}"/>
    <cellStyle name="Komma 6 3 5" xfId="10814" xr:uid="{159A5FB0-B9D0-4251-97C3-7E247719099B}"/>
    <cellStyle name="Komma 6 4" xfId="3660" xr:uid="{00000000-0005-0000-0000-0000BD050000}"/>
    <cellStyle name="Komma 6 4 2" xfId="4297" xr:uid="{00000000-0005-0000-0000-0000BE050000}"/>
    <cellStyle name="Komma 6 4 2 2" xfId="7465" xr:uid="{00000000-0005-0000-0000-0000BF050000}"/>
    <cellStyle name="Komma 6 4 2 2 2" xfId="10133" xr:uid="{7F8BCD72-A4CE-48A7-B977-466D4AC4BCD8}"/>
    <cellStyle name="Komma 6 4 2 2 2 2" xfId="15523" xr:uid="{21065C8D-5A04-4F1E-96AE-32A8E8285565}"/>
    <cellStyle name="Komma 6 4 2 2 3" xfId="12770" xr:uid="{AEB64A88-3829-4498-A332-EB81F2975575}"/>
    <cellStyle name="Komma 6 4 2 3" xfId="8802" xr:uid="{39E86F87-0165-4767-A1B4-62A1A8F0C4BA}"/>
    <cellStyle name="Komma 6 4 2 3 2" xfId="14161" xr:uid="{23C2F978-983F-4549-842A-B40991A36C52}"/>
    <cellStyle name="Komma 6 4 2 4" xfId="11439" xr:uid="{5D984174-0969-4C12-9A01-CAC1C8DF7FE1}"/>
    <cellStyle name="Komma 6 4 3" xfId="6841" xr:uid="{00000000-0005-0000-0000-0000C0050000}"/>
    <cellStyle name="Komma 6 4 3 2" xfId="9509" xr:uid="{7A83D9C8-92F5-4CA1-827C-B4EBC42724E0}"/>
    <cellStyle name="Komma 6 4 3 2 2" xfId="14899" xr:uid="{6B78C770-BA89-4799-9593-D2D06C87FA82}"/>
    <cellStyle name="Komma 6 4 3 3" xfId="12146" xr:uid="{E3C1EB28-6496-4A1C-8419-97A1599B48AC}"/>
    <cellStyle name="Komma 6 4 4" xfId="8178" xr:uid="{20100AD4-EA05-4FD4-955F-D1EC65F50EDE}"/>
    <cellStyle name="Komma 6 4 4 2" xfId="13537" xr:uid="{70A97056-74FB-4861-870B-08A5BA2E3B1A}"/>
    <cellStyle name="Komma 6 4 5" xfId="10815" xr:uid="{CEE742AE-DA0F-4651-80E1-BDAC4E82E66E}"/>
    <cellStyle name="Komma 6 5" xfId="3661" xr:uid="{00000000-0005-0000-0000-0000C1050000}"/>
    <cellStyle name="Komma 6 5 2" xfId="4298" xr:uid="{00000000-0005-0000-0000-0000C2050000}"/>
    <cellStyle name="Komma 6 5 2 2" xfId="7466" xr:uid="{00000000-0005-0000-0000-0000C3050000}"/>
    <cellStyle name="Komma 6 5 2 2 2" xfId="10134" xr:uid="{265D96B0-705E-4878-BB60-671978ED9B3A}"/>
    <cellStyle name="Komma 6 5 2 2 2 2" xfId="15524" xr:uid="{F81E4030-4868-4F31-9316-07A44EF65326}"/>
    <cellStyle name="Komma 6 5 2 2 3" xfId="12771" xr:uid="{19BECA76-4962-4A3D-A5B1-68AC39251002}"/>
    <cellStyle name="Komma 6 5 2 3" xfId="8803" xr:uid="{0A9DFC40-9A8F-45BF-B381-6C2A7649F603}"/>
    <cellStyle name="Komma 6 5 2 3 2" xfId="14162" xr:uid="{37C45A5D-448E-414A-AC40-3C1517DF251E}"/>
    <cellStyle name="Komma 6 5 2 4" xfId="11440" xr:uid="{1D9E48CD-C7B2-4A7E-9389-D4D7DE9BCC47}"/>
    <cellStyle name="Komma 6 5 3" xfId="6842" xr:uid="{00000000-0005-0000-0000-0000C4050000}"/>
    <cellStyle name="Komma 6 5 3 2" xfId="9510" xr:uid="{821D74F8-BE67-43A9-A0F9-F3C96DFA578D}"/>
    <cellStyle name="Komma 6 5 3 2 2" xfId="14900" xr:uid="{157F2B5D-39A2-477E-A9AA-FE27B1C42108}"/>
    <cellStyle name="Komma 6 5 3 3" xfId="12147" xr:uid="{6EF9FBE8-C7B5-410D-A149-4518D6C09C91}"/>
    <cellStyle name="Komma 6 5 4" xfId="8179" xr:uid="{9532645F-2543-44A0-815B-56C2A2CF9D3B}"/>
    <cellStyle name="Komma 6 5 4 2" xfId="13538" xr:uid="{1509C925-F8B2-4225-8EF0-4C3AC126325A}"/>
    <cellStyle name="Komma 6 5 5" xfId="10816" xr:uid="{5FADA8FA-1860-4BD4-A708-AC73E4D203BC}"/>
    <cellStyle name="Komma 6 6" xfId="4292" xr:uid="{00000000-0005-0000-0000-0000C5050000}"/>
    <cellStyle name="Komma 6 6 2" xfId="7460" xr:uid="{00000000-0005-0000-0000-0000C6050000}"/>
    <cellStyle name="Komma 6 6 2 2" xfId="10128" xr:uid="{6FD05346-D248-4B36-AB7B-65D9FD0F5BF4}"/>
    <cellStyle name="Komma 6 6 2 2 2" xfId="15518" xr:uid="{9E0FF8DA-A739-4E5F-B3B1-08DF99696C08}"/>
    <cellStyle name="Komma 6 6 2 3" xfId="12765" xr:uid="{BE10433E-1F46-4067-A796-7BD981579C0B}"/>
    <cellStyle name="Komma 6 6 3" xfId="8797" xr:uid="{22B232A1-DF8A-4DC7-9D36-7BEDD0825A0F}"/>
    <cellStyle name="Komma 6 6 3 2" xfId="14156" xr:uid="{4FAF496C-939D-41E4-94FF-282F2E76A6A2}"/>
    <cellStyle name="Komma 6 6 4" xfId="11434" xr:uid="{7AB56187-3183-42D1-A472-8A24A99C304F}"/>
    <cellStyle name="Komma 6 7" xfId="6647" xr:uid="{00000000-0005-0000-0000-0000C7050000}"/>
    <cellStyle name="Komma 6 7 2" xfId="9324" xr:uid="{E03FB7EE-B77D-488B-9609-BB38FFFB175B}"/>
    <cellStyle name="Komma 6 7 2 2" xfId="14714" xr:uid="{9E64675B-D93C-4A62-9AEA-FD8FF07DACA5}"/>
    <cellStyle name="Komma 6 7 3" xfId="11961" xr:uid="{AEF99782-CAE8-439F-B170-9E7ACD1010B9}"/>
    <cellStyle name="Komma 6 8" xfId="7984" xr:uid="{1EADD789-B81E-4A84-8792-10DF0FD31033}"/>
    <cellStyle name="Komma 6 8 2" xfId="13344" xr:uid="{7FCBC5C2-FD05-49C2-8030-E2B1FDABEB85}"/>
    <cellStyle name="Komma 6 9" xfId="10630" xr:uid="{489CCF32-6A31-4319-8670-85DEE0E0A9F9}"/>
    <cellStyle name="Komma 7" xfId="3662" xr:uid="{00000000-0005-0000-0000-0000C8050000}"/>
    <cellStyle name="Komma 7 2" xfId="3663" xr:uid="{00000000-0005-0000-0000-0000C9050000}"/>
    <cellStyle name="Komma 7 2 2" xfId="3664" xr:uid="{00000000-0005-0000-0000-0000CA050000}"/>
    <cellStyle name="Komma 7 2 2 2" xfId="4301" xr:uid="{00000000-0005-0000-0000-0000CB050000}"/>
    <cellStyle name="Komma 7 2 2 2 2" xfId="7469" xr:uid="{00000000-0005-0000-0000-0000CC050000}"/>
    <cellStyle name="Komma 7 2 2 2 2 2" xfId="10137" xr:uid="{FB62B283-EBC4-4605-AA94-D1BC5C82C318}"/>
    <cellStyle name="Komma 7 2 2 2 2 2 2" xfId="15527" xr:uid="{01D7240B-93D9-4E47-A629-0B6235A71AF3}"/>
    <cellStyle name="Komma 7 2 2 2 2 3" xfId="12774" xr:uid="{EFA2F236-46DD-46CC-A855-7F615E0A3116}"/>
    <cellStyle name="Komma 7 2 2 2 3" xfId="8806" xr:uid="{B12D02DA-12AC-41B5-9BC3-2D5D4142DF1B}"/>
    <cellStyle name="Komma 7 2 2 2 3 2" xfId="14165" xr:uid="{45445CA7-1C55-45B3-AABA-6048D87705BF}"/>
    <cellStyle name="Komma 7 2 2 2 4" xfId="11443" xr:uid="{E8145DEF-19BC-469B-95E6-42B77F2EF467}"/>
    <cellStyle name="Komma 7 2 2 3" xfId="6845" xr:uid="{00000000-0005-0000-0000-0000CD050000}"/>
    <cellStyle name="Komma 7 2 2 3 2" xfId="9513" xr:uid="{AA0F8913-708B-4A89-B2D8-BB8464AE79F4}"/>
    <cellStyle name="Komma 7 2 2 3 2 2" xfId="14903" xr:uid="{1B8430B8-B772-4C2C-A8BF-79819AD6E6EB}"/>
    <cellStyle name="Komma 7 2 2 3 3" xfId="12150" xr:uid="{C06A1455-D5C1-4818-B6E7-FE0DA1020F3F}"/>
    <cellStyle name="Komma 7 2 2 4" xfId="8182" xr:uid="{89EE29A4-92C1-46D1-95EA-09EA0F04A9FC}"/>
    <cellStyle name="Komma 7 2 2 4 2" xfId="13541" xr:uid="{1C8C3179-5FA6-464D-AE98-935B993E15EC}"/>
    <cellStyle name="Komma 7 2 2 5" xfId="10819" xr:uid="{1564EA23-9C23-49A8-A7C3-192118CD8555}"/>
    <cellStyle name="Komma 7 2 3" xfId="3665" xr:uid="{00000000-0005-0000-0000-0000CE050000}"/>
    <cellStyle name="Komma 7 2 3 2" xfId="4302" xr:uid="{00000000-0005-0000-0000-0000CF050000}"/>
    <cellStyle name="Komma 7 2 3 2 2" xfId="7470" xr:uid="{00000000-0005-0000-0000-0000D0050000}"/>
    <cellStyle name="Komma 7 2 3 2 2 2" xfId="10138" xr:uid="{D228A02B-1992-49C2-9809-E95482A41F1B}"/>
    <cellStyle name="Komma 7 2 3 2 2 2 2" xfId="15528" xr:uid="{C48CD057-7530-473D-8A1D-C1C134961FA1}"/>
    <cellStyle name="Komma 7 2 3 2 2 3" xfId="12775" xr:uid="{BC707377-15AA-4F1A-87BB-2CB27C85D1C1}"/>
    <cellStyle name="Komma 7 2 3 2 3" xfId="8807" xr:uid="{C497D334-6869-4BD2-B5EA-B42FC323FB8C}"/>
    <cellStyle name="Komma 7 2 3 2 3 2" xfId="14166" xr:uid="{0A69F6A3-C4C6-41B1-AEBC-6109169581D5}"/>
    <cellStyle name="Komma 7 2 3 2 4" xfId="11444" xr:uid="{B7D346D3-3175-4B91-A3D4-E3161CDA9316}"/>
    <cellStyle name="Komma 7 2 3 3" xfId="6846" xr:uid="{00000000-0005-0000-0000-0000D1050000}"/>
    <cellStyle name="Komma 7 2 3 3 2" xfId="9514" xr:uid="{35065F69-41CA-4F70-8F7D-7FA12BF1738E}"/>
    <cellStyle name="Komma 7 2 3 3 2 2" xfId="14904" xr:uid="{F8355583-2BB6-4B52-8893-4B146D18B3BF}"/>
    <cellStyle name="Komma 7 2 3 3 3" xfId="12151" xr:uid="{97484361-2F0B-4C43-8AEF-22F608883A74}"/>
    <cellStyle name="Komma 7 2 3 4" xfId="8183" xr:uid="{54B508F9-D2AE-464B-8BDB-34A4FA06406D}"/>
    <cellStyle name="Komma 7 2 3 4 2" xfId="13542" xr:uid="{6D9FEBDD-320E-4B6E-A331-56EB9D33BB4B}"/>
    <cellStyle name="Komma 7 2 3 5" xfId="10820" xr:uid="{8455787B-451D-4D3E-8F66-5CF3F506EC6F}"/>
    <cellStyle name="Komma 7 2 4" xfId="4300" xr:uid="{00000000-0005-0000-0000-0000D2050000}"/>
    <cellStyle name="Komma 7 2 4 2" xfId="7468" xr:uid="{00000000-0005-0000-0000-0000D3050000}"/>
    <cellStyle name="Komma 7 2 4 2 2" xfId="10136" xr:uid="{0C958FC0-45F4-49F5-B942-FC0AF576448E}"/>
    <cellStyle name="Komma 7 2 4 2 2 2" xfId="15526" xr:uid="{5AC99470-81C2-44B1-9043-1B5AACED6B70}"/>
    <cellStyle name="Komma 7 2 4 2 3" xfId="12773" xr:uid="{68D9079E-40B9-415E-841A-AA86905F3293}"/>
    <cellStyle name="Komma 7 2 4 3" xfId="8805" xr:uid="{E49934ED-313D-4294-87B7-9F9081EBA8AE}"/>
    <cellStyle name="Komma 7 2 4 3 2" xfId="14164" xr:uid="{F065AF7B-633E-45F4-874E-ACBE1149111A}"/>
    <cellStyle name="Komma 7 2 4 4" xfId="11442" xr:uid="{E7BA1F9B-472E-42B1-80F3-571CB495488B}"/>
    <cellStyle name="Komma 7 2 5" xfId="6844" xr:uid="{00000000-0005-0000-0000-0000D4050000}"/>
    <cellStyle name="Komma 7 2 5 2" xfId="9512" xr:uid="{3E3ADD6D-31FA-4E56-9E2C-80564C88BB42}"/>
    <cellStyle name="Komma 7 2 5 2 2" xfId="14902" xr:uid="{4BC697E6-8D8A-4F56-B8A6-388D381587A2}"/>
    <cellStyle name="Komma 7 2 5 3" xfId="12149" xr:uid="{D99DF0A8-7869-41C9-92AC-954B2BD65CC7}"/>
    <cellStyle name="Komma 7 2 6" xfId="8181" xr:uid="{B5370D2F-BE4F-4E94-9ACA-97292183597D}"/>
    <cellStyle name="Komma 7 2 6 2" xfId="13540" xr:uid="{0CE4294A-AAD3-4F12-BB96-4A7DA65066B5}"/>
    <cellStyle name="Komma 7 2 7" xfId="10818" xr:uid="{1344927E-5058-4DD0-8291-DF8A5001BEBD}"/>
    <cellStyle name="Komma 7 3" xfId="3666" xr:uid="{00000000-0005-0000-0000-0000D5050000}"/>
    <cellStyle name="Komma 7 3 2" xfId="4303" xr:uid="{00000000-0005-0000-0000-0000D6050000}"/>
    <cellStyle name="Komma 7 3 2 2" xfId="7471" xr:uid="{00000000-0005-0000-0000-0000D7050000}"/>
    <cellStyle name="Komma 7 3 2 2 2" xfId="10139" xr:uid="{14524EBD-FC72-471D-86BC-52F38F64A41F}"/>
    <cellStyle name="Komma 7 3 2 2 2 2" xfId="15529" xr:uid="{501ADF5E-B491-4EE9-BBDD-38B362602701}"/>
    <cellStyle name="Komma 7 3 2 2 3" xfId="12776" xr:uid="{76FF4283-8698-45F8-A117-0D34AF3AD6DB}"/>
    <cellStyle name="Komma 7 3 2 3" xfId="8808" xr:uid="{F6414203-BDD9-4985-A86F-ABFD12457724}"/>
    <cellStyle name="Komma 7 3 2 3 2" xfId="14167" xr:uid="{D58EA710-B592-4846-A69A-73BBD5E0AC80}"/>
    <cellStyle name="Komma 7 3 2 4" xfId="11445" xr:uid="{79BE6B36-220D-40A9-AA0B-7155C70C3ED7}"/>
    <cellStyle name="Komma 7 3 3" xfId="6847" xr:uid="{00000000-0005-0000-0000-0000D8050000}"/>
    <cellStyle name="Komma 7 3 3 2" xfId="9515" xr:uid="{4ADBC8EA-F1BB-4444-A58F-6180F8E96F3B}"/>
    <cellStyle name="Komma 7 3 3 2 2" xfId="14905" xr:uid="{1F577A9F-8116-4D8B-B087-A71527BF6D09}"/>
    <cellStyle name="Komma 7 3 3 3" xfId="12152" xr:uid="{8C13CF30-81BB-46C5-9963-27AD9AC8BA1D}"/>
    <cellStyle name="Komma 7 3 4" xfId="8184" xr:uid="{7C4F9DE9-9076-47A6-B1C9-3209376A196F}"/>
    <cellStyle name="Komma 7 3 4 2" xfId="13543" xr:uid="{01FE1DC1-ABCC-4CA7-B5C8-4ADD7E64497E}"/>
    <cellStyle name="Komma 7 3 5" xfId="10821" xr:uid="{0070E59D-ABA3-4F6F-8789-D87AEBB5C7B5}"/>
    <cellStyle name="Komma 7 4" xfId="3667" xr:uid="{00000000-0005-0000-0000-0000D9050000}"/>
    <cellStyle name="Komma 7 4 2" xfId="4304" xr:uid="{00000000-0005-0000-0000-0000DA050000}"/>
    <cellStyle name="Komma 7 4 2 2" xfId="7472" xr:uid="{00000000-0005-0000-0000-0000DB050000}"/>
    <cellStyle name="Komma 7 4 2 2 2" xfId="10140" xr:uid="{5DF07540-C879-4E9A-B1AD-FB443DB32E60}"/>
    <cellStyle name="Komma 7 4 2 2 2 2" xfId="15530" xr:uid="{B11D1582-603E-4ED0-94ED-36BF2351E235}"/>
    <cellStyle name="Komma 7 4 2 2 3" xfId="12777" xr:uid="{0AF8E151-79CB-4E5E-8E1A-EB3CBDBDD238}"/>
    <cellStyle name="Komma 7 4 2 3" xfId="8809" xr:uid="{16F2CAF1-690B-4754-B7D7-C0590B4DFF49}"/>
    <cellStyle name="Komma 7 4 2 3 2" xfId="14168" xr:uid="{356F2A75-3E63-4EC5-8847-71CE2150D8C1}"/>
    <cellStyle name="Komma 7 4 2 4" xfId="11446" xr:uid="{9D84E982-3BE6-49CF-A4FC-87B7EEA6BB05}"/>
    <cellStyle name="Komma 7 4 3" xfId="6848" xr:uid="{00000000-0005-0000-0000-0000DC050000}"/>
    <cellStyle name="Komma 7 4 3 2" xfId="9516" xr:uid="{20A34DAD-4FF7-41F6-AAD5-D3302E841334}"/>
    <cellStyle name="Komma 7 4 3 2 2" xfId="14906" xr:uid="{A857B05F-D19D-42B7-88F2-D8EB642B24F4}"/>
    <cellStyle name="Komma 7 4 3 3" xfId="12153" xr:uid="{AAB32D37-369C-4327-9B48-E0679E49EECA}"/>
    <cellStyle name="Komma 7 4 4" xfId="8185" xr:uid="{49D2F3CE-A64B-438E-AE7E-1D556E933F54}"/>
    <cellStyle name="Komma 7 4 4 2" xfId="13544" xr:uid="{9B8DC35E-3A85-46CC-8620-9D7E1A2E8F2C}"/>
    <cellStyle name="Komma 7 4 5" xfId="10822" xr:uid="{4511D369-E26D-4013-8EAF-C68EF3D416BA}"/>
    <cellStyle name="Komma 7 5" xfId="4299" xr:uid="{00000000-0005-0000-0000-0000DD050000}"/>
    <cellStyle name="Komma 7 5 2" xfId="7467" xr:uid="{00000000-0005-0000-0000-0000DE050000}"/>
    <cellStyle name="Komma 7 5 2 2" xfId="10135" xr:uid="{6A1E42A1-B13B-43AF-B11A-781E38D04DA0}"/>
    <cellStyle name="Komma 7 5 2 2 2" xfId="15525" xr:uid="{1B146AD0-E4F3-4874-8EF6-C5A5BA05581D}"/>
    <cellStyle name="Komma 7 5 2 3" xfId="12772" xr:uid="{71E2236D-9830-41E8-A5D1-64159B4B8794}"/>
    <cellStyle name="Komma 7 5 3" xfId="8804" xr:uid="{7F6D23A3-92BB-4058-A65D-48A6CE57CD54}"/>
    <cellStyle name="Komma 7 5 3 2" xfId="14163" xr:uid="{941B3AD2-CDF8-4A10-90A0-AA4080163998}"/>
    <cellStyle name="Komma 7 5 4" xfId="11441" xr:uid="{2172BFE1-902E-44EA-8AAE-E7B1E8229EA0}"/>
    <cellStyle name="Komma 7 6" xfId="6843" xr:uid="{00000000-0005-0000-0000-0000DF050000}"/>
    <cellStyle name="Komma 7 6 2" xfId="9511" xr:uid="{A2CDCC09-BC71-4D8C-A47B-EC0E27ADA9DD}"/>
    <cellStyle name="Komma 7 6 2 2" xfId="14901" xr:uid="{670021B8-B3A4-4823-B3DA-F94B615FFF90}"/>
    <cellStyle name="Komma 7 6 3" xfId="12148" xr:uid="{617B74D7-BD30-4290-86C6-ACED656620C5}"/>
    <cellStyle name="Komma 7 7" xfId="8180" xr:uid="{A64C5680-F6C8-427E-8DA0-7BE8424E8B51}"/>
    <cellStyle name="Komma 7 7 2" xfId="13539" xr:uid="{5C918646-F87D-491A-B707-C21200BF8D5B}"/>
    <cellStyle name="Komma 7 8" xfId="10817" xr:uid="{1612816D-F841-45BB-9170-EA623D8DEA2A}"/>
    <cellStyle name="Komma 8" xfId="3668" xr:uid="{00000000-0005-0000-0000-0000E0050000}"/>
    <cellStyle name="Komma 8 2" xfId="3669" xr:uid="{00000000-0005-0000-0000-0000E1050000}"/>
    <cellStyle name="Komma 8 2 2" xfId="4306" xr:uid="{00000000-0005-0000-0000-0000E2050000}"/>
    <cellStyle name="Komma 8 2 2 2" xfId="7474" xr:uid="{00000000-0005-0000-0000-0000E3050000}"/>
    <cellStyle name="Komma 8 2 2 2 2" xfId="10142" xr:uid="{005ABEAE-204D-44E6-A6B9-5E9770A1A124}"/>
    <cellStyle name="Komma 8 2 2 2 2 2" xfId="15532" xr:uid="{BD920065-B2AF-4CF3-85A2-7C87735D0DE5}"/>
    <cellStyle name="Komma 8 2 2 2 3" xfId="12779" xr:uid="{9710F483-96BD-4338-9298-B09DA3F9EB1B}"/>
    <cellStyle name="Komma 8 2 2 3" xfId="8811" xr:uid="{521CFA13-4379-486B-9722-CEB1C9E7A26B}"/>
    <cellStyle name="Komma 8 2 2 3 2" xfId="14170" xr:uid="{5C122E9A-011D-4464-BD9B-E9D00B0931FC}"/>
    <cellStyle name="Komma 8 2 2 4" xfId="11448" xr:uid="{06D56702-9FB2-44E7-98B9-2939B715B138}"/>
    <cellStyle name="Komma 8 2 3" xfId="6850" xr:uid="{00000000-0005-0000-0000-0000E4050000}"/>
    <cellStyle name="Komma 8 2 3 2" xfId="9518" xr:uid="{0F27F4A0-451F-4563-8D74-381950FF9AD8}"/>
    <cellStyle name="Komma 8 2 3 2 2" xfId="14908" xr:uid="{B07124F2-2155-47D7-898B-0F8087F41D62}"/>
    <cellStyle name="Komma 8 2 3 3" xfId="12155" xr:uid="{973CB436-D914-4518-926C-798A119B1FBD}"/>
    <cellStyle name="Komma 8 2 4" xfId="8187" xr:uid="{4993655E-5137-4389-954E-A4A2BC88AC78}"/>
    <cellStyle name="Komma 8 2 4 2" xfId="13546" xr:uid="{D48A35BA-CAE3-4496-83E5-29B385AD9394}"/>
    <cellStyle name="Komma 8 2 5" xfId="10824" xr:uid="{3074F25F-DE3B-44E8-983B-C838CE6ABF8A}"/>
    <cellStyle name="Komma 8 3" xfId="3670" xr:uid="{00000000-0005-0000-0000-0000E5050000}"/>
    <cellStyle name="Komma 8 3 2" xfId="4307" xr:uid="{00000000-0005-0000-0000-0000E6050000}"/>
    <cellStyle name="Komma 8 3 2 2" xfId="7475" xr:uid="{00000000-0005-0000-0000-0000E7050000}"/>
    <cellStyle name="Komma 8 3 2 2 2" xfId="10143" xr:uid="{CB51754C-E005-4DC6-925C-7EC0BE8B2FB2}"/>
    <cellStyle name="Komma 8 3 2 2 2 2" xfId="15533" xr:uid="{C4634F3C-CB6E-4DDC-927E-B63B73BCF395}"/>
    <cellStyle name="Komma 8 3 2 2 3" xfId="12780" xr:uid="{EA32C88D-D9C0-46A6-8038-45C545698C06}"/>
    <cellStyle name="Komma 8 3 2 3" xfId="8812" xr:uid="{781000D4-7713-4864-A86F-BCF231D4E699}"/>
    <cellStyle name="Komma 8 3 2 3 2" xfId="14171" xr:uid="{3964CD6F-686F-4F11-88DE-6FAF2070EBBA}"/>
    <cellStyle name="Komma 8 3 2 4" xfId="11449" xr:uid="{FF6F6CA5-CD88-4C88-B354-726FF7094C72}"/>
    <cellStyle name="Komma 8 3 3" xfId="6851" xr:uid="{00000000-0005-0000-0000-0000E8050000}"/>
    <cellStyle name="Komma 8 3 3 2" xfId="9519" xr:uid="{3D81F274-C891-4A59-B5B6-E6640153331D}"/>
    <cellStyle name="Komma 8 3 3 2 2" xfId="14909" xr:uid="{C5DB0699-AC17-43F7-829A-524BE8448062}"/>
    <cellStyle name="Komma 8 3 3 3" xfId="12156" xr:uid="{C1441B79-A4FB-4FA7-BBB2-0C1A7975A185}"/>
    <cellStyle name="Komma 8 3 4" xfId="8188" xr:uid="{0B88A407-A3A7-43CA-9246-3E580DFC5CB9}"/>
    <cellStyle name="Komma 8 3 4 2" xfId="13547" xr:uid="{BE7C6487-3454-4F45-B2C3-2E905B551EB8}"/>
    <cellStyle name="Komma 8 3 5" xfId="10825" xr:uid="{A99CC537-9191-4D94-A3F1-2F92DDA3A839}"/>
    <cellStyle name="Komma 8 4" xfId="4305" xr:uid="{00000000-0005-0000-0000-0000E9050000}"/>
    <cellStyle name="Komma 8 4 2" xfId="7473" xr:uid="{00000000-0005-0000-0000-0000EA050000}"/>
    <cellStyle name="Komma 8 4 2 2" xfId="10141" xr:uid="{4E402329-B68D-449A-9A7A-6DF409A78C04}"/>
    <cellStyle name="Komma 8 4 2 2 2" xfId="15531" xr:uid="{FF4DCC3E-6478-436C-891B-39BCA42FD79D}"/>
    <cellStyle name="Komma 8 4 2 3" xfId="12778" xr:uid="{DE648C11-F2DE-47D9-ADA5-F896FBC41FBE}"/>
    <cellStyle name="Komma 8 4 3" xfId="8810" xr:uid="{5C949E76-AA16-47E9-952B-B1C9836AE24A}"/>
    <cellStyle name="Komma 8 4 3 2" xfId="14169" xr:uid="{5A17534A-C656-4A44-8CC3-26E972F970CD}"/>
    <cellStyle name="Komma 8 4 4" xfId="11447" xr:uid="{EC2CBA08-E566-4694-80C5-917ACBC2C9DC}"/>
    <cellStyle name="Komma 8 5" xfId="6849" xr:uid="{00000000-0005-0000-0000-0000EB050000}"/>
    <cellStyle name="Komma 8 5 2" xfId="9517" xr:uid="{00E031C6-8B94-468F-A85E-A8795C173699}"/>
    <cellStyle name="Komma 8 5 2 2" xfId="14907" xr:uid="{30FBA6CD-3D24-408D-9FB1-224FD333304A}"/>
    <cellStyle name="Komma 8 5 3" xfId="12154" xr:uid="{43CE1410-39E5-41E1-808C-1F507DA970E6}"/>
    <cellStyle name="Komma 8 6" xfId="8186" xr:uid="{3D511995-4846-4918-A29F-8C5F4EC37A03}"/>
    <cellStyle name="Komma 8 6 2" xfId="13545" xr:uid="{6B6CA252-2AEC-4955-8A3C-86EC29D48419}"/>
    <cellStyle name="Komma 8 7" xfId="10823" xr:uid="{31E5B46E-52E9-4690-975A-8EE8D9DC3DDB}"/>
    <cellStyle name="Komma 9" xfId="3671" xr:uid="{00000000-0005-0000-0000-0000EC050000}"/>
    <cellStyle name="Komma 9 2" xfId="4308" xr:uid="{00000000-0005-0000-0000-0000ED050000}"/>
    <cellStyle name="Komma 9 2 2" xfId="7476" xr:uid="{00000000-0005-0000-0000-0000EE050000}"/>
    <cellStyle name="Komma 9 2 2 2" xfId="10144" xr:uid="{6783A716-F410-42A4-B490-E7AA4EFD3BDC}"/>
    <cellStyle name="Komma 9 2 2 2 2" xfId="15534" xr:uid="{266CD902-323E-4D5D-ABAF-17F4459EFC61}"/>
    <cellStyle name="Komma 9 2 2 3" xfId="12781" xr:uid="{0E76F5A4-438C-47F0-8C24-971934C6CDB0}"/>
    <cellStyle name="Komma 9 2 3" xfId="8813" xr:uid="{32A3E59E-563D-47D7-A673-B700A8D38201}"/>
    <cellStyle name="Komma 9 2 3 2" xfId="14172" xr:uid="{D0F46172-50FA-48B9-AF3A-2AF08DDCF4A2}"/>
    <cellStyle name="Komma 9 2 4" xfId="11450" xr:uid="{36B88540-E33F-4616-B420-BC5247E96AB1}"/>
    <cellStyle name="Komma 9 3" xfId="6852" xr:uid="{00000000-0005-0000-0000-0000EF050000}"/>
    <cellStyle name="Komma 9 3 2" xfId="9520" xr:uid="{5924154B-1160-40A4-8909-8CA963D68329}"/>
    <cellStyle name="Komma 9 3 2 2" xfId="14910" xr:uid="{94EE2CDA-0438-4BC8-896E-7048C63F253D}"/>
    <cellStyle name="Komma 9 3 3" xfId="12157" xr:uid="{1039C307-BEE0-42A4-BAD0-8667EC7738AB}"/>
    <cellStyle name="Komma 9 4" xfId="8189" xr:uid="{34AA521A-7F56-4FD7-9BCF-7F24B07BA3C1}"/>
    <cellStyle name="Komma 9 4 2" xfId="13548" xr:uid="{103D7C56-9E46-4EF1-9FE8-2804A9348C38}"/>
    <cellStyle name="Komma 9 5" xfId="10826" xr:uid="{2F4750D1-42BF-4A64-B256-5982FCD5CA26}"/>
    <cellStyle name="Link 2" xfId="432" xr:uid="{00000000-0005-0000-0000-0000F0050000}"/>
    <cellStyle name="Link 2 2" xfId="3674" xr:uid="{00000000-0005-0000-0000-0000F1050000}"/>
    <cellStyle name="Link 2 3" xfId="3675" xr:uid="{00000000-0005-0000-0000-0000F2050000}"/>
    <cellStyle name="Link 2 4" xfId="3673" xr:uid="{00000000-0005-0000-0000-0000F3050000}"/>
    <cellStyle name="Link 2 5" xfId="3503" xr:uid="{00000000-0005-0000-0000-0000F4050000}"/>
    <cellStyle name="Link 3" xfId="433" xr:uid="{00000000-0005-0000-0000-0000F5050000}"/>
    <cellStyle name="Link 3 2" xfId="3676" xr:uid="{00000000-0005-0000-0000-0000F6050000}"/>
    <cellStyle name="Link 4" xfId="3672" xr:uid="{00000000-0005-0000-0000-0000F7050000}"/>
    <cellStyle name="Link 5" xfId="3509" xr:uid="{00000000-0005-0000-0000-0000F8050000}"/>
    <cellStyle name="Link 6" xfId="4729" xr:uid="{00000000-0005-0000-0000-0000F9050000}"/>
    <cellStyle name="Linked Cell" xfId="3333" builtinId="24" customBuiltin="1"/>
    <cellStyle name="Linked Cell 2" xfId="3445" xr:uid="{00000000-0005-0000-0000-0000FB050000}"/>
    <cellStyle name="Migliaia [0] 10" xfId="434" xr:uid="{00000000-0005-0000-0000-0000FC050000}"/>
    <cellStyle name="Migliaia [0] 10 2" xfId="2010" xr:uid="{00000000-0005-0000-0000-0000FD050000}"/>
    <cellStyle name="Migliaia [0] 10 2 2" xfId="5309" xr:uid="{00000000-0005-0000-0000-0000FE050000}"/>
    <cellStyle name="Migliaia [0] 10 2 3" xfId="6231" xr:uid="{00000000-0005-0000-0000-0000FF050000}"/>
    <cellStyle name="Migliaia [0] 10 3" xfId="4740" xr:uid="{00000000-0005-0000-0000-000000060000}"/>
    <cellStyle name="Migliaia [0] 10 4" xfId="5685" xr:uid="{00000000-0005-0000-0000-000001060000}"/>
    <cellStyle name="Migliaia [0] 11" xfId="435" xr:uid="{00000000-0005-0000-0000-000002060000}"/>
    <cellStyle name="Migliaia [0] 11 2" xfId="2011" xr:uid="{00000000-0005-0000-0000-000003060000}"/>
    <cellStyle name="Migliaia [0] 11 2 2" xfId="5310" xr:uid="{00000000-0005-0000-0000-000004060000}"/>
    <cellStyle name="Migliaia [0] 11 2 3" xfId="6232" xr:uid="{00000000-0005-0000-0000-000005060000}"/>
    <cellStyle name="Migliaia [0] 11 3" xfId="4741" xr:uid="{00000000-0005-0000-0000-000006060000}"/>
    <cellStyle name="Migliaia [0] 11 4" xfId="5686" xr:uid="{00000000-0005-0000-0000-000007060000}"/>
    <cellStyle name="Migliaia [0] 12" xfId="436" xr:uid="{00000000-0005-0000-0000-000008060000}"/>
    <cellStyle name="Migliaia [0] 12 2" xfId="2012" xr:uid="{00000000-0005-0000-0000-000009060000}"/>
    <cellStyle name="Migliaia [0] 12 2 2" xfId="5311" xr:uid="{00000000-0005-0000-0000-00000A060000}"/>
    <cellStyle name="Migliaia [0] 12 2 3" xfId="6233" xr:uid="{00000000-0005-0000-0000-00000B060000}"/>
    <cellStyle name="Migliaia [0] 12 3" xfId="4742" xr:uid="{00000000-0005-0000-0000-00000C060000}"/>
    <cellStyle name="Migliaia [0] 12 4" xfId="5687" xr:uid="{00000000-0005-0000-0000-00000D060000}"/>
    <cellStyle name="Migliaia [0] 13" xfId="437" xr:uid="{00000000-0005-0000-0000-00000E060000}"/>
    <cellStyle name="Migliaia [0] 13 2" xfId="2013" xr:uid="{00000000-0005-0000-0000-00000F060000}"/>
    <cellStyle name="Migliaia [0] 13 2 2" xfId="5312" xr:uid="{00000000-0005-0000-0000-000010060000}"/>
    <cellStyle name="Migliaia [0] 13 2 3" xfId="6234" xr:uid="{00000000-0005-0000-0000-000011060000}"/>
    <cellStyle name="Migliaia [0] 13 3" xfId="4743" xr:uid="{00000000-0005-0000-0000-000012060000}"/>
    <cellStyle name="Migliaia [0] 13 4" xfId="5688" xr:uid="{00000000-0005-0000-0000-000013060000}"/>
    <cellStyle name="Migliaia [0] 14" xfId="438" xr:uid="{00000000-0005-0000-0000-000014060000}"/>
    <cellStyle name="Migliaia [0] 14 2" xfId="2014" xr:uid="{00000000-0005-0000-0000-000015060000}"/>
    <cellStyle name="Migliaia [0] 14 2 2" xfId="5313" xr:uid="{00000000-0005-0000-0000-000016060000}"/>
    <cellStyle name="Migliaia [0] 14 2 3" xfId="6235" xr:uid="{00000000-0005-0000-0000-000017060000}"/>
    <cellStyle name="Migliaia [0] 14 3" xfId="4744" xr:uid="{00000000-0005-0000-0000-000018060000}"/>
    <cellStyle name="Migliaia [0] 14 4" xfId="5689" xr:uid="{00000000-0005-0000-0000-000019060000}"/>
    <cellStyle name="Migliaia [0] 15" xfId="439" xr:uid="{00000000-0005-0000-0000-00001A060000}"/>
    <cellStyle name="Migliaia [0] 15 2" xfId="2015" xr:uid="{00000000-0005-0000-0000-00001B060000}"/>
    <cellStyle name="Migliaia [0] 15 2 2" xfId="5314" xr:uid="{00000000-0005-0000-0000-00001C060000}"/>
    <cellStyle name="Migliaia [0] 15 2 3" xfId="6236" xr:uid="{00000000-0005-0000-0000-00001D060000}"/>
    <cellStyle name="Migliaia [0] 15 3" xfId="4745" xr:uid="{00000000-0005-0000-0000-00001E060000}"/>
    <cellStyle name="Migliaia [0] 15 4" xfId="5690" xr:uid="{00000000-0005-0000-0000-00001F060000}"/>
    <cellStyle name="Migliaia [0] 16" xfId="440" xr:uid="{00000000-0005-0000-0000-000020060000}"/>
    <cellStyle name="Migliaia [0] 16 2" xfId="2016" xr:uid="{00000000-0005-0000-0000-000021060000}"/>
    <cellStyle name="Migliaia [0] 16 2 2" xfId="5315" xr:uid="{00000000-0005-0000-0000-000022060000}"/>
    <cellStyle name="Migliaia [0] 16 2 3" xfId="6237" xr:uid="{00000000-0005-0000-0000-000023060000}"/>
    <cellStyle name="Migliaia [0] 16 3" xfId="4746" xr:uid="{00000000-0005-0000-0000-000024060000}"/>
    <cellStyle name="Migliaia [0] 16 4" xfId="5691" xr:uid="{00000000-0005-0000-0000-000025060000}"/>
    <cellStyle name="Migliaia [0] 17" xfId="441" xr:uid="{00000000-0005-0000-0000-000026060000}"/>
    <cellStyle name="Migliaia [0] 17 2" xfId="2017" xr:uid="{00000000-0005-0000-0000-000027060000}"/>
    <cellStyle name="Migliaia [0] 17 2 2" xfId="5316" xr:uid="{00000000-0005-0000-0000-000028060000}"/>
    <cellStyle name="Migliaia [0] 17 2 3" xfId="6238" xr:uid="{00000000-0005-0000-0000-000029060000}"/>
    <cellStyle name="Migliaia [0] 17 3" xfId="4747" xr:uid="{00000000-0005-0000-0000-00002A060000}"/>
    <cellStyle name="Migliaia [0] 17 4" xfId="5692" xr:uid="{00000000-0005-0000-0000-00002B060000}"/>
    <cellStyle name="Migliaia [0] 18" xfId="442" xr:uid="{00000000-0005-0000-0000-00002C060000}"/>
    <cellStyle name="Migliaia [0] 18 2" xfId="2018" xr:uid="{00000000-0005-0000-0000-00002D060000}"/>
    <cellStyle name="Migliaia [0] 18 2 2" xfId="5317" xr:uid="{00000000-0005-0000-0000-00002E060000}"/>
    <cellStyle name="Migliaia [0] 18 2 3" xfId="6239" xr:uid="{00000000-0005-0000-0000-00002F060000}"/>
    <cellStyle name="Migliaia [0] 18 3" xfId="4748" xr:uid="{00000000-0005-0000-0000-000030060000}"/>
    <cellStyle name="Migliaia [0] 18 4" xfId="5693" xr:uid="{00000000-0005-0000-0000-000031060000}"/>
    <cellStyle name="Migliaia [0] 19" xfId="443" xr:uid="{00000000-0005-0000-0000-000032060000}"/>
    <cellStyle name="Migliaia [0] 19 2" xfId="2019" xr:uid="{00000000-0005-0000-0000-000033060000}"/>
    <cellStyle name="Migliaia [0] 19 2 2" xfId="5318" xr:uid="{00000000-0005-0000-0000-000034060000}"/>
    <cellStyle name="Migliaia [0] 19 2 3" xfId="6240" xr:uid="{00000000-0005-0000-0000-000035060000}"/>
    <cellStyle name="Migliaia [0] 19 3" xfId="4749" xr:uid="{00000000-0005-0000-0000-000036060000}"/>
    <cellStyle name="Migliaia [0] 19 4" xfId="5694" xr:uid="{00000000-0005-0000-0000-000037060000}"/>
    <cellStyle name="Migliaia [0] 2" xfId="444" xr:uid="{00000000-0005-0000-0000-000038060000}"/>
    <cellStyle name="Migliaia [0] 2 2" xfId="2020" xr:uid="{00000000-0005-0000-0000-000039060000}"/>
    <cellStyle name="Migliaia [0] 2 2 2" xfId="5319" xr:uid="{00000000-0005-0000-0000-00003A060000}"/>
    <cellStyle name="Migliaia [0] 2 2 3" xfId="6241" xr:uid="{00000000-0005-0000-0000-00003B060000}"/>
    <cellStyle name="Migliaia [0] 2 3" xfId="4750" xr:uid="{00000000-0005-0000-0000-00003C060000}"/>
    <cellStyle name="Migliaia [0] 2 4" xfId="5695" xr:uid="{00000000-0005-0000-0000-00003D060000}"/>
    <cellStyle name="Migliaia [0] 20" xfId="445" xr:uid="{00000000-0005-0000-0000-00003E060000}"/>
    <cellStyle name="Migliaia [0] 20 2" xfId="2021" xr:uid="{00000000-0005-0000-0000-00003F060000}"/>
    <cellStyle name="Migliaia [0] 20 2 2" xfId="5320" xr:uid="{00000000-0005-0000-0000-000040060000}"/>
    <cellStyle name="Migliaia [0] 20 2 3" xfId="6242" xr:uid="{00000000-0005-0000-0000-000041060000}"/>
    <cellStyle name="Migliaia [0] 20 3" xfId="4751" xr:uid="{00000000-0005-0000-0000-000042060000}"/>
    <cellStyle name="Migliaia [0] 20 4" xfId="5696" xr:uid="{00000000-0005-0000-0000-000043060000}"/>
    <cellStyle name="Migliaia [0] 21" xfId="446" xr:uid="{00000000-0005-0000-0000-000044060000}"/>
    <cellStyle name="Migliaia [0] 21 2" xfId="2022" xr:uid="{00000000-0005-0000-0000-000045060000}"/>
    <cellStyle name="Migliaia [0] 21 2 2" xfId="5321" xr:uid="{00000000-0005-0000-0000-000046060000}"/>
    <cellStyle name="Migliaia [0] 21 2 3" xfId="6243" xr:uid="{00000000-0005-0000-0000-000047060000}"/>
    <cellStyle name="Migliaia [0] 21 3" xfId="4752" xr:uid="{00000000-0005-0000-0000-000048060000}"/>
    <cellStyle name="Migliaia [0] 21 4" xfId="5697" xr:uid="{00000000-0005-0000-0000-000049060000}"/>
    <cellStyle name="Migliaia [0] 22" xfId="447" xr:uid="{00000000-0005-0000-0000-00004A060000}"/>
    <cellStyle name="Migliaia [0] 22 2" xfId="2023" xr:uid="{00000000-0005-0000-0000-00004B060000}"/>
    <cellStyle name="Migliaia [0] 22 2 2" xfId="5322" xr:uid="{00000000-0005-0000-0000-00004C060000}"/>
    <cellStyle name="Migliaia [0] 22 2 3" xfId="6244" xr:uid="{00000000-0005-0000-0000-00004D060000}"/>
    <cellStyle name="Migliaia [0] 22 3" xfId="4753" xr:uid="{00000000-0005-0000-0000-00004E060000}"/>
    <cellStyle name="Migliaia [0] 22 4" xfId="5698" xr:uid="{00000000-0005-0000-0000-00004F060000}"/>
    <cellStyle name="Migliaia [0] 23" xfId="448" xr:uid="{00000000-0005-0000-0000-000050060000}"/>
    <cellStyle name="Migliaia [0] 23 2" xfId="2024" xr:uid="{00000000-0005-0000-0000-000051060000}"/>
    <cellStyle name="Migliaia [0] 23 2 2" xfId="5323" xr:uid="{00000000-0005-0000-0000-000052060000}"/>
    <cellStyle name="Migliaia [0] 23 2 3" xfId="6245" xr:uid="{00000000-0005-0000-0000-000053060000}"/>
    <cellStyle name="Migliaia [0] 23 3" xfId="4754" xr:uid="{00000000-0005-0000-0000-000054060000}"/>
    <cellStyle name="Migliaia [0] 23 4" xfId="5699" xr:uid="{00000000-0005-0000-0000-000055060000}"/>
    <cellStyle name="Migliaia [0] 24" xfId="449" xr:uid="{00000000-0005-0000-0000-000056060000}"/>
    <cellStyle name="Migliaia [0] 24 2" xfId="2025" xr:uid="{00000000-0005-0000-0000-000057060000}"/>
    <cellStyle name="Migliaia [0] 24 2 2" xfId="5324" xr:uid="{00000000-0005-0000-0000-000058060000}"/>
    <cellStyle name="Migliaia [0] 24 2 3" xfId="6246" xr:uid="{00000000-0005-0000-0000-000059060000}"/>
    <cellStyle name="Migliaia [0] 24 3" xfId="4755" xr:uid="{00000000-0005-0000-0000-00005A060000}"/>
    <cellStyle name="Migliaia [0] 24 4" xfId="5700" xr:uid="{00000000-0005-0000-0000-00005B060000}"/>
    <cellStyle name="Migliaia [0] 25" xfId="450" xr:uid="{00000000-0005-0000-0000-00005C060000}"/>
    <cellStyle name="Migliaia [0] 25 2" xfId="2026" xr:uid="{00000000-0005-0000-0000-00005D060000}"/>
    <cellStyle name="Migliaia [0] 25 2 2" xfId="5325" xr:uid="{00000000-0005-0000-0000-00005E060000}"/>
    <cellStyle name="Migliaia [0] 25 2 3" xfId="6247" xr:uid="{00000000-0005-0000-0000-00005F060000}"/>
    <cellStyle name="Migliaia [0] 25 3" xfId="4756" xr:uid="{00000000-0005-0000-0000-000060060000}"/>
    <cellStyle name="Migliaia [0] 25 4" xfId="5701" xr:uid="{00000000-0005-0000-0000-000061060000}"/>
    <cellStyle name="Migliaia [0] 26" xfId="451" xr:uid="{00000000-0005-0000-0000-000062060000}"/>
    <cellStyle name="Migliaia [0] 26 2" xfId="2027" xr:uid="{00000000-0005-0000-0000-000063060000}"/>
    <cellStyle name="Migliaia [0] 26 2 2" xfId="5326" xr:uid="{00000000-0005-0000-0000-000064060000}"/>
    <cellStyle name="Migliaia [0] 26 2 3" xfId="6248" xr:uid="{00000000-0005-0000-0000-000065060000}"/>
    <cellStyle name="Migliaia [0] 26 3" xfId="4757" xr:uid="{00000000-0005-0000-0000-000066060000}"/>
    <cellStyle name="Migliaia [0] 26 4" xfId="5702" xr:uid="{00000000-0005-0000-0000-000067060000}"/>
    <cellStyle name="Migliaia [0] 27" xfId="452" xr:uid="{00000000-0005-0000-0000-000068060000}"/>
    <cellStyle name="Migliaia [0] 27 2" xfId="2028" xr:uid="{00000000-0005-0000-0000-000069060000}"/>
    <cellStyle name="Migliaia [0] 27 2 2" xfId="5327" xr:uid="{00000000-0005-0000-0000-00006A060000}"/>
    <cellStyle name="Migliaia [0] 27 2 3" xfId="6249" xr:uid="{00000000-0005-0000-0000-00006B060000}"/>
    <cellStyle name="Migliaia [0] 27 3" xfId="4758" xr:uid="{00000000-0005-0000-0000-00006C060000}"/>
    <cellStyle name="Migliaia [0] 27 4" xfId="5703" xr:uid="{00000000-0005-0000-0000-00006D060000}"/>
    <cellStyle name="Migliaia [0] 28" xfId="453" xr:uid="{00000000-0005-0000-0000-00006E060000}"/>
    <cellStyle name="Migliaia [0] 28 2" xfId="2029" xr:uid="{00000000-0005-0000-0000-00006F060000}"/>
    <cellStyle name="Migliaia [0] 28 2 2" xfId="5328" xr:uid="{00000000-0005-0000-0000-000070060000}"/>
    <cellStyle name="Migliaia [0] 28 2 3" xfId="6250" xr:uid="{00000000-0005-0000-0000-000071060000}"/>
    <cellStyle name="Migliaia [0] 28 3" xfId="4759" xr:uid="{00000000-0005-0000-0000-000072060000}"/>
    <cellStyle name="Migliaia [0] 28 4" xfId="5704" xr:uid="{00000000-0005-0000-0000-000073060000}"/>
    <cellStyle name="Migliaia [0] 29" xfId="454" xr:uid="{00000000-0005-0000-0000-000074060000}"/>
    <cellStyle name="Migliaia [0] 29 2" xfId="2030" xr:uid="{00000000-0005-0000-0000-000075060000}"/>
    <cellStyle name="Migliaia [0] 29 2 2" xfId="5329" xr:uid="{00000000-0005-0000-0000-000076060000}"/>
    <cellStyle name="Migliaia [0] 29 2 3" xfId="6251" xr:uid="{00000000-0005-0000-0000-000077060000}"/>
    <cellStyle name="Migliaia [0] 29 3" xfId="4760" xr:uid="{00000000-0005-0000-0000-000078060000}"/>
    <cellStyle name="Migliaia [0] 29 4" xfId="5705" xr:uid="{00000000-0005-0000-0000-000079060000}"/>
    <cellStyle name="Migliaia [0] 3" xfId="455" xr:uid="{00000000-0005-0000-0000-00007A060000}"/>
    <cellStyle name="Migliaia [0] 3 2" xfId="2031" xr:uid="{00000000-0005-0000-0000-00007B060000}"/>
    <cellStyle name="Migliaia [0] 3 2 2" xfId="5330" xr:uid="{00000000-0005-0000-0000-00007C060000}"/>
    <cellStyle name="Migliaia [0] 3 2 3" xfId="6252" xr:uid="{00000000-0005-0000-0000-00007D060000}"/>
    <cellStyle name="Migliaia [0] 3 3" xfId="4761" xr:uid="{00000000-0005-0000-0000-00007E060000}"/>
    <cellStyle name="Migliaia [0] 3 4" xfId="5706" xr:uid="{00000000-0005-0000-0000-00007F060000}"/>
    <cellStyle name="Migliaia [0] 30" xfId="456" xr:uid="{00000000-0005-0000-0000-000080060000}"/>
    <cellStyle name="Migliaia [0] 30 2" xfId="2032" xr:uid="{00000000-0005-0000-0000-000081060000}"/>
    <cellStyle name="Migliaia [0] 30 2 2" xfId="5331" xr:uid="{00000000-0005-0000-0000-000082060000}"/>
    <cellStyle name="Migliaia [0] 30 2 3" xfId="6253" xr:uid="{00000000-0005-0000-0000-000083060000}"/>
    <cellStyle name="Migliaia [0] 30 3" xfId="4762" xr:uid="{00000000-0005-0000-0000-000084060000}"/>
    <cellStyle name="Migliaia [0] 30 4" xfId="5707" xr:uid="{00000000-0005-0000-0000-000085060000}"/>
    <cellStyle name="Migliaia [0] 31" xfId="457" xr:uid="{00000000-0005-0000-0000-000086060000}"/>
    <cellStyle name="Migliaia [0] 31 2" xfId="2033" xr:uid="{00000000-0005-0000-0000-000087060000}"/>
    <cellStyle name="Migliaia [0] 31 2 2" xfId="5332" xr:uid="{00000000-0005-0000-0000-000088060000}"/>
    <cellStyle name="Migliaia [0] 31 2 3" xfId="6254" xr:uid="{00000000-0005-0000-0000-000089060000}"/>
    <cellStyle name="Migliaia [0] 31 3" xfId="4763" xr:uid="{00000000-0005-0000-0000-00008A060000}"/>
    <cellStyle name="Migliaia [0] 31 4" xfId="5708" xr:uid="{00000000-0005-0000-0000-00008B060000}"/>
    <cellStyle name="Migliaia [0] 32" xfId="458" xr:uid="{00000000-0005-0000-0000-00008C060000}"/>
    <cellStyle name="Migliaia [0] 32 2" xfId="2034" xr:uid="{00000000-0005-0000-0000-00008D060000}"/>
    <cellStyle name="Migliaia [0] 32 2 2" xfId="5333" xr:uid="{00000000-0005-0000-0000-00008E060000}"/>
    <cellStyle name="Migliaia [0] 32 2 3" xfId="6255" xr:uid="{00000000-0005-0000-0000-00008F060000}"/>
    <cellStyle name="Migliaia [0] 32 3" xfId="4764" xr:uid="{00000000-0005-0000-0000-000090060000}"/>
    <cellStyle name="Migliaia [0] 32 4" xfId="5709" xr:uid="{00000000-0005-0000-0000-000091060000}"/>
    <cellStyle name="Migliaia [0] 33" xfId="459" xr:uid="{00000000-0005-0000-0000-000092060000}"/>
    <cellStyle name="Migliaia [0] 33 2" xfId="2035" xr:uid="{00000000-0005-0000-0000-000093060000}"/>
    <cellStyle name="Migliaia [0] 33 2 2" xfId="5334" xr:uid="{00000000-0005-0000-0000-000094060000}"/>
    <cellStyle name="Migliaia [0] 33 2 3" xfId="6256" xr:uid="{00000000-0005-0000-0000-000095060000}"/>
    <cellStyle name="Migliaia [0] 33 3" xfId="4765" xr:uid="{00000000-0005-0000-0000-000096060000}"/>
    <cellStyle name="Migliaia [0] 33 4" xfId="5710" xr:uid="{00000000-0005-0000-0000-000097060000}"/>
    <cellStyle name="Migliaia [0] 34" xfId="460" xr:uid="{00000000-0005-0000-0000-000098060000}"/>
    <cellStyle name="Migliaia [0] 34 2" xfId="2036" xr:uid="{00000000-0005-0000-0000-000099060000}"/>
    <cellStyle name="Migliaia [0] 34 2 2" xfId="5335" xr:uid="{00000000-0005-0000-0000-00009A060000}"/>
    <cellStyle name="Migliaia [0] 34 2 3" xfId="6257" xr:uid="{00000000-0005-0000-0000-00009B060000}"/>
    <cellStyle name="Migliaia [0] 34 3" xfId="4766" xr:uid="{00000000-0005-0000-0000-00009C060000}"/>
    <cellStyle name="Migliaia [0] 34 4" xfId="5711" xr:uid="{00000000-0005-0000-0000-00009D060000}"/>
    <cellStyle name="Migliaia [0] 35" xfId="461" xr:uid="{00000000-0005-0000-0000-00009E060000}"/>
    <cellStyle name="Migliaia [0] 35 2" xfId="2037" xr:uid="{00000000-0005-0000-0000-00009F060000}"/>
    <cellStyle name="Migliaia [0] 35 2 2" xfId="5336" xr:uid="{00000000-0005-0000-0000-0000A0060000}"/>
    <cellStyle name="Migliaia [0] 35 2 3" xfId="6258" xr:uid="{00000000-0005-0000-0000-0000A1060000}"/>
    <cellStyle name="Migliaia [0] 35 3" xfId="4767" xr:uid="{00000000-0005-0000-0000-0000A2060000}"/>
    <cellStyle name="Migliaia [0] 35 4" xfId="5712" xr:uid="{00000000-0005-0000-0000-0000A3060000}"/>
    <cellStyle name="Migliaia [0] 36" xfId="462" xr:uid="{00000000-0005-0000-0000-0000A4060000}"/>
    <cellStyle name="Migliaia [0] 36 2" xfId="2038" xr:uid="{00000000-0005-0000-0000-0000A5060000}"/>
    <cellStyle name="Migliaia [0] 36 2 2" xfId="5337" xr:uid="{00000000-0005-0000-0000-0000A6060000}"/>
    <cellStyle name="Migliaia [0] 36 2 3" xfId="6259" xr:uid="{00000000-0005-0000-0000-0000A7060000}"/>
    <cellStyle name="Migliaia [0] 36 3" xfId="4768" xr:uid="{00000000-0005-0000-0000-0000A8060000}"/>
    <cellStyle name="Migliaia [0] 36 4" xfId="5713" xr:uid="{00000000-0005-0000-0000-0000A9060000}"/>
    <cellStyle name="Migliaia [0] 37" xfId="463" xr:uid="{00000000-0005-0000-0000-0000AA060000}"/>
    <cellStyle name="Migliaia [0] 37 2" xfId="2039" xr:uid="{00000000-0005-0000-0000-0000AB060000}"/>
    <cellStyle name="Migliaia [0] 37 2 2" xfId="5338" xr:uid="{00000000-0005-0000-0000-0000AC060000}"/>
    <cellStyle name="Migliaia [0] 37 2 3" xfId="6260" xr:uid="{00000000-0005-0000-0000-0000AD060000}"/>
    <cellStyle name="Migliaia [0] 37 3" xfId="4769" xr:uid="{00000000-0005-0000-0000-0000AE060000}"/>
    <cellStyle name="Migliaia [0] 37 4" xfId="5714" xr:uid="{00000000-0005-0000-0000-0000AF060000}"/>
    <cellStyle name="Migliaia [0] 38" xfId="464" xr:uid="{00000000-0005-0000-0000-0000B0060000}"/>
    <cellStyle name="Migliaia [0] 38 2" xfId="2040" xr:uid="{00000000-0005-0000-0000-0000B1060000}"/>
    <cellStyle name="Migliaia [0] 38 2 2" xfId="5339" xr:uid="{00000000-0005-0000-0000-0000B2060000}"/>
    <cellStyle name="Migliaia [0] 38 2 3" xfId="6261" xr:uid="{00000000-0005-0000-0000-0000B3060000}"/>
    <cellStyle name="Migliaia [0] 38 3" xfId="4770" xr:uid="{00000000-0005-0000-0000-0000B4060000}"/>
    <cellStyle name="Migliaia [0] 38 4" xfId="5715" xr:uid="{00000000-0005-0000-0000-0000B5060000}"/>
    <cellStyle name="Migliaia [0] 39" xfId="465" xr:uid="{00000000-0005-0000-0000-0000B6060000}"/>
    <cellStyle name="Migliaia [0] 39 2" xfId="2041" xr:uid="{00000000-0005-0000-0000-0000B7060000}"/>
    <cellStyle name="Migliaia [0] 39 2 2" xfId="5340" xr:uid="{00000000-0005-0000-0000-0000B8060000}"/>
    <cellStyle name="Migliaia [0] 39 2 3" xfId="6262" xr:uid="{00000000-0005-0000-0000-0000B9060000}"/>
    <cellStyle name="Migliaia [0] 39 3" xfId="4771" xr:uid="{00000000-0005-0000-0000-0000BA060000}"/>
    <cellStyle name="Migliaia [0] 39 4" xfId="5716" xr:uid="{00000000-0005-0000-0000-0000BB060000}"/>
    <cellStyle name="Migliaia [0] 4" xfId="466" xr:uid="{00000000-0005-0000-0000-0000BC060000}"/>
    <cellStyle name="Migliaia [0] 4 2" xfId="2042" xr:uid="{00000000-0005-0000-0000-0000BD060000}"/>
    <cellStyle name="Migliaia [0] 4 2 2" xfId="5341" xr:uid="{00000000-0005-0000-0000-0000BE060000}"/>
    <cellStyle name="Migliaia [0] 4 2 3" xfId="6263" xr:uid="{00000000-0005-0000-0000-0000BF060000}"/>
    <cellStyle name="Migliaia [0] 4 3" xfId="4772" xr:uid="{00000000-0005-0000-0000-0000C0060000}"/>
    <cellStyle name="Migliaia [0] 4 4" xfId="5717" xr:uid="{00000000-0005-0000-0000-0000C1060000}"/>
    <cellStyle name="Migliaia [0] 40" xfId="467" xr:uid="{00000000-0005-0000-0000-0000C2060000}"/>
    <cellStyle name="Migliaia [0] 40 2" xfId="2043" xr:uid="{00000000-0005-0000-0000-0000C3060000}"/>
    <cellStyle name="Migliaia [0] 40 2 2" xfId="5342" xr:uid="{00000000-0005-0000-0000-0000C4060000}"/>
    <cellStyle name="Migliaia [0] 40 2 3" xfId="6264" xr:uid="{00000000-0005-0000-0000-0000C5060000}"/>
    <cellStyle name="Migliaia [0] 40 3" xfId="4773" xr:uid="{00000000-0005-0000-0000-0000C6060000}"/>
    <cellStyle name="Migliaia [0] 40 4" xfId="5718" xr:uid="{00000000-0005-0000-0000-0000C7060000}"/>
    <cellStyle name="Migliaia [0] 41" xfId="468" xr:uid="{00000000-0005-0000-0000-0000C8060000}"/>
    <cellStyle name="Migliaia [0] 41 2" xfId="2044" xr:uid="{00000000-0005-0000-0000-0000C9060000}"/>
    <cellStyle name="Migliaia [0] 41 2 2" xfId="5343" xr:uid="{00000000-0005-0000-0000-0000CA060000}"/>
    <cellStyle name="Migliaia [0] 41 2 3" xfId="6265" xr:uid="{00000000-0005-0000-0000-0000CB060000}"/>
    <cellStyle name="Migliaia [0] 41 3" xfId="4774" xr:uid="{00000000-0005-0000-0000-0000CC060000}"/>
    <cellStyle name="Migliaia [0] 41 4" xfId="5719" xr:uid="{00000000-0005-0000-0000-0000CD060000}"/>
    <cellStyle name="Migliaia [0] 42" xfId="469" xr:uid="{00000000-0005-0000-0000-0000CE060000}"/>
    <cellStyle name="Migliaia [0] 42 2" xfId="2045" xr:uid="{00000000-0005-0000-0000-0000CF060000}"/>
    <cellStyle name="Migliaia [0] 42 2 2" xfId="5344" xr:uid="{00000000-0005-0000-0000-0000D0060000}"/>
    <cellStyle name="Migliaia [0] 42 2 3" xfId="6266" xr:uid="{00000000-0005-0000-0000-0000D1060000}"/>
    <cellStyle name="Migliaia [0] 42 3" xfId="4775" xr:uid="{00000000-0005-0000-0000-0000D2060000}"/>
    <cellStyle name="Migliaia [0] 42 4" xfId="5720" xr:uid="{00000000-0005-0000-0000-0000D3060000}"/>
    <cellStyle name="Migliaia [0] 43" xfId="470" xr:uid="{00000000-0005-0000-0000-0000D4060000}"/>
    <cellStyle name="Migliaia [0] 43 2" xfId="2046" xr:uid="{00000000-0005-0000-0000-0000D5060000}"/>
    <cellStyle name="Migliaia [0] 43 2 2" xfId="5345" xr:uid="{00000000-0005-0000-0000-0000D6060000}"/>
    <cellStyle name="Migliaia [0] 43 2 3" xfId="6267" xr:uid="{00000000-0005-0000-0000-0000D7060000}"/>
    <cellStyle name="Migliaia [0] 43 3" xfId="4776" xr:uid="{00000000-0005-0000-0000-0000D8060000}"/>
    <cellStyle name="Migliaia [0] 43 4" xfId="5721" xr:uid="{00000000-0005-0000-0000-0000D9060000}"/>
    <cellStyle name="Migliaia [0] 44" xfId="471" xr:uid="{00000000-0005-0000-0000-0000DA060000}"/>
    <cellStyle name="Migliaia [0] 44 2" xfId="2047" xr:uid="{00000000-0005-0000-0000-0000DB060000}"/>
    <cellStyle name="Migliaia [0] 44 2 2" xfId="5346" xr:uid="{00000000-0005-0000-0000-0000DC060000}"/>
    <cellStyle name="Migliaia [0] 44 2 3" xfId="6268" xr:uid="{00000000-0005-0000-0000-0000DD060000}"/>
    <cellStyle name="Migliaia [0] 44 3" xfId="4777" xr:uid="{00000000-0005-0000-0000-0000DE060000}"/>
    <cellStyle name="Migliaia [0] 44 4" xfId="5722" xr:uid="{00000000-0005-0000-0000-0000DF060000}"/>
    <cellStyle name="Migliaia [0] 45" xfId="472" xr:uid="{00000000-0005-0000-0000-0000E0060000}"/>
    <cellStyle name="Migliaia [0] 45 2" xfId="2048" xr:uid="{00000000-0005-0000-0000-0000E1060000}"/>
    <cellStyle name="Migliaia [0] 45 2 2" xfId="5347" xr:uid="{00000000-0005-0000-0000-0000E2060000}"/>
    <cellStyle name="Migliaia [0] 45 2 3" xfId="6269" xr:uid="{00000000-0005-0000-0000-0000E3060000}"/>
    <cellStyle name="Migliaia [0] 45 3" xfId="4778" xr:uid="{00000000-0005-0000-0000-0000E4060000}"/>
    <cellStyle name="Migliaia [0] 45 4" xfId="5723" xr:uid="{00000000-0005-0000-0000-0000E5060000}"/>
    <cellStyle name="Migliaia [0] 46" xfId="473" xr:uid="{00000000-0005-0000-0000-0000E6060000}"/>
    <cellStyle name="Migliaia [0] 46 2" xfId="2049" xr:uid="{00000000-0005-0000-0000-0000E7060000}"/>
    <cellStyle name="Migliaia [0] 46 2 2" xfId="5348" xr:uid="{00000000-0005-0000-0000-0000E8060000}"/>
    <cellStyle name="Migliaia [0] 46 2 3" xfId="6270" xr:uid="{00000000-0005-0000-0000-0000E9060000}"/>
    <cellStyle name="Migliaia [0] 46 3" xfId="4779" xr:uid="{00000000-0005-0000-0000-0000EA060000}"/>
    <cellStyle name="Migliaia [0] 46 4" xfId="5724" xr:uid="{00000000-0005-0000-0000-0000EB060000}"/>
    <cellStyle name="Migliaia [0] 47" xfId="474" xr:uid="{00000000-0005-0000-0000-0000EC060000}"/>
    <cellStyle name="Migliaia [0] 47 2" xfId="2050" xr:uid="{00000000-0005-0000-0000-0000ED060000}"/>
    <cellStyle name="Migliaia [0] 47 2 2" xfId="5349" xr:uid="{00000000-0005-0000-0000-0000EE060000}"/>
    <cellStyle name="Migliaia [0] 47 2 3" xfId="6271" xr:uid="{00000000-0005-0000-0000-0000EF060000}"/>
    <cellStyle name="Migliaia [0] 47 3" xfId="4780" xr:uid="{00000000-0005-0000-0000-0000F0060000}"/>
    <cellStyle name="Migliaia [0] 47 4" xfId="5725" xr:uid="{00000000-0005-0000-0000-0000F1060000}"/>
    <cellStyle name="Migliaia [0] 48" xfId="475" xr:uid="{00000000-0005-0000-0000-0000F2060000}"/>
    <cellStyle name="Migliaia [0] 48 2" xfId="2051" xr:uid="{00000000-0005-0000-0000-0000F3060000}"/>
    <cellStyle name="Migliaia [0] 48 2 2" xfId="5350" xr:uid="{00000000-0005-0000-0000-0000F4060000}"/>
    <cellStyle name="Migliaia [0] 48 2 3" xfId="6272" xr:uid="{00000000-0005-0000-0000-0000F5060000}"/>
    <cellStyle name="Migliaia [0] 48 3" xfId="4781" xr:uid="{00000000-0005-0000-0000-0000F6060000}"/>
    <cellStyle name="Migliaia [0] 48 4" xfId="5726" xr:uid="{00000000-0005-0000-0000-0000F7060000}"/>
    <cellStyle name="Migliaia [0] 49" xfId="476" xr:uid="{00000000-0005-0000-0000-0000F8060000}"/>
    <cellStyle name="Migliaia [0] 49 2" xfId="2052" xr:uid="{00000000-0005-0000-0000-0000F9060000}"/>
    <cellStyle name="Migliaia [0] 49 2 2" xfId="5351" xr:uid="{00000000-0005-0000-0000-0000FA060000}"/>
    <cellStyle name="Migliaia [0] 49 2 3" xfId="6273" xr:uid="{00000000-0005-0000-0000-0000FB060000}"/>
    <cellStyle name="Migliaia [0] 49 3" xfId="4782" xr:uid="{00000000-0005-0000-0000-0000FC060000}"/>
    <cellStyle name="Migliaia [0] 49 4" xfId="5727" xr:uid="{00000000-0005-0000-0000-0000FD060000}"/>
    <cellStyle name="Migliaia [0] 5" xfId="477" xr:uid="{00000000-0005-0000-0000-0000FE060000}"/>
    <cellStyle name="Migliaia [0] 5 2" xfId="2053" xr:uid="{00000000-0005-0000-0000-0000FF060000}"/>
    <cellStyle name="Migliaia [0] 5 2 2" xfId="5352" xr:uid="{00000000-0005-0000-0000-000000070000}"/>
    <cellStyle name="Migliaia [0] 5 2 3" xfId="6274" xr:uid="{00000000-0005-0000-0000-000001070000}"/>
    <cellStyle name="Migliaia [0] 5 3" xfId="4783" xr:uid="{00000000-0005-0000-0000-000002070000}"/>
    <cellStyle name="Migliaia [0] 5 4" xfId="5728" xr:uid="{00000000-0005-0000-0000-000003070000}"/>
    <cellStyle name="Migliaia [0] 50" xfId="478" xr:uid="{00000000-0005-0000-0000-000004070000}"/>
    <cellStyle name="Migliaia [0] 50 2" xfId="2054" xr:uid="{00000000-0005-0000-0000-000005070000}"/>
    <cellStyle name="Migliaia [0] 50 2 2" xfId="5353" xr:uid="{00000000-0005-0000-0000-000006070000}"/>
    <cellStyle name="Migliaia [0] 50 2 3" xfId="6275" xr:uid="{00000000-0005-0000-0000-000007070000}"/>
    <cellStyle name="Migliaia [0] 50 3" xfId="4784" xr:uid="{00000000-0005-0000-0000-000008070000}"/>
    <cellStyle name="Migliaia [0] 50 4" xfId="5729" xr:uid="{00000000-0005-0000-0000-000009070000}"/>
    <cellStyle name="Migliaia [0] 51" xfId="479" xr:uid="{00000000-0005-0000-0000-00000A070000}"/>
    <cellStyle name="Migliaia [0] 51 2" xfId="2055" xr:uid="{00000000-0005-0000-0000-00000B070000}"/>
    <cellStyle name="Migliaia [0] 51 2 2" xfId="5354" xr:uid="{00000000-0005-0000-0000-00000C070000}"/>
    <cellStyle name="Migliaia [0] 51 2 3" xfId="6276" xr:uid="{00000000-0005-0000-0000-00000D070000}"/>
    <cellStyle name="Migliaia [0] 51 3" xfId="4785" xr:uid="{00000000-0005-0000-0000-00000E070000}"/>
    <cellStyle name="Migliaia [0] 51 4" xfId="5730" xr:uid="{00000000-0005-0000-0000-00000F070000}"/>
    <cellStyle name="Migliaia [0] 52" xfId="480" xr:uid="{00000000-0005-0000-0000-000010070000}"/>
    <cellStyle name="Migliaia [0] 52 2" xfId="2056" xr:uid="{00000000-0005-0000-0000-000011070000}"/>
    <cellStyle name="Migliaia [0] 52 2 2" xfId="5355" xr:uid="{00000000-0005-0000-0000-000012070000}"/>
    <cellStyle name="Migliaia [0] 52 2 3" xfId="6277" xr:uid="{00000000-0005-0000-0000-000013070000}"/>
    <cellStyle name="Migliaia [0] 52 3" xfId="4786" xr:uid="{00000000-0005-0000-0000-000014070000}"/>
    <cellStyle name="Migliaia [0] 52 4" xfId="5731" xr:uid="{00000000-0005-0000-0000-000015070000}"/>
    <cellStyle name="Migliaia [0] 53" xfId="481" xr:uid="{00000000-0005-0000-0000-000016070000}"/>
    <cellStyle name="Migliaia [0] 53 2" xfId="2057" xr:uid="{00000000-0005-0000-0000-000017070000}"/>
    <cellStyle name="Migliaia [0] 53 2 2" xfId="5356" xr:uid="{00000000-0005-0000-0000-000018070000}"/>
    <cellStyle name="Migliaia [0] 53 2 3" xfId="6278" xr:uid="{00000000-0005-0000-0000-000019070000}"/>
    <cellStyle name="Migliaia [0] 53 3" xfId="4787" xr:uid="{00000000-0005-0000-0000-00001A070000}"/>
    <cellStyle name="Migliaia [0] 53 4" xfId="5732" xr:uid="{00000000-0005-0000-0000-00001B070000}"/>
    <cellStyle name="Migliaia [0] 54" xfId="482" xr:uid="{00000000-0005-0000-0000-00001C070000}"/>
    <cellStyle name="Migliaia [0] 54 2" xfId="2058" xr:uid="{00000000-0005-0000-0000-00001D070000}"/>
    <cellStyle name="Migliaia [0] 54 2 2" xfId="5357" xr:uid="{00000000-0005-0000-0000-00001E070000}"/>
    <cellStyle name="Migliaia [0] 54 2 3" xfId="6279" xr:uid="{00000000-0005-0000-0000-00001F070000}"/>
    <cellStyle name="Migliaia [0] 54 3" xfId="4788" xr:uid="{00000000-0005-0000-0000-000020070000}"/>
    <cellStyle name="Migliaia [0] 54 4" xfId="5733" xr:uid="{00000000-0005-0000-0000-000021070000}"/>
    <cellStyle name="Migliaia [0] 55" xfId="483" xr:uid="{00000000-0005-0000-0000-000022070000}"/>
    <cellStyle name="Migliaia [0] 55 2" xfId="2059" xr:uid="{00000000-0005-0000-0000-000023070000}"/>
    <cellStyle name="Migliaia [0] 55 2 2" xfId="5358" xr:uid="{00000000-0005-0000-0000-000024070000}"/>
    <cellStyle name="Migliaia [0] 55 2 3" xfId="6280" xr:uid="{00000000-0005-0000-0000-000025070000}"/>
    <cellStyle name="Migliaia [0] 55 3" xfId="4789" xr:uid="{00000000-0005-0000-0000-000026070000}"/>
    <cellStyle name="Migliaia [0] 55 4" xfId="5734" xr:uid="{00000000-0005-0000-0000-000027070000}"/>
    <cellStyle name="Migliaia [0] 56" xfId="484" xr:uid="{00000000-0005-0000-0000-000028070000}"/>
    <cellStyle name="Migliaia [0] 56 2" xfId="2060" xr:uid="{00000000-0005-0000-0000-000029070000}"/>
    <cellStyle name="Migliaia [0] 56 2 2" xfId="5359" xr:uid="{00000000-0005-0000-0000-00002A070000}"/>
    <cellStyle name="Migliaia [0] 56 2 3" xfId="6281" xr:uid="{00000000-0005-0000-0000-00002B070000}"/>
    <cellStyle name="Migliaia [0] 56 3" xfId="4790" xr:uid="{00000000-0005-0000-0000-00002C070000}"/>
    <cellStyle name="Migliaia [0] 56 4" xfId="5735" xr:uid="{00000000-0005-0000-0000-00002D070000}"/>
    <cellStyle name="Migliaia [0] 57" xfId="485" xr:uid="{00000000-0005-0000-0000-00002E070000}"/>
    <cellStyle name="Migliaia [0] 57 2" xfId="2061" xr:uid="{00000000-0005-0000-0000-00002F070000}"/>
    <cellStyle name="Migliaia [0] 57 2 2" xfId="5360" xr:uid="{00000000-0005-0000-0000-000030070000}"/>
    <cellStyle name="Migliaia [0] 57 2 3" xfId="6282" xr:uid="{00000000-0005-0000-0000-000031070000}"/>
    <cellStyle name="Migliaia [0] 57 3" xfId="4791" xr:uid="{00000000-0005-0000-0000-000032070000}"/>
    <cellStyle name="Migliaia [0] 57 4" xfId="5736" xr:uid="{00000000-0005-0000-0000-000033070000}"/>
    <cellStyle name="Migliaia [0] 58" xfId="486" xr:uid="{00000000-0005-0000-0000-000034070000}"/>
    <cellStyle name="Migliaia [0] 58 2" xfId="2062" xr:uid="{00000000-0005-0000-0000-000035070000}"/>
    <cellStyle name="Migliaia [0] 58 2 2" xfId="5361" xr:uid="{00000000-0005-0000-0000-000036070000}"/>
    <cellStyle name="Migliaia [0] 58 2 3" xfId="6283" xr:uid="{00000000-0005-0000-0000-000037070000}"/>
    <cellStyle name="Migliaia [0] 58 3" xfId="4792" xr:uid="{00000000-0005-0000-0000-000038070000}"/>
    <cellStyle name="Migliaia [0] 58 4" xfId="5737" xr:uid="{00000000-0005-0000-0000-000039070000}"/>
    <cellStyle name="Migliaia [0] 59" xfId="487" xr:uid="{00000000-0005-0000-0000-00003A070000}"/>
    <cellStyle name="Migliaia [0] 59 2" xfId="2063" xr:uid="{00000000-0005-0000-0000-00003B070000}"/>
    <cellStyle name="Migliaia [0] 59 2 2" xfId="5362" xr:uid="{00000000-0005-0000-0000-00003C070000}"/>
    <cellStyle name="Migliaia [0] 59 2 3" xfId="6284" xr:uid="{00000000-0005-0000-0000-00003D070000}"/>
    <cellStyle name="Migliaia [0] 59 3" xfId="4793" xr:uid="{00000000-0005-0000-0000-00003E070000}"/>
    <cellStyle name="Migliaia [0] 59 4" xfId="5738" xr:uid="{00000000-0005-0000-0000-00003F070000}"/>
    <cellStyle name="Migliaia [0] 6" xfId="488" xr:uid="{00000000-0005-0000-0000-000040070000}"/>
    <cellStyle name="Migliaia [0] 6 2" xfId="2064" xr:uid="{00000000-0005-0000-0000-000041070000}"/>
    <cellStyle name="Migliaia [0] 6 2 2" xfId="5363" xr:uid="{00000000-0005-0000-0000-000042070000}"/>
    <cellStyle name="Migliaia [0] 6 2 3" xfId="6285" xr:uid="{00000000-0005-0000-0000-000043070000}"/>
    <cellStyle name="Migliaia [0] 6 3" xfId="4794" xr:uid="{00000000-0005-0000-0000-000044070000}"/>
    <cellStyle name="Migliaia [0] 6 4" xfId="5739" xr:uid="{00000000-0005-0000-0000-000045070000}"/>
    <cellStyle name="Migliaia [0] 7" xfId="489" xr:uid="{00000000-0005-0000-0000-000046070000}"/>
    <cellStyle name="Migliaia [0] 7 2" xfId="2065" xr:uid="{00000000-0005-0000-0000-000047070000}"/>
    <cellStyle name="Migliaia [0] 7 2 2" xfId="5364" xr:uid="{00000000-0005-0000-0000-000048070000}"/>
    <cellStyle name="Migliaia [0] 7 2 3" xfId="6286" xr:uid="{00000000-0005-0000-0000-000049070000}"/>
    <cellStyle name="Migliaia [0] 7 3" xfId="4795" xr:uid="{00000000-0005-0000-0000-00004A070000}"/>
    <cellStyle name="Migliaia [0] 7 4" xfId="5740" xr:uid="{00000000-0005-0000-0000-00004B070000}"/>
    <cellStyle name="Migliaia [0] 8" xfId="490" xr:uid="{00000000-0005-0000-0000-00004C070000}"/>
    <cellStyle name="Migliaia [0] 8 2" xfId="2066" xr:uid="{00000000-0005-0000-0000-00004D070000}"/>
    <cellStyle name="Migliaia [0] 8 2 2" xfId="5365" xr:uid="{00000000-0005-0000-0000-00004E070000}"/>
    <cellStyle name="Migliaia [0] 8 2 3" xfId="6287" xr:uid="{00000000-0005-0000-0000-00004F070000}"/>
    <cellStyle name="Migliaia [0] 8 3" xfId="4796" xr:uid="{00000000-0005-0000-0000-000050070000}"/>
    <cellStyle name="Migliaia [0] 8 4" xfId="5741" xr:uid="{00000000-0005-0000-0000-000051070000}"/>
    <cellStyle name="Migliaia [0] 9" xfId="491" xr:uid="{00000000-0005-0000-0000-000052070000}"/>
    <cellStyle name="Migliaia [0] 9 2" xfId="2067" xr:uid="{00000000-0005-0000-0000-000053070000}"/>
    <cellStyle name="Migliaia [0] 9 2 2" xfId="5366" xr:uid="{00000000-0005-0000-0000-000054070000}"/>
    <cellStyle name="Migliaia [0] 9 2 3" xfId="6288" xr:uid="{00000000-0005-0000-0000-000055070000}"/>
    <cellStyle name="Migliaia [0] 9 3" xfId="4797" xr:uid="{00000000-0005-0000-0000-000056070000}"/>
    <cellStyle name="Migliaia [0] 9 4" xfId="5742" xr:uid="{00000000-0005-0000-0000-000057070000}"/>
    <cellStyle name="Migliaia 10" xfId="492" xr:uid="{00000000-0005-0000-0000-000058070000}"/>
    <cellStyle name="Migliaia 10 2" xfId="493" xr:uid="{00000000-0005-0000-0000-000059070000}"/>
    <cellStyle name="Migliaia 10 2 2" xfId="2312" xr:uid="{00000000-0005-0000-0000-00005A070000}"/>
    <cellStyle name="Migliaia 10 2 2 2" xfId="5372" xr:uid="{00000000-0005-0000-0000-00005B070000}"/>
    <cellStyle name="Migliaia 10 2 2 3" xfId="6294" xr:uid="{00000000-0005-0000-0000-00005C070000}"/>
    <cellStyle name="Migliaia 10 2 3" xfId="4865" xr:uid="{00000000-0005-0000-0000-00005D070000}"/>
    <cellStyle name="Migliaia 10 2 4" xfId="5744" xr:uid="{00000000-0005-0000-0000-00005E070000}"/>
    <cellStyle name="Migliaia 10 3" xfId="494" xr:uid="{00000000-0005-0000-0000-00005F070000}"/>
    <cellStyle name="Migliaia 10 3 2" xfId="495" xr:uid="{00000000-0005-0000-0000-000060070000}"/>
    <cellStyle name="Migliaia 10 3 2 2" xfId="4939" xr:uid="{00000000-0005-0000-0000-000061070000}"/>
    <cellStyle name="Migliaia 10 3 2 3" xfId="5746" xr:uid="{00000000-0005-0000-0000-000062070000}"/>
    <cellStyle name="Migliaia 10 3 3" xfId="496" xr:uid="{00000000-0005-0000-0000-000063070000}"/>
    <cellStyle name="Migliaia 10 3 3 2" xfId="2314" xr:uid="{00000000-0005-0000-0000-000064070000}"/>
    <cellStyle name="Migliaia 10 3 3 2 2" xfId="5374" xr:uid="{00000000-0005-0000-0000-000065070000}"/>
    <cellStyle name="Migliaia 10 3 3 2 3" xfId="6296" xr:uid="{00000000-0005-0000-0000-000066070000}"/>
    <cellStyle name="Migliaia 10 3 3 3" xfId="4940" xr:uid="{00000000-0005-0000-0000-000067070000}"/>
    <cellStyle name="Migliaia 10 3 3 4" xfId="5747" xr:uid="{00000000-0005-0000-0000-000068070000}"/>
    <cellStyle name="Migliaia 10 3 4" xfId="2313" xr:uid="{00000000-0005-0000-0000-000069070000}"/>
    <cellStyle name="Migliaia 10 3 4 2" xfId="5373" xr:uid="{00000000-0005-0000-0000-00006A070000}"/>
    <cellStyle name="Migliaia 10 3 4 3" xfId="6295" xr:uid="{00000000-0005-0000-0000-00006B070000}"/>
    <cellStyle name="Migliaia 10 3 5" xfId="4938" xr:uid="{00000000-0005-0000-0000-00006C070000}"/>
    <cellStyle name="Migliaia 10 3 6" xfId="5745" xr:uid="{00000000-0005-0000-0000-00006D070000}"/>
    <cellStyle name="Migliaia 10 4" xfId="497" xr:uid="{00000000-0005-0000-0000-00006E070000}"/>
    <cellStyle name="Migliaia 10 4 2" xfId="498" xr:uid="{00000000-0005-0000-0000-00006F070000}"/>
    <cellStyle name="Migliaia 10 4 2 2" xfId="2316" xr:uid="{00000000-0005-0000-0000-000070070000}"/>
    <cellStyle name="Migliaia 10 4 2 2 2" xfId="5376" xr:uid="{00000000-0005-0000-0000-000071070000}"/>
    <cellStyle name="Migliaia 10 4 2 2 3" xfId="6298" xr:uid="{00000000-0005-0000-0000-000072070000}"/>
    <cellStyle name="Migliaia 10 4 2 3" xfId="4942" xr:uid="{00000000-0005-0000-0000-000073070000}"/>
    <cellStyle name="Migliaia 10 4 2 4" xfId="5749" xr:uid="{00000000-0005-0000-0000-000074070000}"/>
    <cellStyle name="Migliaia 10 4 3" xfId="2315" xr:uid="{00000000-0005-0000-0000-000075070000}"/>
    <cellStyle name="Migliaia 10 4 3 2" xfId="5375" xr:uid="{00000000-0005-0000-0000-000076070000}"/>
    <cellStyle name="Migliaia 10 4 3 3" xfId="6297" xr:uid="{00000000-0005-0000-0000-000077070000}"/>
    <cellStyle name="Migliaia 10 4 4" xfId="4941" xr:uid="{00000000-0005-0000-0000-000078070000}"/>
    <cellStyle name="Migliaia 10 4 5" xfId="5748" xr:uid="{00000000-0005-0000-0000-000079070000}"/>
    <cellStyle name="Migliaia 10 5" xfId="499" xr:uid="{00000000-0005-0000-0000-00007A070000}"/>
    <cellStyle name="Migliaia 10 5 2" xfId="4943" xr:uid="{00000000-0005-0000-0000-00007B070000}"/>
    <cellStyle name="Migliaia 10 5 3" xfId="5750" xr:uid="{00000000-0005-0000-0000-00007C070000}"/>
    <cellStyle name="Migliaia 10 6" xfId="4798" xr:uid="{00000000-0005-0000-0000-00007D070000}"/>
    <cellStyle name="Migliaia 10 7" xfId="5743" xr:uid="{00000000-0005-0000-0000-00007E070000}"/>
    <cellStyle name="Migliaia 11" xfId="500" xr:uid="{00000000-0005-0000-0000-00007F070000}"/>
    <cellStyle name="Migliaia 11 2" xfId="501" xr:uid="{00000000-0005-0000-0000-000080070000}"/>
    <cellStyle name="Migliaia 11 2 2" xfId="2317" xr:uid="{00000000-0005-0000-0000-000081070000}"/>
    <cellStyle name="Migliaia 11 2 2 2" xfId="5377" xr:uid="{00000000-0005-0000-0000-000082070000}"/>
    <cellStyle name="Migliaia 11 2 2 3" xfId="6299" xr:uid="{00000000-0005-0000-0000-000083070000}"/>
    <cellStyle name="Migliaia 11 2 3" xfId="4866" xr:uid="{00000000-0005-0000-0000-000084070000}"/>
    <cellStyle name="Migliaia 11 2 4" xfId="5752" xr:uid="{00000000-0005-0000-0000-000085070000}"/>
    <cellStyle name="Migliaia 11 3" xfId="502" xr:uid="{00000000-0005-0000-0000-000086070000}"/>
    <cellStyle name="Migliaia 11 3 2" xfId="503" xr:uid="{00000000-0005-0000-0000-000087070000}"/>
    <cellStyle name="Migliaia 11 3 2 2" xfId="4945" xr:uid="{00000000-0005-0000-0000-000088070000}"/>
    <cellStyle name="Migliaia 11 3 2 3" xfId="5754" xr:uid="{00000000-0005-0000-0000-000089070000}"/>
    <cellStyle name="Migliaia 11 3 3" xfId="504" xr:uid="{00000000-0005-0000-0000-00008A070000}"/>
    <cellStyle name="Migliaia 11 3 3 2" xfId="2319" xr:uid="{00000000-0005-0000-0000-00008B070000}"/>
    <cellStyle name="Migliaia 11 3 3 2 2" xfId="5379" xr:uid="{00000000-0005-0000-0000-00008C070000}"/>
    <cellStyle name="Migliaia 11 3 3 2 3" xfId="6301" xr:uid="{00000000-0005-0000-0000-00008D070000}"/>
    <cellStyle name="Migliaia 11 3 3 3" xfId="4946" xr:uid="{00000000-0005-0000-0000-00008E070000}"/>
    <cellStyle name="Migliaia 11 3 3 4" xfId="5755" xr:uid="{00000000-0005-0000-0000-00008F070000}"/>
    <cellStyle name="Migliaia 11 3 4" xfId="2318" xr:uid="{00000000-0005-0000-0000-000090070000}"/>
    <cellStyle name="Migliaia 11 3 4 2" xfId="5378" xr:uid="{00000000-0005-0000-0000-000091070000}"/>
    <cellStyle name="Migliaia 11 3 4 3" xfId="6300" xr:uid="{00000000-0005-0000-0000-000092070000}"/>
    <cellStyle name="Migliaia 11 3 5" xfId="4944" xr:uid="{00000000-0005-0000-0000-000093070000}"/>
    <cellStyle name="Migliaia 11 3 6" xfId="5753" xr:uid="{00000000-0005-0000-0000-000094070000}"/>
    <cellStyle name="Migliaia 11 4" xfId="505" xr:uid="{00000000-0005-0000-0000-000095070000}"/>
    <cellStyle name="Migliaia 11 4 2" xfId="506" xr:uid="{00000000-0005-0000-0000-000096070000}"/>
    <cellStyle name="Migliaia 11 4 2 2" xfId="2321" xr:uid="{00000000-0005-0000-0000-000097070000}"/>
    <cellStyle name="Migliaia 11 4 2 2 2" xfId="5381" xr:uid="{00000000-0005-0000-0000-000098070000}"/>
    <cellStyle name="Migliaia 11 4 2 2 3" xfId="6303" xr:uid="{00000000-0005-0000-0000-000099070000}"/>
    <cellStyle name="Migliaia 11 4 2 3" xfId="4948" xr:uid="{00000000-0005-0000-0000-00009A070000}"/>
    <cellStyle name="Migliaia 11 4 2 4" xfId="5757" xr:uid="{00000000-0005-0000-0000-00009B070000}"/>
    <cellStyle name="Migliaia 11 4 3" xfId="2320" xr:uid="{00000000-0005-0000-0000-00009C070000}"/>
    <cellStyle name="Migliaia 11 4 3 2" xfId="5380" xr:uid="{00000000-0005-0000-0000-00009D070000}"/>
    <cellStyle name="Migliaia 11 4 3 3" xfId="6302" xr:uid="{00000000-0005-0000-0000-00009E070000}"/>
    <cellStyle name="Migliaia 11 4 4" xfId="4947" xr:uid="{00000000-0005-0000-0000-00009F070000}"/>
    <cellStyle name="Migliaia 11 4 5" xfId="5756" xr:uid="{00000000-0005-0000-0000-0000A0070000}"/>
    <cellStyle name="Migliaia 11 5" xfId="507" xr:uid="{00000000-0005-0000-0000-0000A1070000}"/>
    <cellStyle name="Migliaia 11 5 2" xfId="4949" xr:uid="{00000000-0005-0000-0000-0000A2070000}"/>
    <cellStyle name="Migliaia 11 5 3" xfId="5758" xr:uid="{00000000-0005-0000-0000-0000A3070000}"/>
    <cellStyle name="Migliaia 11 6" xfId="4799" xr:uid="{00000000-0005-0000-0000-0000A4070000}"/>
    <cellStyle name="Migliaia 11 7" xfId="5751" xr:uid="{00000000-0005-0000-0000-0000A5070000}"/>
    <cellStyle name="Migliaia 12" xfId="508" xr:uid="{00000000-0005-0000-0000-0000A6070000}"/>
    <cellStyle name="Migliaia 12 2" xfId="509" xr:uid="{00000000-0005-0000-0000-0000A7070000}"/>
    <cellStyle name="Migliaia 12 2 2" xfId="2322" xr:uid="{00000000-0005-0000-0000-0000A8070000}"/>
    <cellStyle name="Migliaia 12 2 2 2" xfId="5382" xr:uid="{00000000-0005-0000-0000-0000A9070000}"/>
    <cellStyle name="Migliaia 12 2 2 3" xfId="6304" xr:uid="{00000000-0005-0000-0000-0000AA070000}"/>
    <cellStyle name="Migliaia 12 2 3" xfId="4867" xr:uid="{00000000-0005-0000-0000-0000AB070000}"/>
    <cellStyle name="Migliaia 12 2 4" xfId="5760" xr:uid="{00000000-0005-0000-0000-0000AC070000}"/>
    <cellStyle name="Migliaia 12 3" xfId="510" xr:uid="{00000000-0005-0000-0000-0000AD070000}"/>
    <cellStyle name="Migliaia 12 3 2" xfId="511" xr:uid="{00000000-0005-0000-0000-0000AE070000}"/>
    <cellStyle name="Migliaia 12 3 2 2" xfId="4951" xr:uid="{00000000-0005-0000-0000-0000AF070000}"/>
    <cellStyle name="Migliaia 12 3 2 3" xfId="5762" xr:uid="{00000000-0005-0000-0000-0000B0070000}"/>
    <cellStyle name="Migliaia 12 3 3" xfId="512" xr:uid="{00000000-0005-0000-0000-0000B1070000}"/>
    <cellStyle name="Migliaia 12 3 3 2" xfId="2324" xr:uid="{00000000-0005-0000-0000-0000B2070000}"/>
    <cellStyle name="Migliaia 12 3 3 2 2" xfId="5384" xr:uid="{00000000-0005-0000-0000-0000B3070000}"/>
    <cellStyle name="Migliaia 12 3 3 2 3" xfId="6306" xr:uid="{00000000-0005-0000-0000-0000B4070000}"/>
    <cellStyle name="Migliaia 12 3 3 3" xfId="4952" xr:uid="{00000000-0005-0000-0000-0000B5070000}"/>
    <cellStyle name="Migliaia 12 3 3 4" xfId="5763" xr:uid="{00000000-0005-0000-0000-0000B6070000}"/>
    <cellStyle name="Migliaia 12 3 4" xfId="2323" xr:uid="{00000000-0005-0000-0000-0000B7070000}"/>
    <cellStyle name="Migliaia 12 3 4 2" xfId="5383" xr:uid="{00000000-0005-0000-0000-0000B8070000}"/>
    <cellStyle name="Migliaia 12 3 4 3" xfId="6305" xr:uid="{00000000-0005-0000-0000-0000B9070000}"/>
    <cellStyle name="Migliaia 12 3 5" xfId="4950" xr:uid="{00000000-0005-0000-0000-0000BA070000}"/>
    <cellStyle name="Migliaia 12 3 6" xfId="5761" xr:uid="{00000000-0005-0000-0000-0000BB070000}"/>
    <cellStyle name="Migliaia 12 4" xfId="513" xr:uid="{00000000-0005-0000-0000-0000BC070000}"/>
    <cellStyle name="Migliaia 12 4 2" xfId="514" xr:uid="{00000000-0005-0000-0000-0000BD070000}"/>
    <cellStyle name="Migliaia 12 4 2 2" xfId="2326" xr:uid="{00000000-0005-0000-0000-0000BE070000}"/>
    <cellStyle name="Migliaia 12 4 2 2 2" xfId="5386" xr:uid="{00000000-0005-0000-0000-0000BF070000}"/>
    <cellStyle name="Migliaia 12 4 2 2 3" xfId="6308" xr:uid="{00000000-0005-0000-0000-0000C0070000}"/>
    <cellStyle name="Migliaia 12 4 2 3" xfId="4954" xr:uid="{00000000-0005-0000-0000-0000C1070000}"/>
    <cellStyle name="Migliaia 12 4 2 4" xfId="5765" xr:uid="{00000000-0005-0000-0000-0000C2070000}"/>
    <cellStyle name="Migliaia 12 4 3" xfId="2325" xr:uid="{00000000-0005-0000-0000-0000C3070000}"/>
    <cellStyle name="Migliaia 12 4 3 2" xfId="5385" xr:uid="{00000000-0005-0000-0000-0000C4070000}"/>
    <cellStyle name="Migliaia 12 4 3 3" xfId="6307" xr:uid="{00000000-0005-0000-0000-0000C5070000}"/>
    <cellStyle name="Migliaia 12 4 4" xfId="4953" xr:uid="{00000000-0005-0000-0000-0000C6070000}"/>
    <cellStyle name="Migliaia 12 4 5" xfId="5764" xr:uid="{00000000-0005-0000-0000-0000C7070000}"/>
    <cellStyle name="Migliaia 12 5" xfId="515" xr:uid="{00000000-0005-0000-0000-0000C8070000}"/>
    <cellStyle name="Migliaia 12 5 2" xfId="4955" xr:uid="{00000000-0005-0000-0000-0000C9070000}"/>
    <cellStyle name="Migliaia 12 5 3" xfId="5766" xr:uid="{00000000-0005-0000-0000-0000CA070000}"/>
    <cellStyle name="Migliaia 12 6" xfId="4800" xr:uid="{00000000-0005-0000-0000-0000CB070000}"/>
    <cellStyle name="Migliaia 12 7" xfId="5759" xr:uid="{00000000-0005-0000-0000-0000CC070000}"/>
    <cellStyle name="Migliaia 13" xfId="516" xr:uid="{00000000-0005-0000-0000-0000CD070000}"/>
    <cellStyle name="Migliaia 13 2" xfId="517" xr:uid="{00000000-0005-0000-0000-0000CE070000}"/>
    <cellStyle name="Migliaia 13 2 2" xfId="2327" xr:uid="{00000000-0005-0000-0000-0000CF070000}"/>
    <cellStyle name="Migliaia 13 2 2 2" xfId="5387" xr:uid="{00000000-0005-0000-0000-0000D0070000}"/>
    <cellStyle name="Migliaia 13 2 2 3" xfId="6309" xr:uid="{00000000-0005-0000-0000-0000D1070000}"/>
    <cellStyle name="Migliaia 13 2 3" xfId="4868" xr:uid="{00000000-0005-0000-0000-0000D2070000}"/>
    <cellStyle name="Migliaia 13 2 4" xfId="5768" xr:uid="{00000000-0005-0000-0000-0000D3070000}"/>
    <cellStyle name="Migliaia 13 3" xfId="518" xr:uid="{00000000-0005-0000-0000-0000D4070000}"/>
    <cellStyle name="Migliaia 13 3 2" xfId="519" xr:uid="{00000000-0005-0000-0000-0000D5070000}"/>
    <cellStyle name="Migliaia 13 3 2 2" xfId="4957" xr:uid="{00000000-0005-0000-0000-0000D6070000}"/>
    <cellStyle name="Migliaia 13 3 2 3" xfId="5770" xr:uid="{00000000-0005-0000-0000-0000D7070000}"/>
    <cellStyle name="Migliaia 13 3 3" xfId="520" xr:uid="{00000000-0005-0000-0000-0000D8070000}"/>
    <cellStyle name="Migliaia 13 3 3 2" xfId="2329" xr:uid="{00000000-0005-0000-0000-0000D9070000}"/>
    <cellStyle name="Migliaia 13 3 3 2 2" xfId="5389" xr:uid="{00000000-0005-0000-0000-0000DA070000}"/>
    <cellStyle name="Migliaia 13 3 3 2 3" xfId="6311" xr:uid="{00000000-0005-0000-0000-0000DB070000}"/>
    <cellStyle name="Migliaia 13 3 3 3" xfId="4958" xr:uid="{00000000-0005-0000-0000-0000DC070000}"/>
    <cellStyle name="Migliaia 13 3 3 4" xfId="5771" xr:uid="{00000000-0005-0000-0000-0000DD070000}"/>
    <cellStyle name="Migliaia 13 3 4" xfId="2328" xr:uid="{00000000-0005-0000-0000-0000DE070000}"/>
    <cellStyle name="Migliaia 13 3 4 2" xfId="5388" xr:uid="{00000000-0005-0000-0000-0000DF070000}"/>
    <cellStyle name="Migliaia 13 3 4 3" xfId="6310" xr:uid="{00000000-0005-0000-0000-0000E0070000}"/>
    <cellStyle name="Migliaia 13 3 5" xfId="4956" xr:uid="{00000000-0005-0000-0000-0000E1070000}"/>
    <cellStyle name="Migliaia 13 3 6" xfId="5769" xr:uid="{00000000-0005-0000-0000-0000E2070000}"/>
    <cellStyle name="Migliaia 13 4" xfId="521" xr:uid="{00000000-0005-0000-0000-0000E3070000}"/>
    <cellStyle name="Migliaia 13 4 2" xfId="522" xr:uid="{00000000-0005-0000-0000-0000E4070000}"/>
    <cellStyle name="Migliaia 13 4 2 2" xfId="2331" xr:uid="{00000000-0005-0000-0000-0000E5070000}"/>
    <cellStyle name="Migliaia 13 4 2 2 2" xfId="5391" xr:uid="{00000000-0005-0000-0000-0000E6070000}"/>
    <cellStyle name="Migliaia 13 4 2 2 3" xfId="6313" xr:uid="{00000000-0005-0000-0000-0000E7070000}"/>
    <cellStyle name="Migliaia 13 4 2 3" xfId="4960" xr:uid="{00000000-0005-0000-0000-0000E8070000}"/>
    <cellStyle name="Migliaia 13 4 2 4" xfId="5773" xr:uid="{00000000-0005-0000-0000-0000E9070000}"/>
    <cellStyle name="Migliaia 13 4 3" xfId="2330" xr:uid="{00000000-0005-0000-0000-0000EA070000}"/>
    <cellStyle name="Migliaia 13 4 3 2" xfId="5390" xr:uid="{00000000-0005-0000-0000-0000EB070000}"/>
    <cellStyle name="Migliaia 13 4 3 3" xfId="6312" xr:uid="{00000000-0005-0000-0000-0000EC070000}"/>
    <cellStyle name="Migliaia 13 4 4" xfId="4959" xr:uid="{00000000-0005-0000-0000-0000ED070000}"/>
    <cellStyle name="Migliaia 13 4 5" xfId="5772" xr:uid="{00000000-0005-0000-0000-0000EE070000}"/>
    <cellStyle name="Migliaia 13 5" xfId="523" xr:uid="{00000000-0005-0000-0000-0000EF070000}"/>
    <cellStyle name="Migliaia 13 5 2" xfId="4961" xr:uid="{00000000-0005-0000-0000-0000F0070000}"/>
    <cellStyle name="Migliaia 13 5 3" xfId="5774" xr:uid="{00000000-0005-0000-0000-0000F1070000}"/>
    <cellStyle name="Migliaia 13 6" xfId="4801" xr:uid="{00000000-0005-0000-0000-0000F2070000}"/>
    <cellStyle name="Migliaia 13 7" xfId="5767" xr:uid="{00000000-0005-0000-0000-0000F3070000}"/>
    <cellStyle name="Migliaia 14" xfId="524" xr:uid="{00000000-0005-0000-0000-0000F4070000}"/>
    <cellStyle name="Migliaia 14 2" xfId="525" xr:uid="{00000000-0005-0000-0000-0000F5070000}"/>
    <cellStyle name="Migliaia 14 2 2" xfId="2332" xr:uid="{00000000-0005-0000-0000-0000F6070000}"/>
    <cellStyle name="Migliaia 14 2 2 2" xfId="5392" xr:uid="{00000000-0005-0000-0000-0000F7070000}"/>
    <cellStyle name="Migliaia 14 2 2 3" xfId="6314" xr:uid="{00000000-0005-0000-0000-0000F8070000}"/>
    <cellStyle name="Migliaia 14 2 3" xfId="4869" xr:uid="{00000000-0005-0000-0000-0000F9070000}"/>
    <cellStyle name="Migliaia 14 2 4" xfId="5776" xr:uid="{00000000-0005-0000-0000-0000FA070000}"/>
    <cellStyle name="Migliaia 14 3" xfId="526" xr:uid="{00000000-0005-0000-0000-0000FB070000}"/>
    <cellStyle name="Migliaia 14 3 2" xfId="527" xr:uid="{00000000-0005-0000-0000-0000FC070000}"/>
    <cellStyle name="Migliaia 14 3 2 2" xfId="4963" xr:uid="{00000000-0005-0000-0000-0000FD070000}"/>
    <cellStyle name="Migliaia 14 3 2 3" xfId="5778" xr:uid="{00000000-0005-0000-0000-0000FE070000}"/>
    <cellStyle name="Migliaia 14 3 3" xfId="528" xr:uid="{00000000-0005-0000-0000-0000FF070000}"/>
    <cellStyle name="Migliaia 14 3 3 2" xfId="2334" xr:uid="{00000000-0005-0000-0000-000000080000}"/>
    <cellStyle name="Migliaia 14 3 3 2 2" xfId="5394" xr:uid="{00000000-0005-0000-0000-000001080000}"/>
    <cellStyle name="Migliaia 14 3 3 2 3" xfId="6316" xr:uid="{00000000-0005-0000-0000-000002080000}"/>
    <cellStyle name="Migliaia 14 3 3 3" xfId="4964" xr:uid="{00000000-0005-0000-0000-000003080000}"/>
    <cellStyle name="Migliaia 14 3 3 4" xfId="5779" xr:uid="{00000000-0005-0000-0000-000004080000}"/>
    <cellStyle name="Migliaia 14 3 4" xfId="2333" xr:uid="{00000000-0005-0000-0000-000005080000}"/>
    <cellStyle name="Migliaia 14 3 4 2" xfId="5393" xr:uid="{00000000-0005-0000-0000-000006080000}"/>
    <cellStyle name="Migliaia 14 3 4 3" xfId="6315" xr:uid="{00000000-0005-0000-0000-000007080000}"/>
    <cellStyle name="Migliaia 14 3 5" xfId="4962" xr:uid="{00000000-0005-0000-0000-000008080000}"/>
    <cellStyle name="Migliaia 14 3 6" xfId="5777" xr:uid="{00000000-0005-0000-0000-000009080000}"/>
    <cellStyle name="Migliaia 14 4" xfId="529" xr:uid="{00000000-0005-0000-0000-00000A080000}"/>
    <cellStyle name="Migliaia 14 4 2" xfId="530" xr:uid="{00000000-0005-0000-0000-00000B080000}"/>
    <cellStyle name="Migliaia 14 4 2 2" xfId="2336" xr:uid="{00000000-0005-0000-0000-00000C080000}"/>
    <cellStyle name="Migliaia 14 4 2 2 2" xfId="5396" xr:uid="{00000000-0005-0000-0000-00000D080000}"/>
    <cellStyle name="Migliaia 14 4 2 2 3" xfId="6318" xr:uid="{00000000-0005-0000-0000-00000E080000}"/>
    <cellStyle name="Migliaia 14 4 2 3" xfId="4966" xr:uid="{00000000-0005-0000-0000-00000F080000}"/>
    <cellStyle name="Migliaia 14 4 2 4" xfId="5781" xr:uid="{00000000-0005-0000-0000-000010080000}"/>
    <cellStyle name="Migliaia 14 4 3" xfId="2335" xr:uid="{00000000-0005-0000-0000-000011080000}"/>
    <cellStyle name="Migliaia 14 4 3 2" xfId="5395" xr:uid="{00000000-0005-0000-0000-000012080000}"/>
    <cellStyle name="Migliaia 14 4 3 3" xfId="6317" xr:uid="{00000000-0005-0000-0000-000013080000}"/>
    <cellStyle name="Migliaia 14 4 4" xfId="4965" xr:uid="{00000000-0005-0000-0000-000014080000}"/>
    <cellStyle name="Migliaia 14 4 5" xfId="5780" xr:uid="{00000000-0005-0000-0000-000015080000}"/>
    <cellStyle name="Migliaia 14 5" xfId="531" xr:uid="{00000000-0005-0000-0000-000016080000}"/>
    <cellStyle name="Migliaia 14 5 2" xfId="4967" xr:uid="{00000000-0005-0000-0000-000017080000}"/>
    <cellStyle name="Migliaia 14 5 3" xfId="5782" xr:uid="{00000000-0005-0000-0000-000018080000}"/>
    <cellStyle name="Migliaia 14 6" xfId="4802" xr:uid="{00000000-0005-0000-0000-000019080000}"/>
    <cellStyle name="Migliaia 14 7" xfId="5775" xr:uid="{00000000-0005-0000-0000-00001A080000}"/>
    <cellStyle name="Migliaia 15" xfId="532" xr:uid="{00000000-0005-0000-0000-00001B080000}"/>
    <cellStyle name="Migliaia 15 2" xfId="533" xr:uid="{00000000-0005-0000-0000-00001C080000}"/>
    <cellStyle name="Migliaia 15 2 2" xfId="2337" xr:uid="{00000000-0005-0000-0000-00001D080000}"/>
    <cellStyle name="Migliaia 15 2 2 2" xfId="5397" xr:uid="{00000000-0005-0000-0000-00001E080000}"/>
    <cellStyle name="Migliaia 15 2 2 3" xfId="6319" xr:uid="{00000000-0005-0000-0000-00001F080000}"/>
    <cellStyle name="Migliaia 15 2 3" xfId="4870" xr:uid="{00000000-0005-0000-0000-000020080000}"/>
    <cellStyle name="Migliaia 15 2 4" xfId="5784" xr:uid="{00000000-0005-0000-0000-000021080000}"/>
    <cellStyle name="Migliaia 15 3" xfId="534" xr:uid="{00000000-0005-0000-0000-000022080000}"/>
    <cellStyle name="Migliaia 15 3 2" xfId="535" xr:uid="{00000000-0005-0000-0000-000023080000}"/>
    <cellStyle name="Migliaia 15 3 2 2" xfId="4969" xr:uid="{00000000-0005-0000-0000-000024080000}"/>
    <cellStyle name="Migliaia 15 3 2 3" xfId="5786" xr:uid="{00000000-0005-0000-0000-000025080000}"/>
    <cellStyle name="Migliaia 15 3 3" xfId="536" xr:uid="{00000000-0005-0000-0000-000026080000}"/>
    <cellStyle name="Migliaia 15 3 3 2" xfId="2339" xr:uid="{00000000-0005-0000-0000-000027080000}"/>
    <cellStyle name="Migliaia 15 3 3 2 2" xfId="5399" xr:uid="{00000000-0005-0000-0000-000028080000}"/>
    <cellStyle name="Migliaia 15 3 3 2 3" xfId="6321" xr:uid="{00000000-0005-0000-0000-000029080000}"/>
    <cellStyle name="Migliaia 15 3 3 3" xfId="4970" xr:uid="{00000000-0005-0000-0000-00002A080000}"/>
    <cellStyle name="Migliaia 15 3 3 4" xfId="5787" xr:uid="{00000000-0005-0000-0000-00002B080000}"/>
    <cellStyle name="Migliaia 15 3 4" xfId="2338" xr:uid="{00000000-0005-0000-0000-00002C080000}"/>
    <cellStyle name="Migliaia 15 3 4 2" xfId="5398" xr:uid="{00000000-0005-0000-0000-00002D080000}"/>
    <cellStyle name="Migliaia 15 3 4 3" xfId="6320" xr:uid="{00000000-0005-0000-0000-00002E080000}"/>
    <cellStyle name="Migliaia 15 3 5" xfId="4968" xr:uid="{00000000-0005-0000-0000-00002F080000}"/>
    <cellStyle name="Migliaia 15 3 6" xfId="5785" xr:uid="{00000000-0005-0000-0000-000030080000}"/>
    <cellStyle name="Migliaia 15 4" xfId="537" xr:uid="{00000000-0005-0000-0000-000031080000}"/>
    <cellStyle name="Migliaia 15 4 2" xfId="538" xr:uid="{00000000-0005-0000-0000-000032080000}"/>
    <cellStyle name="Migliaia 15 4 2 2" xfId="2341" xr:uid="{00000000-0005-0000-0000-000033080000}"/>
    <cellStyle name="Migliaia 15 4 2 2 2" xfId="5401" xr:uid="{00000000-0005-0000-0000-000034080000}"/>
    <cellStyle name="Migliaia 15 4 2 2 3" xfId="6323" xr:uid="{00000000-0005-0000-0000-000035080000}"/>
    <cellStyle name="Migliaia 15 4 2 3" xfId="4972" xr:uid="{00000000-0005-0000-0000-000036080000}"/>
    <cellStyle name="Migliaia 15 4 2 4" xfId="5789" xr:uid="{00000000-0005-0000-0000-000037080000}"/>
    <cellStyle name="Migliaia 15 4 3" xfId="2340" xr:uid="{00000000-0005-0000-0000-000038080000}"/>
    <cellStyle name="Migliaia 15 4 3 2" xfId="5400" xr:uid="{00000000-0005-0000-0000-000039080000}"/>
    <cellStyle name="Migliaia 15 4 3 3" xfId="6322" xr:uid="{00000000-0005-0000-0000-00003A080000}"/>
    <cellStyle name="Migliaia 15 4 4" xfId="4971" xr:uid="{00000000-0005-0000-0000-00003B080000}"/>
    <cellStyle name="Migliaia 15 4 5" xfId="5788" xr:uid="{00000000-0005-0000-0000-00003C080000}"/>
    <cellStyle name="Migliaia 15 5" xfId="539" xr:uid="{00000000-0005-0000-0000-00003D080000}"/>
    <cellStyle name="Migliaia 15 5 2" xfId="4973" xr:uid="{00000000-0005-0000-0000-00003E080000}"/>
    <cellStyle name="Migliaia 15 5 3" xfId="5790" xr:uid="{00000000-0005-0000-0000-00003F080000}"/>
    <cellStyle name="Migliaia 15 6" xfId="4803" xr:uid="{00000000-0005-0000-0000-000040080000}"/>
    <cellStyle name="Migliaia 15 7" xfId="5783" xr:uid="{00000000-0005-0000-0000-000041080000}"/>
    <cellStyle name="Migliaia 16" xfId="540" xr:uid="{00000000-0005-0000-0000-000042080000}"/>
    <cellStyle name="Migliaia 16 2" xfId="541" xr:uid="{00000000-0005-0000-0000-000043080000}"/>
    <cellStyle name="Migliaia 16 2 2" xfId="2342" xr:uid="{00000000-0005-0000-0000-000044080000}"/>
    <cellStyle name="Migliaia 16 2 2 2" xfId="5402" xr:uid="{00000000-0005-0000-0000-000045080000}"/>
    <cellStyle name="Migliaia 16 2 2 3" xfId="6324" xr:uid="{00000000-0005-0000-0000-000046080000}"/>
    <cellStyle name="Migliaia 16 2 3" xfId="4871" xr:uid="{00000000-0005-0000-0000-000047080000}"/>
    <cellStyle name="Migliaia 16 2 4" xfId="5792" xr:uid="{00000000-0005-0000-0000-000048080000}"/>
    <cellStyle name="Migliaia 16 3" xfId="542" xr:uid="{00000000-0005-0000-0000-000049080000}"/>
    <cellStyle name="Migliaia 16 3 2" xfId="543" xr:uid="{00000000-0005-0000-0000-00004A080000}"/>
    <cellStyle name="Migliaia 16 3 2 2" xfId="4975" xr:uid="{00000000-0005-0000-0000-00004B080000}"/>
    <cellStyle name="Migliaia 16 3 2 3" xfId="5794" xr:uid="{00000000-0005-0000-0000-00004C080000}"/>
    <cellStyle name="Migliaia 16 3 3" xfId="544" xr:uid="{00000000-0005-0000-0000-00004D080000}"/>
    <cellStyle name="Migliaia 16 3 3 2" xfId="2344" xr:uid="{00000000-0005-0000-0000-00004E080000}"/>
    <cellStyle name="Migliaia 16 3 3 2 2" xfId="5404" xr:uid="{00000000-0005-0000-0000-00004F080000}"/>
    <cellStyle name="Migliaia 16 3 3 2 3" xfId="6326" xr:uid="{00000000-0005-0000-0000-000050080000}"/>
    <cellStyle name="Migliaia 16 3 3 3" xfId="4976" xr:uid="{00000000-0005-0000-0000-000051080000}"/>
    <cellStyle name="Migliaia 16 3 3 4" xfId="5795" xr:uid="{00000000-0005-0000-0000-000052080000}"/>
    <cellStyle name="Migliaia 16 3 4" xfId="2343" xr:uid="{00000000-0005-0000-0000-000053080000}"/>
    <cellStyle name="Migliaia 16 3 4 2" xfId="5403" xr:uid="{00000000-0005-0000-0000-000054080000}"/>
    <cellStyle name="Migliaia 16 3 4 3" xfId="6325" xr:uid="{00000000-0005-0000-0000-000055080000}"/>
    <cellStyle name="Migliaia 16 3 5" xfId="4974" xr:uid="{00000000-0005-0000-0000-000056080000}"/>
    <cellStyle name="Migliaia 16 3 6" xfId="5793" xr:uid="{00000000-0005-0000-0000-000057080000}"/>
    <cellStyle name="Migliaia 16 4" xfId="545" xr:uid="{00000000-0005-0000-0000-000058080000}"/>
    <cellStyle name="Migliaia 16 4 2" xfId="546" xr:uid="{00000000-0005-0000-0000-000059080000}"/>
    <cellStyle name="Migliaia 16 4 2 2" xfId="2346" xr:uid="{00000000-0005-0000-0000-00005A080000}"/>
    <cellStyle name="Migliaia 16 4 2 2 2" xfId="5406" xr:uid="{00000000-0005-0000-0000-00005B080000}"/>
    <cellStyle name="Migliaia 16 4 2 2 3" xfId="6328" xr:uid="{00000000-0005-0000-0000-00005C080000}"/>
    <cellStyle name="Migliaia 16 4 2 3" xfId="4978" xr:uid="{00000000-0005-0000-0000-00005D080000}"/>
    <cellStyle name="Migliaia 16 4 2 4" xfId="5797" xr:uid="{00000000-0005-0000-0000-00005E080000}"/>
    <cellStyle name="Migliaia 16 4 3" xfId="2345" xr:uid="{00000000-0005-0000-0000-00005F080000}"/>
    <cellStyle name="Migliaia 16 4 3 2" xfId="5405" xr:uid="{00000000-0005-0000-0000-000060080000}"/>
    <cellStyle name="Migliaia 16 4 3 3" xfId="6327" xr:uid="{00000000-0005-0000-0000-000061080000}"/>
    <cellStyle name="Migliaia 16 4 4" xfId="4977" xr:uid="{00000000-0005-0000-0000-000062080000}"/>
    <cellStyle name="Migliaia 16 4 5" xfId="5796" xr:uid="{00000000-0005-0000-0000-000063080000}"/>
    <cellStyle name="Migliaia 16 5" xfId="547" xr:uid="{00000000-0005-0000-0000-000064080000}"/>
    <cellStyle name="Migliaia 16 5 2" xfId="4979" xr:uid="{00000000-0005-0000-0000-000065080000}"/>
    <cellStyle name="Migliaia 16 5 3" xfId="5798" xr:uid="{00000000-0005-0000-0000-000066080000}"/>
    <cellStyle name="Migliaia 16 6" xfId="4804" xr:uid="{00000000-0005-0000-0000-000067080000}"/>
    <cellStyle name="Migliaia 16 7" xfId="5791" xr:uid="{00000000-0005-0000-0000-000068080000}"/>
    <cellStyle name="Migliaia 17" xfId="548" xr:uid="{00000000-0005-0000-0000-000069080000}"/>
    <cellStyle name="Migliaia 17 2" xfId="549" xr:uid="{00000000-0005-0000-0000-00006A080000}"/>
    <cellStyle name="Migliaia 17 2 2" xfId="2347" xr:uid="{00000000-0005-0000-0000-00006B080000}"/>
    <cellStyle name="Migliaia 17 2 2 2" xfId="5407" xr:uid="{00000000-0005-0000-0000-00006C080000}"/>
    <cellStyle name="Migliaia 17 2 2 3" xfId="6329" xr:uid="{00000000-0005-0000-0000-00006D080000}"/>
    <cellStyle name="Migliaia 17 2 3" xfId="4872" xr:uid="{00000000-0005-0000-0000-00006E080000}"/>
    <cellStyle name="Migliaia 17 2 4" xfId="5800" xr:uid="{00000000-0005-0000-0000-00006F080000}"/>
    <cellStyle name="Migliaia 17 3" xfId="550" xr:uid="{00000000-0005-0000-0000-000070080000}"/>
    <cellStyle name="Migliaia 17 3 2" xfId="551" xr:uid="{00000000-0005-0000-0000-000071080000}"/>
    <cellStyle name="Migliaia 17 3 2 2" xfId="4981" xr:uid="{00000000-0005-0000-0000-000072080000}"/>
    <cellStyle name="Migliaia 17 3 2 3" xfId="5802" xr:uid="{00000000-0005-0000-0000-000073080000}"/>
    <cellStyle name="Migliaia 17 3 3" xfId="552" xr:uid="{00000000-0005-0000-0000-000074080000}"/>
    <cellStyle name="Migliaia 17 3 3 2" xfId="2349" xr:uid="{00000000-0005-0000-0000-000075080000}"/>
    <cellStyle name="Migliaia 17 3 3 2 2" xfId="5409" xr:uid="{00000000-0005-0000-0000-000076080000}"/>
    <cellStyle name="Migliaia 17 3 3 2 3" xfId="6331" xr:uid="{00000000-0005-0000-0000-000077080000}"/>
    <cellStyle name="Migliaia 17 3 3 3" xfId="4982" xr:uid="{00000000-0005-0000-0000-000078080000}"/>
    <cellStyle name="Migliaia 17 3 3 4" xfId="5803" xr:uid="{00000000-0005-0000-0000-000079080000}"/>
    <cellStyle name="Migliaia 17 3 4" xfId="2348" xr:uid="{00000000-0005-0000-0000-00007A080000}"/>
    <cellStyle name="Migliaia 17 3 4 2" xfId="5408" xr:uid="{00000000-0005-0000-0000-00007B080000}"/>
    <cellStyle name="Migliaia 17 3 4 3" xfId="6330" xr:uid="{00000000-0005-0000-0000-00007C080000}"/>
    <cellStyle name="Migliaia 17 3 5" xfId="4980" xr:uid="{00000000-0005-0000-0000-00007D080000}"/>
    <cellStyle name="Migliaia 17 3 6" xfId="5801" xr:uid="{00000000-0005-0000-0000-00007E080000}"/>
    <cellStyle name="Migliaia 17 4" xfId="553" xr:uid="{00000000-0005-0000-0000-00007F080000}"/>
    <cellStyle name="Migliaia 17 4 2" xfId="554" xr:uid="{00000000-0005-0000-0000-000080080000}"/>
    <cellStyle name="Migliaia 17 4 2 2" xfId="2351" xr:uid="{00000000-0005-0000-0000-000081080000}"/>
    <cellStyle name="Migliaia 17 4 2 2 2" xfId="5411" xr:uid="{00000000-0005-0000-0000-000082080000}"/>
    <cellStyle name="Migliaia 17 4 2 2 3" xfId="6333" xr:uid="{00000000-0005-0000-0000-000083080000}"/>
    <cellStyle name="Migliaia 17 4 2 3" xfId="4984" xr:uid="{00000000-0005-0000-0000-000084080000}"/>
    <cellStyle name="Migliaia 17 4 2 4" xfId="5805" xr:uid="{00000000-0005-0000-0000-000085080000}"/>
    <cellStyle name="Migliaia 17 4 3" xfId="2350" xr:uid="{00000000-0005-0000-0000-000086080000}"/>
    <cellStyle name="Migliaia 17 4 3 2" xfId="5410" xr:uid="{00000000-0005-0000-0000-000087080000}"/>
    <cellStyle name="Migliaia 17 4 3 3" xfId="6332" xr:uid="{00000000-0005-0000-0000-000088080000}"/>
    <cellStyle name="Migliaia 17 4 4" xfId="4983" xr:uid="{00000000-0005-0000-0000-000089080000}"/>
    <cellStyle name="Migliaia 17 4 5" xfId="5804" xr:uid="{00000000-0005-0000-0000-00008A080000}"/>
    <cellStyle name="Migliaia 17 5" xfId="555" xr:uid="{00000000-0005-0000-0000-00008B080000}"/>
    <cellStyle name="Migliaia 17 5 2" xfId="4985" xr:uid="{00000000-0005-0000-0000-00008C080000}"/>
    <cellStyle name="Migliaia 17 5 3" xfId="5806" xr:uid="{00000000-0005-0000-0000-00008D080000}"/>
    <cellStyle name="Migliaia 17 6" xfId="4805" xr:uid="{00000000-0005-0000-0000-00008E080000}"/>
    <cellStyle name="Migliaia 17 7" xfId="5799" xr:uid="{00000000-0005-0000-0000-00008F080000}"/>
    <cellStyle name="Migliaia 18" xfId="556" xr:uid="{00000000-0005-0000-0000-000090080000}"/>
    <cellStyle name="Migliaia 18 2" xfId="557" xr:uid="{00000000-0005-0000-0000-000091080000}"/>
    <cellStyle name="Migliaia 18 2 2" xfId="2352" xr:uid="{00000000-0005-0000-0000-000092080000}"/>
    <cellStyle name="Migliaia 18 2 2 2" xfId="5412" xr:uid="{00000000-0005-0000-0000-000093080000}"/>
    <cellStyle name="Migliaia 18 2 2 3" xfId="6334" xr:uid="{00000000-0005-0000-0000-000094080000}"/>
    <cellStyle name="Migliaia 18 2 3" xfId="4873" xr:uid="{00000000-0005-0000-0000-000095080000}"/>
    <cellStyle name="Migliaia 18 2 4" xfId="5808" xr:uid="{00000000-0005-0000-0000-000096080000}"/>
    <cellStyle name="Migliaia 18 3" xfId="558" xr:uid="{00000000-0005-0000-0000-000097080000}"/>
    <cellStyle name="Migliaia 18 3 2" xfId="559" xr:uid="{00000000-0005-0000-0000-000098080000}"/>
    <cellStyle name="Migliaia 18 3 2 2" xfId="4987" xr:uid="{00000000-0005-0000-0000-000099080000}"/>
    <cellStyle name="Migliaia 18 3 2 3" xfId="5810" xr:uid="{00000000-0005-0000-0000-00009A080000}"/>
    <cellStyle name="Migliaia 18 3 3" xfId="560" xr:uid="{00000000-0005-0000-0000-00009B080000}"/>
    <cellStyle name="Migliaia 18 3 3 2" xfId="2354" xr:uid="{00000000-0005-0000-0000-00009C080000}"/>
    <cellStyle name="Migliaia 18 3 3 2 2" xfId="5414" xr:uid="{00000000-0005-0000-0000-00009D080000}"/>
    <cellStyle name="Migliaia 18 3 3 2 3" xfId="6336" xr:uid="{00000000-0005-0000-0000-00009E080000}"/>
    <cellStyle name="Migliaia 18 3 3 3" xfId="4988" xr:uid="{00000000-0005-0000-0000-00009F080000}"/>
    <cellStyle name="Migliaia 18 3 3 4" xfId="5811" xr:uid="{00000000-0005-0000-0000-0000A0080000}"/>
    <cellStyle name="Migliaia 18 3 4" xfId="2353" xr:uid="{00000000-0005-0000-0000-0000A1080000}"/>
    <cellStyle name="Migliaia 18 3 4 2" xfId="5413" xr:uid="{00000000-0005-0000-0000-0000A2080000}"/>
    <cellStyle name="Migliaia 18 3 4 3" xfId="6335" xr:uid="{00000000-0005-0000-0000-0000A3080000}"/>
    <cellStyle name="Migliaia 18 3 5" xfId="4986" xr:uid="{00000000-0005-0000-0000-0000A4080000}"/>
    <cellStyle name="Migliaia 18 3 6" xfId="5809" xr:uid="{00000000-0005-0000-0000-0000A5080000}"/>
    <cellStyle name="Migliaia 18 4" xfId="561" xr:uid="{00000000-0005-0000-0000-0000A6080000}"/>
    <cellStyle name="Migliaia 18 4 2" xfId="562" xr:uid="{00000000-0005-0000-0000-0000A7080000}"/>
    <cellStyle name="Migliaia 18 4 2 2" xfId="2356" xr:uid="{00000000-0005-0000-0000-0000A8080000}"/>
    <cellStyle name="Migliaia 18 4 2 2 2" xfId="5416" xr:uid="{00000000-0005-0000-0000-0000A9080000}"/>
    <cellStyle name="Migliaia 18 4 2 2 3" xfId="6338" xr:uid="{00000000-0005-0000-0000-0000AA080000}"/>
    <cellStyle name="Migliaia 18 4 2 3" xfId="4990" xr:uid="{00000000-0005-0000-0000-0000AB080000}"/>
    <cellStyle name="Migliaia 18 4 2 4" xfId="5813" xr:uid="{00000000-0005-0000-0000-0000AC080000}"/>
    <cellStyle name="Migliaia 18 4 3" xfId="2355" xr:uid="{00000000-0005-0000-0000-0000AD080000}"/>
    <cellStyle name="Migliaia 18 4 3 2" xfId="5415" xr:uid="{00000000-0005-0000-0000-0000AE080000}"/>
    <cellStyle name="Migliaia 18 4 3 3" xfId="6337" xr:uid="{00000000-0005-0000-0000-0000AF080000}"/>
    <cellStyle name="Migliaia 18 4 4" xfId="4989" xr:uid="{00000000-0005-0000-0000-0000B0080000}"/>
    <cellStyle name="Migliaia 18 4 5" xfId="5812" xr:uid="{00000000-0005-0000-0000-0000B1080000}"/>
    <cellStyle name="Migliaia 18 5" xfId="563" xr:uid="{00000000-0005-0000-0000-0000B2080000}"/>
    <cellStyle name="Migliaia 18 5 2" xfId="4991" xr:uid="{00000000-0005-0000-0000-0000B3080000}"/>
    <cellStyle name="Migliaia 18 5 3" xfId="5814" xr:uid="{00000000-0005-0000-0000-0000B4080000}"/>
    <cellStyle name="Migliaia 18 6" xfId="4806" xr:uid="{00000000-0005-0000-0000-0000B5080000}"/>
    <cellStyle name="Migliaia 18 7" xfId="5807" xr:uid="{00000000-0005-0000-0000-0000B6080000}"/>
    <cellStyle name="Migliaia 19" xfId="564" xr:uid="{00000000-0005-0000-0000-0000B7080000}"/>
    <cellStyle name="Migliaia 19 2" xfId="565" xr:uid="{00000000-0005-0000-0000-0000B8080000}"/>
    <cellStyle name="Migliaia 19 2 2" xfId="2357" xr:uid="{00000000-0005-0000-0000-0000B9080000}"/>
    <cellStyle name="Migliaia 19 2 2 2" xfId="5417" xr:uid="{00000000-0005-0000-0000-0000BA080000}"/>
    <cellStyle name="Migliaia 19 2 2 3" xfId="6339" xr:uid="{00000000-0005-0000-0000-0000BB080000}"/>
    <cellStyle name="Migliaia 19 2 3" xfId="4874" xr:uid="{00000000-0005-0000-0000-0000BC080000}"/>
    <cellStyle name="Migliaia 19 2 4" xfId="5816" xr:uid="{00000000-0005-0000-0000-0000BD080000}"/>
    <cellStyle name="Migliaia 19 3" xfId="566" xr:uid="{00000000-0005-0000-0000-0000BE080000}"/>
    <cellStyle name="Migliaia 19 3 2" xfId="567" xr:uid="{00000000-0005-0000-0000-0000BF080000}"/>
    <cellStyle name="Migliaia 19 3 2 2" xfId="4993" xr:uid="{00000000-0005-0000-0000-0000C0080000}"/>
    <cellStyle name="Migliaia 19 3 2 3" xfId="5818" xr:uid="{00000000-0005-0000-0000-0000C1080000}"/>
    <cellStyle name="Migliaia 19 3 3" xfId="568" xr:uid="{00000000-0005-0000-0000-0000C2080000}"/>
    <cellStyle name="Migliaia 19 3 3 2" xfId="2359" xr:uid="{00000000-0005-0000-0000-0000C3080000}"/>
    <cellStyle name="Migliaia 19 3 3 2 2" xfId="5419" xr:uid="{00000000-0005-0000-0000-0000C4080000}"/>
    <cellStyle name="Migliaia 19 3 3 2 3" xfId="6341" xr:uid="{00000000-0005-0000-0000-0000C5080000}"/>
    <cellStyle name="Migliaia 19 3 3 3" xfId="4994" xr:uid="{00000000-0005-0000-0000-0000C6080000}"/>
    <cellStyle name="Migliaia 19 3 3 4" xfId="5819" xr:uid="{00000000-0005-0000-0000-0000C7080000}"/>
    <cellStyle name="Migliaia 19 3 4" xfId="2358" xr:uid="{00000000-0005-0000-0000-0000C8080000}"/>
    <cellStyle name="Migliaia 19 3 4 2" xfId="5418" xr:uid="{00000000-0005-0000-0000-0000C9080000}"/>
    <cellStyle name="Migliaia 19 3 4 3" xfId="6340" xr:uid="{00000000-0005-0000-0000-0000CA080000}"/>
    <cellStyle name="Migliaia 19 3 5" xfId="4992" xr:uid="{00000000-0005-0000-0000-0000CB080000}"/>
    <cellStyle name="Migliaia 19 3 6" xfId="5817" xr:uid="{00000000-0005-0000-0000-0000CC080000}"/>
    <cellStyle name="Migliaia 19 4" xfId="569" xr:uid="{00000000-0005-0000-0000-0000CD080000}"/>
    <cellStyle name="Migliaia 19 4 2" xfId="570" xr:uid="{00000000-0005-0000-0000-0000CE080000}"/>
    <cellStyle name="Migliaia 19 4 2 2" xfId="2361" xr:uid="{00000000-0005-0000-0000-0000CF080000}"/>
    <cellStyle name="Migliaia 19 4 2 2 2" xfId="5421" xr:uid="{00000000-0005-0000-0000-0000D0080000}"/>
    <cellStyle name="Migliaia 19 4 2 2 3" xfId="6343" xr:uid="{00000000-0005-0000-0000-0000D1080000}"/>
    <cellStyle name="Migliaia 19 4 2 3" xfId="4996" xr:uid="{00000000-0005-0000-0000-0000D2080000}"/>
    <cellStyle name="Migliaia 19 4 2 4" xfId="5821" xr:uid="{00000000-0005-0000-0000-0000D3080000}"/>
    <cellStyle name="Migliaia 19 4 3" xfId="2360" xr:uid="{00000000-0005-0000-0000-0000D4080000}"/>
    <cellStyle name="Migliaia 19 4 3 2" xfId="5420" xr:uid="{00000000-0005-0000-0000-0000D5080000}"/>
    <cellStyle name="Migliaia 19 4 3 3" xfId="6342" xr:uid="{00000000-0005-0000-0000-0000D6080000}"/>
    <cellStyle name="Migliaia 19 4 4" xfId="4995" xr:uid="{00000000-0005-0000-0000-0000D7080000}"/>
    <cellStyle name="Migliaia 19 4 5" xfId="5820" xr:uid="{00000000-0005-0000-0000-0000D8080000}"/>
    <cellStyle name="Migliaia 19 5" xfId="571" xr:uid="{00000000-0005-0000-0000-0000D9080000}"/>
    <cellStyle name="Migliaia 19 5 2" xfId="4997" xr:uid="{00000000-0005-0000-0000-0000DA080000}"/>
    <cellStyle name="Migliaia 19 5 3" xfId="5822" xr:uid="{00000000-0005-0000-0000-0000DB080000}"/>
    <cellStyle name="Migliaia 19 6" xfId="4807" xr:uid="{00000000-0005-0000-0000-0000DC080000}"/>
    <cellStyle name="Migliaia 19 7" xfId="5815" xr:uid="{00000000-0005-0000-0000-0000DD080000}"/>
    <cellStyle name="Migliaia 2" xfId="572" xr:uid="{00000000-0005-0000-0000-0000DE080000}"/>
    <cellStyle name="Migliaia 2 2" xfId="573" xr:uid="{00000000-0005-0000-0000-0000DF080000}"/>
    <cellStyle name="Migliaia 2 2 2" xfId="2068" xr:uid="{00000000-0005-0000-0000-0000E0080000}"/>
    <cellStyle name="Migliaia 2 2 2 2" xfId="5367" xr:uid="{00000000-0005-0000-0000-0000E1080000}"/>
    <cellStyle name="Migliaia 2 2 2 3" xfId="6289" xr:uid="{00000000-0005-0000-0000-0000E2080000}"/>
    <cellStyle name="Migliaia 2 2 3" xfId="4809" xr:uid="{00000000-0005-0000-0000-0000E3080000}"/>
    <cellStyle name="Migliaia 2 2 4" xfId="5824" xr:uid="{00000000-0005-0000-0000-0000E4080000}"/>
    <cellStyle name="Migliaia 2 3" xfId="574" xr:uid="{00000000-0005-0000-0000-0000E5080000}"/>
    <cellStyle name="Migliaia 2 3 2" xfId="2069" xr:uid="{00000000-0005-0000-0000-0000E6080000}"/>
    <cellStyle name="Migliaia 2 3 2 2" xfId="5368" xr:uid="{00000000-0005-0000-0000-0000E7080000}"/>
    <cellStyle name="Migliaia 2 3 2 3" xfId="6290" xr:uid="{00000000-0005-0000-0000-0000E8080000}"/>
    <cellStyle name="Migliaia 2 3 3" xfId="4810" xr:uid="{00000000-0005-0000-0000-0000E9080000}"/>
    <cellStyle name="Migliaia 2 3 4" xfId="5825" xr:uid="{00000000-0005-0000-0000-0000EA080000}"/>
    <cellStyle name="Migliaia 2 4" xfId="575" xr:uid="{00000000-0005-0000-0000-0000EB080000}"/>
    <cellStyle name="Migliaia 2 4 2" xfId="576" xr:uid="{00000000-0005-0000-0000-0000EC080000}"/>
    <cellStyle name="Migliaia 2 4 2 2" xfId="4999" xr:uid="{00000000-0005-0000-0000-0000ED080000}"/>
    <cellStyle name="Migliaia 2 4 2 3" xfId="5827" xr:uid="{00000000-0005-0000-0000-0000EE080000}"/>
    <cellStyle name="Migliaia 2 4 3" xfId="577" xr:uid="{00000000-0005-0000-0000-0000EF080000}"/>
    <cellStyle name="Migliaia 2 4 3 2" xfId="2363" xr:uid="{00000000-0005-0000-0000-0000F0080000}"/>
    <cellStyle name="Migliaia 2 4 3 2 2" xfId="5423" xr:uid="{00000000-0005-0000-0000-0000F1080000}"/>
    <cellStyle name="Migliaia 2 4 3 2 3" xfId="6345" xr:uid="{00000000-0005-0000-0000-0000F2080000}"/>
    <cellStyle name="Migliaia 2 4 3 3" xfId="5000" xr:uid="{00000000-0005-0000-0000-0000F3080000}"/>
    <cellStyle name="Migliaia 2 4 3 4" xfId="5828" xr:uid="{00000000-0005-0000-0000-0000F4080000}"/>
    <cellStyle name="Migliaia 2 4 4" xfId="2362" xr:uid="{00000000-0005-0000-0000-0000F5080000}"/>
    <cellStyle name="Migliaia 2 4 4 2" xfId="5422" xr:uid="{00000000-0005-0000-0000-0000F6080000}"/>
    <cellStyle name="Migliaia 2 4 4 3" xfId="6344" xr:uid="{00000000-0005-0000-0000-0000F7080000}"/>
    <cellStyle name="Migliaia 2 4 5" xfId="4998" xr:uid="{00000000-0005-0000-0000-0000F8080000}"/>
    <cellStyle name="Migliaia 2 4 6" xfId="5826" xr:uid="{00000000-0005-0000-0000-0000F9080000}"/>
    <cellStyle name="Migliaia 2 5" xfId="578" xr:uid="{00000000-0005-0000-0000-0000FA080000}"/>
    <cellStyle name="Migliaia 2 5 2" xfId="579" xr:uid="{00000000-0005-0000-0000-0000FB080000}"/>
    <cellStyle name="Migliaia 2 5 2 2" xfId="2365" xr:uid="{00000000-0005-0000-0000-0000FC080000}"/>
    <cellStyle name="Migliaia 2 5 2 2 2" xfId="5425" xr:uid="{00000000-0005-0000-0000-0000FD080000}"/>
    <cellStyle name="Migliaia 2 5 2 2 3" xfId="6347" xr:uid="{00000000-0005-0000-0000-0000FE080000}"/>
    <cellStyle name="Migliaia 2 5 2 3" xfId="5002" xr:uid="{00000000-0005-0000-0000-0000FF080000}"/>
    <cellStyle name="Migliaia 2 5 2 4" xfId="5830" xr:uid="{00000000-0005-0000-0000-000000090000}"/>
    <cellStyle name="Migliaia 2 5 3" xfId="2364" xr:uid="{00000000-0005-0000-0000-000001090000}"/>
    <cellStyle name="Migliaia 2 5 3 2" xfId="5424" xr:uid="{00000000-0005-0000-0000-000002090000}"/>
    <cellStyle name="Migliaia 2 5 3 3" xfId="6346" xr:uid="{00000000-0005-0000-0000-000003090000}"/>
    <cellStyle name="Migliaia 2 5 4" xfId="5001" xr:uid="{00000000-0005-0000-0000-000004090000}"/>
    <cellStyle name="Migliaia 2 5 5" xfId="5829" xr:uid="{00000000-0005-0000-0000-000005090000}"/>
    <cellStyle name="Migliaia 2 6" xfId="580" xr:uid="{00000000-0005-0000-0000-000006090000}"/>
    <cellStyle name="Migliaia 2 6 2" xfId="5003" xr:uid="{00000000-0005-0000-0000-000007090000}"/>
    <cellStyle name="Migliaia 2 6 3" xfId="5831" xr:uid="{00000000-0005-0000-0000-000008090000}"/>
    <cellStyle name="Migliaia 2 7" xfId="4808" xr:uid="{00000000-0005-0000-0000-000009090000}"/>
    <cellStyle name="Migliaia 2 8" xfId="5823" xr:uid="{00000000-0005-0000-0000-00000A090000}"/>
    <cellStyle name="Migliaia 2_Domestico_reg&amp;naz" xfId="581" xr:uid="{00000000-0005-0000-0000-00000B090000}"/>
    <cellStyle name="Migliaia 20" xfId="582" xr:uid="{00000000-0005-0000-0000-00000C090000}"/>
    <cellStyle name="Migliaia 20 2" xfId="583" xr:uid="{00000000-0005-0000-0000-00000D090000}"/>
    <cellStyle name="Migliaia 20 2 2" xfId="2366" xr:uid="{00000000-0005-0000-0000-00000E090000}"/>
    <cellStyle name="Migliaia 20 2 2 2" xfId="5426" xr:uid="{00000000-0005-0000-0000-00000F090000}"/>
    <cellStyle name="Migliaia 20 2 2 3" xfId="6348" xr:uid="{00000000-0005-0000-0000-000010090000}"/>
    <cellStyle name="Migliaia 20 2 3" xfId="4875" xr:uid="{00000000-0005-0000-0000-000011090000}"/>
    <cellStyle name="Migliaia 20 2 4" xfId="5833" xr:uid="{00000000-0005-0000-0000-000012090000}"/>
    <cellStyle name="Migliaia 20 3" xfId="584" xr:uid="{00000000-0005-0000-0000-000013090000}"/>
    <cellStyle name="Migliaia 20 3 2" xfId="585" xr:uid="{00000000-0005-0000-0000-000014090000}"/>
    <cellStyle name="Migliaia 20 3 2 2" xfId="5005" xr:uid="{00000000-0005-0000-0000-000015090000}"/>
    <cellStyle name="Migliaia 20 3 2 3" xfId="5835" xr:uid="{00000000-0005-0000-0000-000016090000}"/>
    <cellStyle name="Migliaia 20 3 3" xfId="586" xr:uid="{00000000-0005-0000-0000-000017090000}"/>
    <cellStyle name="Migliaia 20 3 3 2" xfId="2368" xr:uid="{00000000-0005-0000-0000-000018090000}"/>
    <cellStyle name="Migliaia 20 3 3 2 2" xfId="5428" xr:uid="{00000000-0005-0000-0000-000019090000}"/>
    <cellStyle name="Migliaia 20 3 3 2 3" xfId="6350" xr:uid="{00000000-0005-0000-0000-00001A090000}"/>
    <cellStyle name="Migliaia 20 3 3 3" xfId="5006" xr:uid="{00000000-0005-0000-0000-00001B090000}"/>
    <cellStyle name="Migliaia 20 3 3 4" xfId="5836" xr:uid="{00000000-0005-0000-0000-00001C090000}"/>
    <cellStyle name="Migliaia 20 3 4" xfId="2367" xr:uid="{00000000-0005-0000-0000-00001D090000}"/>
    <cellStyle name="Migliaia 20 3 4 2" xfId="5427" xr:uid="{00000000-0005-0000-0000-00001E090000}"/>
    <cellStyle name="Migliaia 20 3 4 3" xfId="6349" xr:uid="{00000000-0005-0000-0000-00001F090000}"/>
    <cellStyle name="Migliaia 20 3 5" xfId="5004" xr:uid="{00000000-0005-0000-0000-000020090000}"/>
    <cellStyle name="Migliaia 20 3 6" xfId="5834" xr:uid="{00000000-0005-0000-0000-000021090000}"/>
    <cellStyle name="Migliaia 20 4" xfId="587" xr:uid="{00000000-0005-0000-0000-000022090000}"/>
    <cellStyle name="Migliaia 20 4 2" xfId="588" xr:uid="{00000000-0005-0000-0000-000023090000}"/>
    <cellStyle name="Migliaia 20 4 2 2" xfId="2370" xr:uid="{00000000-0005-0000-0000-000024090000}"/>
    <cellStyle name="Migliaia 20 4 2 2 2" xfId="5430" xr:uid="{00000000-0005-0000-0000-000025090000}"/>
    <cellStyle name="Migliaia 20 4 2 2 3" xfId="6352" xr:uid="{00000000-0005-0000-0000-000026090000}"/>
    <cellStyle name="Migliaia 20 4 2 3" xfId="5008" xr:uid="{00000000-0005-0000-0000-000027090000}"/>
    <cellStyle name="Migliaia 20 4 2 4" xfId="5838" xr:uid="{00000000-0005-0000-0000-000028090000}"/>
    <cellStyle name="Migliaia 20 4 3" xfId="2369" xr:uid="{00000000-0005-0000-0000-000029090000}"/>
    <cellStyle name="Migliaia 20 4 3 2" xfId="5429" xr:uid="{00000000-0005-0000-0000-00002A090000}"/>
    <cellStyle name="Migliaia 20 4 3 3" xfId="6351" xr:uid="{00000000-0005-0000-0000-00002B090000}"/>
    <cellStyle name="Migliaia 20 4 4" xfId="5007" xr:uid="{00000000-0005-0000-0000-00002C090000}"/>
    <cellStyle name="Migliaia 20 4 5" xfId="5837" xr:uid="{00000000-0005-0000-0000-00002D090000}"/>
    <cellStyle name="Migliaia 20 5" xfId="589" xr:uid="{00000000-0005-0000-0000-00002E090000}"/>
    <cellStyle name="Migliaia 20 5 2" xfId="5009" xr:uid="{00000000-0005-0000-0000-00002F090000}"/>
    <cellStyle name="Migliaia 20 5 3" xfId="5839" xr:uid="{00000000-0005-0000-0000-000030090000}"/>
    <cellStyle name="Migliaia 20 6" xfId="4811" xr:uid="{00000000-0005-0000-0000-000031090000}"/>
    <cellStyle name="Migliaia 20 7" xfId="5832" xr:uid="{00000000-0005-0000-0000-000032090000}"/>
    <cellStyle name="Migliaia 21" xfId="590" xr:uid="{00000000-0005-0000-0000-000033090000}"/>
    <cellStyle name="Migliaia 21 2" xfId="591" xr:uid="{00000000-0005-0000-0000-000034090000}"/>
    <cellStyle name="Migliaia 21 2 2" xfId="2371" xr:uid="{00000000-0005-0000-0000-000035090000}"/>
    <cellStyle name="Migliaia 21 2 2 2" xfId="5431" xr:uid="{00000000-0005-0000-0000-000036090000}"/>
    <cellStyle name="Migliaia 21 2 2 3" xfId="6353" xr:uid="{00000000-0005-0000-0000-000037090000}"/>
    <cellStyle name="Migliaia 21 2 3" xfId="4876" xr:uid="{00000000-0005-0000-0000-000038090000}"/>
    <cellStyle name="Migliaia 21 2 4" xfId="5841" xr:uid="{00000000-0005-0000-0000-000039090000}"/>
    <cellStyle name="Migliaia 21 3" xfId="592" xr:uid="{00000000-0005-0000-0000-00003A090000}"/>
    <cellStyle name="Migliaia 21 3 2" xfId="593" xr:uid="{00000000-0005-0000-0000-00003B090000}"/>
    <cellStyle name="Migliaia 21 3 2 2" xfId="5011" xr:uid="{00000000-0005-0000-0000-00003C090000}"/>
    <cellStyle name="Migliaia 21 3 2 3" xfId="5843" xr:uid="{00000000-0005-0000-0000-00003D090000}"/>
    <cellStyle name="Migliaia 21 3 3" xfId="594" xr:uid="{00000000-0005-0000-0000-00003E090000}"/>
    <cellStyle name="Migliaia 21 3 3 2" xfId="2373" xr:uid="{00000000-0005-0000-0000-00003F090000}"/>
    <cellStyle name="Migliaia 21 3 3 2 2" xfId="5433" xr:uid="{00000000-0005-0000-0000-000040090000}"/>
    <cellStyle name="Migliaia 21 3 3 2 3" xfId="6355" xr:uid="{00000000-0005-0000-0000-000041090000}"/>
    <cellStyle name="Migliaia 21 3 3 3" xfId="5012" xr:uid="{00000000-0005-0000-0000-000042090000}"/>
    <cellStyle name="Migliaia 21 3 3 4" xfId="5844" xr:uid="{00000000-0005-0000-0000-000043090000}"/>
    <cellStyle name="Migliaia 21 3 4" xfId="2372" xr:uid="{00000000-0005-0000-0000-000044090000}"/>
    <cellStyle name="Migliaia 21 3 4 2" xfId="5432" xr:uid="{00000000-0005-0000-0000-000045090000}"/>
    <cellStyle name="Migliaia 21 3 4 3" xfId="6354" xr:uid="{00000000-0005-0000-0000-000046090000}"/>
    <cellStyle name="Migliaia 21 3 5" xfId="5010" xr:uid="{00000000-0005-0000-0000-000047090000}"/>
    <cellStyle name="Migliaia 21 3 6" xfId="5842" xr:uid="{00000000-0005-0000-0000-000048090000}"/>
    <cellStyle name="Migliaia 21 4" xfId="595" xr:uid="{00000000-0005-0000-0000-000049090000}"/>
    <cellStyle name="Migliaia 21 4 2" xfId="596" xr:uid="{00000000-0005-0000-0000-00004A090000}"/>
    <cellStyle name="Migliaia 21 4 2 2" xfId="2375" xr:uid="{00000000-0005-0000-0000-00004B090000}"/>
    <cellStyle name="Migliaia 21 4 2 2 2" xfId="5435" xr:uid="{00000000-0005-0000-0000-00004C090000}"/>
    <cellStyle name="Migliaia 21 4 2 2 3" xfId="6357" xr:uid="{00000000-0005-0000-0000-00004D090000}"/>
    <cellStyle name="Migliaia 21 4 2 3" xfId="5014" xr:uid="{00000000-0005-0000-0000-00004E090000}"/>
    <cellStyle name="Migliaia 21 4 2 4" xfId="5846" xr:uid="{00000000-0005-0000-0000-00004F090000}"/>
    <cellStyle name="Migliaia 21 4 3" xfId="2374" xr:uid="{00000000-0005-0000-0000-000050090000}"/>
    <cellStyle name="Migliaia 21 4 3 2" xfId="5434" xr:uid="{00000000-0005-0000-0000-000051090000}"/>
    <cellStyle name="Migliaia 21 4 3 3" xfId="6356" xr:uid="{00000000-0005-0000-0000-000052090000}"/>
    <cellStyle name="Migliaia 21 4 4" xfId="5013" xr:uid="{00000000-0005-0000-0000-000053090000}"/>
    <cellStyle name="Migliaia 21 4 5" xfId="5845" xr:uid="{00000000-0005-0000-0000-000054090000}"/>
    <cellStyle name="Migliaia 21 5" xfId="597" xr:uid="{00000000-0005-0000-0000-000055090000}"/>
    <cellStyle name="Migliaia 21 5 2" xfId="5015" xr:uid="{00000000-0005-0000-0000-000056090000}"/>
    <cellStyle name="Migliaia 21 5 3" xfId="5847" xr:uid="{00000000-0005-0000-0000-000057090000}"/>
    <cellStyle name="Migliaia 21 6" xfId="4812" xr:uid="{00000000-0005-0000-0000-000058090000}"/>
    <cellStyle name="Migliaia 21 7" xfId="5840" xr:uid="{00000000-0005-0000-0000-000059090000}"/>
    <cellStyle name="Migliaia 22" xfId="598" xr:uid="{00000000-0005-0000-0000-00005A090000}"/>
    <cellStyle name="Migliaia 22 2" xfId="599" xr:uid="{00000000-0005-0000-0000-00005B090000}"/>
    <cellStyle name="Migliaia 22 2 2" xfId="2376" xr:uid="{00000000-0005-0000-0000-00005C090000}"/>
    <cellStyle name="Migliaia 22 2 2 2" xfId="5436" xr:uid="{00000000-0005-0000-0000-00005D090000}"/>
    <cellStyle name="Migliaia 22 2 2 3" xfId="6358" xr:uid="{00000000-0005-0000-0000-00005E090000}"/>
    <cellStyle name="Migliaia 22 2 3" xfId="4877" xr:uid="{00000000-0005-0000-0000-00005F090000}"/>
    <cellStyle name="Migliaia 22 2 4" xfId="5849" xr:uid="{00000000-0005-0000-0000-000060090000}"/>
    <cellStyle name="Migliaia 22 3" xfId="600" xr:uid="{00000000-0005-0000-0000-000061090000}"/>
    <cellStyle name="Migliaia 22 3 2" xfId="601" xr:uid="{00000000-0005-0000-0000-000062090000}"/>
    <cellStyle name="Migliaia 22 3 2 2" xfId="5017" xr:uid="{00000000-0005-0000-0000-000063090000}"/>
    <cellStyle name="Migliaia 22 3 2 3" xfId="5851" xr:uid="{00000000-0005-0000-0000-000064090000}"/>
    <cellStyle name="Migliaia 22 3 3" xfId="602" xr:uid="{00000000-0005-0000-0000-000065090000}"/>
    <cellStyle name="Migliaia 22 3 3 2" xfId="2378" xr:uid="{00000000-0005-0000-0000-000066090000}"/>
    <cellStyle name="Migliaia 22 3 3 2 2" xfId="5438" xr:uid="{00000000-0005-0000-0000-000067090000}"/>
    <cellStyle name="Migliaia 22 3 3 2 3" xfId="6360" xr:uid="{00000000-0005-0000-0000-000068090000}"/>
    <cellStyle name="Migliaia 22 3 3 3" xfId="5018" xr:uid="{00000000-0005-0000-0000-000069090000}"/>
    <cellStyle name="Migliaia 22 3 3 4" xfId="5852" xr:uid="{00000000-0005-0000-0000-00006A090000}"/>
    <cellStyle name="Migliaia 22 3 4" xfId="2377" xr:uid="{00000000-0005-0000-0000-00006B090000}"/>
    <cellStyle name="Migliaia 22 3 4 2" xfId="5437" xr:uid="{00000000-0005-0000-0000-00006C090000}"/>
    <cellStyle name="Migliaia 22 3 4 3" xfId="6359" xr:uid="{00000000-0005-0000-0000-00006D090000}"/>
    <cellStyle name="Migliaia 22 3 5" xfId="5016" xr:uid="{00000000-0005-0000-0000-00006E090000}"/>
    <cellStyle name="Migliaia 22 3 6" xfId="5850" xr:uid="{00000000-0005-0000-0000-00006F090000}"/>
    <cellStyle name="Migliaia 22 4" xfId="603" xr:uid="{00000000-0005-0000-0000-000070090000}"/>
    <cellStyle name="Migliaia 22 4 2" xfId="604" xr:uid="{00000000-0005-0000-0000-000071090000}"/>
    <cellStyle name="Migliaia 22 4 2 2" xfId="2380" xr:uid="{00000000-0005-0000-0000-000072090000}"/>
    <cellStyle name="Migliaia 22 4 2 2 2" xfId="5440" xr:uid="{00000000-0005-0000-0000-000073090000}"/>
    <cellStyle name="Migliaia 22 4 2 2 3" xfId="6362" xr:uid="{00000000-0005-0000-0000-000074090000}"/>
    <cellStyle name="Migliaia 22 4 2 3" xfId="5020" xr:uid="{00000000-0005-0000-0000-000075090000}"/>
    <cellStyle name="Migliaia 22 4 2 4" xfId="5854" xr:uid="{00000000-0005-0000-0000-000076090000}"/>
    <cellStyle name="Migliaia 22 4 3" xfId="2379" xr:uid="{00000000-0005-0000-0000-000077090000}"/>
    <cellStyle name="Migliaia 22 4 3 2" xfId="5439" xr:uid="{00000000-0005-0000-0000-000078090000}"/>
    <cellStyle name="Migliaia 22 4 3 3" xfId="6361" xr:uid="{00000000-0005-0000-0000-000079090000}"/>
    <cellStyle name="Migliaia 22 4 4" xfId="5019" xr:uid="{00000000-0005-0000-0000-00007A090000}"/>
    <cellStyle name="Migliaia 22 4 5" xfId="5853" xr:uid="{00000000-0005-0000-0000-00007B090000}"/>
    <cellStyle name="Migliaia 22 5" xfId="605" xr:uid="{00000000-0005-0000-0000-00007C090000}"/>
    <cellStyle name="Migliaia 22 5 2" xfId="5021" xr:uid="{00000000-0005-0000-0000-00007D090000}"/>
    <cellStyle name="Migliaia 22 5 3" xfId="5855" xr:uid="{00000000-0005-0000-0000-00007E090000}"/>
    <cellStyle name="Migliaia 22 6" xfId="4813" xr:uid="{00000000-0005-0000-0000-00007F090000}"/>
    <cellStyle name="Migliaia 22 7" xfId="5848" xr:uid="{00000000-0005-0000-0000-000080090000}"/>
    <cellStyle name="Migliaia 23" xfId="606" xr:uid="{00000000-0005-0000-0000-000081090000}"/>
    <cellStyle name="Migliaia 23 2" xfId="607" xr:uid="{00000000-0005-0000-0000-000082090000}"/>
    <cellStyle name="Migliaia 23 2 2" xfId="2381" xr:uid="{00000000-0005-0000-0000-000083090000}"/>
    <cellStyle name="Migliaia 23 2 2 2" xfId="5441" xr:uid="{00000000-0005-0000-0000-000084090000}"/>
    <cellStyle name="Migliaia 23 2 2 3" xfId="6363" xr:uid="{00000000-0005-0000-0000-000085090000}"/>
    <cellStyle name="Migliaia 23 2 3" xfId="4878" xr:uid="{00000000-0005-0000-0000-000086090000}"/>
    <cellStyle name="Migliaia 23 2 4" xfId="5857" xr:uid="{00000000-0005-0000-0000-000087090000}"/>
    <cellStyle name="Migliaia 23 3" xfId="608" xr:uid="{00000000-0005-0000-0000-000088090000}"/>
    <cellStyle name="Migliaia 23 3 2" xfId="609" xr:uid="{00000000-0005-0000-0000-000089090000}"/>
    <cellStyle name="Migliaia 23 3 2 2" xfId="5023" xr:uid="{00000000-0005-0000-0000-00008A090000}"/>
    <cellStyle name="Migliaia 23 3 2 3" xfId="5859" xr:uid="{00000000-0005-0000-0000-00008B090000}"/>
    <cellStyle name="Migliaia 23 3 3" xfId="610" xr:uid="{00000000-0005-0000-0000-00008C090000}"/>
    <cellStyle name="Migliaia 23 3 3 2" xfId="2383" xr:uid="{00000000-0005-0000-0000-00008D090000}"/>
    <cellStyle name="Migliaia 23 3 3 2 2" xfId="5443" xr:uid="{00000000-0005-0000-0000-00008E090000}"/>
    <cellStyle name="Migliaia 23 3 3 2 3" xfId="6365" xr:uid="{00000000-0005-0000-0000-00008F090000}"/>
    <cellStyle name="Migliaia 23 3 3 3" xfId="5024" xr:uid="{00000000-0005-0000-0000-000090090000}"/>
    <cellStyle name="Migliaia 23 3 3 4" xfId="5860" xr:uid="{00000000-0005-0000-0000-000091090000}"/>
    <cellStyle name="Migliaia 23 3 4" xfId="2382" xr:uid="{00000000-0005-0000-0000-000092090000}"/>
    <cellStyle name="Migliaia 23 3 4 2" xfId="5442" xr:uid="{00000000-0005-0000-0000-000093090000}"/>
    <cellStyle name="Migliaia 23 3 4 3" xfId="6364" xr:uid="{00000000-0005-0000-0000-000094090000}"/>
    <cellStyle name="Migliaia 23 3 5" xfId="5022" xr:uid="{00000000-0005-0000-0000-000095090000}"/>
    <cellStyle name="Migliaia 23 3 6" xfId="5858" xr:uid="{00000000-0005-0000-0000-000096090000}"/>
    <cellStyle name="Migliaia 23 4" xfId="611" xr:uid="{00000000-0005-0000-0000-000097090000}"/>
    <cellStyle name="Migliaia 23 4 2" xfId="612" xr:uid="{00000000-0005-0000-0000-000098090000}"/>
    <cellStyle name="Migliaia 23 4 2 2" xfId="2385" xr:uid="{00000000-0005-0000-0000-000099090000}"/>
    <cellStyle name="Migliaia 23 4 2 2 2" xfId="5445" xr:uid="{00000000-0005-0000-0000-00009A090000}"/>
    <cellStyle name="Migliaia 23 4 2 2 3" xfId="6367" xr:uid="{00000000-0005-0000-0000-00009B090000}"/>
    <cellStyle name="Migliaia 23 4 2 3" xfId="5026" xr:uid="{00000000-0005-0000-0000-00009C090000}"/>
    <cellStyle name="Migliaia 23 4 2 4" xfId="5862" xr:uid="{00000000-0005-0000-0000-00009D090000}"/>
    <cellStyle name="Migliaia 23 4 3" xfId="2384" xr:uid="{00000000-0005-0000-0000-00009E090000}"/>
    <cellStyle name="Migliaia 23 4 3 2" xfId="5444" xr:uid="{00000000-0005-0000-0000-00009F090000}"/>
    <cellStyle name="Migliaia 23 4 3 3" xfId="6366" xr:uid="{00000000-0005-0000-0000-0000A0090000}"/>
    <cellStyle name="Migliaia 23 4 4" xfId="5025" xr:uid="{00000000-0005-0000-0000-0000A1090000}"/>
    <cellStyle name="Migliaia 23 4 5" xfId="5861" xr:uid="{00000000-0005-0000-0000-0000A2090000}"/>
    <cellStyle name="Migliaia 23 5" xfId="613" xr:uid="{00000000-0005-0000-0000-0000A3090000}"/>
    <cellStyle name="Migliaia 23 5 2" xfId="5027" xr:uid="{00000000-0005-0000-0000-0000A4090000}"/>
    <cellStyle name="Migliaia 23 5 3" xfId="5863" xr:uid="{00000000-0005-0000-0000-0000A5090000}"/>
    <cellStyle name="Migliaia 23 6" xfId="4814" xr:uid="{00000000-0005-0000-0000-0000A6090000}"/>
    <cellStyle name="Migliaia 23 7" xfId="5856" xr:uid="{00000000-0005-0000-0000-0000A7090000}"/>
    <cellStyle name="Migliaia 24" xfId="614" xr:uid="{00000000-0005-0000-0000-0000A8090000}"/>
    <cellStyle name="Migliaia 24 2" xfId="615" xr:uid="{00000000-0005-0000-0000-0000A9090000}"/>
    <cellStyle name="Migliaia 24 2 2" xfId="2386" xr:uid="{00000000-0005-0000-0000-0000AA090000}"/>
    <cellStyle name="Migliaia 24 2 2 2" xfId="5446" xr:uid="{00000000-0005-0000-0000-0000AB090000}"/>
    <cellStyle name="Migliaia 24 2 2 3" xfId="6368" xr:uid="{00000000-0005-0000-0000-0000AC090000}"/>
    <cellStyle name="Migliaia 24 2 3" xfId="4879" xr:uid="{00000000-0005-0000-0000-0000AD090000}"/>
    <cellStyle name="Migliaia 24 2 4" xfId="5865" xr:uid="{00000000-0005-0000-0000-0000AE090000}"/>
    <cellStyle name="Migliaia 24 3" xfId="616" xr:uid="{00000000-0005-0000-0000-0000AF090000}"/>
    <cellStyle name="Migliaia 24 3 2" xfId="617" xr:uid="{00000000-0005-0000-0000-0000B0090000}"/>
    <cellStyle name="Migliaia 24 3 2 2" xfId="5029" xr:uid="{00000000-0005-0000-0000-0000B1090000}"/>
    <cellStyle name="Migliaia 24 3 2 3" xfId="5867" xr:uid="{00000000-0005-0000-0000-0000B2090000}"/>
    <cellStyle name="Migliaia 24 3 3" xfId="618" xr:uid="{00000000-0005-0000-0000-0000B3090000}"/>
    <cellStyle name="Migliaia 24 3 3 2" xfId="2388" xr:uid="{00000000-0005-0000-0000-0000B4090000}"/>
    <cellStyle name="Migliaia 24 3 3 2 2" xfId="5448" xr:uid="{00000000-0005-0000-0000-0000B5090000}"/>
    <cellStyle name="Migliaia 24 3 3 2 3" xfId="6370" xr:uid="{00000000-0005-0000-0000-0000B6090000}"/>
    <cellStyle name="Migliaia 24 3 3 3" xfId="5030" xr:uid="{00000000-0005-0000-0000-0000B7090000}"/>
    <cellStyle name="Migliaia 24 3 3 4" xfId="5868" xr:uid="{00000000-0005-0000-0000-0000B8090000}"/>
    <cellStyle name="Migliaia 24 3 4" xfId="2387" xr:uid="{00000000-0005-0000-0000-0000B9090000}"/>
    <cellStyle name="Migliaia 24 3 4 2" xfId="5447" xr:uid="{00000000-0005-0000-0000-0000BA090000}"/>
    <cellStyle name="Migliaia 24 3 4 3" xfId="6369" xr:uid="{00000000-0005-0000-0000-0000BB090000}"/>
    <cellStyle name="Migliaia 24 3 5" xfId="5028" xr:uid="{00000000-0005-0000-0000-0000BC090000}"/>
    <cellStyle name="Migliaia 24 3 6" xfId="5866" xr:uid="{00000000-0005-0000-0000-0000BD090000}"/>
    <cellStyle name="Migliaia 24 4" xfId="619" xr:uid="{00000000-0005-0000-0000-0000BE090000}"/>
    <cellStyle name="Migliaia 24 4 2" xfId="620" xr:uid="{00000000-0005-0000-0000-0000BF090000}"/>
    <cellStyle name="Migliaia 24 4 2 2" xfId="2390" xr:uid="{00000000-0005-0000-0000-0000C0090000}"/>
    <cellStyle name="Migliaia 24 4 2 2 2" xfId="5450" xr:uid="{00000000-0005-0000-0000-0000C1090000}"/>
    <cellStyle name="Migliaia 24 4 2 2 3" xfId="6372" xr:uid="{00000000-0005-0000-0000-0000C2090000}"/>
    <cellStyle name="Migliaia 24 4 2 3" xfId="5032" xr:uid="{00000000-0005-0000-0000-0000C3090000}"/>
    <cellStyle name="Migliaia 24 4 2 4" xfId="5870" xr:uid="{00000000-0005-0000-0000-0000C4090000}"/>
    <cellStyle name="Migliaia 24 4 3" xfId="2389" xr:uid="{00000000-0005-0000-0000-0000C5090000}"/>
    <cellStyle name="Migliaia 24 4 3 2" xfId="5449" xr:uid="{00000000-0005-0000-0000-0000C6090000}"/>
    <cellStyle name="Migliaia 24 4 3 3" xfId="6371" xr:uid="{00000000-0005-0000-0000-0000C7090000}"/>
    <cellStyle name="Migliaia 24 4 4" xfId="5031" xr:uid="{00000000-0005-0000-0000-0000C8090000}"/>
    <cellStyle name="Migliaia 24 4 5" xfId="5869" xr:uid="{00000000-0005-0000-0000-0000C9090000}"/>
    <cellStyle name="Migliaia 24 5" xfId="621" xr:uid="{00000000-0005-0000-0000-0000CA090000}"/>
    <cellStyle name="Migliaia 24 5 2" xfId="5033" xr:uid="{00000000-0005-0000-0000-0000CB090000}"/>
    <cellStyle name="Migliaia 24 5 3" xfId="5871" xr:uid="{00000000-0005-0000-0000-0000CC090000}"/>
    <cellStyle name="Migliaia 24 6" xfId="4815" xr:uid="{00000000-0005-0000-0000-0000CD090000}"/>
    <cellStyle name="Migliaia 24 7" xfId="5864" xr:uid="{00000000-0005-0000-0000-0000CE090000}"/>
    <cellStyle name="Migliaia 25" xfId="622" xr:uid="{00000000-0005-0000-0000-0000CF090000}"/>
    <cellStyle name="Migliaia 25 2" xfId="623" xr:uid="{00000000-0005-0000-0000-0000D0090000}"/>
    <cellStyle name="Migliaia 25 2 2" xfId="2391" xr:uid="{00000000-0005-0000-0000-0000D1090000}"/>
    <cellStyle name="Migliaia 25 2 2 2" xfId="5451" xr:uid="{00000000-0005-0000-0000-0000D2090000}"/>
    <cellStyle name="Migliaia 25 2 2 3" xfId="6373" xr:uid="{00000000-0005-0000-0000-0000D3090000}"/>
    <cellStyle name="Migliaia 25 2 3" xfId="4880" xr:uid="{00000000-0005-0000-0000-0000D4090000}"/>
    <cellStyle name="Migliaia 25 2 4" xfId="5873" xr:uid="{00000000-0005-0000-0000-0000D5090000}"/>
    <cellStyle name="Migliaia 25 3" xfId="624" xr:uid="{00000000-0005-0000-0000-0000D6090000}"/>
    <cellStyle name="Migliaia 25 3 2" xfId="625" xr:uid="{00000000-0005-0000-0000-0000D7090000}"/>
    <cellStyle name="Migliaia 25 3 2 2" xfId="5035" xr:uid="{00000000-0005-0000-0000-0000D8090000}"/>
    <cellStyle name="Migliaia 25 3 2 3" xfId="5875" xr:uid="{00000000-0005-0000-0000-0000D9090000}"/>
    <cellStyle name="Migliaia 25 3 3" xfId="626" xr:uid="{00000000-0005-0000-0000-0000DA090000}"/>
    <cellStyle name="Migliaia 25 3 3 2" xfId="2393" xr:uid="{00000000-0005-0000-0000-0000DB090000}"/>
    <cellStyle name="Migliaia 25 3 3 2 2" xfId="5453" xr:uid="{00000000-0005-0000-0000-0000DC090000}"/>
    <cellStyle name="Migliaia 25 3 3 2 3" xfId="6375" xr:uid="{00000000-0005-0000-0000-0000DD090000}"/>
    <cellStyle name="Migliaia 25 3 3 3" xfId="5036" xr:uid="{00000000-0005-0000-0000-0000DE090000}"/>
    <cellStyle name="Migliaia 25 3 3 4" xfId="5876" xr:uid="{00000000-0005-0000-0000-0000DF090000}"/>
    <cellStyle name="Migliaia 25 3 4" xfId="2392" xr:uid="{00000000-0005-0000-0000-0000E0090000}"/>
    <cellStyle name="Migliaia 25 3 4 2" xfId="5452" xr:uid="{00000000-0005-0000-0000-0000E1090000}"/>
    <cellStyle name="Migliaia 25 3 4 3" xfId="6374" xr:uid="{00000000-0005-0000-0000-0000E2090000}"/>
    <cellStyle name="Migliaia 25 3 5" xfId="5034" xr:uid="{00000000-0005-0000-0000-0000E3090000}"/>
    <cellStyle name="Migliaia 25 3 6" xfId="5874" xr:uid="{00000000-0005-0000-0000-0000E4090000}"/>
    <cellStyle name="Migliaia 25 4" xfId="627" xr:uid="{00000000-0005-0000-0000-0000E5090000}"/>
    <cellStyle name="Migliaia 25 4 2" xfId="628" xr:uid="{00000000-0005-0000-0000-0000E6090000}"/>
    <cellStyle name="Migliaia 25 4 2 2" xfId="2395" xr:uid="{00000000-0005-0000-0000-0000E7090000}"/>
    <cellStyle name="Migliaia 25 4 2 2 2" xfId="5455" xr:uid="{00000000-0005-0000-0000-0000E8090000}"/>
    <cellStyle name="Migliaia 25 4 2 2 3" xfId="6377" xr:uid="{00000000-0005-0000-0000-0000E9090000}"/>
    <cellStyle name="Migliaia 25 4 2 3" xfId="5038" xr:uid="{00000000-0005-0000-0000-0000EA090000}"/>
    <cellStyle name="Migliaia 25 4 2 4" xfId="5878" xr:uid="{00000000-0005-0000-0000-0000EB090000}"/>
    <cellStyle name="Migliaia 25 4 3" xfId="2394" xr:uid="{00000000-0005-0000-0000-0000EC090000}"/>
    <cellStyle name="Migliaia 25 4 3 2" xfId="5454" xr:uid="{00000000-0005-0000-0000-0000ED090000}"/>
    <cellStyle name="Migliaia 25 4 3 3" xfId="6376" xr:uid="{00000000-0005-0000-0000-0000EE090000}"/>
    <cellStyle name="Migliaia 25 4 4" xfId="5037" xr:uid="{00000000-0005-0000-0000-0000EF090000}"/>
    <cellStyle name="Migliaia 25 4 5" xfId="5877" xr:uid="{00000000-0005-0000-0000-0000F0090000}"/>
    <cellStyle name="Migliaia 25 5" xfId="629" xr:uid="{00000000-0005-0000-0000-0000F1090000}"/>
    <cellStyle name="Migliaia 25 5 2" xfId="5039" xr:uid="{00000000-0005-0000-0000-0000F2090000}"/>
    <cellStyle name="Migliaia 25 5 3" xfId="5879" xr:uid="{00000000-0005-0000-0000-0000F3090000}"/>
    <cellStyle name="Migliaia 25 6" xfId="4816" xr:uid="{00000000-0005-0000-0000-0000F4090000}"/>
    <cellStyle name="Migliaia 25 7" xfId="5872" xr:uid="{00000000-0005-0000-0000-0000F5090000}"/>
    <cellStyle name="Migliaia 26" xfId="630" xr:uid="{00000000-0005-0000-0000-0000F6090000}"/>
    <cellStyle name="Migliaia 26 2" xfId="631" xr:uid="{00000000-0005-0000-0000-0000F7090000}"/>
    <cellStyle name="Migliaia 26 2 2" xfId="2396" xr:uid="{00000000-0005-0000-0000-0000F8090000}"/>
    <cellStyle name="Migliaia 26 2 2 2" xfId="5456" xr:uid="{00000000-0005-0000-0000-0000F9090000}"/>
    <cellStyle name="Migliaia 26 2 2 3" xfId="6378" xr:uid="{00000000-0005-0000-0000-0000FA090000}"/>
    <cellStyle name="Migliaia 26 2 3" xfId="4881" xr:uid="{00000000-0005-0000-0000-0000FB090000}"/>
    <cellStyle name="Migliaia 26 2 4" xfId="5881" xr:uid="{00000000-0005-0000-0000-0000FC090000}"/>
    <cellStyle name="Migliaia 26 3" xfId="632" xr:uid="{00000000-0005-0000-0000-0000FD090000}"/>
    <cellStyle name="Migliaia 26 3 2" xfId="633" xr:uid="{00000000-0005-0000-0000-0000FE090000}"/>
    <cellStyle name="Migliaia 26 3 2 2" xfId="5041" xr:uid="{00000000-0005-0000-0000-0000FF090000}"/>
    <cellStyle name="Migliaia 26 3 2 3" xfId="5883" xr:uid="{00000000-0005-0000-0000-0000000A0000}"/>
    <cellStyle name="Migliaia 26 3 3" xfId="634" xr:uid="{00000000-0005-0000-0000-0000010A0000}"/>
    <cellStyle name="Migliaia 26 3 3 2" xfId="2398" xr:uid="{00000000-0005-0000-0000-0000020A0000}"/>
    <cellStyle name="Migliaia 26 3 3 2 2" xfId="5458" xr:uid="{00000000-0005-0000-0000-0000030A0000}"/>
    <cellStyle name="Migliaia 26 3 3 2 3" xfId="6380" xr:uid="{00000000-0005-0000-0000-0000040A0000}"/>
    <cellStyle name="Migliaia 26 3 3 3" xfId="5042" xr:uid="{00000000-0005-0000-0000-0000050A0000}"/>
    <cellStyle name="Migliaia 26 3 3 4" xfId="5884" xr:uid="{00000000-0005-0000-0000-0000060A0000}"/>
    <cellStyle name="Migliaia 26 3 4" xfId="2397" xr:uid="{00000000-0005-0000-0000-0000070A0000}"/>
    <cellStyle name="Migliaia 26 3 4 2" xfId="5457" xr:uid="{00000000-0005-0000-0000-0000080A0000}"/>
    <cellStyle name="Migliaia 26 3 4 3" xfId="6379" xr:uid="{00000000-0005-0000-0000-0000090A0000}"/>
    <cellStyle name="Migliaia 26 3 5" xfId="5040" xr:uid="{00000000-0005-0000-0000-00000A0A0000}"/>
    <cellStyle name="Migliaia 26 3 6" xfId="5882" xr:uid="{00000000-0005-0000-0000-00000B0A0000}"/>
    <cellStyle name="Migliaia 26 4" xfId="635" xr:uid="{00000000-0005-0000-0000-00000C0A0000}"/>
    <cellStyle name="Migliaia 26 4 2" xfId="636" xr:uid="{00000000-0005-0000-0000-00000D0A0000}"/>
    <cellStyle name="Migliaia 26 4 2 2" xfId="2400" xr:uid="{00000000-0005-0000-0000-00000E0A0000}"/>
    <cellStyle name="Migliaia 26 4 2 2 2" xfId="5460" xr:uid="{00000000-0005-0000-0000-00000F0A0000}"/>
    <cellStyle name="Migliaia 26 4 2 2 3" xfId="6382" xr:uid="{00000000-0005-0000-0000-0000100A0000}"/>
    <cellStyle name="Migliaia 26 4 2 3" xfId="5044" xr:uid="{00000000-0005-0000-0000-0000110A0000}"/>
    <cellStyle name="Migliaia 26 4 2 4" xfId="5886" xr:uid="{00000000-0005-0000-0000-0000120A0000}"/>
    <cellStyle name="Migliaia 26 4 3" xfId="2399" xr:uid="{00000000-0005-0000-0000-0000130A0000}"/>
    <cellStyle name="Migliaia 26 4 3 2" xfId="5459" xr:uid="{00000000-0005-0000-0000-0000140A0000}"/>
    <cellStyle name="Migliaia 26 4 3 3" xfId="6381" xr:uid="{00000000-0005-0000-0000-0000150A0000}"/>
    <cellStyle name="Migliaia 26 4 4" xfId="5043" xr:uid="{00000000-0005-0000-0000-0000160A0000}"/>
    <cellStyle name="Migliaia 26 4 5" xfId="5885" xr:uid="{00000000-0005-0000-0000-0000170A0000}"/>
    <cellStyle name="Migliaia 26 5" xfId="637" xr:uid="{00000000-0005-0000-0000-0000180A0000}"/>
    <cellStyle name="Migliaia 26 5 2" xfId="5045" xr:uid="{00000000-0005-0000-0000-0000190A0000}"/>
    <cellStyle name="Migliaia 26 5 3" xfId="5887" xr:uid="{00000000-0005-0000-0000-00001A0A0000}"/>
    <cellStyle name="Migliaia 26 6" xfId="4817" xr:uid="{00000000-0005-0000-0000-00001B0A0000}"/>
    <cellStyle name="Migliaia 26 7" xfId="5880" xr:uid="{00000000-0005-0000-0000-00001C0A0000}"/>
    <cellStyle name="Migliaia 27" xfId="638" xr:uid="{00000000-0005-0000-0000-00001D0A0000}"/>
    <cellStyle name="Migliaia 27 2" xfId="639" xr:uid="{00000000-0005-0000-0000-00001E0A0000}"/>
    <cellStyle name="Migliaia 27 2 2" xfId="2401" xr:uid="{00000000-0005-0000-0000-00001F0A0000}"/>
    <cellStyle name="Migliaia 27 2 2 2" xfId="5461" xr:uid="{00000000-0005-0000-0000-0000200A0000}"/>
    <cellStyle name="Migliaia 27 2 2 3" xfId="6383" xr:uid="{00000000-0005-0000-0000-0000210A0000}"/>
    <cellStyle name="Migliaia 27 2 3" xfId="4882" xr:uid="{00000000-0005-0000-0000-0000220A0000}"/>
    <cellStyle name="Migliaia 27 2 4" xfId="5889" xr:uid="{00000000-0005-0000-0000-0000230A0000}"/>
    <cellStyle name="Migliaia 27 3" xfId="640" xr:uid="{00000000-0005-0000-0000-0000240A0000}"/>
    <cellStyle name="Migliaia 27 3 2" xfId="641" xr:uid="{00000000-0005-0000-0000-0000250A0000}"/>
    <cellStyle name="Migliaia 27 3 2 2" xfId="5047" xr:uid="{00000000-0005-0000-0000-0000260A0000}"/>
    <cellStyle name="Migliaia 27 3 2 3" xfId="5891" xr:uid="{00000000-0005-0000-0000-0000270A0000}"/>
    <cellStyle name="Migliaia 27 3 3" xfId="642" xr:uid="{00000000-0005-0000-0000-0000280A0000}"/>
    <cellStyle name="Migliaia 27 3 3 2" xfId="2403" xr:uid="{00000000-0005-0000-0000-0000290A0000}"/>
    <cellStyle name="Migliaia 27 3 3 2 2" xfId="5463" xr:uid="{00000000-0005-0000-0000-00002A0A0000}"/>
    <cellStyle name="Migliaia 27 3 3 2 3" xfId="6385" xr:uid="{00000000-0005-0000-0000-00002B0A0000}"/>
    <cellStyle name="Migliaia 27 3 3 3" xfId="5048" xr:uid="{00000000-0005-0000-0000-00002C0A0000}"/>
    <cellStyle name="Migliaia 27 3 3 4" xfId="5892" xr:uid="{00000000-0005-0000-0000-00002D0A0000}"/>
    <cellStyle name="Migliaia 27 3 4" xfId="2402" xr:uid="{00000000-0005-0000-0000-00002E0A0000}"/>
    <cellStyle name="Migliaia 27 3 4 2" xfId="5462" xr:uid="{00000000-0005-0000-0000-00002F0A0000}"/>
    <cellStyle name="Migliaia 27 3 4 3" xfId="6384" xr:uid="{00000000-0005-0000-0000-0000300A0000}"/>
    <cellStyle name="Migliaia 27 3 5" xfId="5046" xr:uid="{00000000-0005-0000-0000-0000310A0000}"/>
    <cellStyle name="Migliaia 27 3 6" xfId="5890" xr:uid="{00000000-0005-0000-0000-0000320A0000}"/>
    <cellStyle name="Migliaia 27 4" xfId="643" xr:uid="{00000000-0005-0000-0000-0000330A0000}"/>
    <cellStyle name="Migliaia 27 4 2" xfId="644" xr:uid="{00000000-0005-0000-0000-0000340A0000}"/>
    <cellStyle name="Migliaia 27 4 2 2" xfId="2405" xr:uid="{00000000-0005-0000-0000-0000350A0000}"/>
    <cellStyle name="Migliaia 27 4 2 2 2" xfId="5465" xr:uid="{00000000-0005-0000-0000-0000360A0000}"/>
    <cellStyle name="Migliaia 27 4 2 2 3" xfId="6387" xr:uid="{00000000-0005-0000-0000-0000370A0000}"/>
    <cellStyle name="Migliaia 27 4 2 3" xfId="5050" xr:uid="{00000000-0005-0000-0000-0000380A0000}"/>
    <cellStyle name="Migliaia 27 4 2 4" xfId="5894" xr:uid="{00000000-0005-0000-0000-0000390A0000}"/>
    <cellStyle name="Migliaia 27 4 3" xfId="2404" xr:uid="{00000000-0005-0000-0000-00003A0A0000}"/>
    <cellStyle name="Migliaia 27 4 3 2" xfId="5464" xr:uid="{00000000-0005-0000-0000-00003B0A0000}"/>
    <cellStyle name="Migliaia 27 4 3 3" xfId="6386" xr:uid="{00000000-0005-0000-0000-00003C0A0000}"/>
    <cellStyle name="Migliaia 27 4 4" xfId="5049" xr:uid="{00000000-0005-0000-0000-00003D0A0000}"/>
    <cellStyle name="Migliaia 27 4 5" xfId="5893" xr:uid="{00000000-0005-0000-0000-00003E0A0000}"/>
    <cellStyle name="Migliaia 27 5" xfId="645" xr:uid="{00000000-0005-0000-0000-00003F0A0000}"/>
    <cellStyle name="Migliaia 27 5 2" xfId="5051" xr:uid="{00000000-0005-0000-0000-0000400A0000}"/>
    <cellStyle name="Migliaia 27 5 3" xfId="5895" xr:uid="{00000000-0005-0000-0000-0000410A0000}"/>
    <cellStyle name="Migliaia 27 6" xfId="4818" xr:uid="{00000000-0005-0000-0000-0000420A0000}"/>
    <cellStyle name="Migliaia 27 7" xfId="5888" xr:uid="{00000000-0005-0000-0000-0000430A0000}"/>
    <cellStyle name="Migliaia 28" xfId="646" xr:uid="{00000000-0005-0000-0000-0000440A0000}"/>
    <cellStyle name="Migliaia 28 2" xfId="647" xr:uid="{00000000-0005-0000-0000-0000450A0000}"/>
    <cellStyle name="Migliaia 28 2 2" xfId="2406" xr:uid="{00000000-0005-0000-0000-0000460A0000}"/>
    <cellStyle name="Migliaia 28 2 2 2" xfId="5466" xr:uid="{00000000-0005-0000-0000-0000470A0000}"/>
    <cellStyle name="Migliaia 28 2 2 3" xfId="6388" xr:uid="{00000000-0005-0000-0000-0000480A0000}"/>
    <cellStyle name="Migliaia 28 2 3" xfId="4883" xr:uid="{00000000-0005-0000-0000-0000490A0000}"/>
    <cellStyle name="Migliaia 28 2 4" xfId="5897" xr:uid="{00000000-0005-0000-0000-00004A0A0000}"/>
    <cellStyle name="Migliaia 28 3" xfId="648" xr:uid="{00000000-0005-0000-0000-00004B0A0000}"/>
    <cellStyle name="Migliaia 28 3 2" xfId="649" xr:uid="{00000000-0005-0000-0000-00004C0A0000}"/>
    <cellStyle name="Migliaia 28 3 2 2" xfId="5053" xr:uid="{00000000-0005-0000-0000-00004D0A0000}"/>
    <cellStyle name="Migliaia 28 3 2 3" xfId="5899" xr:uid="{00000000-0005-0000-0000-00004E0A0000}"/>
    <cellStyle name="Migliaia 28 3 3" xfId="650" xr:uid="{00000000-0005-0000-0000-00004F0A0000}"/>
    <cellStyle name="Migliaia 28 3 3 2" xfId="2408" xr:uid="{00000000-0005-0000-0000-0000500A0000}"/>
    <cellStyle name="Migliaia 28 3 3 2 2" xfId="5468" xr:uid="{00000000-0005-0000-0000-0000510A0000}"/>
    <cellStyle name="Migliaia 28 3 3 2 3" xfId="6390" xr:uid="{00000000-0005-0000-0000-0000520A0000}"/>
    <cellStyle name="Migliaia 28 3 3 3" xfId="5054" xr:uid="{00000000-0005-0000-0000-0000530A0000}"/>
    <cellStyle name="Migliaia 28 3 3 4" xfId="5900" xr:uid="{00000000-0005-0000-0000-0000540A0000}"/>
    <cellStyle name="Migliaia 28 3 4" xfId="2407" xr:uid="{00000000-0005-0000-0000-0000550A0000}"/>
    <cellStyle name="Migliaia 28 3 4 2" xfId="5467" xr:uid="{00000000-0005-0000-0000-0000560A0000}"/>
    <cellStyle name="Migliaia 28 3 4 3" xfId="6389" xr:uid="{00000000-0005-0000-0000-0000570A0000}"/>
    <cellStyle name="Migliaia 28 3 5" xfId="5052" xr:uid="{00000000-0005-0000-0000-0000580A0000}"/>
    <cellStyle name="Migliaia 28 3 6" xfId="5898" xr:uid="{00000000-0005-0000-0000-0000590A0000}"/>
    <cellStyle name="Migliaia 28 4" xfId="651" xr:uid="{00000000-0005-0000-0000-00005A0A0000}"/>
    <cellStyle name="Migliaia 28 4 2" xfId="652" xr:uid="{00000000-0005-0000-0000-00005B0A0000}"/>
    <cellStyle name="Migliaia 28 4 2 2" xfId="2410" xr:uid="{00000000-0005-0000-0000-00005C0A0000}"/>
    <cellStyle name="Migliaia 28 4 2 2 2" xfId="5470" xr:uid="{00000000-0005-0000-0000-00005D0A0000}"/>
    <cellStyle name="Migliaia 28 4 2 2 3" xfId="6392" xr:uid="{00000000-0005-0000-0000-00005E0A0000}"/>
    <cellStyle name="Migliaia 28 4 2 3" xfId="5056" xr:uid="{00000000-0005-0000-0000-00005F0A0000}"/>
    <cellStyle name="Migliaia 28 4 2 4" xfId="5902" xr:uid="{00000000-0005-0000-0000-0000600A0000}"/>
    <cellStyle name="Migliaia 28 4 3" xfId="2409" xr:uid="{00000000-0005-0000-0000-0000610A0000}"/>
    <cellStyle name="Migliaia 28 4 3 2" xfId="5469" xr:uid="{00000000-0005-0000-0000-0000620A0000}"/>
    <cellStyle name="Migliaia 28 4 3 3" xfId="6391" xr:uid="{00000000-0005-0000-0000-0000630A0000}"/>
    <cellStyle name="Migliaia 28 4 4" xfId="5055" xr:uid="{00000000-0005-0000-0000-0000640A0000}"/>
    <cellStyle name="Migliaia 28 4 5" xfId="5901" xr:uid="{00000000-0005-0000-0000-0000650A0000}"/>
    <cellStyle name="Migliaia 28 5" xfId="653" xr:uid="{00000000-0005-0000-0000-0000660A0000}"/>
    <cellStyle name="Migliaia 28 5 2" xfId="5057" xr:uid="{00000000-0005-0000-0000-0000670A0000}"/>
    <cellStyle name="Migliaia 28 5 3" xfId="5903" xr:uid="{00000000-0005-0000-0000-0000680A0000}"/>
    <cellStyle name="Migliaia 28 6" xfId="4819" xr:uid="{00000000-0005-0000-0000-0000690A0000}"/>
    <cellStyle name="Migliaia 28 7" xfId="5896" xr:uid="{00000000-0005-0000-0000-00006A0A0000}"/>
    <cellStyle name="Migliaia 29" xfId="654" xr:uid="{00000000-0005-0000-0000-00006B0A0000}"/>
    <cellStyle name="Migliaia 29 2" xfId="655" xr:uid="{00000000-0005-0000-0000-00006C0A0000}"/>
    <cellStyle name="Migliaia 29 2 2" xfId="2411" xr:uid="{00000000-0005-0000-0000-00006D0A0000}"/>
    <cellStyle name="Migliaia 29 2 2 2" xfId="5471" xr:uid="{00000000-0005-0000-0000-00006E0A0000}"/>
    <cellStyle name="Migliaia 29 2 2 3" xfId="6393" xr:uid="{00000000-0005-0000-0000-00006F0A0000}"/>
    <cellStyle name="Migliaia 29 2 3" xfId="4884" xr:uid="{00000000-0005-0000-0000-0000700A0000}"/>
    <cellStyle name="Migliaia 29 2 4" xfId="5905" xr:uid="{00000000-0005-0000-0000-0000710A0000}"/>
    <cellStyle name="Migliaia 29 3" xfId="656" xr:uid="{00000000-0005-0000-0000-0000720A0000}"/>
    <cellStyle name="Migliaia 29 3 2" xfId="657" xr:uid="{00000000-0005-0000-0000-0000730A0000}"/>
    <cellStyle name="Migliaia 29 3 2 2" xfId="5059" xr:uid="{00000000-0005-0000-0000-0000740A0000}"/>
    <cellStyle name="Migliaia 29 3 2 3" xfId="5907" xr:uid="{00000000-0005-0000-0000-0000750A0000}"/>
    <cellStyle name="Migliaia 29 3 3" xfId="658" xr:uid="{00000000-0005-0000-0000-0000760A0000}"/>
    <cellStyle name="Migliaia 29 3 3 2" xfId="2413" xr:uid="{00000000-0005-0000-0000-0000770A0000}"/>
    <cellStyle name="Migliaia 29 3 3 2 2" xfId="5473" xr:uid="{00000000-0005-0000-0000-0000780A0000}"/>
    <cellStyle name="Migliaia 29 3 3 2 3" xfId="6395" xr:uid="{00000000-0005-0000-0000-0000790A0000}"/>
    <cellStyle name="Migliaia 29 3 3 3" xfId="5060" xr:uid="{00000000-0005-0000-0000-00007A0A0000}"/>
    <cellStyle name="Migliaia 29 3 3 4" xfId="5908" xr:uid="{00000000-0005-0000-0000-00007B0A0000}"/>
    <cellStyle name="Migliaia 29 3 4" xfId="2412" xr:uid="{00000000-0005-0000-0000-00007C0A0000}"/>
    <cellStyle name="Migliaia 29 3 4 2" xfId="5472" xr:uid="{00000000-0005-0000-0000-00007D0A0000}"/>
    <cellStyle name="Migliaia 29 3 4 3" xfId="6394" xr:uid="{00000000-0005-0000-0000-00007E0A0000}"/>
    <cellStyle name="Migliaia 29 3 5" xfId="5058" xr:uid="{00000000-0005-0000-0000-00007F0A0000}"/>
    <cellStyle name="Migliaia 29 3 6" xfId="5906" xr:uid="{00000000-0005-0000-0000-0000800A0000}"/>
    <cellStyle name="Migliaia 29 4" xfId="659" xr:uid="{00000000-0005-0000-0000-0000810A0000}"/>
    <cellStyle name="Migliaia 29 4 2" xfId="660" xr:uid="{00000000-0005-0000-0000-0000820A0000}"/>
    <cellStyle name="Migliaia 29 4 2 2" xfId="2415" xr:uid="{00000000-0005-0000-0000-0000830A0000}"/>
    <cellStyle name="Migliaia 29 4 2 2 2" xfId="5475" xr:uid="{00000000-0005-0000-0000-0000840A0000}"/>
    <cellStyle name="Migliaia 29 4 2 2 3" xfId="6397" xr:uid="{00000000-0005-0000-0000-0000850A0000}"/>
    <cellStyle name="Migliaia 29 4 2 3" xfId="5062" xr:uid="{00000000-0005-0000-0000-0000860A0000}"/>
    <cellStyle name="Migliaia 29 4 2 4" xfId="5910" xr:uid="{00000000-0005-0000-0000-0000870A0000}"/>
    <cellStyle name="Migliaia 29 4 3" xfId="2414" xr:uid="{00000000-0005-0000-0000-0000880A0000}"/>
    <cellStyle name="Migliaia 29 4 3 2" xfId="5474" xr:uid="{00000000-0005-0000-0000-0000890A0000}"/>
    <cellStyle name="Migliaia 29 4 3 3" xfId="6396" xr:uid="{00000000-0005-0000-0000-00008A0A0000}"/>
    <cellStyle name="Migliaia 29 4 4" xfId="5061" xr:uid="{00000000-0005-0000-0000-00008B0A0000}"/>
    <cellStyle name="Migliaia 29 4 5" xfId="5909" xr:uid="{00000000-0005-0000-0000-00008C0A0000}"/>
    <cellStyle name="Migliaia 29 5" xfId="661" xr:uid="{00000000-0005-0000-0000-00008D0A0000}"/>
    <cellStyle name="Migliaia 29 5 2" xfId="5063" xr:uid="{00000000-0005-0000-0000-00008E0A0000}"/>
    <cellStyle name="Migliaia 29 5 3" xfId="5911" xr:uid="{00000000-0005-0000-0000-00008F0A0000}"/>
    <cellStyle name="Migliaia 29 6" xfId="4820" xr:uid="{00000000-0005-0000-0000-0000900A0000}"/>
    <cellStyle name="Migliaia 29 7" xfId="5904" xr:uid="{00000000-0005-0000-0000-0000910A0000}"/>
    <cellStyle name="Migliaia 3" xfId="662" xr:uid="{00000000-0005-0000-0000-0000920A0000}"/>
    <cellStyle name="Migliaia 3 2" xfId="663" xr:uid="{00000000-0005-0000-0000-0000930A0000}"/>
    <cellStyle name="Migliaia 3 2 2" xfId="2416" xr:uid="{00000000-0005-0000-0000-0000940A0000}"/>
    <cellStyle name="Migliaia 3 2 2 2" xfId="5476" xr:uid="{00000000-0005-0000-0000-0000950A0000}"/>
    <cellStyle name="Migliaia 3 2 2 3" xfId="6398" xr:uid="{00000000-0005-0000-0000-0000960A0000}"/>
    <cellStyle name="Migliaia 3 2 3" xfId="4885" xr:uid="{00000000-0005-0000-0000-0000970A0000}"/>
    <cellStyle name="Migliaia 3 2 4" xfId="5913" xr:uid="{00000000-0005-0000-0000-0000980A0000}"/>
    <cellStyle name="Migliaia 3 3" xfId="664" xr:uid="{00000000-0005-0000-0000-0000990A0000}"/>
    <cellStyle name="Migliaia 3 3 2" xfId="665" xr:uid="{00000000-0005-0000-0000-00009A0A0000}"/>
    <cellStyle name="Migliaia 3 3 2 2" xfId="5065" xr:uid="{00000000-0005-0000-0000-00009B0A0000}"/>
    <cellStyle name="Migliaia 3 3 2 3" xfId="5915" xr:uid="{00000000-0005-0000-0000-00009C0A0000}"/>
    <cellStyle name="Migliaia 3 3 3" xfId="666" xr:uid="{00000000-0005-0000-0000-00009D0A0000}"/>
    <cellStyle name="Migliaia 3 3 3 2" xfId="2418" xr:uid="{00000000-0005-0000-0000-00009E0A0000}"/>
    <cellStyle name="Migliaia 3 3 3 2 2" xfId="5478" xr:uid="{00000000-0005-0000-0000-00009F0A0000}"/>
    <cellStyle name="Migliaia 3 3 3 2 3" xfId="6400" xr:uid="{00000000-0005-0000-0000-0000A00A0000}"/>
    <cellStyle name="Migliaia 3 3 3 3" xfId="5066" xr:uid="{00000000-0005-0000-0000-0000A10A0000}"/>
    <cellStyle name="Migliaia 3 3 3 4" xfId="5916" xr:uid="{00000000-0005-0000-0000-0000A20A0000}"/>
    <cellStyle name="Migliaia 3 3 4" xfId="2417" xr:uid="{00000000-0005-0000-0000-0000A30A0000}"/>
    <cellStyle name="Migliaia 3 3 4 2" xfId="5477" xr:uid="{00000000-0005-0000-0000-0000A40A0000}"/>
    <cellStyle name="Migliaia 3 3 4 3" xfId="6399" xr:uid="{00000000-0005-0000-0000-0000A50A0000}"/>
    <cellStyle name="Migliaia 3 3 5" xfId="5064" xr:uid="{00000000-0005-0000-0000-0000A60A0000}"/>
    <cellStyle name="Migliaia 3 3 6" xfId="5914" xr:uid="{00000000-0005-0000-0000-0000A70A0000}"/>
    <cellStyle name="Migliaia 3 4" xfId="667" xr:uid="{00000000-0005-0000-0000-0000A80A0000}"/>
    <cellStyle name="Migliaia 3 4 2" xfId="668" xr:uid="{00000000-0005-0000-0000-0000A90A0000}"/>
    <cellStyle name="Migliaia 3 4 2 2" xfId="2420" xr:uid="{00000000-0005-0000-0000-0000AA0A0000}"/>
    <cellStyle name="Migliaia 3 4 2 2 2" xfId="5480" xr:uid="{00000000-0005-0000-0000-0000AB0A0000}"/>
    <cellStyle name="Migliaia 3 4 2 2 3" xfId="6402" xr:uid="{00000000-0005-0000-0000-0000AC0A0000}"/>
    <cellStyle name="Migliaia 3 4 2 3" xfId="5068" xr:uid="{00000000-0005-0000-0000-0000AD0A0000}"/>
    <cellStyle name="Migliaia 3 4 2 4" xfId="5918" xr:uid="{00000000-0005-0000-0000-0000AE0A0000}"/>
    <cellStyle name="Migliaia 3 4 3" xfId="2419" xr:uid="{00000000-0005-0000-0000-0000AF0A0000}"/>
    <cellStyle name="Migliaia 3 4 3 2" xfId="5479" xr:uid="{00000000-0005-0000-0000-0000B00A0000}"/>
    <cellStyle name="Migliaia 3 4 3 3" xfId="6401" xr:uid="{00000000-0005-0000-0000-0000B10A0000}"/>
    <cellStyle name="Migliaia 3 4 4" xfId="5067" xr:uid="{00000000-0005-0000-0000-0000B20A0000}"/>
    <cellStyle name="Migliaia 3 4 5" xfId="5917" xr:uid="{00000000-0005-0000-0000-0000B30A0000}"/>
    <cellStyle name="Migliaia 3 5" xfId="669" xr:uid="{00000000-0005-0000-0000-0000B40A0000}"/>
    <cellStyle name="Migliaia 3 5 2" xfId="5069" xr:uid="{00000000-0005-0000-0000-0000B50A0000}"/>
    <cellStyle name="Migliaia 3 5 3" xfId="5919" xr:uid="{00000000-0005-0000-0000-0000B60A0000}"/>
    <cellStyle name="Migliaia 3 6" xfId="4821" xr:uid="{00000000-0005-0000-0000-0000B70A0000}"/>
    <cellStyle name="Migliaia 3 7" xfId="5912" xr:uid="{00000000-0005-0000-0000-0000B80A0000}"/>
    <cellStyle name="Migliaia 30" xfId="670" xr:uid="{00000000-0005-0000-0000-0000B90A0000}"/>
    <cellStyle name="Migliaia 30 2" xfId="671" xr:uid="{00000000-0005-0000-0000-0000BA0A0000}"/>
    <cellStyle name="Migliaia 30 2 2" xfId="2421" xr:uid="{00000000-0005-0000-0000-0000BB0A0000}"/>
    <cellStyle name="Migliaia 30 2 2 2" xfId="5481" xr:uid="{00000000-0005-0000-0000-0000BC0A0000}"/>
    <cellStyle name="Migliaia 30 2 2 3" xfId="6403" xr:uid="{00000000-0005-0000-0000-0000BD0A0000}"/>
    <cellStyle name="Migliaia 30 2 3" xfId="4886" xr:uid="{00000000-0005-0000-0000-0000BE0A0000}"/>
    <cellStyle name="Migliaia 30 2 4" xfId="5921" xr:uid="{00000000-0005-0000-0000-0000BF0A0000}"/>
    <cellStyle name="Migliaia 30 3" xfId="672" xr:uid="{00000000-0005-0000-0000-0000C00A0000}"/>
    <cellStyle name="Migliaia 30 3 2" xfId="673" xr:uid="{00000000-0005-0000-0000-0000C10A0000}"/>
    <cellStyle name="Migliaia 30 3 2 2" xfId="5071" xr:uid="{00000000-0005-0000-0000-0000C20A0000}"/>
    <cellStyle name="Migliaia 30 3 2 3" xfId="5923" xr:uid="{00000000-0005-0000-0000-0000C30A0000}"/>
    <cellStyle name="Migliaia 30 3 3" xfId="674" xr:uid="{00000000-0005-0000-0000-0000C40A0000}"/>
    <cellStyle name="Migliaia 30 3 3 2" xfId="2423" xr:uid="{00000000-0005-0000-0000-0000C50A0000}"/>
    <cellStyle name="Migliaia 30 3 3 2 2" xfId="5483" xr:uid="{00000000-0005-0000-0000-0000C60A0000}"/>
    <cellStyle name="Migliaia 30 3 3 2 3" xfId="6405" xr:uid="{00000000-0005-0000-0000-0000C70A0000}"/>
    <cellStyle name="Migliaia 30 3 3 3" xfId="5072" xr:uid="{00000000-0005-0000-0000-0000C80A0000}"/>
    <cellStyle name="Migliaia 30 3 3 4" xfId="5924" xr:uid="{00000000-0005-0000-0000-0000C90A0000}"/>
    <cellStyle name="Migliaia 30 3 4" xfId="2422" xr:uid="{00000000-0005-0000-0000-0000CA0A0000}"/>
    <cellStyle name="Migliaia 30 3 4 2" xfId="5482" xr:uid="{00000000-0005-0000-0000-0000CB0A0000}"/>
    <cellStyle name="Migliaia 30 3 4 3" xfId="6404" xr:uid="{00000000-0005-0000-0000-0000CC0A0000}"/>
    <cellStyle name="Migliaia 30 3 5" xfId="5070" xr:uid="{00000000-0005-0000-0000-0000CD0A0000}"/>
    <cellStyle name="Migliaia 30 3 6" xfId="5922" xr:uid="{00000000-0005-0000-0000-0000CE0A0000}"/>
    <cellStyle name="Migliaia 30 4" xfId="675" xr:uid="{00000000-0005-0000-0000-0000CF0A0000}"/>
    <cellStyle name="Migliaia 30 4 2" xfId="676" xr:uid="{00000000-0005-0000-0000-0000D00A0000}"/>
    <cellStyle name="Migliaia 30 4 2 2" xfId="2425" xr:uid="{00000000-0005-0000-0000-0000D10A0000}"/>
    <cellStyle name="Migliaia 30 4 2 2 2" xfId="5485" xr:uid="{00000000-0005-0000-0000-0000D20A0000}"/>
    <cellStyle name="Migliaia 30 4 2 2 3" xfId="6407" xr:uid="{00000000-0005-0000-0000-0000D30A0000}"/>
    <cellStyle name="Migliaia 30 4 2 3" xfId="5074" xr:uid="{00000000-0005-0000-0000-0000D40A0000}"/>
    <cellStyle name="Migliaia 30 4 2 4" xfId="5926" xr:uid="{00000000-0005-0000-0000-0000D50A0000}"/>
    <cellStyle name="Migliaia 30 4 3" xfId="2424" xr:uid="{00000000-0005-0000-0000-0000D60A0000}"/>
    <cellStyle name="Migliaia 30 4 3 2" xfId="5484" xr:uid="{00000000-0005-0000-0000-0000D70A0000}"/>
    <cellStyle name="Migliaia 30 4 3 3" xfId="6406" xr:uid="{00000000-0005-0000-0000-0000D80A0000}"/>
    <cellStyle name="Migliaia 30 4 4" xfId="5073" xr:uid="{00000000-0005-0000-0000-0000D90A0000}"/>
    <cellStyle name="Migliaia 30 4 5" xfId="5925" xr:uid="{00000000-0005-0000-0000-0000DA0A0000}"/>
    <cellStyle name="Migliaia 30 5" xfId="677" xr:uid="{00000000-0005-0000-0000-0000DB0A0000}"/>
    <cellStyle name="Migliaia 30 5 2" xfId="5075" xr:uid="{00000000-0005-0000-0000-0000DC0A0000}"/>
    <cellStyle name="Migliaia 30 5 3" xfId="5927" xr:uid="{00000000-0005-0000-0000-0000DD0A0000}"/>
    <cellStyle name="Migliaia 30 6" xfId="4822" xr:uid="{00000000-0005-0000-0000-0000DE0A0000}"/>
    <cellStyle name="Migliaia 30 7" xfId="5920" xr:uid="{00000000-0005-0000-0000-0000DF0A0000}"/>
    <cellStyle name="Migliaia 31" xfId="678" xr:uid="{00000000-0005-0000-0000-0000E00A0000}"/>
    <cellStyle name="Migliaia 31 2" xfId="679" xr:uid="{00000000-0005-0000-0000-0000E10A0000}"/>
    <cellStyle name="Migliaia 31 2 2" xfId="2426" xr:uid="{00000000-0005-0000-0000-0000E20A0000}"/>
    <cellStyle name="Migliaia 31 2 2 2" xfId="5486" xr:uid="{00000000-0005-0000-0000-0000E30A0000}"/>
    <cellStyle name="Migliaia 31 2 2 3" xfId="6408" xr:uid="{00000000-0005-0000-0000-0000E40A0000}"/>
    <cellStyle name="Migliaia 31 2 3" xfId="4887" xr:uid="{00000000-0005-0000-0000-0000E50A0000}"/>
    <cellStyle name="Migliaia 31 2 4" xfId="5929" xr:uid="{00000000-0005-0000-0000-0000E60A0000}"/>
    <cellStyle name="Migliaia 31 3" xfId="680" xr:uid="{00000000-0005-0000-0000-0000E70A0000}"/>
    <cellStyle name="Migliaia 31 3 2" xfId="681" xr:uid="{00000000-0005-0000-0000-0000E80A0000}"/>
    <cellStyle name="Migliaia 31 3 2 2" xfId="5077" xr:uid="{00000000-0005-0000-0000-0000E90A0000}"/>
    <cellStyle name="Migliaia 31 3 2 3" xfId="5931" xr:uid="{00000000-0005-0000-0000-0000EA0A0000}"/>
    <cellStyle name="Migliaia 31 3 3" xfId="682" xr:uid="{00000000-0005-0000-0000-0000EB0A0000}"/>
    <cellStyle name="Migliaia 31 3 3 2" xfId="2428" xr:uid="{00000000-0005-0000-0000-0000EC0A0000}"/>
    <cellStyle name="Migliaia 31 3 3 2 2" xfId="5488" xr:uid="{00000000-0005-0000-0000-0000ED0A0000}"/>
    <cellStyle name="Migliaia 31 3 3 2 3" xfId="6410" xr:uid="{00000000-0005-0000-0000-0000EE0A0000}"/>
    <cellStyle name="Migliaia 31 3 3 3" xfId="5078" xr:uid="{00000000-0005-0000-0000-0000EF0A0000}"/>
    <cellStyle name="Migliaia 31 3 3 4" xfId="5932" xr:uid="{00000000-0005-0000-0000-0000F00A0000}"/>
    <cellStyle name="Migliaia 31 3 4" xfId="2427" xr:uid="{00000000-0005-0000-0000-0000F10A0000}"/>
    <cellStyle name="Migliaia 31 3 4 2" xfId="5487" xr:uid="{00000000-0005-0000-0000-0000F20A0000}"/>
    <cellStyle name="Migliaia 31 3 4 3" xfId="6409" xr:uid="{00000000-0005-0000-0000-0000F30A0000}"/>
    <cellStyle name="Migliaia 31 3 5" xfId="5076" xr:uid="{00000000-0005-0000-0000-0000F40A0000}"/>
    <cellStyle name="Migliaia 31 3 6" xfId="5930" xr:uid="{00000000-0005-0000-0000-0000F50A0000}"/>
    <cellStyle name="Migliaia 31 4" xfId="683" xr:uid="{00000000-0005-0000-0000-0000F60A0000}"/>
    <cellStyle name="Migliaia 31 4 2" xfId="684" xr:uid="{00000000-0005-0000-0000-0000F70A0000}"/>
    <cellStyle name="Migliaia 31 4 2 2" xfId="2430" xr:uid="{00000000-0005-0000-0000-0000F80A0000}"/>
    <cellStyle name="Migliaia 31 4 2 2 2" xfId="5490" xr:uid="{00000000-0005-0000-0000-0000F90A0000}"/>
    <cellStyle name="Migliaia 31 4 2 2 3" xfId="6412" xr:uid="{00000000-0005-0000-0000-0000FA0A0000}"/>
    <cellStyle name="Migliaia 31 4 2 3" xfId="5080" xr:uid="{00000000-0005-0000-0000-0000FB0A0000}"/>
    <cellStyle name="Migliaia 31 4 2 4" xfId="5934" xr:uid="{00000000-0005-0000-0000-0000FC0A0000}"/>
    <cellStyle name="Migliaia 31 4 3" xfId="2429" xr:uid="{00000000-0005-0000-0000-0000FD0A0000}"/>
    <cellStyle name="Migliaia 31 4 3 2" xfId="5489" xr:uid="{00000000-0005-0000-0000-0000FE0A0000}"/>
    <cellStyle name="Migliaia 31 4 3 3" xfId="6411" xr:uid="{00000000-0005-0000-0000-0000FF0A0000}"/>
    <cellStyle name="Migliaia 31 4 4" xfId="5079" xr:uid="{00000000-0005-0000-0000-0000000B0000}"/>
    <cellStyle name="Migliaia 31 4 5" xfId="5933" xr:uid="{00000000-0005-0000-0000-0000010B0000}"/>
    <cellStyle name="Migliaia 31 5" xfId="685" xr:uid="{00000000-0005-0000-0000-0000020B0000}"/>
    <cellStyle name="Migliaia 31 5 2" xfId="5081" xr:uid="{00000000-0005-0000-0000-0000030B0000}"/>
    <cellStyle name="Migliaia 31 5 3" xfId="5935" xr:uid="{00000000-0005-0000-0000-0000040B0000}"/>
    <cellStyle name="Migliaia 31 6" xfId="4823" xr:uid="{00000000-0005-0000-0000-0000050B0000}"/>
    <cellStyle name="Migliaia 31 7" xfId="5928" xr:uid="{00000000-0005-0000-0000-0000060B0000}"/>
    <cellStyle name="Migliaia 32" xfId="686" xr:uid="{00000000-0005-0000-0000-0000070B0000}"/>
    <cellStyle name="Migliaia 32 2" xfId="687" xr:uid="{00000000-0005-0000-0000-0000080B0000}"/>
    <cellStyle name="Migliaia 32 2 2" xfId="2431" xr:uid="{00000000-0005-0000-0000-0000090B0000}"/>
    <cellStyle name="Migliaia 32 2 2 2" xfId="5491" xr:uid="{00000000-0005-0000-0000-00000A0B0000}"/>
    <cellStyle name="Migliaia 32 2 2 3" xfId="6413" xr:uid="{00000000-0005-0000-0000-00000B0B0000}"/>
    <cellStyle name="Migliaia 32 2 3" xfId="4888" xr:uid="{00000000-0005-0000-0000-00000C0B0000}"/>
    <cellStyle name="Migliaia 32 2 4" xfId="5937" xr:uid="{00000000-0005-0000-0000-00000D0B0000}"/>
    <cellStyle name="Migliaia 32 3" xfId="688" xr:uid="{00000000-0005-0000-0000-00000E0B0000}"/>
    <cellStyle name="Migliaia 32 3 2" xfId="689" xr:uid="{00000000-0005-0000-0000-00000F0B0000}"/>
    <cellStyle name="Migliaia 32 3 2 2" xfId="5083" xr:uid="{00000000-0005-0000-0000-0000100B0000}"/>
    <cellStyle name="Migliaia 32 3 2 3" xfId="5939" xr:uid="{00000000-0005-0000-0000-0000110B0000}"/>
    <cellStyle name="Migliaia 32 3 3" xfId="690" xr:uid="{00000000-0005-0000-0000-0000120B0000}"/>
    <cellStyle name="Migliaia 32 3 3 2" xfId="2433" xr:uid="{00000000-0005-0000-0000-0000130B0000}"/>
    <cellStyle name="Migliaia 32 3 3 2 2" xfId="5493" xr:uid="{00000000-0005-0000-0000-0000140B0000}"/>
    <cellStyle name="Migliaia 32 3 3 2 3" xfId="6415" xr:uid="{00000000-0005-0000-0000-0000150B0000}"/>
    <cellStyle name="Migliaia 32 3 3 3" xfId="5084" xr:uid="{00000000-0005-0000-0000-0000160B0000}"/>
    <cellStyle name="Migliaia 32 3 3 4" xfId="5940" xr:uid="{00000000-0005-0000-0000-0000170B0000}"/>
    <cellStyle name="Migliaia 32 3 4" xfId="2432" xr:uid="{00000000-0005-0000-0000-0000180B0000}"/>
    <cellStyle name="Migliaia 32 3 4 2" xfId="5492" xr:uid="{00000000-0005-0000-0000-0000190B0000}"/>
    <cellStyle name="Migliaia 32 3 4 3" xfId="6414" xr:uid="{00000000-0005-0000-0000-00001A0B0000}"/>
    <cellStyle name="Migliaia 32 3 5" xfId="5082" xr:uid="{00000000-0005-0000-0000-00001B0B0000}"/>
    <cellStyle name="Migliaia 32 3 6" xfId="5938" xr:uid="{00000000-0005-0000-0000-00001C0B0000}"/>
    <cellStyle name="Migliaia 32 4" xfId="691" xr:uid="{00000000-0005-0000-0000-00001D0B0000}"/>
    <cellStyle name="Migliaia 32 4 2" xfId="692" xr:uid="{00000000-0005-0000-0000-00001E0B0000}"/>
    <cellStyle name="Migliaia 32 4 2 2" xfId="2435" xr:uid="{00000000-0005-0000-0000-00001F0B0000}"/>
    <cellStyle name="Migliaia 32 4 2 2 2" xfId="5495" xr:uid="{00000000-0005-0000-0000-0000200B0000}"/>
    <cellStyle name="Migliaia 32 4 2 2 3" xfId="6417" xr:uid="{00000000-0005-0000-0000-0000210B0000}"/>
    <cellStyle name="Migliaia 32 4 2 3" xfId="5086" xr:uid="{00000000-0005-0000-0000-0000220B0000}"/>
    <cellStyle name="Migliaia 32 4 2 4" xfId="5942" xr:uid="{00000000-0005-0000-0000-0000230B0000}"/>
    <cellStyle name="Migliaia 32 4 3" xfId="2434" xr:uid="{00000000-0005-0000-0000-0000240B0000}"/>
    <cellStyle name="Migliaia 32 4 3 2" xfId="5494" xr:uid="{00000000-0005-0000-0000-0000250B0000}"/>
    <cellStyle name="Migliaia 32 4 3 3" xfId="6416" xr:uid="{00000000-0005-0000-0000-0000260B0000}"/>
    <cellStyle name="Migliaia 32 4 4" xfId="5085" xr:uid="{00000000-0005-0000-0000-0000270B0000}"/>
    <cellStyle name="Migliaia 32 4 5" xfId="5941" xr:uid="{00000000-0005-0000-0000-0000280B0000}"/>
    <cellStyle name="Migliaia 32 5" xfId="693" xr:uid="{00000000-0005-0000-0000-0000290B0000}"/>
    <cellStyle name="Migliaia 32 5 2" xfId="5087" xr:uid="{00000000-0005-0000-0000-00002A0B0000}"/>
    <cellStyle name="Migliaia 32 5 3" xfId="5943" xr:uid="{00000000-0005-0000-0000-00002B0B0000}"/>
    <cellStyle name="Migliaia 32 6" xfId="4824" xr:uid="{00000000-0005-0000-0000-00002C0B0000}"/>
    <cellStyle name="Migliaia 32 7" xfId="5936" xr:uid="{00000000-0005-0000-0000-00002D0B0000}"/>
    <cellStyle name="Migliaia 33" xfId="694" xr:uid="{00000000-0005-0000-0000-00002E0B0000}"/>
    <cellStyle name="Migliaia 33 2" xfId="695" xr:uid="{00000000-0005-0000-0000-00002F0B0000}"/>
    <cellStyle name="Migliaia 33 2 2" xfId="2436" xr:uid="{00000000-0005-0000-0000-0000300B0000}"/>
    <cellStyle name="Migliaia 33 2 2 2" xfId="5496" xr:uid="{00000000-0005-0000-0000-0000310B0000}"/>
    <cellStyle name="Migliaia 33 2 2 3" xfId="6418" xr:uid="{00000000-0005-0000-0000-0000320B0000}"/>
    <cellStyle name="Migliaia 33 2 3" xfId="4889" xr:uid="{00000000-0005-0000-0000-0000330B0000}"/>
    <cellStyle name="Migliaia 33 2 4" xfId="5945" xr:uid="{00000000-0005-0000-0000-0000340B0000}"/>
    <cellStyle name="Migliaia 33 3" xfId="696" xr:uid="{00000000-0005-0000-0000-0000350B0000}"/>
    <cellStyle name="Migliaia 33 3 2" xfId="697" xr:uid="{00000000-0005-0000-0000-0000360B0000}"/>
    <cellStyle name="Migliaia 33 3 2 2" xfId="5089" xr:uid="{00000000-0005-0000-0000-0000370B0000}"/>
    <cellStyle name="Migliaia 33 3 2 3" xfId="5947" xr:uid="{00000000-0005-0000-0000-0000380B0000}"/>
    <cellStyle name="Migliaia 33 3 3" xfId="698" xr:uid="{00000000-0005-0000-0000-0000390B0000}"/>
    <cellStyle name="Migliaia 33 3 3 2" xfId="2438" xr:uid="{00000000-0005-0000-0000-00003A0B0000}"/>
    <cellStyle name="Migliaia 33 3 3 2 2" xfId="5498" xr:uid="{00000000-0005-0000-0000-00003B0B0000}"/>
    <cellStyle name="Migliaia 33 3 3 2 3" xfId="6420" xr:uid="{00000000-0005-0000-0000-00003C0B0000}"/>
    <cellStyle name="Migliaia 33 3 3 3" xfId="5090" xr:uid="{00000000-0005-0000-0000-00003D0B0000}"/>
    <cellStyle name="Migliaia 33 3 3 4" xfId="5948" xr:uid="{00000000-0005-0000-0000-00003E0B0000}"/>
    <cellStyle name="Migliaia 33 3 4" xfId="2437" xr:uid="{00000000-0005-0000-0000-00003F0B0000}"/>
    <cellStyle name="Migliaia 33 3 4 2" xfId="5497" xr:uid="{00000000-0005-0000-0000-0000400B0000}"/>
    <cellStyle name="Migliaia 33 3 4 3" xfId="6419" xr:uid="{00000000-0005-0000-0000-0000410B0000}"/>
    <cellStyle name="Migliaia 33 3 5" xfId="5088" xr:uid="{00000000-0005-0000-0000-0000420B0000}"/>
    <cellStyle name="Migliaia 33 3 6" xfId="5946" xr:uid="{00000000-0005-0000-0000-0000430B0000}"/>
    <cellStyle name="Migliaia 33 4" xfId="699" xr:uid="{00000000-0005-0000-0000-0000440B0000}"/>
    <cellStyle name="Migliaia 33 4 2" xfId="700" xr:uid="{00000000-0005-0000-0000-0000450B0000}"/>
    <cellStyle name="Migliaia 33 4 2 2" xfId="2440" xr:uid="{00000000-0005-0000-0000-0000460B0000}"/>
    <cellStyle name="Migliaia 33 4 2 2 2" xfId="5500" xr:uid="{00000000-0005-0000-0000-0000470B0000}"/>
    <cellStyle name="Migliaia 33 4 2 2 3" xfId="6422" xr:uid="{00000000-0005-0000-0000-0000480B0000}"/>
    <cellStyle name="Migliaia 33 4 2 3" xfId="5092" xr:uid="{00000000-0005-0000-0000-0000490B0000}"/>
    <cellStyle name="Migliaia 33 4 2 4" xfId="5950" xr:uid="{00000000-0005-0000-0000-00004A0B0000}"/>
    <cellStyle name="Migliaia 33 4 3" xfId="2439" xr:uid="{00000000-0005-0000-0000-00004B0B0000}"/>
    <cellStyle name="Migliaia 33 4 3 2" xfId="5499" xr:uid="{00000000-0005-0000-0000-00004C0B0000}"/>
    <cellStyle name="Migliaia 33 4 3 3" xfId="6421" xr:uid="{00000000-0005-0000-0000-00004D0B0000}"/>
    <cellStyle name="Migliaia 33 4 4" xfId="5091" xr:uid="{00000000-0005-0000-0000-00004E0B0000}"/>
    <cellStyle name="Migliaia 33 4 5" xfId="5949" xr:uid="{00000000-0005-0000-0000-00004F0B0000}"/>
    <cellStyle name="Migliaia 33 5" xfId="701" xr:uid="{00000000-0005-0000-0000-0000500B0000}"/>
    <cellStyle name="Migliaia 33 5 2" xfId="5093" xr:uid="{00000000-0005-0000-0000-0000510B0000}"/>
    <cellStyle name="Migliaia 33 5 3" xfId="5951" xr:uid="{00000000-0005-0000-0000-0000520B0000}"/>
    <cellStyle name="Migliaia 33 6" xfId="4825" xr:uid="{00000000-0005-0000-0000-0000530B0000}"/>
    <cellStyle name="Migliaia 33 7" xfId="5944" xr:uid="{00000000-0005-0000-0000-0000540B0000}"/>
    <cellStyle name="Migliaia 34" xfId="702" xr:uid="{00000000-0005-0000-0000-0000550B0000}"/>
    <cellStyle name="Migliaia 34 2" xfId="703" xr:uid="{00000000-0005-0000-0000-0000560B0000}"/>
    <cellStyle name="Migliaia 34 2 2" xfId="2441" xr:uid="{00000000-0005-0000-0000-0000570B0000}"/>
    <cellStyle name="Migliaia 34 2 2 2" xfId="5501" xr:uid="{00000000-0005-0000-0000-0000580B0000}"/>
    <cellStyle name="Migliaia 34 2 2 3" xfId="6423" xr:uid="{00000000-0005-0000-0000-0000590B0000}"/>
    <cellStyle name="Migliaia 34 2 3" xfId="4890" xr:uid="{00000000-0005-0000-0000-00005A0B0000}"/>
    <cellStyle name="Migliaia 34 2 4" xfId="5953" xr:uid="{00000000-0005-0000-0000-00005B0B0000}"/>
    <cellStyle name="Migliaia 34 3" xfId="704" xr:uid="{00000000-0005-0000-0000-00005C0B0000}"/>
    <cellStyle name="Migliaia 34 3 2" xfId="705" xr:uid="{00000000-0005-0000-0000-00005D0B0000}"/>
    <cellStyle name="Migliaia 34 3 2 2" xfId="5095" xr:uid="{00000000-0005-0000-0000-00005E0B0000}"/>
    <cellStyle name="Migliaia 34 3 2 3" xfId="5955" xr:uid="{00000000-0005-0000-0000-00005F0B0000}"/>
    <cellStyle name="Migliaia 34 3 3" xfId="706" xr:uid="{00000000-0005-0000-0000-0000600B0000}"/>
    <cellStyle name="Migliaia 34 3 3 2" xfId="2443" xr:uid="{00000000-0005-0000-0000-0000610B0000}"/>
    <cellStyle name="Migliaia 34 3 3 2 2" xfId="5503" xr:uid="{00000000-0005-0000-0000-0000620B0000}"/>
    <cellStyle name="Migliaia 34 3 3 2 3" xfId="6425" xr:uid="{00000000-0005-0000-0000-0000630B0000}"/>
    <cellStyle name="Migliaia 34 3 3 3" xfId="5096" xr:uid="{00000000-0005-0000-0000-0000640B0000}"/>
    <cellStyle name="Migliaia 34 3 3 4" xfId="5956" xr:uid="{00000000-0005-0000-0000-0000650B0000}"/>
    <cellStyle name="Migliaia 34 3 4" xfId="2442" xr:uid="{00000000-0005-0000-0000-0000660B0000}"/>
    <cellStyle name="Migliaia 34 3 4 2" xfId="5502" xr:uid="{00000000-0005-0000-0000-0000670B0000}"/>
    <cellStyle name="Migliaia 34 3 4 3" xfId="6424" xr:uid="{00000000-0005-0000-0000-0000680B0000}"/>
    <cellStyle name="Migliaia 34 3 5" xfId="5094" xr:uid="{00000000-0005-0000-0000-0000690B0000}"/>
    <cellStyle name="Migliaia 34 3 6" xfId="5954" xr:uid="{00000000-0005-0000-0000-00006A0B0000}"/>
    <cellStyle name="Migliaia 34 4" xfId="707" xr:uid="{00000000-0005-0000-0000-00006B0B0000}"/>
    <cellStyle name="Migliaia 34 4 2" xfId="708" xr:uid="{00000000-0005-0000-0000-00006C0B0000}"/>
    <cellStyle name="Migliaia 34 4 2 2" xfId="2445" xr:uid="{00000000-0005-0000-0000-00006D0B0000}"/>
    <cellStyle name="Migliaia 34 4 2 2 2" xfId="5505" xr:uid="{00000000-0005-0000-0000-00006E0B0000}"/>
    <cellStyle name="Migliaia 34 4 2 2 3" xfId="6427" xr:uid="{00000000-0005-0000-0000-00006F0B0000}"/>
    <cellStyle name="Migliaia 34 4 2 3" xfId="5098" xr:uid="{00000000-0005-0000-0000-0000700B0000}"/>
    <cellStyle name="Migliaia 34 4 2 4" xfId="5958" xr:uid="{00000000-0005-0000-0000-0000710B0000}"/>
    <cellStyle name="Migliaia 34 4 3" xfId="2444" xr:uid="{00000000-0005-0000-0000-0000720B0000}"/>
    <cellStyle name="Migliaia 34 4 3 2" xfId="5504" xr:uid="{00000000-0005-0000-0000-0000730B0000}"/>
    <cellStyle name="Migliaia 34 4 3 3" xfId="6426" xr:uid="{00000000-0005-0000-0000-0000740B0000}"/>
    <cellStyle name="Migliaia 34 4 4" xfId="5097" xr:uid="{00000000-0005-0000-0000-0000750B0000}"/>
    <cellStyle name="Migliaia 34 4 5" xfId="5957" xr:uid="{00000000-0005-0000-0000-0000760B0000}"/>
    <cellStyle name="Migliaia 34 5" xfId="709" xr:uid="{00000000-0005-0000-0000-0000770B0000}"/>
    <cellStyle name="Migliaia 34 5 2" xfId="5099" xr:uid="{00000000-0005-0000-0000-0000780B0000}"/>
    <cellStyle name="Migliaia 34 5 3" xfId="5959" xr:uid="{00000000-0005-0000-0000-0000790B0000}"/>
    <cellStyle name="Migliaia 34 6" xfId="4826" xr:uid="{00000000-0005-0000-0000-00007A0B0000}"/>
    <cellStyle name="Migliaia 34 7" xfId="5952" xr:uid="{00000000-0005-0000-0000-00007B0B0000}"/>
    <cellStyle name="Migliaia 35" xfId="710" xr:uid="{00000000-0005-0000-0000-00007C0B0000}"/>
    <cellStyle name="Migliaia 35 2" xfId="711" xr:uid="{00000000-0005-0000-0000-00007D0B0000}"/>
    <cellStyle name="Migliaia 35 2 2" xfId="2446" xr:uid="{00000000-0005-0000-0000-00007E0B0000}"/>
    <cellStyle name="Migliaia 35 2 2 2" xfId="5506" xr:uid="{00000000-0005-0000-0000-00007F0B0000}"/>
    <cellStyle name="Migliaia 35 2 2 3" xfId="6428" xr:uid="{00000000-0005-0000-0000-0000800B0000}"/>
    <cellStyle name="Migliaia 35 2 3" xfId="4891" xr:uid="{00000000-0005-0000-0000-0000810B0000}"/>
    <cellStyle name="Migliaia 35 2 4" xfId="5961" xr:uid="{00000000-0005-0000-0000-0000820B0000}"/>
    <cellStyle name="Migliaia 35 3" xfId="712" xr:uid="{00000000-0005-0000-0000-0000830B0000}"/>
    <cellStyle name="Migliaia 35 3 2" xfId="713" xr:uid="{00000000-0005-0000-0000-0000840B0000}"/>
    <cellStyle name="Migliaia 35 3 2 2" xfId="5101" xr:uid="{00000000-0005-0000-0000-0000850B0000}"/>
    <cellStyle name="Migliaia 35 3 2 3" xfId="5963" xr:uid="{00000000-0005-0000-0000-0000860B0000}"/>
    <cellStyle name="Migliaia 35 3 3" xfId="714" xr:uid="{00000000-0005-0000-0000-0000870B0000}"/>
    <cellStyle name="Migliaia 35 3 3 2" xfId="2448" xr:uid="{00000000-0005-0000-0000-0000880B0000}"/>
    <cellStyle name="Migliaia 35 3 3 2 2" xfId="5508" xr:uid="{00000000-0005-0000-0000-0000890B0000}"/>
    <cellStyle name="Migliaia 35 3 3 2 3" xfId="6430" xr:uid="{00000000-0005-0000-0000-00008A0B0000}"/>
    <cellStyle name="Migliaia 35 3 3 3" xfId="5102" xr:uid="{00000000-0005-0000-0000-00008B0B0000}"/>
    <cellStyle name="Migliaia 35 3 3 4" xfId="5964" xr:uid="{00000000-0005-0000-0000-00008C0B0000}"/>
    <cellStyle name="Migliaia 35 3 4" xfId="2447" xr:uid="{00000000-0005-0000-0000-00008D0B0000}"/>
    <cellStyle name="Migliaia 35 3 4 2" xfId="5507" xr:uid="{00000000-0005-0000-0000-00008E0B0000}"/>
    <cellStyle name="Migliaia 35 3 4 3" xfId="6429" xr:uid="{00000000-0005-0000-0000-00008F0B0000}"/>
    <cellStyle name="Migliaia 35 3 5" xfId="5100" xr:uid="{00000000-0005-0000-0000-0000900B0000}"/>
    <cellStyle name="Migliaia 35 3 6" xfId="5962" xr:uid="{00000000-0005-0000-0000-0000910B0000}"/>
    <cellStyle name="Migliaia 35 4" xfId="715" xr:uid="{00000000-0005-0000-0000-0000920B0000}"/>
    <cellStyle name="Migliaia 35 4 2" xfId="716" xr:uid="{00000000-0005-0000-0000-0000930B0000}"/>
    <cellStyle name="Migliaia 35 4 2 2" xfId="2450" xr:uid="{00000000-0005-0000-0000-0000940B0000}"/>
    <cellStyle name="Migliaia 35 4 2 2 2" xfId="5510" xr:uid="{00000000-0005-0000-0000-0000950B0000}"/>
    <cellStyle name="Migliaia 35 4 2 2 3" xfId="6432" xr:uid="{00000000-0005-0000-0000-0000960B0000}"/>
    <cellStyle name="Migliaia 35 4 2 3" xfId="5104" xr:uid="{00000000-0005-0000-0000-0000970B0000}"/>
    <cellStyle name="Migliaia 35 4 2 4" xfId="5966" xr:uid="{00000000-0005-0000-0000-0000980B0000}"/>
    <cellStyle name="Migliaia 35 4 3" xfId="2449" xr:uid="{00000000-0005-0000-0000-0000990B0000}"/>
    <cellStyle name="Migliaia 35 4 3 2" xfId="5509" xr:uid="{00000000-0005-0000-0000-00009A0B0000}"/>
    <cellStyle name="Migliaia 35 4 3 3" xfId="6431" xr:uid="{00000000-0005-0000-0000-00009B0B0000}"/>
    <cellStyle name="Migliaia 35 4 4" xfId="5103" xr:uid="{00000000-0005-0000-0000-00009C0B0000}"/>
    <cellStyle name="Migliaia 35 4 5" xfId="5965" xr:uid="{00000000-0005-0000-0000-00009D0B0000}"/>
    <cellStyle name="Migliaia 35 5" xfId="717" xr:uid="{00000000-0005-0000-0000-00009E0B0000}"/>
    <cellStyle name="Migliaia 35 5 2" xfId="5105" xr:uid="{00000000-0005-0000-0000-00009F0B0000}"/>
    <cellStyle name="Migliaia 35 5 3" xfId="5967" xr:uid="{00000000-0005-0000-0000-0000A00B0000}"/>
    <cellStyle name="Migliaia 35 6" xfId="4827" xr:uid="{00000000-0005-0000-0000-0000A10B0000}"/>
    <cellStyle name="Migliaia 35 7" xfId="5960" xr:uid="{00000000-0005-0000-0000-0000A20B0000}"/>
    <cellStyle name="Migliaia 36" xfId="718" xr:uid="{00000000-0005-0000-0000-0000A30B0000}"/>
    <cellStyle name="Migliaia 36 2" xfId="719" xr:uid="{00000000-0005-0000-0000-0000A40B0000}"/>
    <cellStyle name="Migliaia 36 2 2" xfId="2451" xr:uid="{00000000-0005-0000-0000-0000A50B0000}"/>
    <cellStyle name="Migliaia 36 2 2 2" xfId="5511" xr:uid="{00000000-0005-0000-0000-0000A60B0000}"/>
    <cellStyle name="Migliaia 36 2 2 3" xfId="6433" xr:uid="{00000000-0005-0000-0000-0000A70B0000}"/>
    <cellStyle name="Migliaia 36 2 3" xfId="4892" xr:uid="{00000000-0005-0000-0000-0000A80B0000}"/>
    <cellStyle name="Migliaia 36 2 4" xfId="5969" xr:uid="{00000000-0005-0000-0000-0000A90B0000}"/>
    <cellStyle name="Migliaia 36 3" xfId="720" xr:uid="{00000000-0005-0000-0000-0000AA0B0000}"/>
    <cellStyle name="Migliaia 36 3 2" xfId="721" xr:uid="{00000000-0005-0000-0000-0000AB0B0000}"/>
    <cellStyle name="Migliaia 36 3 2 2" xfId="5107" xr:uid="{00000000-0005-0000-0000-0000AC0B0000}"/>
    <cellStyle name="Migliaia 36 3 2 3" xfId="5971" xr:uid="{00000000-0005-0000-0000-0000AD0B0000}"/>
    <cellStyle name="Migliaia 36 3 3" xfId="722" xr:uid="{00000000-0005-0000-0000-0000AE0B0000}"/>
    <cellStyle name="Migliaia 36 3 3 2" xfId="2453" xr:uid="{00000000-0005-0000-0000-0000AF0B0000}"/>
    <cellStyle name="Migliaia 36 3 3 2 2" xfId="5513" xr:uid="{00000000-0005-0000-0000-0000B00B0000}"/>
    <cellStyle name="Migliaia 36 3 3 2 3" xfId="6435" xr:uid="{00000000-0005-0000-0000-0000B10B0000}"/>
    <cellStyle name="Migliaia 36 3 3 3" xfId="5108" xr:uid="{00000000-0005-0000-0000-0000B20B0000}"/>
    <cellStyle name="Migliaia 36 3 3 4" xfId="5972" xr:uid="{00000000-0005-0000-0000-0000B30B0000}"/>
    <cellStyle name="Migliaia 36 3 4" xfId="2452" xr:uid="{00000000-0005-0000-0000-0000B40B0000}"/>
    <cellStyle name="Migliaia 36 3 4 2" xfId="5512" xr:uid="{00000000-0005-0000-0000-0000B50B0000}"/>
    <cellStyle name="Migliaia 36 3 4 3" xfId="6434" xr:uid="{00000000-0005-0000-0000-0000B60B0000}"/>
    <cellStyle name="Migliaia 36 3 5" xfId="5106" xr:uid="{00000000-0005-0000-0000-0000B70B0000}"/>
    <cellStyle name="Migliaia 36 3 6" xfId="5970" xr:uid="{00000000-0005-0000-0000-0000B80B0000}"/>
    <cellStyle name="Migliaia 36 4" xfId="723" xr:uid="{00000000-0005-0000-0000-0000B90B0000}"/>
    <cellStyle name="Migliaia 36 4 2" xfId="724" xr:uid="{00000000-0005-0000-0000-0000BA0B0000}"/>
    <cellStyle name="Migliaia 36 4 2 2" xfId="2455" xr:uid="{00000000-0005-0000-0000-0000BB0B0000}"/>
    <cellStyle name="Migliaia 36 4 2 2 2" xfId="5515" xr:uid="{00000000-0005-0000-0000-0000BC0B0000}"/>
    <cellStyle name="Migliaia 36 4 2 2 3" xfId="6437" xr:uid="{00000000-0005-0000-0000-0000BD0B0000}"/>
    <cellStyle name="Migliaia 36 4 2 3" xfId="5110" xr:uid="{00000000-0005-0000-0000-0000BE0B0000}"/>
    <cellStyle name="Migliaia 36 4 2 4" xfId="5974" xr:uid="{00000000-0005-0000-0000-0000BF0B0000}"/>
    <cellStyle name="Migliaia 36 4 3" xfId="2454" xr:uid="{00000000-0005-0000-0000-0000C00B0000}"/>
    <cellStyle name="Migliaia 36 4 3 2" xfId="5514" xr:uid="{00000000-0005-0000-0000-0000C10B0000}"/>
    <cellStyle name="Migliaia 36 4 3 3" xfId="6436" xr:uid="{00000000-0005-0000-0000-0000C20B0000}"/>
    <cellStyle name="Migliaia 36 4 4" xfId="5109" xr:uid="{00000000-0005-0000-0000-0000C30B0000}"/>
    <cellStyle name="Migliaia 36 4 5" xfId="5973" xr:uid="{00000000-0005-0000-0000-0000C40B0000}"/>
    <cellStyle name="Migliaia 36 5" xfId="725" xr:uid="{00000000-0005-0000-0000-0000C50B0000}"/>
    <cellStyle name="Migliaia 36 5 2" xfId="5111" xr:uid="{00000000-0005-0000-0000-0000C60B0000}"/>
    <cellStyle name="Migliaia 36 5 3" xfId="5975" xr:uid="{00000000-0005-0000-0000-0000C70B0000}"/>
    <cellStyle name="Migliaia 36 6" xfId="4828" xr:uid="{00000000-0005-0000-0000-0000C80B0000}"/>
    <cellStyle name="Migliaia 36 7" xfId="5968" xr:uid="{00000000-0005-0000-0000-0000C90B0000}"/>
    <cellStyle name="Migliaia 37" xfId="726" xr:uid="{00000000-0005-0000-0000-0000CA0B0000}"/>
    <cellStyle name="Migliaia 37 2" xfId="727" xr:uid="{00000000-0005-0000-0000-0000CB0B0000}"/>
    <cellStyle name="Migliaia 37 2 2" xfId="2456" xr:uid="{00000000-0005-0000-0000-0000CC0B0000}"/>
    <cellStyle name="Migliaia 37 2 2 2" xfId="5516" xr:uid="{00000000-0005-0000-0000-0000CD0B0000}"/>
    <cellStyle name="Migliaia 37 2 2 3" xfId="6438" xr:uid="{00000000-0005-0000-0000-0000CE0B0000}"/>
    <cellStyle name="Migliaia 37 2 3" xfId="4893" xr:uid="{00000000-0005-0000-0000-0000CF0B0000}"/>
    <cellStyle name="Migliaia 37 2 4" xfId="5977" xr:uid="{00000000-0005-0000-0000-0000D00B0000}"/>
    <cellStyle name="Migliaia 37 3" xfId="728" xr:uid="{00000000-0005-0000-0000-0000D10B0000}"/>
    <cellStyle name="Migliaia 37 3 2" xfId="729" xr:uid="{00000000-0005-0000-0000-0000D20B0000}"/>
    <cellStyle name="Migliaia 37 3 2 2" xfId="5113" xr:uid="{00000000-0005-0000-0000-0000D30B0000}"/>
    <cellStyle name="Migliaia 37 3 2 3" xfId="5979" xr:uid="{00000000-0005-0000-0000-0000D40B0000}"/>
    <cellStyle name="Migliaia 37 3 3" xfId="730" xr:uid="{00000000-0005-0000-0000-0000D50B0000}"/>
    <cellStyle name="Migliaia 37 3 3 2" xfId="2458" xr:uid="{00000000-0005-0000-0000-0000D60B0000}"/>
    <cellStyle name="Migliaia 37 3 3 2 2" xfId="5518" xr:uid="{00000000-0005-0000-0000-0000D70B0000}"/>
    <cellStyle name="Migliaia 37 3 3 2 3" xfId="6440" xr:uid="{00000000-0005-0000-0000-0000D80B0000}"/>
    <cellStyle name="Migliaia 37 3 3 3" xfId="5114" xr:uid="{00000000-0005-0000-0000-0000D90B0000}"/>
    <cellStyle name="Migliaia 37 3 3 4" xfId="5980" xr:uid="{00000000-0005-0000-0000-0000DA0B0000}"/>
    <cellStyle name="Migliaia 37 3 4" xfId="2457" xr:uid="{00000000-0005-0000-0000-0000DB0B0000}"/>
    <cellStyle name="Migliaia 37 3 4 2" xfId="5517" xr:uid="{00000000-0005-0000-0000-0000DC0B0000}"/>
    <cellStyle name="Migliaia 37 3 4 3" xfId="6439" xr:uid="{00000000-0005-0000-0000-0000DD0B0000}"/>
    <cellStyle name="Migliaia 37 3 5" xfId="5112" xr:uid="{00000000-0005-0000-0000-0000DE0B0000}"/>
    <cellStyle name="Migliaia 37 3 6" xfId="5978" xr:uid="{00000000-0005-0000-0000-0000DF0B0000}"/>
    <cellStyle name="Migliaia 37 4" xfId="731" xr:uid="{00000000-0005-0000-0000-0000E00B0000}"/>
    <cellStyle name="Migliaia 37 4 2" xfId="732" xr:uid="{00000000-0005-0000-0000-0000E10B0000}"/>
    <cellStyle name="Migliaia 37 4 2 2" xfId="2460" xr:uid="{00000000-0005-0000-0000-0000E20B0000}"/>
    <cellStyle name="Migliaia 37 4 2 2 2" xfId="5520" xr:uid="{00000000-0005-0000-0000-0000E30B0000}"/>
    <cellStyle name="Migliaia 37 4 2 2 3" xfId="6442" xr:uid="{00000000-0005-0000-0000-0000E40B0000}"/>
    <cellStyle name="Migliaia 37 4 2 3" xfId="5116" xr:uid="{00000000-0005-0000-0000-0000E50B0000}"/>
    <cellStyle name="Migliaia 37 4 2 4" xfId="5982" xr:uid="{00000000-0005-0000-0000-0000E60B0000}"/>
    <cellStyle name="Migliaia 37 4 3" xfId="2459" xr:uid="{00000000-0005-0000-0000-0000E70B0000}"/>
    <cellStyle name="Migliaia 37 4 3 2" xfId="5519" xr:uid="{00000000-0005-0000-0000-0000E80B0000}"/>
    <cellStyle name="Migliaia 37 4 3 3" xfId="6441" xr:uid="{00000000-0005-0000-0000-0000E90B0000}"/>
    <cellStyle name="Migliaia 37 4 4" xfId="5115" xr:uid="{00000000-0005-0000-0000-0000EA0B0000}"/>
    <cellStyle name="Migliaia 37 4 5" xfId="5981" xr:uid="{00000000-0005-0000-0000-0000EB0B0000}"/>
    <cellStyle name="Migliaia 37 5" xfId="733" xr:uid="{00000000-0005-0000-0000-0000EC0B0000}"/>
    <cellStyle name="Migliaia 37 5 2" xfId="5117" xr:uid="{00000000-0005-0000-0000-0000ED0B0000}"/>
    <cellStyle name="Migliaia 37 5 3" xfId="5983" xr:uid="{00000000-0005-0000-0000-0000EE0B0000}"/>
    <cellStyle name="Migliaia 37 6" xfId="4829" xr:uid="{00000000-0005-0000-0000-0000EF0B0000}"/>
    <cellStyle name="Migliaia 37 7" xfId="5976" xr:uid="{00000000-0005-0000-0000-0000F00B0000}"/>
    <cellStyle name="Migliaia 38" xfId="734" xr:uid="{00000000-0005-0000-0000-0000F10B0000}"/>
    <cellStyle name="Migliaia 38 2" xfId="735" xr:uid="{00000000-0005-0000-0000-0000F20B0000}"/>
    <cellStyle name="Migliaia 38 2 2" xfId="2461" xr:uid="{00000000-0005-0000-0000-0000F30B0000}"/>
    <cellStyle name="Migliaia 38 2 2 2" xfId="5521" xr:uid="{00000000-0005-0000-0000-0000F40B0000}"/>
    <cellStyle name="Migliaia 38 2 2 3" xfId="6443" xr:uid="{00000000-0005-0000-0000-0000F50B0000}"/>
    <cellStyle name="Migliaia 38 2 3" xfId="4894" xr:uid="{00000000-0005-0000-0000-0000F60B0000}"/>
    <cellStyle name="Migliaia 38 2 4" xfId="5985" xr:uid="{00000000-0005-0000-0000-0000F70B0000}"/>
    <cellStyle name="Migliaia 38 3" xfId="736" xr:uid="{00000000-0005-0000-0000-0000F80B0000}"/>
    <cellStyle name="Migliaia 38 3 2" xfId="737" xr:uid="{00000000-0005-0000-0000-0000F90B0000}"/>
    <cellStyle name="Migliaia 38 3 2 2" xfId="5119" xr:uid="{00000000-0005-0000-0000-0000FA0B0000}"/>
    <cellStyle name="Migliaia 38 3 2 3" xfId="5987" xr:uid="{00000000-0005-0000-0000-0000FB0B0000}"/>
    <cellStyle name="Migliaia 38 3 3" xfId="738" xr:uid="{00000000-0005-0000-0000-0000FC0B0000}"/>
    <cellStyle name="Migliaia 38 3 3 2" xfId="2463" xr:uid="{00000000-0005-0000-0000-0000FD0B0000}"/>
    <cellStyle name="Migliaia 38 3 3 2 2" xfId="5523" xr:uid="{00000000-0005-0000-0000-0000FE0B0000}"/>
    <cellStyle name="Migliaia 38 3 3 2 3" xfId="6445" xr:uid="{00000000-0005-0000-0000-0000FF0B0000}"/>
    <cellStyle name="Migliaia 38 3 3 3" xfId="5120" xr:uid="{00000000-0005-0000-0000-0000000C0000}"/>
    <cellStyle name="Migliaia 38 3 3 4" xfId="5988" xr:uid="{00000000-0005-0000-0000-0000010C0000}"/>
    <cellStyle name="Migliaia 38 3 4" xfId="2462" xr:uid="{00000000-0005-0000-0000-0000020C0000}"/>
    <cellStyle name="Migliaia 38 3 4 2" xfId="5522" xr:uid="{00000000-0005-0000-0000-0000030C0000}"/>
    <cellStyle name="Migliaia 38 3 4 3" xfId="6444" xr:uid="{00000000-0005-0000-0000-0000040C0000}"/>
    <cellStyle name="Migliaia 38 3 5" xfId="5118" xr:uid="{00000000-0005-0000-0000-0000050C0000}"/>
    <cellStyle name="Migliaia 38 3 6" xfId="5986" xr:uid="{00000000-0005-0000-0000-0000060C0000}"/>
    <cellStyle name="Migliaia 38 4" xfId="739" xr:uid="{00000000-0005-0000-0000-0000070C0000}"/>
    <cellStyle name="Migliaia 38 4 2" xfId="740" xr:uid="{00000000-0005-0000-0000-0000080C0000}"/>
    <cellStyle name="Migliaia 38 4 2 2" xfId="2465" xr:uid="{00000000-0005-0000-0000-0000090C0000}"/>
    <cellStyle name="Migliaia 38 4 2 2 2" xfId="5525" xr:uid="{00000000-0005-0000-0000-00000A0C0000}"/>
    <cellStyle name="Migliaia 38 4 2 2 3" xfId="6447" xr:uid="{00000000-0005-0000-0000-00000B0C0000}"/>
    <cellStyle name="Migliaia 38 4 2 3" xfId="5122" xr:uid="{00000000-0005-0000-0000-00000C0C0000}"/>
    <cellStyle name="Migliaia 38 4 2 4" xfId="5990" xr:uid="{00000000-0005-0000-0000-00000D0C0000}"/>
    <cellStyle name="Migliaia 38 4 3" xfId="2464" xr:uid="{00000000-0005-0000-0000-00000E0C0000}"/>
    <cellStyle name="Migliaia 38 4 3 2" xfId="5524" xr:uid="{00000000-0005-0000-0000-00000F0C0000}"/>
    <cellStyle name="Migliaia 38 4 3 3" xfId="6446" xr:uid="{00000000-0005-0000-0000-0000100C0000}"/>
    <cellStyle name="Migliaia 38 4 4" xfId="5121" xr:uid="{00000000-0005-0000-0000-0000110C0000}"/>
    <cellStyle name="Migliaia 38 4 5" xfId="5989" xr:uid="{00000000-0005-0000-0000-0000120C0000}"/>
    <cellStyle name="Migliaia 38 5" xfId="741" xr:uid="{00000000-0005-0000-0000-0000130C0000}"/>
    <cellStyle name="Migliaia 38 5 2" xfId="5123" xr:uid="{00000000-0005-0000-0000-0000140C0000}"/>
    <cellStyle name="Migliaia 38 5 3" xfId="5991" xr:uid="{00000000-0005-0000-0000-0000150C0000}"/>
    <cellStyle name="Migliaia 38 6" xfId="4830" xr:uid="{00000000-0005-0000-0000-0000160C0000}"/>
    <cellStyle name="Migliaia 38 7" xfId="5984" xr:uid="{00000000-0005-0000-0000-0000170C0000}"/>
    <cellStyle name="Migliaia 39" xfId="742" xr:uid="{00000000-0005-0000-0000-0000180C0000}"/>
    <cellStyle name="Migliaia 39 2" xfId="743" xr:uid="{00000000-0005-0000-0000-0000190C0000}"/>
    <cellStyle name="Migliaia 39 2 2" xfId="2466" xr:uid="{00000000-0005-0000-0000-00001A0C0000}"/>
    <cellStyle name="Migliaia 39 2 2 2" xfId="5526" xr:uid="{00000000-0005-0000-0000-00001B0C0000}"/>
    <cellStyle name="Migliaia 39 2 2 3" xfId="6448" xr:uid="{00000000-0005-0000-0000-00001C0C0000}"/>
    <cellStyle name="Migliaia 39 2 3" xfId="4895" xr:uid="{00000000-0005-0000-0000-00001D0C0000}"/>
    <cellStyle name="Migliaia 39 2 4" xfId="5993" xr:uid="{00000000-0005-0000-0000-00001E0C0000}"/>
    <cellStyle name="Migliaia 39 3" xfId="744" xr:uid="{00000000-0005-0000-0000-00001F0C0000}"/>
    <cellStyle name="Migliaia 39 3 2" xfId="745" xr:uid="{00000000-0005-0000-0000-0000200C0000}"/>
    <cellStyle name="Migliaia 39 3 2 2" xfId="5125" xr:uid="{00000000-0005-0000-0000-0000210C0000}"/>
    <cellStyle name="Migliaia 39 3 2 3" xfId="5995" xr:uid="{00000000-0005-0000-0000-0000220C0000}"/>
    <cellStyle name="Migliaia 39 3 3" xfId="746" xr:uid="{00000000-0005-0000-0000-0000230C0000}"/>
    <cellStyle name="Migliaia 39 3 3 2" xfId="2468" xr:uid="{00000000-0005-0000-0000-0000240C0000}"/>
    <cellStyle name="Migliaia 39 3 3 2 2" xfId="5528" xr:uid="{00000000-0005-0000-0000-0000250C0000}"/>
    <cellStyle name="Migliaia 39 3 3 2 3" xfId="6450" xr:uid="{00000000-0005-0000-0000-0000260C0000}"/>
    <cellStyle name="Migliaia 39 3 3 3" xfId="5126" xr:uid="{00000000-0005-0000-0000-0000270C0000}"/>
    <cellStyle name="Migliaia 39 3 3 4" xfId="5996" xr:uid="{00000000-0005-0000-0000-0000280C0000}"/>
    <cellStyle name="Migliaia 39 3 4" xfId="2467" xr:uid="{00000000-0005-0000-0000-0000290C0000}"/>
    <cellStyle name="Migliaia 39 3 4 2" xfId="5527" xr:uid="{00000000-0005-0000-0000-00002A0C0000}"/>
    <cellStyle name="Migliaia 39 3 4 3" xfId="6449" xr:uid="{00000000-0005-0000-0000-00002B0C0000}"/>
    <cellStyle name="Migliaia 39 3 5" xfId="5124" xr:uid="{00000000-0005-0000-0000-00002C0C0000}"/>
    <cellStyle name="Migliaia 39 3 6" xfId="5994" xr:uid="{00000000-0005-0000-0000-00002D0C0000}"/>
    <cellStyle name="Migliaia 39 4" xfId="747" xr:uid="{00000000-0005-0000-0000-00002E0C0000}"/>
    <cellStyle name="Migliaia 39 4 2" xfId="748" xr:uid="{00000000-0005-0000-0000-00002F0C0000}"/>
    <cellStyle name="Migliaia 39 4 2 2" xfId="2470" xr:uid="{00000000-0005-0000-0000-0000300C0000}"/>
    <cellStyle name="Migliaia 39 4 2 2 2" xfId="5530" xr:uid="{00000000-0005-0000-0000-0000310C0000}"/>
    <cellStyle name="Migliaia 39 4 2 2 3" xfId="6452" xr:uid="{00000000-0005-0000-0000-0000320C0000}"/>
    <cellStyle name="Migliaia 39 4 2 3" xfId="5128" xr:uid="{00000000-0005-0000-0000-0000330C0000}"/>
    <cellStyle name="Migliaia 39 4 2 4" xfId="5998" xr:uid="{00000000-0005-0000-0000-0000340C0000}"/>
    <cellStyle name="Migliaia 39 4 3" xfId="2469" xr:uid="{00000000-0005-0000-0000-0000350C0000}"/>
    <cellStyle name="Migliaia 39 4 3 2" xfId="5529" xr:uid="{00000000-0005-0000-0000-0000360C0000}"/>
    <cellStyle name="Migliaia 39 4 3 3" xfId="6451" xr:uid="{00000000-0005-0000-0000-0000370C0000}"/>
    <cellStyle name="Migliaia 39 4 4" xfId="5127" xr:uid="{00000000-0005-0000-0000-0000380C0000}"/>
    <cellStyle name="Migliaia 39 4 5" xfId="5997" xr:uid="{00000000-0005-0000-0000-0000390C0000}"/>
    <cellStyle name="Migliaia 39 5" xfId="749" xr:uid="{00000000-0005-0000-0000-00003A0C0000}"/>
    <cellStyle name="Migliaia 39 5 2" xfId="5129" xr:uid="{00000000-0005-0000-0000-00003B0C0000}"/>
    <cellStyle name="Migliaia 39 5 3" xfId="5999" xr:uid="{00000000-0005-0000-0000-00003C0C0000}"/>
    <cellStyle name="Migliaia 39 6" xfId="4831" xr:uid="{00000000-0005-0000-0000-00003D0C0000}"/>
    <cellStyle name="Migliaia 39 7" xfId="5992" xr:uid="{00000000-0005-0000-0000-00003E0C0000}"/>
    <cellStyle name="Migliaia 4" xfId="750" xr:uid="{00000000-0005-0000-0000-00003F0C0000}"/>
    <cellStyle name="Migliaia 4 2" xfId="751" xr:uid="{00000000-0005-0000-0000-0000400C0000}"/>
    <cellStyle name="Migliaia 4 2 2" xfId="2471" xr:uid="{00000000-0005-0000-0000-0000410C0000}"/>
    <cellStyle name="Migliaia 4 2 2 2" xfId="5531" xr:uid="{00000000-0005-0000-0000-0000420C0000}"/>
    <cellStyle name="Migliaia 4 2 2 3" xfId="6453" xr:uid="{00000000-0005-0000-0000-0000430C0000}"/>
    <cellStyle name="Migliaia 4 2 3" xfId="4896" xr:uid="{00000000-0005-0000-0000-0000440C0000}"/>
    <cellStyle name="Migliaia 4 2 4" xfId="6001" xr:uid="{00000000-0005-0000-0000-0000450C0000}"/>
    <cellStyle name="Migliaia 4 3" xfId="752" xr:uid="{00000000-0005-0000-0000-0000460C0000}"/>
    <cellStyle name="Migliaia 4 3 2" xfId="753" xr:uid="{00000000-0005-0000-0000-0000470C0000}"/>
    <cellStyle name="Migliaia 4 3 2 2" xfId="5131" xr:uid="{00000000-0005-0000-0000-0000480C0000}"/>
    <cellStyle name="Migliaia 4 3 2 3" xfId="6003" xr:uid="{00000000-0005-0000-0000-0000490C0000}"/>
    <cellStyle name="Migliaia 4 3 3" xfId="754" xr:uid="{00000000-0005-0000-0000-00004A0C0000}"/>
    <cellStyle name="Migliaia 4 3 3 2" xfId="2473" xr:uid="{00000000-0005-0000-0000-00004B0C0000}"/>
    <cellStyle name="Migliaia 4 3 3 2 2" xfId="5533" xr:uid="{00000000-0005-0000-0000-00004C0C0000}"/>
    <cellStyle name="Migliaia 4 3 3 2 3" xfId="6455" xr:uid="{00000000-0005-0000-0000-00004D0C0000}"/>
    <cellStyle name="Migliaia 4 3 3 3" xfId="5132" xr:uid="{00000000-0005-0000-0000-00004E0C0000}"/>
    <cellStyle name="Migliaia 4 3 3 4" xfId="6004" xr:uid="{00000000-0005-0000-0000-00004F0C0000}"/>
    <cellStyle name="Migliaia 4 3 4" xfId="2472" xr:uid="{00000000-0005-0000-0000-0000500C0000}"/>
    <cellStyle name="Migliaia 4 3 4 2" xfId="5532" xr:uid="{00000000-0005-0000-0000-0000510C0000}"/>
    <cellStyle name="Migliaia 4 3 4 3" xfId="6454" xr:uid="{00000000-0005-0000-0000-0000520C0000}"/>
    <cellStyle name="Migliaia 4 3 5" xfId="5130" xr:uid="{00000000-0005-0000-0000-0000530C0000}"/>
    <cellStyle name="Migliaia 4 3 6" xfId="6002" xr:uid="{00000000-0005-0000-0000-0000540C0000}"/>
    <cellStyle name="Migliaia 4 4" xfId="755" xr:uid="{00000000-0005-0000-0000-0000550C0000}"/>
    <cellStyle name="Migliaia 4 4 2" xfId="756" xr:uid="{00000000-0005-0000-0000-0000560C0000}"/>
    <cellStyle name="Migliaia 4 4 2 2" xfId="2475" xr:uid="{00000000-0005-0000-0000-0000570C0000}"/>
    <cellStyle name="Migliaia 4 4 2 2 2" xfId="5535" xr:uid="{00000000-0005-0000-0000-0000580C0000}"/>
    <cellStyle name="Migliaia 4 4 2 2 3" xfId="6457" xr:uid="{00000000-0005-0000-0000-0000590C0000}"/>
    <cellStyle name="Migliaia 4 4 2 3" xfId="5134" xr:uid="{00000000-0005-0000-0000-00005A0C0000}"/>
    <cellStyle name="Migliaia 4 4 2 4" xfId="6006" xr:uid="{00000000-0005-0000-0000-00005B0C0000}"/>
    <cellStyle name="Migliaia 4 4 3" xfId="2474" xr:uid="{00000000-0005-0000-0000-00005C0C0000}"/>
    <cellStyle name="Migliaia 4 4 3 2" xfId="5534" xr:uid="{00000000-0005-0000-0000-00005D0C0000}"/>
    <cellStyle name="Migliaia 4 4 3 3" xfId="6456" xr:uid="{00000000-0005-0000-0000-00005E0C0000}"/>
    <cellStyle name="Migliaia 4 4 4" xfId="5133" xr:uid="{00000000-0005-0000-0000-00005F0C0000}"/>
    <cellStyle name="Migliaia 4 4 5" xfId="6005" xr:uid="{00000000-0005-0000-0000-0000600C0000}"/>
    <cellStyle name="Migliaia 4 5" xfId="757" xr:uid="{00000000-0005-0000-0000-0000610C0000}"/>
    <cellStyle name="Migliaia 4 5 2" xfId="5135" xr:uid="{00000000-0005-0000-0000-0000620C0000}"/>
    <cellStyle name="Migliaia 4 5 3" xfId="6007" xr:uid="{00000000-0005-0000-0000-0000630C0000}"/>
    <cellStyle name="Migliaia 4 6" xfId="4832" xr:uid="{00000000-0005-0000-0000-0000640C0000}"/>
    <cellStyle name="Migliaia 4 7" xfId="6000" xr:uid="{00000000-0005-0000-0000-0000650C0000}"/>
    <cellStyle name="Migliaia 40" xfId="758" xr:uid="{00000000-0005-0000-0000-0000660C0000}"/>
    <cellStyle name="Migliaia 40 2" xfId="759" xr:uid="{00000000-0005-0000-0000-0000670C0000}"/>
    <cellStyle name="Migliaia 40 2 2" xfId="2476" xr:uid="{00000000-0005-0000-0000-0000680C0000}"/>
    <cellStyle name="Migliaia 40 2 2 2" xfId="5536" xr:uid="{00000000-0005-0000-0000-0000690C0000}"/>
    <cellStyle name="Migliaia 40 2 2 3" xfId="6458" xr:uid="{00000000-0005-0000-0000-00006A0C0000}"/>
    <cellStyle name="Migliaia 40 2 3" xfId="4897" xr:uid="{00000000-0005-0000-0000-00006B0C0000}"/>
    <cellStyle name="Migliaia 40 2 4" xfId="6009" xr:uid="{00000000-0005-0000-0000-00006C0C0000}"/>
    <cellStyle name="Migliaia 40 3" xfId="760" xr:uid="{00000000-0005-0000-0000-00006D0C0000}"/>
    <cellStyle name="Migliaia 40 3 2" xfId="761" xr:uid="{00000000-0005-0000-0000-00006E0C0000}"/>
    <cellStyle name="Migliaia 40 3 2 2" xfId="5137" xr:uid="{00000000-0005-0000-0000-00006F0C0000}"/>
    <cellStyle name="Migliaia 40 3 2 3" xfId="6011" xr:uid="{00000000-0005-0000-0000-0000700C0000}"/>
    <cellStyle name="Migliaia 40 3 3" xfId="762" xr:uid="{00000000-0005-0000-0000-0000710C0000}"/>
    <cellStyle name="Migliaia 40 3 3 2" xfId="2478" xr:uid="{00000000-0005-0000-0000-0000720C0000}"/>
    <cellStyle name="Migliaia 40 3 3 2 2" xfId="5538" xr:uid="{00000000-0005-0000-0000-0000730C0000}"/>
    <cellStyle name="Migliaia 40 3 3 2 3" xfId="6460" xr:uid="{00000000-0005-0000-0000-0000740C0000}"/>
    <cellStyle name="Migliaia 40 3 3 3" xfId="5138" xr:uid="{00000000-0005-0000-0000-0000750C0000}"/>
    <cellStyle name="Migliaia 40 3 3 4" xfId="6012" xr:uid="{00000000-0005-0000-0000-0000760C0000}"/>
    <cellStyle name="Migliaia 40 3 4" xfId="2477" xr:uid="{00000000-0005-0000-0000-0000770C0000}"/>
    <cellStyle name="Migliaia 40 3 4 2" xfId="5537" xr:uid="{00000000-0005-0000-0000-0000780C0000}"/>
    <cellStyle name="Migliaia 40 3 4 3" xfId="6459" xr:uid="{00000000-0005-0000-0000-0000790C0000}"/>
    <cellStyle name="Migliaia 40 3 5" xfId="5136" xr:uid="{00000000-0005-0000-0000-00007A0C0000}"/>
    <cellStyle name="Migliaia 40 3 6" xfId="6010" xr:uid="{00000000-0005-0000-0000-00007B0C0000}"/>
    <cellStyle name="Migliaia 40 4" xfId="763" xr:uid="{00000000-0005-0000-0000-00007C0C0000}"/>
    <cellStyle name="Migliaia 40 4 2" xfId="764" xr:uid="{00000000-0005-0000-0000-00007D0C0000}"/>
    <cellStyle name="Migliaia 40 4 2 2" xfId="2480" xr:uid="{00000000-0005-0000-0000-00007E0C0000}"/>
    <cellStyle name="Migliaia 40 4 2 2 2" xfId="5540" xr:uid="{00000000-0005-0000-0000-00007F0C0000}"/>
    <cellStyle name="Migliaia 40 4 2 2 3" xfId="6462" xr:uid="{00000000-0005-0000-0000-0000800C0000}"/>
    <cellStyle name="Migliaia 40 4 2 3" xfId="5140" xr:uid="{00000000-0005-0000-0000-0000810C0000}"/>
    <cellStyle name="Migliaia 40 4 2 4" xfId="6014" xr:uid="{00000000-0005-0000-0000-0000820C0000}"/>
    <cellStyle name="Migliaia 40 4 3" xfId="2479" xr:uid="{00000000-0005-0000-0000-0000830C0000}"/>
    <cellStyle name="Migliaia 40 4 3 2" xfId="5539" xr:uid="{00000000-0005-0000-0000-0000840C0000}"/>
    <cellStyle name="Migliaia 40 4 3 3" xfId="6461" xr:uid="{00000000-0005-0000-0000-0000850C0000}"/>
    <cellStyle name="Migliaia 40 4 4" xfId="5139" xr:uid="{00000000-0005-0000-0000-0000860C0000}"/>
    <cellStyle name="Migliaia 40 4 5" xfId="6013" xr:uid="{00000000-0005-0000-0000-0000870C0000}"/>
    <cellStyle name="Migliaia 40 5" xfId="765" xr:uid="{00000000-0005-0000-0000-0000880C0000}"/>
    <cellStyle name="Migliaia 40 5 2" xfId="5141" xr:uid="{00000000-0005-0000-0000-0000890C0000}"/>
    <cellStyle name="Migliaia 40 5 3" xfId="6015" xr:uid="{00000000-0005-0000-0000-00008A0C0000}"/>
    <cellStyle name="Migliaia 40 6" xfId="4833" xr:uid="{00000000-0005-0000-0000-00008B0C0000}"/>
    <cellStyle name="Migliaia 40 7" xfId="6008" xr:uid="{00000000-0005-0000-0000-00008C0C0000}"/>
    <cellStyle name="Migliaia 41" xfId="766" xr:uid="{00000000-0005-0000-0000-00008D0C0000}"/>
    <cellStyle name="Migliaia 41 2" xfId="767" xr:uid="{00000000-0005-0000-0000-00008E0C0000}"/>
    <cellStyle name="Migliaia 41 2 2" xfId="2481" xr:uid="{00000000-0005-0000-0000-00008F0C0000}"/>
    <cellStyle name="Migliaia 41 2 2 2" xfId="5541" xr:uid="{00000000-0005-0000-0000-0000900C0000}"/>
    <cellStyle name="Migliaia 41 2 2 3" xfId="6463" xr:uid="{00000000-0005-0000-0000-0000910C0000}"/>
    <cellStyle name="Migliaia 41 2 3" xfId="4898" xr:uid="{00000000-0005-0000-0000-0000920C0000}"/>
    <cellStyle name="Migliaia 41 2 4" xfId="6017" xr:uid="{00000000-0005-0000-0000-0000930C0000}"/>
    <cellStyle name="Migliaia 41 3" xfId="768" xr:uid="{00000000-0005-0000-0000-0000940C0000}"/>
    <cellStyle name="Migliaia 41 3 2" xfId="769" xr:uid="{00000000-0005-0000-0000-0000950C0000}"/>
    <cellStyle name="Migliaia 41 3 2 2" xfId="5143" xr:uid="{00000000-0005-0000-0000-0000960C0000}"/>
    <cellStyle name="Migliaia 41 3 2 3" xfId="6019" xr:uid="{00000000-0005-0000-0000-0000970C0000}"/>
    <cellStyle name="Migliaia 41 3 3" xfId="770" xr:uid="{00000000-0005-0000-0000-0000980C0000}"/>
    <cellStyle name="Migliaia 41 3 3 2" xfId="2483" xr:uid="{00000000-0005-0000-0000-0000990C0000}"/>
    <cellStyle name="Migliaia 41 3 3 2 2" xfId="5543" xr:uid="{00000000-0005-0000-0000-00009A0C0000}"/>
    <cellStyle name="Migliaia 41 3 3 2 3" xfId="6465" xr:uid="{00000000-0005-0000-0000-00009B0C0000}"/>
    <cellStyle name="Migliaia 41 3 3 3" xfId="5144" xr:uid="{00000000-0005-0000-0000-00009C0C0000}"/>
    <cellStyle name="Migliaia 41 3 3 4" xfId="6020" xr:uid="{00000000-0005-0000-0000-00009D0C0000}"/>
    <cellStyle name="Migliaia 41 3 4" xfId="2482" xr:uid="{00000000-0005-0000-0000-00009E0C0000}"/>
    <cellStyle name="Migliaia 41 3 4 2" xfId="5542" xr:uid="{00000000-0005-0000-0000-00009F0C0000}"/>
    <cellStyle name="Migliaia 41 3 4 3" xfId="6464" xr:uid="{00000000-0005-0000-0000-0000A00C0000}"/>
    <cellStyle name="Migliaia 41 3 5" xfId="5142" xr:uid="{00000000-0005-0000-0000-0000A10C0000}"/>
    <cellStyle name="Migliaia 41 3 6" xfId="6018" xr:uid="{00000000-0005-0000-0000-0000A20C0000}"/>
    <cellStyle name="Migliaia 41 4" xfId="771" xr:uid="{00000000-0005-0000-0000-0000A30C0000}"/>
    <cellStyle name="Migliaia 41 4 2" xfId="772" xr:uid="{00000000-0005-0000-0000-0000A40C0000}"/>
    <cellStyle name="Migliaia 41 4 2 2" xfId="2485" xr:uid="{00000000-0005-0000-0000-0000A50C0000}"/>
    <cellStyle name="Migliaia 41 4 2 2 2" xfId="5545" xr:uid="{00000000-0005-0000-0000-0000A60C0000}"/>
    <cellStyle name="Migliaia 41 4 2 2 3" xfId="6467" xr:uid="{00000000-0005-0000-0000-0000A70C0000}"/>
    <cellStyle name="Migliaia 41 4 2 3" xfId="5146" xr:uid="{00000000-0005-0000-0000-0000A80C0000}"/>
    <cellStyle name="Migliaia 41 4 2 4" xfId="6022" xr:uid="{00000000-0005-0000-0000-0000A90C0000}"/>
    <cellStyle name="Migliaia 41 4 3" xfId="2484" xr:uid="{00000000-0005-0000-0000-0000AA0C0000}"/>
    <cellStyle name="Migliaia 41 4 3 2" xfId="5544" xr:uid="{00000000-0005-0000-0000-0000AB0C0000}"/>
    <cellStyle name="Migliaia 41 4 3 3" xfId="6466" xr:uid="{00000000-0005-0000-0000-0000AC0C0000}"/>
    <cellStyle name="Migliaia 41 4 4" xfId="5145" xr:uid="{00000000-0005-0000-0000-0000AD0C0000}"/>
    <cellStyle name="Migliaia 41 4 5" xfId="6021" xr:uid="{00000000-0005-0000-0000-0000AE0C0000}"/>
    <cellStyle name="Migliaia 41 5" xfId="773" xr:uid="{00000000-0005-0000-0000-0000AF0C0000}"/>
    <cellStyle name="Migliaia 41 5 2" xfId="5147" xr:uid="{00000000-0005-0000-0000-0000B00C0000}"/>
    <cellStyle name="Migliaia 41 5 3" xfId="6023" xr:uid="{00000000-0005-0000-0000-0000B10C0000}"/>
    <cellStyle name="Migliaia 41 6" xfId="4834" xr:uid="{00000000-0005-0000-0000-0000B20C0000}"/>
    <cellStyle name="Migliaia 41 7" xfId="6016" xr:uid="{00000000-0005-0000-0000-0000B30C0000}"/>
    <cellStyle name="Migliaia 42" xfId="774" xr:uid="{00000000-0005-0000-0000-0000B40C0000}"/>
    <cellStyle name="Migliaia 42 2" xfId="775" xr:uid="{00000000-0005-0000-0000-0000B50C0000}"/>
    <cellStyle name="Migliaia 42 2 2" xfId="2486" xr:uid="{00000000-0005-0000-0000-0000B60C0000}"/>
    <cellStyle name="Migliaia 42 2 2 2" xfId="5546" xr:uid="{00000000-0005-0000-0000-0000B70C0000}"/>
    <cellStyle name="Migliaia 42 2 2 3" xfId="6468" xr:uid="{00000000-0005-0000-0000-0000B80C0000}"/>
    <cellStyle name="Migliaia 42 2 3" xfId="4899" xr:uid="{00000000-0005-0000-0000-0000B90C0000}"/>
    <cellStyle name="Migliaia 42 2 4" xfId="6025" xr:uid="{00000000-0005-0000-0000-0000BA0C0000}"/>
    <cellStyle name="Migliaia 42 3" xfId="776" xr:uid="{00000000-0005-0000-0000-0000BB0C0000}"/>
    <cellStyle name="Migliaia 42 3 2" xfId="777" xr:uid="{00000000-0005-0000-0000-0000BC0C0000}"/>
    <cellStyle name="Migliaia 42 3 2 2" xfId="5149" xr:uid="{00000000-0005-0000-0000-0000BD0C0000}"/>
    <cellStyle name="Migliaia 42 3 2 3" xfId="6027" xr:uid="{00000000-0005-0000-0000-0000BE0C0000}"/>
    <cellStyle name="Migliaia 42 3 3" xfId="778" xr:uid="{00000000-0005-0000-0000-0000BF0C0000}"/>
    <cellStyle name="Migliaia 42 3 3 2" xfId="2488" xr:uid="{00000000-0005-0000-0000-0000C00C0000}"/>
    <cellStyle name="Migliaia 42 3 3 2 2" xfId="5548" xr:uid="{00000000-0005-0000-0000-0000C10C0000}"/>
    <cellStyle name="Migliaia 42 3 3 2 3" xfId="6470" xr:uid="{00000000-0005-0000-0000-0000C20C0000}"/>
    <cellStyle name="Migliaia 42 3 3 3" xfId="5150" xr:uid="{00000000-0005-0000-0000-0000C30C0000}"/>
    <cellStyle name="Migliaia 42 3 3 4" xfId="6028" xr:uid="{00000000-0005-0000-0000-0000C40C0000}"/>
    <cellStyle name="Migliaia 42 3 4" xfId="2487" xr:uid="{00000000-0005-0000-0000-0000C50C0000}"/>
    <cellStyle name="Migliaia 42 3 4 2" xfId="5547" xr:uid="{00000000-0005-0000-0000-0000C60C0000}"/>
    <cellStyle name="Migliaia 42 3 4 3" xfId="6469" xr:uid="{00000000-0005-0000-0000-0000C70C0000}"/>
    <cellStyle name="Migliaia 42 3 5" xfId="5148" xr:uid="{00000000-0005-0000-0000-0000C80C0000}"/>
    <cellStyle name="Migliaia 42 3 6" xfId="6026" xr:uid="{00000000-0005-0000-0000-0000C90C0000}"/>
    <cellStyle name="Migliaia 42 4" xfId="779" xr:uid="{00000000-0005-0000-0000-0000CA0C0000}"/>
    <cellStyle name="Migliaia 42 4 2" xfId="780" xr:uid="{00000000-0005-0000-0000-0000CB0C0000}"/>
    <cellStyle name="Migliaia 42 4 2 2" xfId="2490" xr:uid="{00000000-0005-0000-0000-0000CC0C0000}"/>
    <cellStyle name="Migliaia 42 4 2 2 2" xfId="5550" xr:uid="{00000000-0005-0000-0000-0000CD0C0000}"/>
    <cellStyle name="Migliaia 42 4 2 2 3" xfId="6472" xr:uid="{00000000-0005-0000-0000-0000CE0C0000}"/>
    <cellStyle name="Migliaia 42 4 2 3" xfId="5152" xr:uid="{00000000-0005-0000-0000-0000CF0C0000}"/>
    <cellStyle name="Migliaia 42 4 2 4" xfId="6030" xr:uid="{00000000-0005-0000-0000-0000D00C0000}"/>
    <cellStyle name="Migliaia 42 4 3" xfId="2489" xr:uid="{00000000-0005-0000-0000-0000D10C0000}"/>
    <cellStyle name="Migliaia 42 4 3 2" xfId="5549" xr:uid="{00000000-0005-0000-0000-0000D20C0000}"/>
    <cellStyle name="Migliaia 42 4 3 3" xfId="6471" xr:uid="{00000000-0005-0000-0000-0000D30C0000}"/>
    <cellStyle name="Migliaia 42 4 4" xfId="5151" xr:uid="{00000000-0005-0000-0000-0000D40C0000}"/>
    <cellStyle name="Migliaia 42 4 5" xfId="6029" xr:uid="{00000000-0005-0000-0000-0000D50C0000}"/>
    <cellStyle name="Migliaia 42 5" xfId="781" xr:uid="{00000000-0005-0000-0000-0000D60C0000}"/>
    <cellStyle name="Migliaia 42 5 2" xfId="5153" xr:uid="{00000000-0005-0000-0000-0000D70C0000}"/>
    <cellStyle name="Migliaia 42 5 3" xfId="6031" xr:uid="{00000000-0005-0000-0000-0000D80C0000}"/>
    <cellStyle name="Migliaia 42 6" xfId="4835" xr:uid="{00000000-0005-0000-0000-0000D90C0000}"/>
    <cellStyle name="Migliaia 42 7" xfId="6024" xr:uid="{00000000-0005-0000-0000-0000DA0C0000}"/>
    <cellStyle name="Migliaia 43" xfId="782" xr:uid="{00000000-0005-0000-0000-0000DB0C0000}"/>
    <cellStyle name="Migliaia 43 2" xfId="783" xr:uid="{00000000-0005-0000-0000-0000DC0C0000}"/>
    <cellStyle name="Migliaia 43 2 2" xfId="2491" xr:uid="{00000000-0005-0000-0000-0000DD0C0000}"/>
    <cellStyle name="Migliaia 43 2 2 2" xfId="5551" xr:uid="{00000000-0005-0000-0000-0000DE0C0000}"/>
    <cellStyle name="Migliaia 43 2 2 3" xfId="6473" xr:uid="{00000000-0005-0000-0000-0000DF0C0000}"/>
    <cellStyle name="Migliaia 43 2 3" xfId="4900" xr:uid="{00000000-0005-0000-0000-0000E00C0000}"/>
    <cellStyle name="Migliaia 43 2 4" xfId="6033" xr:uid="{00000000-0005-0000-0000-0000E10C0000}"/>
    <cellStyle name="Migliaia 43 3" xfId="784" xr:uid="{00000000-0005-0000-0000-0000E20C0000}"/>
    <cellStyle name="Migliaia 43 3 2" xfId="785" xr:uid="{00000000-0005-0000-0000-0000E30C0000}"/>
    <cellStyle name="Migliaia 43 3 2 2" xfId="5155" xr:uid="{00000000-0005-0000-0000-0000E40C0000}"/>
    <cellStyle name="Migliaia 43 3 2 3" xfId="6035" xr:uid="{00000000-0005-0000-0000-0000E50C0000}"/>
    <cellStyle name="Migliaia 43 3 3" xfId="786" xr:uid="{00000000-0005-0000-0000-0000E60C0000}"/>
    <cellStyle name="Migliaia 43 3 3 2" xfId="2493" xr:uid="{00000000-0005-0000-0000-0000E70C0000}"/>
    <cellStyle name="Migliaia 43 3 3 2 2" xfId="5553" xr:uid="{00000000-0005-0000-0000-0000E80C0000}"/>
    <cellStyle name="Migliaia 43 3 3 2 3" xfId="6475" xr:uid="{00000000-0005-0000-0000-0000E90C0000}"/>
    <cellStyle name="Migliaia 43 3 3 3" xfId="5156" xr:uid="{00000000-0005-0000-0000-0000EA0C0000}"/>
    <cellStyle name="Migliaia 43 3 3 4" xfId="6036" xr:uid="{00000000-0005-0000-0000-0000EB0C0000}"/>
    <cellStyle name="Migliaia 43 3 4" xfId="2492" xr:uid="{00000000-0005-0000-0000-0000EC0C0000}"/>
    <cellStyle name="Migliaia 43 3 4 2" xfId="5552" xr:uid="{00000000-0005-0000-0000-0000ED0C0000}"/>
    <cellStyle name="Migliaia 43 3 4 3" xfId="6474" xr:uid="{00000000-0005-0000-0000-0000EE0C0000}"/>
    <cellStyle name="Migliaia 43 3 5" xfId="5154" xr:uid="{00000000-0005-0000-0000-0000EF0C0000}"/>
    <cellStyle name="Migliaia 43 3 6" xfId="6034" xr:uid="{00000000-0005-0000-0000-0000F00C0000}"/>
    <cellStyle name="Migliaia 43 4" xfId="787" xr:uid="{00000000-0005-0000-0000-0000F10C0000}"/>
    <cellStyle name="Migliaia 43 4 2" xfId="788" xr:uid="{00000000-0005-0000-0000-0000F20C0000}"/>
    <cellStyle name="Migliaia 43 4 2 2" xfId="2495" xr:uid="{00000000-0005-0000-0000-0000F30C0000}"/>
    <cellStyle name="Migliaia 43 4 2 2 2" xfId="5555" xr:uid="{00000000-0005-0000-0000-0000F40C0000}"/>
    <cellStyle name="Migliaia 43 4 2 2 3" xfId="6477" xr:uid="{00000000-0005-0000-0000-0000F50C0000}"/>
    <cellStyle name="Migliaia 43 4 2 3" xfId="5158" xr:uid="{00000000-0005-0000-0000-0000F60C0000}"/>
    <cellStyle name="Migliaia 43 4 2 4" xfId="6038" xr:uid="{00000000-0005-0000-0000-0000F70C0000}"/>
    <cellStyle name="Migliaia 43 4 3" xfId="2494" xr:uid="{00000000-0005-0000-0000-0000F80C0000}"/>
    <cellStyle name="Migliaia 43 4 3 2" xfId="5554" xr:uid="{00000000-0005-0000-0000-0000F90C0000}"/>
    <cellStyle name="Migliaia 43 4 3 3" xfId="6476" xr:uid="{00000000-0005-0000-0000-0000FA0C0000}"/>
    <cellStyle name="Migliaia 43 4 4" xfId="5157" xr:uid="{00000000-0005-0000-0000-0000FB0C0000}"/>
    <cellStyle name="Migliaia 43 4 5" xfId="6037" xr:uid="{00000000-0005-0000-0000-0000FC0C0000}"/>
    <cellStyle name="Migliaia 43 5" xfId="789" xr:uid="{00000000-0005-0000-0000-0000FD0C0000}"/>
    <cellStyle name="Migliaia 43 5 2" xfId="5159" xr:uid="{00000000-0005-0000-0000-0000FE0C0000}"/>
    <cellStyle name="Migliaia 43 5 3" xfId="6039" xr:uid="{00000000-0005-0000-0000-0000FF0C0000}"/>
    <cellStyle name="Migliaia 43 6" xfId="4836" xr:uid="{00000000-0005-0000-0000-0000000D0000}"/>
    <cellStyle name="Migliaia 43 7" xfId="6032" xr:uid="{00000000-0005-0000-0000-0000010D0000}"/>
    <cellStyle name="Migliaia 44" xfId="790" xr:uid="{00000000-0005-0000-0000-0000020D0000}"/>
    <cellStyle name="Migliaia 44 2" xfId="791" xr:uid="{00000000-0005-0000-0000-0000030D0000}"/>
    <cellStyle name="Migliaia 44 2 2" xfId="2496" xr:uid="{00000000-0005-0000-0000-0000040D0000}"/>
    <cellStyle name="Migliaia 44 2 2 2" xfId="5556" xr:uid="{00000000-0005-0000-0000-0000050D0000}"/>
    <cellStyle name="Migliaia 44 2 2 3" xfId="6478" xr:uid="{00000000-0005-0000-0000-0000060D0000}"/>
    <cellStyle name="Migliaia 44 2 3" xfId="4901" xr:uid="{00000000-0005-0000-0000-0000070D0000}"/>
    <cellStyle name="Migliaia 44 2 4" xfId="6041" xr:uid="{00000000-0005-0000-0000-0000080D0000}"/>
    <cellStyle name="Migliaia 44 3" xfId="792" xr:uid="{00000000-0005-0000-0000-0000090D0000}"/>
    <cellStyle name="Migliaia 44 3 2" xfId="793" xr:uid="{00000000-0005-0000-0000-00000A0D0000}"/>
    <cellStyle name="Migliaia 44 3 2 2" xfId="5161" xr:uid="{00000000-0005-0000-0000-00000B0D0000}"/>
    <cellStyle name="Migliaia 44 3 2 3" xfId="6043" xr:uid="{00000000-0005-0000-0000-00000C0D0000}"/>
    <cellStyle name="Migliaia 44 3 3" xfId="794" xr:uid="{00000000-0005-0000-0000-00000D0D0000}"/>
    <cellStyle name="Migliaia 44 3 3 2" xfId="2498" xr:uid="{00000000-0005-0000-0000-00000E0D0000}"/>
    <cellStyle name="Migliaia 44 3 3 2 2" xfId="5558" xr:uid="{00000000-0005-0000-0000-00000F0D0000}"/>
    <cellStyle name="Migliaia 44 3 3 2 3" xfId="6480" xr:uid="{00000000-0005-0000-0000-0000100D0000}"/>
    <cellStyle name="Migliaia 44 3 3 3" xfId="5162" xr:uid="{00000000-0005-0000-0000-0000110D0000}"/>
    <cellStyle name="Migliaia 44 3 3 4" xfId="6044" xr:uid="{00000000-0005-0000-0000-0000120D0000}"/>
    <cellStyle name="Migliaia 44 3 4" xfId="2497" xr:uid="{00000000-0005-0000-0000-0000130D0000}"/>
    <cellStyle name="Migliaia 44 3 4 2" xfId="5557" xr:uid="{00000000-0005-0000-0000-0000140D0000}"/>
    <cellStyle name="Migliaia 44 3 4 3" xfId="6479" xr:uid="{00000000-0005-0000-0000-0000150D0000}"/>
    <cellStyle name="Migliaia 44 3 5" xfId="5160" xr:uid="{00000000-0005-0000-0000-0000160D0000}"/>
    <cellStyle name="Migliaia 44 3 6" xfId="6042" xr:uid="{00000000-0005-0000-0000-0000170D0000}"/>
    <cellStyle name="Migliaia 44 4" xfId="795" xr:uid="{00000000-0005-0000-0000-0000180D0000}"/>
    <cellStyle name="Migliaia 44 4 2" xfId="796" xr:uid="{00000000-0005-0000-0000-0000190D0000}"/>
    <cellStyle name="Migliaia 44 4 2 2" xfId="2500" xr:uid="{00000000-0005-0000-0000-00001A0D0000}"/>
    <cellStyle name="Migliaia 44 4 2 2 2" xfId="5560" xr:uid="{00000000-0005-0000-0000-00001B0D0000}"/>
    <cellStyle name="Migliaia 44 4 2 2 3" xfId="6482" xr:uid="{00000000-0005-0000-0000-00001C0D0000}"/>
    <cellStyle name="Migliaia 44 4 2 3" xfId="5164" xr:uid="{00000000-0005-0000-0000-00001D0D0000}"/>
    <cellStyle name="Migliaia 44 4 2 4" xfId="6046" xr:uid="{00000000-0005-0000-0000-00001E0D0000}"/>
    <cellStyle name="Migliaia 44 4 3" xfId="2499" xr:uid="{00000000-0005-0000-0000-00001F0D0000}"/>
    <cellStyle name="Migliaia 44 4 3 2" xfId="5559" xr:uid="{00000000-0005-0000-0000-0000200D0000}"/>
    <cellStyle name="Migliaia 44 4 3 3" xfId="6481" xr:uid="{00000000-0005-0000-0000-0000210D0000}"/>
    <cellStyle name="Migliaia 44 4 4" xfId="5163" xr:uid="{00000000-0005-0000-0000-0000220D0000}"/>
    <cellStyle name="Migliaia 44 4 5" xfId="6045" xr:uid="{00000000-0005-0000-0000-0000230D0000}"/>
    <cellStyle name="Migliaia 44 5" xfId="797" xr:uid="{00000000-0005-0000-0000-0000240D0000}"/>
    <cellStyle name="Migliaia 44 5 2" xfId="5165" xr:uid="{00000000-0005-0000-0000-0000250D0000}"/>
    <cellStyle name="Migliaia 44 5 3" xfId="6047" xr:uid="{00000000-0005-0000-0000-0000260D0000}"/>
    <cellStyle name="Migliaia 44 6" xfId="4837" xr:uid="{00000000-0005-0000-0000-0000270D0000}"/>
    <cellStyle name="Migliaia 44 7" xfId="6040" xr:uid="{00000000-0005-0000-0000-0000280D0000}"/>
    <cellStyle name="Migliaia 45" xfId="798" xr:uid="{00000000-0005-0000-0000-0000290D0000}"/>
    <cellStyle name="Migliaia 45 2" xfId="799" xr:uid="{00000000-0005-0000-0000-00002A0D0000}"/>
    <cellStyle name="Migliaia 45 2 2" xfId="2501" xr:uid="{00000000-0005-0000-0000-00002B0D0000}"/>
    <cellStyle name="Migliaia 45 2 2 2" xfId="5561" xr:uid="{00000000-0005-0000-0000-00002C0D0000}"/>
    <cellStyle name="Migliaia 45 2 2 3" xfId="6483" xr:uid="{00000000-0005-0000-0000-00002D0D0000}"/>
    <cellStyle name="Migliaia 45 2 3" xfId="4902" xr:uid="{00000000-0005-0000-0000-00002E0D0000}"/>
    <cellStyle name="Migliaia 45 2 4" xfId="6049" xr:uid="{00000000-0005-0000-0000-00002F0D0000}"/>
    <cellStyle name="Migliaia 45 3" xfId="800" xr:uid="{00000000-0005-0000-0000-0000300D0000}"/>
    <cellStyle name="Migliaia 45 3 2" xfId="801" xr:uid="{00000000-0005-0000-0000-0000310D0000}"/>
    <cellStyle name="Migliaia 45 3 2 2" xfId="5167" xr:uid="{00000000-0005-0000-0000-0000320D0000}"/>
    <cellStyle name="Migliaia 45 3 2 3" xfId="6051" xr:uid="{00000000-0005-0000-0000-0000330D0000}"/>
    <cellStyle name="Migliaia 45 3 3" xfId="802" xr:uid="{00000000-0005-0000-0000-0000340D0000}"/>
    <cellStyle name="Migliaia 45 3 3 2" xfId="2503" xr:uid="{00000000-0005-0000-0000-0000350D0000}"/>
    <cellStyle name="Migliaia 45 3 3 2 2" xfId="5563" xr:uid="{00000000-0005-0000-0000-0000360D0000}"/>
    <cellStyle name="Migliaia 45 3 3 2 3" xfId="6485" xr:uid="{00000000-0005-0000-0000-0000370D0000}"/>
    <cellStyle name="Migliaia 45 3 3 3" xfId="5168" xr:uid="{00000000-0005-0000-0000-0000380D0000}"/>
    <cellStyle name="Migliaia 45 3 3 4" xfId="6052" xr:uid="{00000000-0005-0000-0000-0000390D0000}"/>
    <cellStyle name="Migliaia 45 3 4" xfId="2502" xr:uid="{00000000-0005-0000-0000-00003A0D0000}"/>
    <cellStyle name="Migliaia 45 3 4 2" xfId="5562" xr:uid="{00000000-0005-0000-0000-00003B0D0000}"/>
    <cellStyle name="Migliaia 45 3 4 3" xfId="6484" xr:uid="{00000000-0005-0000-0000-00003C0D0000}"/>
    <cellStyle name="Migliaia 45 3 5" xfId="5166" xr:uid="{00000000-0005-0000-0000-00003D0D0000}"/>
    <cellStyle name="Migliaia 45 3 6" xfId="6050" xr:uid="{00000000-0005-0000-0000-00003E0D0000}"/>
    <cellStyle name="Migliaia 45 4" xfId="803" xr:uid="{00000000-0005-0000-0000-00003F0D0000}"/>
    <cellStyle name="Migliaia 45 4 2" xfId="804" xr:uid="{00000000-0005-0000-0000-0000400D0000}"/>
    <cellStyle name="Migliaia 45 4 2 2" xfId="2505" xr:uid="{00000000-0005-0000-0000-0000410D0000}"/>
    <cellStyle name="Migliaia 45 4 2 2 2" xfId="5565" xr:uid="{00000000-0005-0000-0000-0000420D0000}"/>
    <cellStyle name="Migliaia 45 4 2 2 3" xfId="6487" xr:uid="{00000000-0005-0000-0000-0000430D0000}"/>
    <cellStyle name="Migliaia 45 4 2 3" xfId="5170" xr:uid="{00000000-0005-0000-0000-0000440D0000}"/>
    <cellStyle name="Migliaia 45 4 2 4" xfId="6054" xr:uid="{00000000-0005-0000-0000-0000450D0000}"/>
    <cellStyle name="Migliaia 45 4 3" xfId="2504" xr:uid="{00000000-0005-0000-0000-0000460D0000}"/>
    <cellStyle name="Migliaia 45 4 3 2" xfId="5564" xr:uid="{00000000-0005-0000-0000-0000470D0000}"/>
    <cellStyle name="Migliaia 45 4 3 3" xfId="6486" xr:uid="{00000000-0005-0000-0000-0000480D0000}"/>
    <cellStyle name="Migliaia 45 4 4" xfId="5169" xr:uid="{00000000-0005-0000-0000-0000490D0000}"/>
    <cellStyle name="Migliaia 45 4 5" xfId="6053" xr:uid="{00000000-0005-0000-0000-00004A0D0000}"/>
    <cellStyle name="Migliaia 45 5" xfId="805" xr:uid="{00000000-0005-0000-0000-00004B0D0000}"/>
    <cellStyle name="Migliaia 45 5 2" xfId="5171" xr:uid="{00000000-0005-0000-0000-00004C0D0000}"/>
    <cellStyle name="Migliaia 45 5 3" xfId="6055" xr:uid="{00000000-0005-0000-0000-00004D0D0000}"/>
    <cellStyle name="Migliaia 45 6" xfId="4838" xr:uid="{00000000-0005-0000-0000-00004E0D0000}"/>
    <cellStyle name="Migliaia 45 7" xfId="6048" xr:uid="{00000000-0005-0000-0000-00004F0D0000}"/>
    <cellStyle name="Migliaia 46" xfId="806" xr:uid="{00000000-0005-0000-0000-0000500D0000}"/>
    <cellStyle name="Migliaia 46 2" xfId="807" xr:uid="{00000000-0005-0000-0000-0000510D0000}"/>
    <cellStyle name="Migliaia 46 2 2" xfId="2506" xr:uid="{00000000-0005-0000-0000-0000520D0000}"/>
    <cellStyle name="Migliaia 46 2 2 2" xfId="5566" xr:uid="{00000000-0005-0000-0000-0000530D0000}"/>
    <cellStyle name="Migliaia 46 2 2 3" xfId="6488" xr:uid="{00000000-0005-0000-0000-0000540D0000}"/>
    <cellStyle name="Migliaia 46 2 3" xfId="4903" xr:uid="{00000000-0005-0000-0000-0000550D0000}"/>
    <cellStyle name="Migliaia 46 2 4" xfId="6057" xr:uid="{00000000-0005-0000-0000-0000560D0000}"/>
    <cellStyle name="Migliaia 46 3" xfId="808" xr:uid="{00000000-0005-0000-0000-0000570D0000}"/>
    <cellStyle name="Migliaia 46 3 2" xfId="809" xr:uid="{00000000-0005-0000-0000-0000580D0000}"/>
    <cellStyle name="Migliaia 46 3 2 2" xfId="5173" xr:uid="{00000000-0005-0000-0000-0000590D0000}"/>
    <cellStyle name="Migliaia 46 3 2 3" xfId="6059" xr:uid="{00000000-0005-0000-0000-00005A0D0000}"/>
    <cellStyle name="Migliaia 46 3 3" xfId="810" xr:uid="{00000000-0005-0000-0000-00005B0D0000}"/>
    <cellStyle name="Migliaia 46 3 3 2" xfId="2508" xr:uid="{00000000-0005-0000-0000-00005C0D0000}"/>
    <cellStyle name="Migliaia 46 3 3 2 2" xfId="5568" xr:uid="{00000000-0005-0000-0000-00005D0D0000}"/>
    <cellStyle name="Migliaia 46 3 3 2 3" xfId="6490" xr:uid="{00000000-0005-0000-0000-00005E0D0000}"/>
    <cellStyle name="Migliaia 46 3 3 3" xfId="5174" xr:uid="{00000000-0005-0000-0000-00005F0D0000}"/>
    <cellStyle name="Migliaia 46 3 3 4" xfId="6060" xr:uid="{00000000-0005-0000-0000-0000600D0000}"/>
    <cellStyle name="Migliaia 46 3 4" xfId="2507" xr:uid="{00000000-0005-0000-0000-0000610D0000}"/>
    <cellStyle name="Migliaia 46 3 4 2" xfId="5567" xr:uid="{00000000-0005-0000-0000-0000620D0000}"/>
    <cellStyle name="Migliaia 46 3 4 3" xfId="6489" xr:uid="{00000000-0005-0000-0000-0000630D0000}"/>
    <cellStyle name="Migliaia 46 3 5" xfId="5172" xr:uid="{00000000-0005-0000-0000-0000640D0000}"/>
    <cellStyle name="Migliaia 46 3 6" xfId="6058" xr:uid="{00000000-0005-0000-0000-0000650D0000}"/>
    <cellStyle name="Migliaia 46 4" xfId="811" xr:uid="{00000000-0005-0000-0000-0000660D0000}"/>
    <cellStyle name="Migliaia 46 4 2" xfId="812" xr:uid="{00000000-0005-0000-0000-0000670D0000}"/>
    <cellStyle name="Migliaia 46 4 2 2" xfId="2510" xr:uid="{00000000-0005-0000-0000-0000680D0000}"/>
    <cellStyle name="Migliaia 46 4 2 2 2" xfId="5570" xr:uid="{00000000-0005-0000-0000-0000690D0000}"/>
    <cellStyle name="Migliaia 46 4 2 2 3" xfId="6492" xr:uid="{00000000-0005-0000-0000-00006A0D0000}"/>
    <cellStyle name="Migliaia 46 4 2 3" xfId="5176" xr:uid="{00000000-0005-0000-0000-00006B0D0000}"/>
    <cellStyle name="Migliaia 46 4 2 4" xfId="6062" xr:uid="{00000000-0005-0000-0000-00006C0D0000}"/>
    <cellStyle name="Migliaia 46 4 3" xfId="2509" xr:uid="{00000000-0005-0000-0000-00006D0D0000}"/>
    <cellStyle name="Migliaia 46 4 3 2" xfId="5569" xr:uid="{00000000-0005-0000-0000-00006E0D0000}"/>
    <cellStyle name="Migliaia 46 4 3 3" xfId="6491" xr:uid="{00000000-0005-0000-0000-00006F0D0000}"/>
    <cellStyle name="Migliaia 46 4 4" xfId="5175" xr:uid="{00000000-0005-0000-0000-0000700D0000}"/>
    <cellStyle name="Migliaia 46 4 5" xfId="6061" xr:uid="{00000000-0005-0000-0000-0000710D0000}"/>
    <cellStyle name="Migliaia 46 5" xfId="813" xr:uid="{00000000-0005-0000-0000-0000720D0000}"/>
    <cellStyle name="Migliaia 46 5 2" xfId="5177" xr:uid="{00000000-0005-0000-0000-0000730D0000}"/>
    <cellStyle name="Migliaia 46 5 3" xfId="6063" xr:uid="{00000000-0005-0000-0000-0000740D0000}"/>
    <cellStyle name="Migliaia 46 6" xfId="4839" xr:uid="{00000000-0005-0000-0000-0000750D0000}"/>
    <cellStyle name="Migliaia 46 7" xfId="6056" xr:uid="{00000000-0005-0000-0000-0000760D0000}"/>
    <cellStyle name="Migliaia 47" xfId="814" xr:uid="{00000000-0005-0000-0000-0000770D0000}"/>
    <cellStyle name="Migliaia 47 2" xfId="815" xr:uid="{00000000-0005-0000-0000-0000780D0000}"/>
    <cellStyle name="Migliaia 47 2 2" xfId="2511" xr:uid="{00000000-0005-0000-0000-0000790D0000}"/>
    <cellStyle name="Migliaia 47 2 2 2" xfId="5571" xr:uid="{00000000-0005-0000-0000-00007A0D0000}"/>
    <cellStyle name="Migliaia 47 2 2 3" xfId="6493" xr:uid="{00000000-0005-0000-0000-00007B0D0000}"/>
    <cellStyle name="Migliaia 47 2 3" xfId="4904" xr:uid="{00000000-0005-0000-0000-00007C0D0000}"/>
    <cellStyle name="Migliaia 47 2 4" xfId="6065" xr:uid="{00000000-0005-0000-0000-00007D0D0000}"/>
    <cellStyle name="Migliaia 47 3" xfId="816" xr:uid="{00000000-0005-0000-0000-00007E0D0000}"/>
    <cellStyle name="Migliaia 47 3 2" xfId="817" xr:uid="{00000000-0005-0000-0000-00007F0D0000}"/>
    <cellStyle name="Migliaia 47 3 2 2" xfId="5179" xr:uid="{00000000-0005-0000-0000-0000800D0000}"/>
    <cellStyle name="Migliaia 47 3 2 3" xfId="6067" xr:uid="{00000000-0005-0000-0000-0000810D0000}"/>
    <cellStyle name="Migliaia 47 3 3" xfId="818" xr:uid="{00000000-0005-0000-0000-0000820D0000}"/>
    <cellStyle name="Migliaia 47 3 3 2" xfId="2513" xr:uid="{00000000-0005-0000-0000-0000830D0000}"/>
    <cellStyle name="Migliaia 47 3 3 2 2" xfId="5573" xr:uid="{00000000-0005-0000-0000-0000840D0000}"/>
    <cellStyle name="Migliaia 47 3 3 2 3" xfId="6495" xr:uid="{00000000-0005-0000-0000-0000850D0000}"/>
    <cellStyle name="Migliaia 47 3 3 3" xfId="5180" xr:uid="{00000000-0005-0000-0000-0000860D0000}"/>
    <cellStyle name="Migliaia 47 3 3 4" xfId="6068" xr:uid="{00000000-0005-0000-0000-0000870D0000}"/>
    <cellStyle name="Migliaia 47 3 4" xfId="2512" xr:uid="{00000000-0005-0000-0000-0000880D0000}"/>
    <cellStyle name="Migliaia 47 3 4 2" xfId="5572" xr:uid="{00000000-0005-0000-0000-0000890D0000}"/>
    <cellStyle name="Migliaia 47 3 4 3" xfId="6494" xr:uid="{00000000-0005-0000-0000-00008A0D0000}"/>
    <cellStyle name="Migliaia 47 3 5" xfId="5178" xr:uid="{00000000-0005-0000-0000-00008B0D0000}"/>
    <cellStyle name="Migliaia 47 3 6" xfId="6066" xr:uid="{00000000-0005-0000-0000-00008C0D0000}"/>
    <cellStyle name="Migliaia 47 4" xfId="819" xr:uid="{00000000-0005-0000-0000-00008D0D0000}"/>
    <cellStyle name="Migliaia 47 4 2" xfId="820" xr:uid="{00000000-0005-0000-0000-00008E0D0000}"/>
    <cellStyle name="Migliaia 47 4 2 2" xfId="2515" xr:uid="{00000000-0005-0000-0000-00008F0D0000}"/>
    <cellStyle name="Migliaia 47 4 2 2 2" xfId="5575" xr:uid="{00000000-0005-0000-0000-0000900D0000}"/>
    <cellStyle name="Migliaia 47 4 2 2 3" xfId="6497" xr:uid="{00000000-0005-0000-0000-0000910D0000}"/>
    <cellStyle name="Migliaia 47 4 2 3" xfId="5182" xr:uid="{00000000-0005-0000-0000-0000920D0000}"/>
    <cellStyle name="Migliaia 47 4 2 4" xfId="6070" xr:uid="{00000000-0005-0000-0000-0000930D0000}"/>
    <cellStyle name="Migliaia 47 4 3" xfId="2514" xr:uid="{00000000-0005-0000-0000-0000940D0000}"/>
    <cellStyle name="Migliaia 47 4 3 2" xfId="5574" xr:uid="{00000000-0005-0000-0000-0000950D0000}"/>
    <cellStyle name="Migliaia 47 4 3 3" xfId="6496" xr:uid="{00000000-0005-0000-0000-0000960D0000}"/>
    <cellStyle name="Migliaia 47 4 4" xfId="5181" xr:uid="{00000000-0005-0000-0000-0000970D0000}"/>
    <cellStyle name="Migliaia 47 4 5" xfId="6069" xr:uid="{00000000-0005-0000-0000-0000980D0000}"/>
    <cellStyle name="Migliaia 47 5" xfId="821" xr:uid="{00000000-0005-0000-0000-0000990D0000}"/>
    <cellStyle name="Migliaia 47 5 2" xfId="5183" xr:uid="{00000000-0005-0000-0000-00009A0D0000}"/>
    <cellStyle name="Migliaia 47 5 3" xfId="6071" xr:uid="{00000000-0005-0000-0000-00009B0D0000}"/>
    <cellStyle name="Migliaia 47 6" xfId="4840" xr:uid="{00000000-0005-0000-0000-00009C0D0000}"/>
    <cellStyle name="Migliaia 47 7" xfId="6064" xr:uid="{00000000-0005-0000-0000-00009D0D0000}"/>
    <cellStyle name="Migliaia 48" xfId="822" xr:uid="{00000000-0005-0000-0000-00009E0D0000}"/>
    <cellStyle name="Migliaia 48 2" xfId="823" xr:uid="{00000000-0005-0000-0000-00009F0D0000}"/>
    <cellStyle name="Migliaia 48 2 2" xfId="2516" xr:uid="{00000000-0005-0000-0000-0000A00D0000}"/>
    <cellStyle name="Migliaia 48 2 2 2" xfId="5576" xr:uid="{00000000-0005-0000-0000-0000A10D0000}"/>
    <cellStyle name="Migliaia 48 2 2 3" xfId="6498" xr:uid="{00000000-0005-0000-0000-0000A20D0000}"/>
    <cellStyle name="Migliaia 48 2 3" xfId="4905" xr:uid="{00000000-0005-0000-0000-0000A30D0000}"/>
    <cellStyle name="Migliaia 48 2 4" xfId="6073" xr:uid="{00000000-0005-0000-0000-0000A40D0000}"/>
    <cellStyle name="Migliaia 48 3" xfId="824" xr:uid="{00000000-0005-0000-0000-0000A50D0000}"/>
    <cellStyle name="Migliaia 48 3 2" xfId="825" xr:uid="{00000000-0005-0000-0000-0000A60D0000}"/>
    <cellStyle name="Migliaia 48 3 2 2" xfId="5185" xr:uid="{00000000-0005-0000-0000-0000A70D0000}"/>
    <cellStyle name="Migliaia 48 3 2 3" xfId="6075" xr:uid="{00000000-0005-0000-0000-0000A80D0000}"/>
    <cellStyle name="Migliaia 48 3 3" xfId="826" xr:uid="{00000000-0005-0000-0000-0000A90D0000}"/>
    <cellStyle name="Migliaia 48 3 3 2" xfId="2518" xr:uid="{00000000-0005-0000-0000-0000AA0D0000}"/>
    <cellStyle name="Migliaia 48 3 3 2 2" xfId="5578" xr:uid="{00000000-0005-0000-0000-0000AB0D0000}"/>
    <cellStyle name="Migliaia 48 3 3 2 3" xfId="6500" xr:uid="{00000000-0005-0000-0000-0000AC0D0000}"/>
    <cellStyle name="Migliaia 48 3 3 3" xfId="5186" xr:uid="{00000000-0005-0000-0000-0000AD0D0000}"/>
    <cellStyle name="Migliaia 48 3 3 4" xfId="6076" xr:uid="{00000000-0005-0000-0000-0000AE0D0000}"/>
    <cellStyle name="Migliaia 48 3 4" xfId="2517" xr:uid="{00000000-0005-0000-0000-0000AF0D0000}"/>
    <cellStyle name="Migliaia 48 3 4 2" xfId="5577" xr:uid="{00000000-0005-0000-0000-0000B00D0000}"/>
    <cellStyle name="Migliaia 48 3 4 3" xfId="6499" xr:uid="{00000000-0005-0000-0000-0000B10D0000}"/>
    <cellStyle name="Migliaia 48 3 5" xfId="5184" xr:uid="{00000000-0005-0000-0000-0000B20D0000}"/>
    <cellStyle name="Migliaia 48 3 6" xfId="6074" xr:uid="{00000000-0005-0000-0000-0000B30D0000}"/>
    <cellStyle name="Migliaia 48 4" xfId="827" xr:uid="{00000000-0005-0000-0000-0000B40D0000}"/>
    <cellStyle name="Migliaia 48 4 2" xfId="828" xr:uid="{00000000-0005-0000-0000-0000B50D0000}"/>
    <cellStyle name="Migliaia 48 4 2 2" xfId="2520" xr:uid="{00000000-0005-0000-0000-0000B60D0000}"/>
    <cellStyle name="Migliaia 48 4 2 2 2" xfId="5580" xr:uid="{00000000-0005-0000-0000-0000B70D0000}"/>
    <cellStyle name="Migliaia 48 4 2 2 3" xfId="6502" xr:uid="{00000000-0005-0000-0000-0000B80D0000}"/>
    <cellStyle name="Migliaia 48 4 2 3" xfId="5188" xr:uid="{00000000-0005-0000-0000-0000B90D0000}"/>
    <cellStyle name="Migliaia 48 4 2 4" xfId="6078" xr:uid="{00000000-0005-0000-0000-0000BA0D0000}"/>
    <cellStyle name="Migliaia 48 4 3" xfId="2519" xr:uid="{00000000-0005-0000-0000-0000BB0D0000}"/>
    <cellStyle name="Migliaia 48 4 3 2" xfId="5579" xr:uid="{00000000-0005-0000-0000-0000BC0D0000}"/>
    <cellStyle name="Migliaia 48 4 3 3" xfId="6501" xr:uid="{00000000-0005-0000-0000-0000BD0D0000}"/>
    <cellStyle name="Migliaia 48 4 4" xfId="5187" xr:uid="{00000000-0005-0000-0000-0000BE0D0000}"/>
    <cellStyle name="Migliaia 48 4 5" xfId="6077" xr:uid="{00000000-0005-0000-0000-0000BF0D0000}"/>
    <cellStyle name="Migliaia 48 5" xfId="829" xr:uid="{00000000-0005-0000-0000-0000C00D0000}"/>
    <cellStyle name="Migliaia 48 5 2" xfId="5189" xr:uid="{00000000-0005-0000-0000-0000C10D0000}"/>
    <cellStyle name="Migliaia 48 5 3" xfId="6079" xr:uid="{00000000-0005-0000-0000-0000C20D0000}"/>
    <cellStyle name="Migliaia 48 6" xfId="4841" xr:uid="{00000000-0005-0000-0000-0000C30D0000}"/>
    <cellStyle name="Migliaia 48 7" xfId="6072" xr:uid="{00000000-0005-0000-0000-0000C40D0000}"/>
    <cellStyle name="Migliaia 49" xfId="830" xr:uid="{00000000-0005-0000-0000-0000C50D0000}"/>
    <cellStyle name="Migliaia 49 2" xfId="831" xr:uid="{00000000-0005-0000-0000-0000C60D0000}"/>
    <cellStyle name="Migliaia 49 2 2" xfId="2521" xr:uid="{00000000-0005-0000-0000-0000C70D0000}"/>
    <cellStyle name="Migliaia 49 2 2 2" xfId="5581" xr:uid="{00000000-0005-0000-0000-0000C80D0000}"/>
    <cellStyle name="Migliaia 49 2 2 3" xfId="6503" xr:uid="{00000000-0005-0000-0000-0000C90D0000}"/>
    <cellStyle name="Migliaia 49 2 3" xfId="4906" xr:uid="{00000000-0005-0000-0000-0000CA0D0000}"/>
    <cellStyle name="Migliaia 49 2 4" xfId="6081" xr:uid="{00000000-0005-0000-0000-0000CB0D0000}"/>
    <cellStyle name="Migliaia 49 3" xfId="832" xr:uid="{00000000-0005-0000-0000-0000CC0D0000}"/>
    <cellStyle name="Migliaia 49 3 2" xfId="833" xr:uid="{00000000-0005-0000-0000-0000CD0D0000}"/>
    <cellStyle name="Migliaia 49 3 2 2" xfId="5191" xr:uid="{00000000-0005-0000-0000-0000CE0D0000}"/>
    <cellStyle name="Migliaia 49 3 2 3" xfId="6083" xr:uid="{00000000-0005-0000-0000-0000CF0D0000}"/>
    <cellStyle name="Migliaia 49 3 3" xfId="834" xr:uid="{00000000-0005-0000-0000-0000D00D0000}"/>
    <cellStyle name="Migliaia 49 3 3 2" xfId="2523" xr:uid="{00000000-0005-0000-0000-0000D10D0000}"/>
    <cellStyle name="Migliaia 49 3 3 2 2" xfId="5583" xr:uid="{00000000-0005-0000-0000-0000D20D0000}"/>
    <cellStyle name="Migliaia 49 3 3 2 3" xfId="6505" xr:uid="{00000000-0005-0000-0000-0000D30D0000}"/>
    <cellStyle name="Migliaia 49 3 3 3" xfId="5192" xr:uid="{00000000-0005-0000-0000-0000D40D0000}"/>
    <cellStyle name="Migliaia 49 3 3 4" xfId="6084" xr:uid="{00000000-0005-0000-0000-0000D50D0000}"/>
    <cellStyle name="Migliaia 49 3 4" xfId="2522" xr:uid="{00000000-0005-0000-0000-0000D60D0000}"/>
    <cellStyle name="Migliaia 49 3 4 2" xfId="5582" xr:uid="{00000000-0005-0000-0000-0000D70D0000}"/>
    <cellStyle name="Migliaia 49 3 4 3" xfId="6504" xr:uid="{00000000-0005-0000-0000-0000D80D0000}"/>
    <cellStyle name="Migliaia 49 3 5" xfId="5190" xr:uid="{00000000-0005-0000-0000-0000D90D0000}"/>
    <cellStyle name="Migliaia 49 3 6" xfId="6082" xr:uid="{00000000-0005-0000-0000-0000DA0D0000}"/>
    <cellStyle name="Migliaia 49 4" xfId="835" xr:uid="{00000000-0005-0000-0000-0000DB0D0000}"/>
    <cellStyle name="Migliaia 49 4 2" xfId="836" xr:uid="{00000000-0005-0000-0000-0000DC0D0000}"/>
    <cellStyle name="Migliaia 49 4 2 2" xfId="2525" xr:uid="{00000000-0005-0000-0000-0000DD0D0000}"/>
    <cellStyle name="Migliaia 49 4 2 2 2" xfId="5585" xr:uid="{00000000-0005-0000-0000-0000DE0D0000}"/>
    <cellStyle name="Migliaia 49 4 2 2 3" xfId="6507" xr:uid="{00000000-0005-0000-0000-0000DF0D0000}"/>
    <cellStyle name="Migliaia 49 4 2 3" xfId="5194" xr:uid="{00000000-0005-0000-0000-0000E00D0000}"/>
    <cellStyle name="Migliaia 49 4 2 4" xfId="6086" xr:uid="{00000000-0005-0000-0000-0000E10D0000}"/>
    <cellStyle name="Migliaia 49 4 3" xfId="2524" xr:uid="{00000000-0005-0000-0000-0000E20D0000}"/>
    <cellStyle name="Migliaia 49 4 3 2" xfId="5584" xr:uid="{00000000-0005-0000-0000-0000E30D0000}"/>
    <cellStyle name="Migliaia 49 4 3 3" xfId="6506" xr:uid="{00000000-0005-0000-0000-0000E40D0000}"/>
    <cellStyle name="Migliaia 49 4 4" xfId="5193" xr:uid="{00000000-0005-0000-0000-0000E50D0000}"/>
    <cellStyle name="Migliaia 49 4 5" xfId="6085" xr:uid="{00000000-0005-0000-0000-0000E60D0000}"/>
    <cellStyle name="Migliaia 49 5" xfId="837" xr:uid="{00000000-0005-0000-0000-0000E70D0000}"/>
    <cellStyle name="Migliaia 49 5 2" xfId="5195" xr:uid="{00000000-0005-0000-0000-0000E80D0000}"/>
    <cellStyle name="Migliaia 49 5 3" xfId="6087" xr:uid="{00000000-0005-0000-0000-0000E90D0000}"/>
    <cellStyle name="Migliaia 49 6" xfId="4842" xr:uid="{00000000-0005-0000-0000-0000EA0D0000}"/>
    <cellStyle name="Migliaia 49 7" xfId="6080" xr:uid="{00000000-0005-0000-0000-0000EB0D0000}"/>
    <cellStyle name="Migliaia 5" xfId="838" xr:uid="{00000000-0005-0000-0000-0000EC0D0000}"/>
    <cellStyle name="Migliaia 5 2" xfId="839" xr:uid="{00000000-0005-0000-0000-0000ED0D0000}"/>
    <cellStyle name="Migliaia 5 2 2" xfId="2526" xr:uid="{00000000-0005-0000-0000-0000EE0D0000}"/>
    <cellStyle name="Migliaia 5 2 2 2" xfId="5586" xr:uid="{00000000-0005-0000-0000-0000EF0D0000}"/>
    <cellStyle name="Migliaia 5 2 2 3" xfId="6508" xr:uid="{00000000-0005-0000-0000-0000F00D0000}"/>
    <cellStyle name="Migliaia 5 2 3" xfId="4907" xr:uid="{00000000-0005-0000-0000-0000F10D0000}"/>
    <cellStyle name="Migliaia 5 2 4" xfId="6089" xr:uid="{00000000-0005-0000-0000-0000F20D0000}"/>
    <cellStyle name="Migliaia 5 3" xfId="840" xr:uid="{00000000-0005-0000-0000-0000F30D0000}"/>
    <cellStyle name="Migliaia 5 3 2" xfId="841" xr:uid="{00000000-0005-0000-0000-0000F40D0000}"/>
    <cellStyle name="Migliaia 5 3 2 2" xfId="5197" xr:uid="{00000000-0005-0000-0000-0000F50D0000}"/>
    <cellStyle name="Migliaia 5 3 2 3" xfId="6091" xr:uid="{00000000-0005-0000-0000-0000F60D0000}"/>
    <cellStyle name="Migliaia 5 3 3" xfId="842" xr:uid="{00000000-0005-0000-0000-0000F70D0000}"/>
    <cellStyle name="Migliaia 5 3 3 2" xfId="2528" xr:uid="{00000000-0005-0000-0000-0000F80D0000}"/>
    <cellStyle name="Migliaia 5 3 3 2 2" xfId="5588" xr:uid="{00000000-0005-0000-0000-0000F90D0000}"/>
    <cellStyle name="Migliaia 5 3 3 2 3" xfId="6510" xr:uid="{00000000-0005-0000-0000-0000FA0D0000}"/>
    <cellStyle name="Migliaia 5 3 3 3" xfId="5198" xr:uid="{00000000-0005-0000-0000-0000FB0D0000}"/>
    <cellStyle name="Migliaia 5 3 3 4" xfId="6092" xr:uid="{00000000-0005-0000-0000-0000FC0D0000}"/>
    <cellStyle name="Migliaia 5 3 4" xfId="2527" xr:uid="{00000000-0005-0000-0000-0000FD0D0000}"/>
    <cellStyle name="Migliaia 5 3 4 2" xfId="5587" xr:uid="{00000000-0005-0000-0000-0000FE0D0000}"/>
    <cellStyle name="Migliaia 5 3 4 3" xfId="6509" xr:uid="{00000000-0005-0000-0000-0000FF0D0000}"/>
    <cellStyle name="Migliaia 5 3 5" xfId="5196" xr:uid="{00000000-0005-0000-0000-0000000E0000}"/>
    <cellStyle name="Migliaia 5 3 6" xfId="6090" xr:uid="{00000000-0005-0000-0000-0000010E0000}"/>
    <cellStyle name="Migliaia 5 4" xfId="843" xr:uid="{00000000-0005-0000-0000-0000020E0000}"/>
    <cellStyle name="Migliaia 5 4 2" xfId="844" xr:uid="{00000000-0005-0000-0000-0000030E0000}"/>
    <cellStyle name="Migliaia 5 4 2 2" xfId="2530" xr:uid="{00000000-0005-0000-0000-0000040E0000}"/>
    <cellStyle name="Migliaia 5 4 2 2 2" xfId="5590" xr:uid="{00000000-0005-0000-0000-0000050E0000}"/>
    <cellStyle name="Migliaia 5 4 2 2 3" xfId="6512" xr:uid="{00000000-0005-0000-0000-0000060E0000}"/>
    <cellStyle name="Migliaia 5 4 2 3" xfId="5200" xr:uid="{00000000-0005-0000-0000-0000070E0000}"/>
    <cellStyle name="Migliaia 5 4 2 4" xfId="6094" xr:uid="{00000000-0005-0000-0000-0000080E0000}"/>
    <cellStyle name="Migliaia 5 4 3" xfId="2529" xr:uid="{00000000-0005-0000-0000-0000090E0000}"/>
    <cellStyle name="Migliaia 5 4 3 2" xfId="5589" xr:uid="{00000000-0005-0000-0000-00000A0E0000}"/>
    <cellStyle name="Migliaia 5 4 3 3" xfId="6511" xr:uid="{00000000-0005-0000-0000-00000B0E0000}"/>
    <cellStyle name="Migliaia 5 4 4" xfId="5199" xr:uid="{00000000-0005-0000-0000-00000C0E0000}"/>
    <cellStyle name="Migliaia 5 4 5" xfId="6093" xr:uid="{00000000-0005-0000-0000-00000D0E0000}"/>
    <cellStyle name="Migliaia 5 5" xfId="845" xr:uid="{00000000-0005-0000-0000-00000E0E0000}"/>
    <cellStyle name="Migliaia 5 5 2" xfId="5201" xr:uid="{00000000-0005-0000-0000-00000F0E0000}"/>
    <cellStyle name="Migliaia 5 5 3" xfId="6095" xr:uid="{00000000-0005-0000-0000-0000100E0000}"/>
    <cellStyle name="Migliaia 5 6" xfId="4843" xr:uid="{00000000-0005-0000-0000-0000110E0000}"/>
    <cellStyle name="Migliaia 5 7" xfId="6088" xr:uid="{00000000-0005-0000-0000-0000120E0000}"/>
    <cellStyle name="Migliaia 50" xfId="846" xr:uid="{00000000-0005-0000-0000-0000130E0000}"/>
    <cellStyle name="Migliaia 50 2" xfId="847" xr:uid="{00000000-0005-0000-0000-0000140E0000}"/>
    <cellStyle name="Migliaia 50 2 2" xfId="2531" xr:uid="{00000000-0005-0000-0000-0000150E0000}"/>
    <cellStyle name="Migliaia 50 2 2 2" xfId="5591" xr:uid="{00000000-0005-0000-0000-0000160E0000}"/>
    <cellStyle name="Migliaia 50 2 2 3" xfId="6513" xr:uid="{00000000-0005-0000-0000-0000170E0000}"/>
    <cellStyle name="Migliaia 50 2 3" xfId="4908" xr:uid="{00000000-0005-0000-0000-0000180E0000}"/>
    <cellStyle name="Migliaia 50 2 4" xfId="6097" xr:uid="{00000000-0005-0000-0000-0000190E0000}"/>
    <cellStyle name="Migliaia 50 3" xfId="848" xr:uid="{00000000-0005-0000-0000-00001A0E0000}"/>
    <cellStyle name="Migliaia 50 3 2" xfId="849" xr:uid="{00000000-0005-0000-0000-00001B0E0000}"/>
    <cellStyle name="Migliaia 50 3 2 2" xfId="5203" xr:uid="{00000000-0005-0000-0000-00001C0E0000}"/>
    <cellStyle name="Migliaia 50 3 2 3" xfId="6099" xr:uid="{00000000-0005-0000-0000-00001D0E0000}"/>
    <cellStyle name="Migliaia 50 3 3" xfId="850" xr:uid="{00000000-0005-0000-0000-00001E0E0000}"/>
    <cellStyle name="Migliaia 50 3 3 2" xfId="2533" xr:uid="{00000000-0005-0000-0000-00001F0E0000}"/>
    <cellStyle name="Migliaia 50 3 3 2 2" xfId="5593" xr:uid="{00000000-0005-0000-0000-0000200E0000}"/>
    <cellStyle name="Migliaia 50 3 3 2 3" xfId="6515" xr:uid="{00000000-0005-0000-0000-0000210E0000}"/>
    <cellStyle name="Migliaia 50 3 3 3" xfId="5204" xr:uid="{00000000-0005-0000-0000-0000220E0000}"/>
    <cellStyle name="Migliaia 50 3 3 4" xfId="6100" xr:uid="{00000000-0005-0000-0000-0000230E0000}"/>
    <cellStyle name="Migliaia 50 3 4" xfId="2532" xr:uid="{00000000-0005-0000-0000-0000240E0000}"/>
    <cellStyle name="Migliaia 50 3 4 2" xfId="5592" xr:uid="{00000000-0005-0000-0000-0000250E0000}"/>
    <cellStyle name="Migliaia 50 3 4 3" xfId="6514" xr:uid="{00000000-0005-0000-0000-0000260E0000}"/>
    <cellStyle name="Migliaia 50 3 5" xfId="5202" xr:uid="{00000000-0005-0000-0000-0000270E0000}"/>
    <cellStyle name="Migliaia 50 3 6" xfId="6098" xr:uid="{00000000-0005-0000-0000-0000280E0000}"/>
    <cellStyle name="Migliaia 50 4" xfId="851" xr:uid="{00000000-0005-0000-0000-0000290E0000}"/>
    <cellStyle name="Migliaia 50 4 2" xfId="852" xr:uid="{00000000-0005-0000-0000-00002A0E0000}"/>
    <cellStyle name="Migliaia 50 4 2 2" xfId="2535" xr:uid="{00000000-0005-0000-0000-00002B0E0000}"/>
    <cellStyle name="Migliaia 50 4 2 2 2" xfId="5595" xr:uid="{00000000-0005-0000-0000-00002C0E0000}"/>
    <cellStyle name="Migliaia 50 4 2 2 3" xfId="6517" xr:uid="{00000000-0005-0000-0000-00002D0E0000}"/>
    <cellStyle name="Migliaia 50 4 2 3" xfId="5206" xr:uid="{00000000-0005-0000-0000-00002E0E0000}"/>
    <cellStyle name="Migliaia 50 4 2 4" xfId="6102" xr:uid="{00000000-0005-0000-0000-00002F0E0000}"/>
    <cellStyle name="Migliaia 50 4 3" xfId="2534" xr:uid="{00000000-0005-0000-0000-0000300E0000}"/>
    <cellStyle name="Migliaia 50 4 3 2" xfId="5594" xr:uid="{00000000-0005-0000-0000-0000310E0000}"/>
    <cellStyle name="Migliaia 50 4 3 3" xfId="6516" xr:uid="{00000000-0005-0000-0000-0000320E0000}"/>
    <cellStyle name="Migliaia 50 4 4" xfId="5205" xr:uid="{00000000-0005-0000-0000-0000330E0000}"/>
    <cellStyle name="Migliaia 50 4 5" xfId="6101" xr:uid="{00000000-0005-0000-0000-0000340E0000}"/>
    <cellStyle name="Migliaia 50 5" xfId="853" xr:uid="{00000000-0005-0000-0000-0000350E0000}"/>
    <cellStyle name="Migliaia 50 5 2" xfId="5207" xr:uid="{00000000-0005-0000-0000-0000360E0000}"/>
    <cellStyle name="Migliaia 50 5 3" xfId="6103" xr:uid="{00000000-0005-0000-0000-0000370E0000}"/>
    <cellStyle name="Migliaia 50 6" xfId="4844" xr:uid="{00000000-0005-0000-0000-0000380E0000}"/>
    <cellStyle name="Migliaia 50 7" xfId="6096" xr:uid="{00000000-0005-0000-0000-0000390E0000}"/>
    <cellStyle name="Migliaia 51" xfId="854" xr:uid="{00000000-0005-0000-0000-00003A0E0000}"/>
    <cellStyle name="Migliaia 51 2" xfId="855" xr:uid="{00000000-0005-0000-0000-00003B0E0000}"/>
    <cellStyle name="Migliaia 51 2 2" xfId="2536" xr:uid="{00000000-0005-0000-0000-00003C0E0000}"/>
    <cellStyle name="Migliaia 51 2 2 2" xfId="5596" xr:uid="{00000000-0005-0000-0000-00003D0E0000}"/>
    <cellStyle name="Migliaia 51 2 2 3" xfId="6518" xr:uid="{00000000-0005-0000-0000-00003E0E0000}"/>
    <cellStyle name="Migliaia 51 2 3" xfId="4909" xr:uid="{00000000-0005-0000-0000-00003F0E0000}"/>
    <cellStyle name="Migliaia 51 2 4" xfId="6105" xr:uid="{00000000-0005-0000-0000-0000400E0000}"/>
    <cellStyle name="Migliaia 51 3" xfId="856" xr:uid="{00000000-0005-0000-0000-0000410E0000}"/>
    <cellStyle name="Migliaia 51 3 2" xfId="857" xr:uid="{00000000-0005-0000-0000-0000420E0000}"/>
    <cellStyle name="Migliaia 51 3 2 2" xfId="5209" xr:uid="{00000000-0005-0000-0000-0000430E0000}"/>
    <cellStyle name="Migliaia 51 3 2 3" xfId="6107" xr:uid="{00000000-0005-0000-0000-0000440E0000}"/>
    <cellStyle name="Migliaia 51 3 3" xfId="858" xr:uid="{00000000-0005-0000-0000-0000450E0000}"/>
    <cellStyle name="Migliaia 51 3 3 2" xfId="2538" xr:uid="{00000000-0005-0000-0000-0000460E0000}"/>
    <cellStyle name="Migliaia 51 3 3 2 2" xfId="5598" xr:uid="{00000000-0005-0000-0000-0000470E0000}"/>
    <cellStyle name="Migliaia 51 3 3 2 3" xfId="6520" xr:uid="{00000000-0005-0000-0000-0000480E0000}"/>
    <cellStyle name="Migliaia 51 3 3 3" xfId="5210" xr:uid="{00000000-0005-0000-0000-0000490E0000}"/>
    <cellStyle name="Migliaia 51 3 3 4" xfId="6108" xr:uid="{00000000-0005-0000-0000-00004A0E0000}"/>
    <cellStyle name="Migliaia 51 3 4" xfId="2537" xr:uid="{00000000-0005-0000-0000-00004B0E0000}"/>
    <cellStyle name="Migliaia 51 3 4 2" xfId="5597" xr:uid="{00000000-0005-0000-0000-00004C0E0000}"/>
    <cellStyle name="Migliaia 51 3 4 3" xfId="6519" xr:uid="{00000000-0005-0000-0000-00004D0E0000}"/>
    <cellStyle name="Migliaia 51 3 5" xfId="5208" xr:uid="{00000000-0005-0000-0000-00004E0E0000}"/>
    <cellStyle name="Migliaia 51 3 6" xfId="6106" xr:uid="{00000000-0005-0000-0000-00004F0E0000}"/>
    <cellStyle name="Migliaia 51 4" xfId="859" xr:uid="{00000000-0005-0000-0000-0000500E0000}"/>
    <cellStyle name="Migliaia 51 4 2" xfId="860" xr:uid="{00000000-0005-0000-0000-0000510E0000}"/>
    <cellStyle name="Migliaia 51 4 2 2" xfId="2540" xr:uid="{00000000-0005-0000-0000-0000520E0000}"/>
    <cellStyle name="Migliaia 51 4 2 2 2" xfId="5600" xr:uid="{00000000-0005-0000-0000-0000530E0000}"/>
    <cellStyle name="Migliaia 51 4 2 2 3" xfId="6522" xr:uid="{00000000-0005-0000-0000-0000540E0000}"/>
    <cellStyle name="Migliaia 51 4 2 3" xfId="5212" xr:uid="{00000000-0005-0000-0000-0000550E0000}"/>
    <cellStyle name="Migliaia 51 4 2 4" xfId="6110" xr:uid="{00000000-0005-0000-0000-0000560E0000}"/>
    <cellStyle name="Migliaia 51 4 3" xfId="2539" xr:uid="{00000000-0005-0000-0000-0000570E0000}"/>
    <cellStyle name="Migliaia 51 4 3 2" xfId="5599" xr:uid="{00000000-0005-0000-0000-0000580E0000}"/>
    <cellStyle name="Migliaia 51 4 3 3" xfId="6521" xr:uid="{00000000-0005-0000-0000-0000590E0000}"/>
    <cellStyle name="Migliaia 51 4 4" xfId="5211" xr:uid="{00000000-0005-0000-0000-00005A0E0000}"/>
    <cellStyle name="Migliaia 51 4 5" xfId="6109" xr:uid="{00000000-0005-0000-0000-00005B0E0000}"/>
    <cellStyle name="Migliaia 51 5" xfId="861" xr:uid="{00000000-0005-0000-0000-00005C0E0000}"/>
    <cellStyle name="Migliaia 51 5 2" xfId="5213" xr:uid="{00000000-0005-0000-0000-00005D0E0000}"/>
    <cellStyle name="Migliaia 51 5 3" xfId="6111" xr:uid="{00000000-0005-0000-0000-00005E0E0000}"/>
    <cellStyle name="Migliaia 51 6" xfId="4845" xr:uid="{00000000-0005-0000-0000-00005F0E0000}"/>
    <cellStyle name="Migliaia 51 7" xfId="6104" xr:uid="{00000000-0005-0000-0000-0000600E0000}"/>
    <cellStyle name="Migliaia 52" xfId="862" xr:uid="{00000000-0005-0000-0000-0000610E0000}"/>
    <cellStyle name="Migliaia 52 2" xfId="863" xr:uid="{00000000-0005-0000-0000-0000620E0000}"/>
    <cellStyle name="Migliaia 52 2 2" xfId="2541" xr:uid="{00000000-0005-0000-0000-0000630E0000}"/>
    <cellStyle name="Migliaia 52 2 2 2" xfId="5601" xr:uid="{00000000-0005-0000-0000-0000640E0000}"/>
    <cellStyle name="Migliaia 52 2 2 3" xfId="6523" xr:uid="{00000000-0005-0000-0000-0000650E0000}"/>
    <cellStyle name="Migliaia 52 2 3" xfId="4910" xr:uid="{00000000-0005-0000-0000-0000660E0000}"/>
    <cellStyle name="Migliaia 52 2 4" xfId="6113" xr:uid="{00000000-0005-0000-0000-0000670E0000}"/>
    <cellStyle name="Migliaia 52 3" xfId="864" xr:uid="{00000000-0005-0000-0000-0000680E0000}"/>
    <cellStyle name="Migliaia 52 3 2" xfId="865" xr:uid="{00000000-0005-0000-0000-0000690E0000}"/>
    <cellStyle name="Migliaia 52 3 2 2" xfId="5215" xr:uid="{00000000-0005-0000-0000-00006A0E0000}"/>
    <cellStyle name="Migliaia 52 3 2 3" xfId="6115" xr:uid="{00000000-0005-0000-0000-00006B0E0000}"/>
    <cellStyle name="Migliaia 52 3 3" xfId="866" xr:uid="{00000000-0005-0000-0000-00006C0E0000}"/>
    <cellStyle name="Migliaia 52 3 3 2" xfId="2543" xr:uid="{00000000-0005-0000-0000-00006D0E0000}"/>
    <cellStyle name="Migliaia 52 3 3 2 2" xfId="5603" xr:uid="{00000000-0005-0000-0000-00006E0E0000}"/>
    <cellStyle name="Migliaia 52 3 3 2 3" xfId="6525" xr:uid="{00000000-0005-0000-0000-00006F0E0000}"/>
    <cellStyle name="Migliaia 52 3 3 3" xfId="5216" xr:uid="{00000000-0005-0000-0000-0000700E0000}"/>
    <cellStyle name="Migliaia 52 3 3 4" xfId="6116" xr:uid="{00000000-0005-0000-0000-0000710E0000}"/>
    <cellStyle name="Migliaia 52 3 4" xfId="2542" xr:uid="{00000000-0005-0000-0000-0000720E0000}"/>
    <cellStyle name="Migliaia 52 3 4 2" xfId="5602" xr:uid="{00000000-0005-0000-0000-0000730E0000}"/>
    <cellStyle name="Migliaia 52 3 4 3" xfId="6524" xr:uid="{00000000-0005-0000-0000-0000740E0000}"/>
    <cellStyle name="Migliaia 52 3 5" xfId="5214" xr:uid="{00000000-0005-0000-0000-0000750E0000}"/>
    <cellStyle name="Migliaia 52 3 6" xfId="6114" xr:uid="{00000000-0005-0000-0000-0000760E0000}"/>
    <cellStyle name="Migliaia 52 4" xfId="867" xr:uid="{00000000-0005-0000-0000-0000770E0000}"/>
    <cellStyle name="Migliaia 52 4 2" xfId="868" xr:uid="{00000000-0005-0000-0000-0000780E0000}"/>
    <cellStyle name="Migliaia 52 4 2 2" xfId="2545" xr:uid="{00000000-0005-0000-0000-0000790E0000}"/>
    <cellStyle name="Migliaia 52 4 2 2 2" xfId="5605" xr:uid="{00000000-0005-0000-0000-00007A0E0000}"/>
    <cellStyle name="Migliaia 52 4 2 2 3" xfId="6527" xr:uid="{00000000-0005-0000-0000-00007B0E0000}"/>
    <cellStyle name="Migliaia 52 4 2 3" xfId="5218" xr:uid="{00000000-0005-0000-0000-00007C0E0000}"/>
    <cellStyle name="Migliaia 52 4 2 4" xfId="6118" xr:uid="{00000000-0005-0000-0000-00007D0E0000}"/>
    <cellStyle name="Migliaia 52 4 3" xfId="2544" xr:uid="{00000000-0005-0000-0000-00007E0E0000}"/>
    <cellStyle name="Migliaia 52 4 3 2" xfId="5604" xr:uid="{00000000-0005-0000-0000-00007F0E0000}"/>
    <cellStyle name="Migliaia 52 4 3 3" xfId="6526" xr:uid="{00000000-0005-0000-0000-0000800E0000}"/>
    <cellStyle name="Migliaia 52 4 4" xfId="5217" xr:uid="{00000000-0005-0000-0000-0000810E0000}"/>
    <cellStyle name="Migliaia 52 4 5" xfId="6117" xr:uid="{00000000-0005-0000-0000-0000820E0000}"/>
    <cellStyle name="Migliaia 52 5" xfId="869" xr:uid="{00000000-0005-0000-0000-0000830E0000}"/>
    <cellStyle name="Migliaia 52 5 2" xfId="5219" xr:uid="{00000000-0005-0000-0000-0000840E0000}"/>
    <cellStyle name="Migliaia 52 5 3" xfId="6119" xr:uid="{00000000-0005-0000-0000-0000850E0000}"/>
    <cellStyle name="Migliaia 52 6" xfId="4846" xr:uid="{00000000-0005-0000-0000-0000860E0000}"/>
    <cellStyle name="Migliaia 52 7" xfId="6112" xr:uid="{00000000-0005-0000-0000-0000870E0000}"/>
    <cellStyle name="Migliaia 53" xfId="870" xr:uid="{00000000-0005-0000-0000-0000880E0000}"/>
    <cellStyle name="Migliaia 53 2" xfId="871" xr:uid="{00000000-0005-0000-0000-0000890E0000}"/>
    <cellStyle name="Migliaia 53 2 2" xfId="2546" xr:uid="{00000000-0005-0000-0000-00008A0E0000}"/>
    <cellStyle name="Migliaia 53 2 2 2" xfId="5606" xr:uid="{00000000-0005-0000-0000-00008B0E0000}"/>
    <cellStyle name="Migliaia 53 2 2 3" xfId="6528" xr:uid="{00000000-0005-0000-0000-00008C0E0000}"/>
    <cellStyle name="Migliaia 53 2 3" xfId="4911" xr:uid="{00000000-0005-0000-0000-00008D0E0000}"/>
    <cellStyle name="Migliaia 53 2 4" xfId="6121" xr:uid="{00000000-0005-0000-0000-00008E0E0000}"/>
    <cellStyle name="Migliaia 53 3" xfId="872" xr:uid="{00000000-0005-0000-0000-00008F0E0000}"/>
    <cellStyle name="Migliaia 53 3 2" xfId="873" xr:uid="{00000000-0005-0000-0000-0000900E0000}"/>
    <cellStyle name="Migliaia 53 3 2 2" xfId="5221" xr:uid="{00000000-0005-0000-0000-0000910E0000}"/>
    <cellStyle name="Migliaia 53 3 2 3" xfId="6123" xr:uid="{00000000-0005-0000-0000-0000920E0000}"/>
    <cellStyle name="Migliaia 53 3 3" xfId="874" xr:uid="{00000000-0005-0000-0000-0000930E0000}"/>
    <cellStyle name="Migliaia 53 3 3 2" xfId="2548" xr:uid="{00000000-0005-0000-0000-0000940E0000}"/>
    <cellStyle name="Migliaia 53 3 3 2 2" xfId="5608" xr:uid="{00000000-0005-0000-0000-0000950E0000}"/>
    <cellStyle name="Migliaia 53 3 3 2 3" xfId="6530" xr:uid="{00000000-0005-0000-0000-0000960E0000}"/>
    <cellStyle name="Migliaia 53 3 3 3" xfId="5222" xr:uid="{00000000-0005-0000-0000-0000970E0000}"/>
    <cellStyle name="Migliaia 53 3 3 4" xfId="6124" xr:uid="{00000000-0005-0000-0000-0000980E0000}"/>
    <cellStyle name="Migliaia 53 3 4" xfId="2547" xr:uid="{00000000-0005-0000-0000-0000990E0000}"/>
    <cellStyle name="Migliaia 53 3 4 2" xfId="5607" xr:uid="{00000000-0005-0000-0000-00009A0E0000}"/>
    <cellStyle name="Migliaia 53 3 4 3" xfId="6529" xr:uid="{00000000-0005-0000-0000-00009B0E0000}"/>
    <cellStyle name="Migliaia 53 3 5" xfId="5220" xr:uid="{00000000-0005-0000-0000-00009C0E0000}"/>
    <cellStyle name="Migliaia 53 3 6" xfId="6122" xr:uid="{00000000-0005-0000-0000-00009D0E0000}"/>
    <cellStyle name="Migliaia 53 4" xfId="875" xr:uid="{00000000-0005-0000-0000-00009E0E0000}"/>
    <cellStyle name="Migliaia 53 4 2" xfId="876" xr:uid="{00000000-0005-0000-0000-00009F0E0000}"/>
    <cellStyle name="Migliaia 53 4 2 2" xfId="2550" xr:uid="{00000000-0005-0000-0000-0000A00E0000}"/>
    <cellStyle name="Migliaia 53 4 2 2 2" xfId="5610" xr:uid="{00000000-0005-0000-0000-0000A10E0000}"/>
    <cellStyle name="Migliaia 53 4 2 2 3" xfId="6532" xr:uid="{00000000-0005-0000-0000-0000A20E0000}"/>
    <cellStyle name="Migliaia 53 4 2 3" xfId="5224" xr:uid="{00000000-0005-0000-0000-0000A30E0000}"/>
    <cellStyle name="Migliaia 53 4 2 4" xfId="6126" xr:uid="{00000000-0005-0000-0000-0000A40E0000}"/>
    <cellStyle name="Migliaia 53 4 3" xfId="2549" xr:uid="{00000000-0005-0000-0000-0000A50E0000}"/>
    <cellStyle name="Migliaia 53 4 3 2" xfId="5609" xr:uid="{00000000-0005-0000-0000-0000A60E0000}"/>
    <cellStyle name="Migliaia 53 4 3 3" xfId="6531" xr:uid="{00000000-0005-0000-0000-0000A70E0000}"/>
    <cellStyle name="Migliaia 53 4 4" xfId="5223" xr:uid="{00000000-0005-0000-0000-0000A80E0000}"/>
    <cellStyle name="Migliaia 53 4 5" xfId="6125" xr:uid="{00000000-0005-0000-0000-0000A90E0000}"/>
    <cellStyle name="Migliaia 53 5" xfId="877" xr:uid="{00000000-0005-0000-0000-0000AA0E0000}"/>
    <cellStyle name="Migliaia 53 5 2" xfId="5225" xr:uid="{00000000-0005-0000-0000-0000AB0E0000}"/>
    <cellStyle name="Migliaia 53 5 3" xfId="6127" xr:uid="{00000000-0005-0000-0000-0000AC0E0000}"/>
    <cellStyle name="Migliaia 53 6" xfId="4847" xr:uid="{00000000-0005-0000-0000-0000AD0E0000}"/>
    <cellStyle name="Migliaia 53 7" xfId="6120" xr:uid="{00000000-0005-0000-0000-0000AE0E0000}"/>
    <cellStyle name="Migliaia 54" xfId="878" xr:uid="{00000000-0005-0000-0000-0000AF0E0000}"/>
    <cellStyle name="Migliaia 54 2" xfId="879" xr:uid="{00000000-0005-0000-0000-0000B00E0000}"/>
    <cellStyle name="Migliaia 54 2 2" xfId="2551" xr:uid="{00000000-0005-0000-0000-0000B10E0000}"/>
    <cellStyle name="Migliaia 54 2 2 2" xfId="5611" xr:uid="{00000000-0005-0000-0000-0000B20E0000}"/>
    <cellStyle name="Migliaia 54 2 2 3" xfId="6533" xr:uid="{00000000-0005-0000-0000-0000B30E0000}"/>
    <cellStyle name="Migliaia 54 2 3" xfId="4912" xr:uid="{00000000-0005-0000-0000-0000B40E0000}"/>
    <cellStyle name="Migliaia 54 2 4" xfId="6129" xr:uid="{00000000-0005-0000-0000-0000B50E0000}"/>
    <cellStyle name="Migliaia 54 3" xfId="880" xr:uid="{00000000-0005-0000-0000-0000B60E0000}"/>
    <cellStyle name="Migliaia 54 3 2" xfId="881" xr:uid="{00000000-0005-0000-0000-0000B70E0000}"/>
    <cellStyle name="Migliaia 54 3 2 2" xfId="5227" xr:uid="{00000000-0005-0000-0000-0000B80E0000}"/>
    <cellStyle name="Migliaia 54 3 2 3" xfId="6131" xr:uid="{00000000-0005-0000-0000-0000B90E0000}"/>
    <cellStyle name="Migliaia 54 3 3" xfId="882" xr:uid="{00000000-0005-0000-0000-0000BA0E0000}"/>
    <cellStyle name="Migliaia 54 3 3 2" xfId="2553" xr:uid="{00000000-0005-0000-0000-0000BB0E0000}"/>
    <cellStyle name="Migliaia 54 3 3 2 2" xfId="5613" xr:uid="{00000000-0005-0000-0000-0000BC0E0000}"/>
    <cellStyle name="Migliaia 54 3 3 2 3" xfId="6535" xr:uid="{00000000-0005-0000-0000-0000BD0E0000}"/>
    <cellStyle name="Migliaia 54 3 3 3" xfId="5228" xr:uid="{00000000-0005-0000-0000-0000BE0E0000}"/>
    <cellStyle name="Migliaia 54 3 3 4" xfId="6132" xr:uid="{00000000-0005-0000-0000-0000BF0E0000}"/>
    <cellStyle name="Migliaia 54 3 4" xfId="2552" xr:uid="{00000000-0005-0000-0000-0000C00E0000}"/>
    <cellStyle name="Migliaia 54 3 4 2" xfId="5612" xr:uid="{00000000-0005-0000-0000-0000C10E0000}"/>
    <cellStyle name="Migliaia 54 3 4 3" xfId="6534" xr:uid="{00000000-0005-0000-0000-0000C20E0000}"/>
    <cellStyle name="Migliaia 54 3 5" xfId="5226" xr:uid="{00000000-0005-0000-0000-0000C30E0000}"/>
    <cellStyle name="Migliaia 54 3 6" xfId="6130" xr:uid="{00000000-0005-0000-0000-0000C40E0000}"/>
    <cellStyle name="Migliaia 54 4" xfId="883" xr:uid="{00000000-0005-0000-0000-0000C50E0000}"/>
    <cellStyle name="Migliaia 54 4 2" xfId="884" xr:uid="{00000000-0005-0000-0000-0000C60E0000}"/>
    <cellStyle name="Migliaia 54 4 2 2" xfId="2555" xr:uid="{00000000-0005-0000-0000-0000C70E0000}"/>
    <cellStyle name="Migliaia 54 4 2 2 2" xfId="5615" xr:uid="{00000000-0005-0000-0000-0000C80E0000}"/>
    <cellStyle name="Migliaia 54 4 2 2 3" xfId="6537" xr:uid="{00000000-0005-0000-0000-0000C90E0000}"/>
    <cellStyle name="Migliaia 54 4 2 3" xfId="5230" xr:uid="{00000000-0005-0000-0000-0000CA0E0000}"/>
    <cellStyle name="Migliaia 54 4 2 4" xfId="6134" xr:uid="{00000000-0005-0000-0000-0000CB0E0000}"/>
    <cellStyle name="Migliaia 54 4 3" xfId="2554" xr:uid="{00000000-0005-0000-0000-0000CC0E0000}"/>
    <cellStyle name="Migliaia 54 4 3 2" xfId="5614" xr:uid="{00000000-0005-0000-0000-0000CD0E0000}"/>
    <cellStyle name="Migliaia 54 4 3 3" xfId="6536" xr:uid="{00000000-0005-0000-0000-0000CE0E0000}"/>
    <cellStyle name="Migliaia 54 4 4" xfId="5229" xr:uid="{00000000-0005-0000-0000-0000CF0E0000}"/>
    <cellStyle name="Migliaia 54 4 5" xfId="6133" xr:uid="{00000000-0005-0000-0000-0000D00E0000}"/>
    <cellStyle name="Migliaia 54 5" xfId="885" xr:uid="{00000000-0005-0000-0000-0000D10E0000}"/>
    <cellStyle name="Migliaia 54 5 2" xfId="5231" xr:uid="{00000000-0005-0000-0000-0000D20E0000}"/>
    <cellStyle name="Migliaia 54 5 3" xfId="6135" xr:uid="{00000000-0005-0000-0000-0000D30E0000}"/>
    <cellStyle name="Migliaia 54 6" xfId="4848" xr:uid="{00000000-0005-0000-0000-0000D40E0000}"/>
    <cellStyle name="Migliaia 54 7" xfId="6128" xr:uid="{00000000-0005-0000-0000-0000D50E0000}"/>
    <cellStyle name="Migliaia 55" xfId="886" xr:uid="{00000000-0005-0000-0000-0000D60E0000}"/>
    <cellStyle name="Migliaia 55 2" xfId="887" xr:uid="{00000000-0005-0000-0000-0000D70E0000}"/>
    <cellStyle name="Migliaia 55 2 2" xfId="2556" xr:uid="{00000000-0005-0000-0000-0000D80E0000}"/>
    <cellStyle name="Migliaia 55 2 2 2" xfId="5616" xr:uid="{00000000-0005-0000-0000-0000D90E0000}"/>
    <cellStyle name="Migliaia 55 2 2 3" xfId="6538" xr:uid="{00000000-0005-0000-0000-0000DA0E0000}"/>
    <cellStyle name="Migliaia 55 2 3" xfId="4913" xr:uid="{00000000-0005-0000-0000-0000DB0E0000}"/>
    <cellStyle name="Migliaia 55 2 4" xfId="6137" xr:uid="{00000000-0005-0000-0000-0000DC0E0000}"/>
    <cellStyle name="Migliaia 55 3" xfId="888" xr:uid="{00000000-0005-0000-0000-0000DD0E0000}"/>
    <cellStyle name="Migliaia 55 3 2" xfId="889" xr:uid="{00000000-0005-0000-0000-0000DE0E0000}"/>
    <cellStyle name="Migliaia 55 3 2 2" xfId="5233" xr:uid="{00000000-0005-0000-0000-0000DF0E0000}"/>
    <cellStyle name="Migliaia 55 3 2 3" xfId="6139" xr:uid="{00000000-0005-0000-0000-0000E00E0000}"/>
    <cellStyle name="Migliaia 55 3 3" xfId="890" xr:uid="{00000000-0005-0000-0000-0000E10E0000}"/>
    <cellStyle name="Migliaia 55 3 3 2" xfId="2558" xr:uid="{00000000-0005-0000-0000-0000E20E0000}"/>
    <cellStyle name="Migliaia 55 3 3 2 2" xfId="5618" xr:uid="{00000000-0005-0000-0000-0000E30E0000}"/>
    <cellStyle name="Migliaia 55 3 3 2 3" xfId="6540" xr:uid="{00000000-0005-0000-0000-0000E40E0000}"/>
    <cellStyle name="Migliaia 55 3 3 3" xfId="5234" xr:uid="{00000000-0005-0000-0000-0000E50E0000}"/>
    <cellStyle name="Migliaia 55 3 3 4" xfId="6140" xr:uid="{00000000-0005-0000-0000-0000E60E0000}"/>
    <cellStyle name="Migliaia 55 3 4" xfId="2557" xr:uid="{00000000-0005-0000-0000-0000E70E0000}"/>
    <cellStyle name="Migliaia 55 3 4 2" xfId="5617" xr:uid="{00000000-0005-0000-0000-0000E80E0000}"/>
    <cellStyle name="Migliaia 55 3 4 3" xfId="6539" xr:uid="{00000000-0005-0000-0000-0000E90E0000}"/>
    <cellStyle name="Migliaia 55 3 5" xfId="5232" xr:uid="{00000000-0005-0000-0000-0000EA0E0000}"/>
    <cellStyle name="Migliaia 55 3 6" xfId="6138" xr:uid="{00000000-0005-0000-0000-0000EB0E0000}"/>
    <cellStyle name="Migliaia 55 4" xfId="891" xr:uid="{00000000-0005-0000-0000-0000EC0E0000}"/>
    <cellStyle name="Migliaia 55 4 2" xfId="892" xr:uid="{00000000-0005-0000-0000-0000ED0E0000}"/>
    <cellStyle name="Migliaia 55 4 2 2" xfId="2560" xr:uid="{00000000-0005-0000-0000-0000EE0E0000}"/>
    <cellStyle name="Migliaia 55 4 2 2 2" xfId="5620" xr:uid="{00000000-0005-0000-0000-0000EF0E0000}"/>
    <cellStyle name="Migliaia 55 4 2 2 3" xfId="6542" xr:uid="{00000000-0005-0000-0000-0000F00E0000}"/>
    <cellStyle name="Migliaia 55 4 2 3" xfId="5236" xr:uid="{00000000-0005-0000-0000-0000F10E0000}"/>
    <cellStyle name="Migliaia 55 4 2 4" xfId="6142" xr:uid="{00000000-0005-0000-0000-0000F20E0000}"/>
    <cellStyle name="Migliaia 55 4 3" xfId="2559" xr:uid="{00000000-0005-0000-0000-0000F30E0000}"/>
    <cellStyle name="Migliaia 55 4 3 2" xfId="5619" xr:uid="{00000000-0005-0000-0000-0000F40E0000}"/>
    <cellStyle name="Migliaia 55 4 3 3" xfId="6541" xr:uid="{00000000-0005-0000-0000-0000F50E0000}"/>
    <cellStyle name="Migliaia 55 4 4" xfId="5235" xr:uid="{00000000-0005-0000-0000-0000F60E0000}"/>
    <cellStyle name="Migliaia 55 4 5" xfId="6141" xr:uid="{00000000-0005-0000-0000-0000F70E0000}"/>
    <cellStyle name="Migliaia 55 5" xfId="893" xr:uid="{00000000-0005-0000-0000-0000F80E0000}"/>
    <cellStyle name="Migliaia 55 5 2" xfId="5237" xr:uid="{00000000-0005-0000-0000-0000F90E0000}"/>
    <cellStyle name="Migliaia 55 5 3" xfId="6143" xr:uid="{00000000-0005-0000-0000-0000FA0E0000}"/>
    <cellStyle name="Migliaia 55 6" xfId="4849" xr:uid="{00000000-0005-0000-0000-0000FB0E0000}"/>
    <cellStyle name="Migliaia 55 7" xfId="6136" xr:uid="{00000000-0005-0000-0000-0000FC0E0000}"/>
    <cellStyle name="Migliaia 56" xfId="894" xr:uid="{00000000-0005-0000-0000-0000FD0E0000}"/>
    <cellStyle name="Migliaia 56 2" xfId="895" xr:uid="{00000000-0005-0000-0000-0000FE0E0000}"/>
    <cellStyle name="Migliaia 56 2 2" xfId="2561" xr:uid="{00000000-0005-0000-0000-0000FF0E0000}"/>
    <cellStyle name="Migliaia 56 2 2 2" xfId="5621" xr:uid="{00000000-0005-0000-0000-0000000F0000}"/>
    <cellStyle name="Migliaia 56 2 2 3" xfId="6543" xr:uid="{00000000-0005-0000-0000-0000010F0000}"/>
    <cellStyle name="Migliaia 56 2 3" xfId="4914" xr:uid="{00000000-0005-0000-0000-0000020F0000}"/>
    <cellStyle name="Migliaia 56 2 4" xfId="6145" xr:uid="{00000000-0005-0000-0000-0000030F0000}"/>
    <cellStyle name="Migliaia 56 3" xfId="896" xr:uid="{00000000-0005-0000-0000-0000040F0000}"/>
    <cellStyle name="Migliaia 56 3 2" xfId="897" xr:uid="{00000000-0005-0000-0000-0000050F0000}"/>
    <cellStyle name="Migliaia 56 3 2 2" xfId="5239" xr:uid="{00000000-0005-0000-0000-0000060F0000}"/>
    <cellStyle name="Migliaia 56 3 2 3" xfId="6147" xr:uid="{00000000-0005-0000-0000-0000070F0000}"/>
    <cellStyle name="Migliaia 56 3 3" xfId="898" xr:uid="{00000000-0005-0000-0000-0000080F0000}"/>
    <cellStyle name="Migliaia 56 3 3 2" xfId="2563" xr:uid="{00000000-0005-0000-0000-0000090F0000}"/>
    <cellStyle name="Migliaia 56 3 3 2 2" xfId="5623" xr:uid="{00000000-0005-0000-0000-00000A0F0000}"/>
    <cellStyle name="Migliaia 56 3 3 2 3" xfId="6545" xr:uid="{00000000-0005-0000-0000-00000B0F0000}"/>
    <cellStyle name="Migliaia 56 3 3 3" xfId="5240" xr:uid="{00000000-0005-0000-0000-00000C0F0000}"/>
    <cellStyle name="Migliaia 56 3 3 4" xfId="6148" xr:uid="{00000000-0005-0000-0000-00000D0F0000}"/>
    <cellStyle name="Migliaia 56 3 4" xfId="2562" xr:uid="{00000000-0005-0000-0000-00000E0F0000}"/>
    <cellStyle name="Migliaia 56 3 4 2" xfId="5622" xr:uid="{00000000-0005-0000-0000-00000F0F0000}"/>
    <cellStyle name="Migliaia 56 3 4 3" xfId="6544" xr:uid="{00000000-0005-0000-0000-0000100F0000}"/>
    <cellStyle name="Migliaia 56 3 5" xfId="5238" xr:uid="{00000000-0005-0000-0000-0000110F0000}"/>
    <cellStyle name="Migliaia 56 3 6" xfId="6146" xr:uid="{00000000-0005-0000-0000-0000120F0000}"/>
    <cellStyle name="Migliaia 56 4" xfId="899" xr:uid="{00000000-0005-0000-0000-0000130F0000}"/>
    <cellStyle name="Migliaia 56 4 2" xfId="900" xr:uid="{00000000-0005-0000-0000-0000140F0000}"/>
    <cellStyle name="Migliaia 56 4 2 2" xfId="2565" xr:uid="{00000000-0005-0000-0000-0000150F0000}"/>
    <cellStyle name="Migliaia 56 4 2 2 2" xfId="5625" xr:uid="{00000000-0005-0000-0000-0000160F0000}"/>
    <cellStyle name="Migliaia 56 4 2 2 3" xfId="6547" xr:uid="{00000000-0005-0000-0000-0000170F0000}"/>
    <cellStyle name="Migliaia 56 4 2 3" xfId="5242" xr:uid="{00000000-0005-0000-0000-0000180F0000}"/>
    <cellStyle name="Migliaia 56 4 2 4" xfId="6150" xr:uid="{00000000-0005-0000-0000-0000190F0000}"/>
    <cellStyle name="Migliaia 56 4 3" xfId="2564" xr:uid="{00000000-0005-0000-0000-00001A0F0000}"/>
    <cellStyle name="Migliaia 56 4 3 2" xfId="5624" xr:uid="{00000000-0005-0000-0000-00001B0F0000}"/>
    <cellStyle name="Migliaia 56 4 3 3" xfId="6546" xr:uid="{00000000-0005-0000-0000-00001C0F0000}"/>
    <cellStyle name="Migliaia 56 4 4" xfId="5241" xr:uid="{00000000-0005-0000-0000-00001D0F0000}"/>
    <cellStyle name="Migliaia 56 4 5" xfId="6149" xr:uid="{00000000-0005-0000-0000-00001E0F0000}"/>
    <cellStyle name="Migliaia 56 5" xfId="901" xr:uid="{00000000-0005-0000-0000-00001F0F0000}"/>
    <cellStyle name="Migliaia 56 5 2" xfId="5243" xr:uid="{00000000-0005-0000-0000-0000200F0000}"/>
    <cellStyle name="Migliaia 56 5 3" xfId="6151" xr:uid="{00000000-0005-0000-0000-0000210F0000}"/>
    <cellStyle name="Migliaia 56 6" xfId="4850" xr:uid="{00000000-0005-0000-0000-0000220F0000}"/>
    <cellStyle name="Migliaia 56 7" xfId="6144" xr:uid="{00000000-0005-0000-0000-0000230F0000}"/>
    <cellStyle name="Migliaia 57" xfId="902" xr:uid="{00000000-0005-0000-0000-0000240F0000}"/>
    <cellStyle name="Migliaia 57 2" xfId="903" xr:uid="{00000000-0005-0000-0000-0000250F0000}"/>
    <cellStyle name="Migliaia 57 2 2" xfId="2566" xr:uid="{00000000-0005-0000-0000-0000260F0000}"/>
    <cellStyle name="Migliaia 57 2 2 2" xfId="5626" xr:uid="{00000000-0005-0000-0000-0000270F0000}"/>
    <cellStyle name="Migliaia 57 2 2 3" xfId="6548" xr:uid="{00000000-0005-0000-0000-0000280F0000}"/>
    <cellStyle name="Migliaia 57 2 3" xfId="4915" xr:uid="{00000000-0005-0000-0000-0000290F0000}"/>
    <cellStyle name="Migliaia 57 2 4" xfId="6153" xr:uid="{00000000-0005-0000-0000-00002A0F0000}"/>
    <cellStyle name="Migliaia 57 3" xfId="904" xr:uid="{00000000-0005-0000-0000-00002B0F0000}"/>
    <cellStyle name="Migliaia 57 3 2" xfId="905" xr:uid="{00000000-0005-0000-0000-00002C0F0000}"/>
    <cellStyle name="Migliaia 57 3 2 2" xfId="5245" xr:uid="{00000000-0005-0000-0000-00002D0F0000}"/>
    <cellStyle name="Migliaia 57 3 2 3" xfId="6155" xr:uid="{00000000-0005-0000-0000-00002E0F0000}"/>
    <cellStyle name="Migliaia 57 3 3" xfId="906" xr:uid="{00000000-0005-0000-0000-00002F0F0000}"/>
    <cellStyle name="Migliaia 57 3 3 2" xfId="2568" xr:uid="{00000000-0005-0000-0000-0000300F0000}"/>
    <cellStyle name="Migliaia 57 3 3 2 2" xfId="5628" xr:uid="{00000000-0005-0000-0000-0000310F0000}"/>
    <cellStyle name="Migliaia 57 3 3 2 3" xfId="6550" xr:uid="{00000000-0005-0000-0000-0000320F0000}"/>
    <cellStyle name="Migliaia 57 3 3 3" xfId="5246" xr:uid="{00000000-0005-0000-0000-0000330F0000}"/>
    <cellStyle name="Migliaia 57 3 3 4" xfId="6156" xr:uid="{00000000-0005-0000-0000-0000340F0000}"/>
    <cellStyle name="Migliaia 57 3 4" xfId="2567" xr:uid="{00000000-0005-0000-0000-0000350F0000}"/>
    <cellStyle name="Migliaia 57 3 4 2" xfId="5627" xr:uid="{00000000-0005-0000-0000-0000360F0000}"/>
    <cellStyle name="Migliaia 57 3 4 3" xfId="6549" xr:uid="{00000000-0005-0000-0000-0000370F0000}"/>
    <cellStyle name="Migliaia 57 3 5" xfId="5244" xr:uid="{00000000-0005-0000-0000-0000380F0000}"/>
    <cellStyle name="Migliaia 57 3 6" xfId="6154" xr:uid="{00000000-0005-0000-0000-0000390F0000}"/>
    <cellStyle name="Migliaia 57 4" xfId="907" xr:uid="{00000000-0005-0000-0000-00003A0F0000}"/>
    <cellStyle name="Migliaia 57 4 2" xfId="908" xr:uid="{00000000-0005-0000-0000-00003B0F0000}"/>
    <cellStyle name="Migliaia 57 4 2 2" xfId="2570" xr:uid="{00000000-0005-0000-0000-00003C0F0000}"/>
    <cellStyle name="Migliaia 57 4 2 2 2" xfId="5630" xr:uid="{00000000-0005-0000-0000-00003D0F0000}"/>
    <cellStyle name="Migliaia 57 4 2 2 3" xfId="6552" xr:uid="{00000000-0005-0000-0000-00003E0F0000}"/>
    <cellStyle name="Migliaia 57 4 2 3" xfId="5248" xr:uid="{00000000-0005-0000-0000-00003F0F0000}"/>
    <cellStyle name="Migliaia 57 4 2 4" xfId="6158" xr:uid="{00000000-0005-0000-0000-0000400F0000}"/>
    <cellStyle name="Migliaia 57 4 3" xfId="2569" xr:uid="{00000000-0005-0000-0000-0000410F0000}"/>
    <cellStyle name="Migliaia 57 4 3 2" xfId="5629" xr:uid="{00000000-0005-0000-0000-0000420F0000}"/>
    <cellStyle name="Migliaia 57 4 3 3" xfId="6551" xr:uid="{00000000-0005-0000-0000-0000430F0000}"/>
    <cellStyle name="Migliaia 57 4 4" xfId="5247" xr:uid="{00000000-0005-0000-0000-0000440F0000}"/>
    <cellStyle name="Migliaia 57 4 5" xfId="6157" xr:uid="{00000000-0005-0000-0000-0000450F0000}"/>
    <cellStyle name="Migliaia 57 5" xfId="909" xr:uid="{00000000-0005-0000-0000-0000460F0000}"/>
    <cellStyle name="Migliaia 57 5 2" xfId="5249" xr:uid="{00000000-0005-0000-0000-0000470F0000}"/>
    <cellStyle name="Migliaia 57 5 3" xfId="6159" xr:uid="{00000000-0005-0000-0000-0000480F0000}"/>
    <cellStyle name="Migliaia 57 6" xfId="4851" xr:uid="{00000000-0005-0000-0000-0000490F0000}"/>
    <cellStyle name="Migliaia 57 7" xfId="6152" xr:uid="{00000000-0005-0000-0000-00004A0F0000}"/>
    <cellStyle name="Migliaia 58" xfId="910" xr:uid="{00000000-0005-0000-0000-00004B0F0000}"/>
    <cellStyle name="Migliaia 58 2" xfId="911" xr:uid="{00000000-0005-0000-0000-00004C0F0000}"/>
    <cellStyle name="Migliaia 58 2 2" xfId="2571" xr:uid="{00000000-0005-0000-0000-00004D0F0000}"/>
    <cellStyle name="Migliaia 58 2 2 2" xfId="5631" xr:uid="{00000000-0005-0000-0000-00004E0F0000}"/>
    <cellStyle name="Migliaia 58 2 2 3" xfId="6553" xr:uid="{00000000-0005-0000-0000-00004F0F0000}"/>
    <cellStyle name="Migliaia 58 2 3" xfId="4916" xr:uid="{00000000-0005-0000-0000-0000500F0000}"/>
    <cellStyle name="Migliaia 58 2 4" xfId="6161" xr:uid="{00000000-0005-0000-0000-0000510F0000}"/>
    <cellStyle name="Migliaia 58 3" xfId="912" xr:uid="{00000000-0005-0000-0000-0000520F0000}"/>
    <cellStyle name="Migliaia 58 3 2" xfId="913" xr:uid="{00000000-0005-0000-0000-0000530F0000}"/>
    <cellStyle name="Migliaia 58 3 2 2" xfId="5251" xr:uid="{00000000-0005-0000-0000-0000540F0000}"/>
    <cellStyle name="Migliaia 58 3 2 3" xfId="6163" xr:uid="{00000000-0005-0000-0000-0000550F0000}"/>
    <cellStyle name="Migliaia 58 3 3" xfId="914" xr:uid="{00000000-0005-0000-0000-0000560F0000}"/>
    <cellStyle name="Migliaia 58 3 3 2" xfId="2573" xr:uid="{00000000-0005-0000-0000-0000570F0000}"/>
    <cellStyle name="Migliaia 58 3 3 2 2" xfId="5633" xr:uid="{00000000-0005-0000-0000-0000580F0000}"/>
    <cellStyle name="Migliaia 58 3 3 2 3" xfId="6555" xr:uid="{00000000-0005-0000-0000-0000590F0000}"/>
    <cellStyle name="Migliaia 58 3 3 3" xfId="5252" xr:uid="{00000000-0005-0000-0000-00005A0F0000}"/>
    <cellStyle name="Migliaia 58 3 3 4" xfId="6164" xr:uid="{00000000-0005-0000-0000-00005B0F0000}"/>
    <cellStyle name="Migliaia 58 3 4" xfId="2572" xr:uid="{00000000-0005-0000-0000-00005C0F0000}"/>
    <cellStyle name="Migliaia 58 3 4 2" xfId="5632" xr:uid="{00000000-0005-0000-0000-00005D0F0000}"/>
    <cellStyle name="Migliaia 58 3 4 3" xfId="6554" xr:uid="{00000000-0005-0000-0000-00005E0F0000}"/>
    <cellStyle name="Migliaia 58 3 5" xfId="5250" xr:uid="{00000000-0005-0000-0000-00005F0F0000}"/>
    <cellStyle name="Migliaia 58 3 6" xfId="6162" xr:uid="{00000000-0005-0000-0000-0000600F0000}"/>
    <cellStyle name="Migliaia 58 4" xfId="915" xr:uid="{00000000-0005-0000-0000-0000610F0000}"/>
    <cellStyle name="Migliaia 58 4 2" xfId="916" xr:uid="{00000000-0005-0000-0000-0000620F0000}"/>
    <cellStyle name="Migliaia 58 4 2 2" xfId="2575" xr:uid="{00000000-0005-0000-0000-0000630F0000}"/>
    <cellStyle name="Migliaia 58 4 2 2 2" xfId="5635" xr:uid="{00000000-0005-0000-0000-0000640F0000}"/>
    <cellStyle name="Migliaia 58 4 2 2 3" xfId="6557" xr:uid="{00000000-0005-0000-0000-0000650F0000}"/>
    <cellStyle name="Migliaia 58 4 2 3" xfId="5254" xr:uid="{00000000-0005-0000-0000-0000660F0000}"/>
    <cellStyle name="Migliaia 58 4 2 4" xfId="6166" xr:uid="{00000000-0005-0000-0000-0000670F0000}"/>
    <cellStyle name="Migliaia 58 4 3" xfId="2574" xr:uid="{00000000-0005-0000-0000-0000680F0000}"/>
    <cellStyle name="Migliaia 58 4 3 2" xfId="5634" xr:uid="{00000000-0005-0000-0000-0000690F0000}"/>
    <cellStyle name="Migliaia 58 4 3 3" xfId="6556" xr:uid="{00000000-0005-0000-0000-00006A0F0000}"/>
    <cellStyle name="Migliaia 58 4 4" xfId="5253" xr:uid="{00000000-0005-0000-0000-00006B0F0000}"/>
    <cellStyle name="Migliaia 58 4 5" xfId="6165" xr:uid="{00000000-0005-0000-0000-00006C0F0000}"/>
    <cellStyle name="Migliaia 58 5" xfId="917" xr:uid="{00000000-0005-0000-0000-00006D0F0000}"/>
    <cellStyle name="Migliaia 58 5 2" xfId="5255" xr:uid="{00000000-0005-0000-0000-00006E0F0000}"/>
    <cellStyle name="Migliaia 58 5 3" xfId="6167" xr:uid="{00000000-0005-0000-0000-00006F0F0000}"/>
    <cellStyle name="Migliaia 58 6" xfId="4852" xr:uid="{00000000-0005-0000-0000-0000700F0000}"/>
    <cellStyle name="Migliaia 58 7" xfId="6160" xr:uid="{00000000-0005-0000-0000-0000710F0000}"/>
    <cellStyle name="Migliaia 59" xfId="918" xr:uid="{00000000-0005-0000-0000-0000720F0000}"/>
    <cellStyle name="Migliaia 59 2" xfId="919" xr:uid="{00000000-0005-0000-0000-0000730F0000}"/>
    <cellStyle name="Migliaia 59 2 2" xfId="2576" xr:uid="{00000000-0005-0000-0000-0000740F0000}"/>
    <cellStyle name="Migliaia 59 2 2 2" xfId="5636" xr:uid="{00000000-0005-0000-0000-0000750F0000}"/>
    <cellStyle name="Migliaia 59 2 2 3" xfId="6558" xr:uid="{00000000-0005-0000-0000-0000760F0000}"/>
    <cellStyle name="Migliaia 59 2 3" xfId="4917" xr:uid="{00000000-0005-0000-0000-0000770F0000}"/>
    <cellStyle name="Migliaia 59 2 4" xfId="6169" xr:uid="{00000000-0005-0000-0000-0000780F0000}"/>
    <cellStyle name="Migliaia 59 3" xfId="920" xr:uid="{00000000-0005-0000-0000-0000790F0000}"/>
    <cellStyle name="Migliaia 59 3 2" xfId="921" xr:uid="{00000000-0005-0000-0000-00007A0F0000}"/>
    <cellStyle name="Migliaia 59 3 2 2" xfId="5257" xr:uid="{00000000-0005-0000-0000-00007B0F0000}"/>
    <cellStyle name="Migliaia 59 3 2 3" xfId="6171" xr:uid="{00000000-0005-0000-0000-00007C0F0000}"/>
    <cellStyle name="Migliaia 59 3 3" xfId="922" xr:uid="{00000000-0005-0000-0000-00007D0F0000}"/>
    <cellStyle name="Migliaia 59 3 3 2" xfId="2578" xr:uid="{00000000-0005-0000-0000-00007E0F0000}"/>
    <cellStyle name="Migliaia 59 3 3 2 2" xfId="5638" xr:uid="{00000000-0005-0000-0000-00007F0F0000}"/>
    <cellStyle name="Migliaia 59 3 3 2 3" xfId="6560" xr:uid="{00000000-0005-0000-0000-0000800F0000}"/>
    <cellStyle name="Migliaia 59 3 3 3" xfId="5258" xr:uid="{00000000-0005-0000-0000-0000810F0000}"/>
    <cellStyle name="Migliaia 59 3 3 4" xfId="6172" xr:uid="{00000000-0005-0000-0000-0000820F0000}"/>
    <cellStyle name="Migliaia 59 3 4" xfId="2577" xr:uid="{00000000-0005-0000-0000-0000830F0000}"/>
    <cellStyle name="Migliaia 59 3 4 2" xfId="5637" xr:uid="{00000000-0005-0000-0000-0000840F0000}"/>
    <cellStyle name="Migliaia 59 3 4 3" xfId="6559" xr:uid="{00000000-0005-0000-0000-0000850F0000}"/>
    <cellStyle name="Migliaia 59 3 5" xfId="5256" xr:uid="{00000000-0005-0000-0000-0000860F0000}"/>
    <cellStyle name="Migliaia 59 3 6" xfId="6170" xr:uid="{00000000-0005-0000-0000-0000870F0000}"/>
    <cellStyle name="Migliaia 59 4" xfId="923" xr:uid="{00000000-0005-0000-0000-0000880F0000}"/>
    <cellStyle name="Migliaia 59 4 2" xfId="924" xr:uid="{00000000-0005-0000-0000-0000890F0000}"/>
    <cellStyle name="Migliaia 59 4 2 2" xfId="2580" xr:uid="{00000000-0005-0000-0000-00008A0F0000}"/>
    <cellStyle name="Migliaia 59 4 2 2 2" xfId="5640" xr:uid="{00000000-0005-0000-0000-00008B0F0000}"/>
    <cellStyle name="Migliaia 59 4 2 2 3" xfId="6562" xr:uid="{00000000-0005-0000-0000-00008C0F0000}"/>
    <cellStyle name="Migliaia 59 4 2 3" xfId="5260" xr:uid="{00000000-0005-0000-0000-00008D0F0000}"/>
    <cellStyle name="Migliaia 59 4 2 4" xfId="6174" xr:uid="{00000000-0005-0000-0000-00008E0F0000}"/>
    <cellStyle name="Migliaia 59 4 3" xfId="2579" xr:uid="{00000000-0005-0000-0000-00008F0F0000}"/>
    <cellStyle name="Migliaia 59 4 3 2" xfId="5639" xr:uid="{00000000-0005-0000-0000-0000900F0000}"/>
    <cellStyle name="Migliaia 59 4 3 3" xfId="6561" xr:uid="{00000000-0005-0000-0000-0000910F0000}"/>
    <cellStyle name="Migliaia 59 4 4" xfId="5259" xr:uid="{00000000-0005-0000-0000-0000920F0000}"/>
    <cellStyle name="Migliaia 59 4 5" xfId="6173" xr:uid="{00000000-0005-0000-0000-0000930F0000}"/>
    <cellStyle name="Migliaia 59 5" xfId="925" xr:uid="{00000000-0005-0000-0000-0000940F0000}"/>
    <cellStyle name="Migliaia 59 5 2" xfId="5261" xr:uid="{00000000-0005-0000-0000-0000950F0000}"/>
    <cellStyle name="Migliaia 59 5 3" xfId="6175" xr:uid="{00000000-0005-0000-0000-0000960F0000}"/>
    <cellStyle name="Migliaia 59 6" xfId="4853" xr:uid="{00000000-0005-0000-0000-0000970F0000}"/>
    <cellStyle name="Migliaia 59 7" xfId="6168" xr:uid="{00000000-0005-0000-0000-0000980F0000}"/>
    <cellStyle name="Migliaia 6" xfId="926" xr:uid="{00000000-0005-0000-0000-0000990F0000}"/>
    <cellStyle name="Migliaia 6 2" xfId="927" xr:uid="{00000000-0005-0000-0000-00009A0F0000}"/>
    <cellStyle name="Migliaia 6 2 2" xfId="2581" xr:uid="{00000000-0005-0000-0000-00009B0F0000}"/>
    <cellStyle name="Migliaia 6 2 2 2" xfId="5641" xr:uid="{00000000-0005-0000-0000-00009C0F0000}"/>
    <cellStyle name="Migliaia 6 2 2 3" xfId="6563" xr:uid="{00000000-0005-0000-0000-00009D0F0000}"/>
    <cellStyle name="Migliaia 6 2 3" xfId="4918" xr:uid="{00000000-0005-0000-0000-00009E0F0000}"/>
    <cellStyle name="Migliaia 6 2 4" xfId="6177" xr:uid="{00000000-0005-0000-0000-00009F0F0000}"/>
    <cellStyle name="Migliaia 6 3" xfId="928" xr:uid="{00000000-0005-0000-0000-0000A00F0000}"/>
    <cellStyle name="Migliaia 6 3 2" xfId="929" xr:uid="{00000000-0005-0000-0000-0000A10F0000}"/>
    <cellStyle name="Migliaia 6 3 2 2" xfId="5263" xr:uid="{00000000-0005-0000-0000-0000A20F0000}"/>
    <cellStyle name="Migliaia 6 3 2 3" xfId="6179" xr:uid="{00000000-0005-0000-0000-0000A30F0000}"/>
    <cellStyle name="Migliaia 6 3 3" xfId="930" xr:uid="{00000000-0005-0000-0000-0000A40F0000}"/>
    <cellStyle name="Migliaia 6 3 3 2" xfId="2583" xr:uid="{00000000-0005-0000-0000-0000A50F0000}"/>
    <cellStyle name="Migliaia 6 3 3 2 2" xfId="5643" xr:uid="{00000000-0005-0000-0000-0000A60F0000}"/>
    <cellStyle name="Migliaia 6 3 3 2 3" xfId="6565" xr:uid="{00000000-0005-0000-0000-0000A70F0000}"/>
    <cellStyle name="Migliaia 6 3 3 3" xfId="5264" xr:uid="{00000000-0005-0000-0000-0000A80F0000}"/>
    <cellStyle name="Migliaia 6 3 3 4" xfId="6180" xr:uid="{00000000-0005-0000-0000-0000A90F0000}"/>
    <cellStyle name="Migliaia 6 3 4" xfId="2582" xr:uid="{00000000-0005-0000-0000-0000AA0F0000}"/>
    <cellStyle name="Migliaia 6 3 4 2" xfId="5642" xr:uid="{00000000-0005-0000-0000-0000AB0F0000}"/>
    <cellStyle name="Migliaia 6 3 4 3" xfId="6564" xr:uid="{00000000-0005-0000-0000-0000AC0F0000}"/>
    <cellStyle name="Migliaia 6 3 5" xfId="5262" xr:uid="{00000000-0005-0000-0000-0000AD0F0000}"/>
    <cellStyle name="Migliaia 6 3 6" xfId="6178" xr:uid="{00000000-0005-0000-0000-0000AE0F0000}"/>
    <cellStyle name="Migliaia 6 4" xfId="931" xr:uid="{00000000-0005-0000-0000-0000AF0F0000}"/>
    <cellStyle name="Migliaia 6 4 2" xfId="932" xr:uid="{00000000-0005-0000-0000-0000B00F0000}"/>
    <cellStyle name="Migliaia 6 4 2 2" xfId="2585" xr:uid="{00000000-0005-0000-0000-0000B10F0000}"/>
    <cellStyle name="Migliaia 6 4 2 2 2" xfId="5645" xr:uid="{00000000-0005-0000-0000-0000B20F0000}"/>
    <cellStyle name="Migliaia 6 4 2 2 3" xfId="6567" xr:uid="{00000000-0005-0000-0000-0000B30F0000}"/>
    <cellStyle name="Migliaia 6 4 2 3" xfId="5266" xr:uid="{00000000-0005-0000-0000-0000B40F0000}"/>
    <cellStyle name="Migliaia 6 4 2 4" xfId="6182" xr:uid="{00000000-0005-0000-0000-0000B50F0000}"/>
    <cellStyle name="Migliaia 6 4 3" xfId="2584" xr:uid="{00000000-0005-0000-0000-0000B60F0000}"/>
    <cellStyle name="Migliaia 6 4 3 2" xfId="5644" xr:uid="{00000000-0005-0000-0000-0000B70F0000}"/>
    <cellStyle name="Migliaia 6 4 3 3" xfId="6566" xr:uid="{00000000-0005-0000-0000-0000B80F0000}"/>
    <cellStyle name="Migliaia 6 4 4" xfId="5265" xr:uid="{00000000-0005-0000-0000-0000B90F0000}"/>
    <cellStyle name="Migliaia 6 4 5" xfId="6181" xr:uid="{00000000-0005-0000-0000-0000BA0F0000}"/>
    <cellStyle name="Migliaia 6 5" xfId="933" xr:uid="{00000000-0005-0000-0000-0000BB0F0000}"/>
    <cellStyle name="Migliaia 6 5 2" xfId="5267" xr:uid="{00000000-0005-0000-0000-0000BC0F0000}"/>
    <cellStyle name="Migliaia 6 5 3" xfId="6183" xr:uid="{00000000-0005-0000-0000-0000BD0F0000}"/>
    <cellStyle name="Migliaia 6 6" xfId="4854" xr:uid="{00000000-0005-0000-0000-0000BE0F0000}"/>
    <cellStyle name="Migliaia 6 7" xfId="6176" xr:uid="{00000000-0005-0000-0000-0000BF0F0000}"/>
    <cellStyle name="Migliaia 60" xfId="934" xr:uid="{00000000-0005-0000-0000-0000C00F0000}"/>
    <cellStyle name="Migliaia 60 2" xfId="935" xr:uid="{00000000-0005-0000-0000-0000C10F0000}"/>
    <cellStyle name="Migliaia 60 2 2" xfId="2586" xr:uid="{00000000-0005-0000-0000-0000C20F0000}"/>
    <cellStyle name="Migliaia 60 2 2 2" xfId="5646" xr:uid="{00000000-0005-0000-0000-0000C30F0000}"/>
    <cellStyle name="Migliaia 60 2 2 3" xfId="6568" xr:uid="{00000000-0005-0000-0000-0000C40F0000}"/>
    <cellStyle name="Migliaia 60 2 3" xfId="4919" xr:uid="{00000000-0005-0000-0000-0000C50F0000}"/>
    <cellStyle name="Migliaia 60 2 4" xfId="6185" xr:uid="{00000000-0005-0000-0000-0000C60F0000}"/>
    <cellStyle name="Migliaia 60 3" xfId="936" xr:uid="{00000000-0005-0000-0000-0000C70F0000}"/>
    <cellStyle name="Migliaia 60 3 2" xfId="937" xr:uid="{00000000-0005-0000-0000-0000C80F0000}"/>
    <cellStyle name="Migliaia 60 3 2 2" xfId="5269" xr:uid="{00000000-0005-0000-0000-0000C90F0000}"/>
    <cellStyle name="Migliaia 60 3 2 3" xfId="6187" xr:uid="{00000000-0005-0000-0000-0000CA0F0000}"/>
    <cellStyle name="Migliaia 60 3 3" xfId="938" xr:uid="{00000000-0005-0000-0000-0000CB0F0000}"/>
    <cellStyle name="Migliaia 60 3 3 2" xfId="2588" xr:uid="{00000000-0005-0000-0000-0000CC0F0000}"/>
    <cellStyle name="Migliaia 60 3 3 2 2" xfId="5648" xr:uid="{00000000-0005-0000-0000-0000CD0F0000}"/>
    <cellStyle name="Migliaia 60 3 3 2 3" xfId="6570" xr:uid="{00000000-0005-0000-0000-0000CE0F0000}"/>
    <cellStyle name="Migliaia 60 3 3 3" xfId="5270" xr:uid="{00000000-0005-0000-0000-0000CF0F0000}"/>
    <cellStyle name="Migliaia 60 3 3 4" xfId="6188" xr:uid="{00000000-0005-0000-0000-0000D00F0000}"/>
    <cellStyle name="Migliaia 60 3 4" xfId="2587" xr:uid="{00000000-0005-0000-0000-0000D10F0000}"/>
    <cellStyle name="Migliaia 60 3 4 2" xfId="5647" xr:uid="{00000000-0005-0000-0000-0000D20F0000}"/>
    <cellStyle name="Migliaia 60 3 4 3" xfId="6569" xr:uid="{00000000-0005-0000-0000-0000D30F0000}"/>
    <cellStyle name="Migliaia 60 3 5" xfId="5268" xr:uid="{00000000-0005-0000-0000-0000D40F0000}"/>
    <cellStyle name="Migliaia 60 3 6" xfId="6186" xr:uid="{00000000-0005-0000-0000-0000D50F0000}"/>
    <cellStyle name="Migliaia 60 4" xfId="939" xr:uid="{00000000-0005-0000-0000-0000D60F0000}"/>
    <cellStyle name="Migliaia 60 4 2" xfId="940" xr:uid="{00000000-0005-0000-0000-0000D70F0000}"/>
    <cellStyle name="Migliaia 60 4 2 2" xfId="2590" xr:uid="{00000000-0005-0000-0000-0000D80F0000}"/>
    <cellStyle name="Migliaia 60 4 2 2 2" xfId="5650" xr:uid="{00000000-0005-0000-0000-0000D90F0000}"/>
    <cellStyle name="Migliaia 60 4 2 2 3" xfId="6572" xr:uid="{00000000-0005-0000-0000-0000DA0F0000}"/>
    <cellStyle name="Migliaia 60 4 2 3" xfId="5272" xr:uid="{00000000-0005-0000-0000-0000DB0F0000}"/>
    <cellStyle name="Migliaia 60 4 2 4" xfId="6190" xr:uid="{00000000-0005-0000-0000-0000DC0F0000}"/>
    <cellStyle name="Migliaia 60 4 3" xfId="2589" xr:uid="{00000000-0005-0000-0000-0000DD0F0000}"/>
    <cellStyle name="Migliaia 60 4 3 2" xfId="5649" xr:uid="{00000000-0005-0000-0000-0000DE0F0000}"/>
    <cellStyle name="Migliaia 60 4 3 3" xfId="6571" xr:uid="{00000000-0005-0000-0000-0000DF0F0000}"/>
    <cellStyle name="Migliaia 60 4 4" xfId="5271" xr:uid="{00000000-0005-0000-0000-0000E00F0000}"/>
    <cellStyle name="Migliaia 60 4 5" xfId="6189" xr:uid="{00000000-0005-0000-0000-0000E10F0000}"/>
    <cellStyle name="Migliaia 60 5" xfId="941" xr:uid="{00000000-0005-0000-0000-0000E20F0000}"/>
    <cellStyle name="Migliaia 60 5 2" xfId="5273" xr:uid="{00000000-0005-0000-0000-0000E30F0000}"/>
    <cellStyle name="Migliaia 60 5 3" xfId="6191" xr:uid="{00000000-0005-0000-0000-0000E40F0000}"/>
    <cellStyle name="Migliaia 60 6" xfId="4855" xr:uid="{00000000-0005-0000-0000-0000E50F0000}"/>
    <cellStyle name="Migliaia 60 7" xfId="6184" xr:uid="{00000000-0005-0000-0000-0000E60F0000}"/>
    <cellStyle name="Migliaia 61" xfId="942" xr:uid="{00000000-0005-0000-0000-0000E70F0000}"/>
    <cellStyle name="Migliaia 61 2" xfId="943" xr:uid="{00000000-0005-0000-0000-0000E80F0000}"/>
    <cellStyle name="Migliaia 61 2 2" xfId="2591" xr:uid="{00000000-0005-0000-0000-0000E90F0000}"/>
    <cellStyle name="Migliaia 61 2 2 2" xfId="5651" xr:uid="{00000000-0005-0000-0000-0000EA0F0000}"/>
    <cellStyle name="Migliaia 61 2 2 3" xfId="6573" xr:uid="{00000000-0005-0000-0000-0000EB0F0000}"/>
    <cellStyle name="Migliaia 61 2 3" xfId="4920" xr:uid="{00000000-0005-0000-0000-0000EC0F0000}"/>
    <cellStyle name="Migliaia 61 2 4" xfId="6193" xr:uid="{00000000-0005-0000-0000-0000ED0F0000}"/>
    <cellStyle name="Migliaia 61 3" xfId="944" xr:uid="{00000000-0005-0000-0000-0000EE0F0000}"/>
    <cellStyle name="Migliaia 61 3 2" xfId="945" xr:uid="{00000000-0005-0000-0000-0000EF0F0000}"/>
    <cellStyle name="Migliaia 61 3 2 2" xfId="5275" xr:uid="{00000000-0005-0000-0000-0000F00F0000}"/>
    <cellStyle name="Migliaia 61 3 2 3" xfId="6195" xr:uid="{00000000-0005-0000-0000-0000F10F0000}"/>
    <cellStyle name="Migliaia 61 3 3" xfId="946" xr:uid="{00000000-0005-0000-0000-0000F20F0000}"/>
    <cellStyle name="Migliaia 61 3 3 2" xfId="2593" xr:uid="{00000000-0005-0000-0000-0000F30F0000}"/>
    <cellStyle name="Migliaia 61 3 3 2 2" xfId="5653" xr:uid="{00000000-0005-0000-0000-0000F40F0000}"/>
    <cellStyle name="Migliaia 61 3 3 2 3" xfId="6575" xr:uid="{00000000-0005-0000-0000-0000F50F0000}"/>
    <cellStyle name="Migliaia 61 3 3 3" xfId="5276" xr:uid="{00000000-0005-0000-0000-0000F60F0000}"/>
    <cellStyle name="Migliaia 61 3 3 4" xfId="6196" xr:uid="{00000000-0005-0000-0000-0000F70F0000}"/>
    <cellStyle name="Migliaia 61 3 4" xfId="2592" xr:uid="{00000000-0005-0000-0000-0000F80F0000}"/>
    <cellStyle name="Migliaia 61 3 4 2" xfId="5652" xr:uid="{00000000-0005-0000-0000-0000F90F0000}"/>
    <cellStyle name="Migliaia 61 3 4 3" xfId="6574" xr:uid="{00000000-0005-0000-0000-0000FA0F0000}"/>
    <cellStyle name="Migliaia 61 3 5" xfId="5274" xr:uid="{00000000-0005-0000-0000-0000FB0F0000}"/>
    <cellStyle name="Migliaia 61 3 6" xfId="6194" xr:uid="{00000000-0005-0000-0000-0000FC0F0000}"/>
    <cellStyle name="Migliaia 61 4" xfId="947" xr:uid="{00000000-0005-0000-0000-0000FD0F0000}"/>
    <cellStyle name="Migliaia 61 4 2" xfId="948" xr:uid="{00000000-0005-0000-0000-0000FE0F0000}"/>
    <cellStyle name="Migliaia 61 4 2 2" xfId="2595" xr:uid="{00000000-0005-0000-0000-0000FF0F0000}"/>
    <cellStyle name="Migliaia 61 4 2 2 2" xfId="5655" xr:uid="{00000000-0005-0000-0000-000000100000}"/>
    <cellStyle name="Migliaia 61 4 2 2 3" xfId="6577" xr:uid="{00000000-0005-0000-0000-000001100000}"/>
    <cellStyle name="Migliaia 61 4 2 3" xfId="5278" xr:uid="{00000000-0005-0000-0000-000002100000}"/>
    <cellStyle name="Migliaia 61 4 2 4" xfId="6198" xr:uid="{00000000-0005-0000-0000-000003100000}"/>
    <cellStyle name="Migliaia 61 4 3" xfId="2594" xr:uid="{00000000-0005-0000-0000-000004100000}"/>
    <cellStyle name="Migliaia 61 4 3 2" xfId="5654" xr:uid="{00000000-0005-0000-0000-000005100000}"/>
    <cellStyle name="Migliaia 61 4 3 3" xfId="6576" xr:uid="{00000000-0005-0000-0000-000006100000}"/>
    <cellStyle name="Migliaia 61 4 4" xfId="5277" xr:uid="{00000000-0005-0000-0000-000007100000}"/>
    <cellStyle name="Migliaia 61 4 5" xfId="6197" xr:uid="{00000000-0005-0000-0000-000008100000}"/>
    <cellStyle name="Migliaia 61 5" xfId="949" xr:uid="{00000000-0005-0000-0000-000009100000}"/>
    <cellStyle name="Migliaia 61 5 2" xfId="5279" xr:uid="{00000000-0005-0000-0000-00000A100000}"/>
    <cellStyle name="Migliaia 61 5 3" xfId="6199" xr:uid="{00000000-0005-0000-0000-00000B100000}"/>
    <cellStyle name="Migliaia 61 6" xfId="4856" xr:uid="{00000000-0005-0000-0000-00000C100000}"/>
    <cellStyle name="Migliaia 61 7" xfId="6192" xr:uid="{00000000-0005-0000-0000-00000D100000}"/>
    <cellStyle name="Migliaia 7" xfId="950" xr:uid="{00000000-0005-0000-0000-00000E100000}"/>
    <cellStyle name="Migliaia 7 2" xfId="951" xr:uid="{00000000-0005-0000-0000-00000F100000}"/>
    <cellStyle name="Migliaia 7 2 2" xfId="2596" xr:uid="{00000000-0005-0000-0000-000010100000}"/>
    <cellStyle name="Migliaia 7 2 2 2" xfId="5656" xr:uid="{00000000-0005-0000-0000-000011100000}"/>
    <cellStyle name="Migliaia 7 2 2 3" xfId="6578" xr:uid="{00000000-0005-0000-0000-000012100000}"/>
    <cellStyle name="Migliaia 7 2 3" xfId="4921" xr:uid="{00000000-0005-0000-0000-000013100000}"/>
    <cellStyle name="Migliaia 7 2 4" xfId="6201" xr:uid="{00000000-0005-0000-0000-000014100000}"/>
    <cellStyle name="Migliaia 7 3" xfId="952" xr:uid="{00000000-0005-0000-0000-000015100000}"/>
    <cellStyle name="Migliaia 7 3 2" xfId="953" xr:uid="{00000000-0005-0000-0000-000016100000}"/>
    <cellStyle name="Migliaia 7 3 2 2" xfId="5281" xr:uid="{00000000-0005-0000-0000-000017100000}"/>
    <cellStyle name="Migliaia 7 3 2 3" xfId="6203" xr:uid="{00000000-0005-0000-0000-000018100000}"/>
    <cellStyle name="Migliaia 7 3 3" xfId="954" xr:uid="{00000000-0005-0000-0000-000019100000}"/>
    <cellStyle name="Migliaia 7 3 3 2" xfId="2598" xr:uid="{00000000-0005-0000-0000-00001A100000}"/>
    <cellStyle name="Migliaia 7 3 3 2 2" xfId="5658" xr:uid="{00000000-0005-0000-0000-00001B100000}"/>
    <cellStyle name="Migliaia 7 3 3 2 3" xfId="6580" xr:uid="{00000000-0005-0000-0000-00001C100000}"/>
    <cellStyle name="Migliaia 7 3 3 3" xfId="5282" xr:uid="{00000000-0005-0000-0000-00001D100000}"/>
    <cellStyle name="Migliaia 7 3 3 4" xfId="6204" xr:uid="{00000000-0005-0000-0000-00001E100000}"/>
    <cellStyle name="Migliaia 7 3 4" xfId="2597" xr:uid="{00000000-0005-0000-0000-00001F100000}"/>
    <cellStyle name="Migliaia 7 3 4 2" xfId="5657" xr:uid="{00000000-0005-0000-0000-000020100000}"/>
    <cellStyle name="Migliaia 7 3 4 3" xfId="6579" xr:uid="{00000000-0005-0000-0000-000021100000}"/>
    <cellStyle name="Migliaia 7 3 5" xfId="5280" xr:uid="{00000000-0005-0000-0000-000022100000}"/>
    <cellStyle name="Migliaia 7 3 6" xfId="6202" xr:uid="{00000000-0005-0000-0000-000023100000}"/>
    <cellStyle name="Migliaia 7 4" xfId="955" xr:uid="{00000000-0005-0000-0000-000024100000}"/>
    <cellStyle name="Migliaia 7 4 2" xfId="956" xr:uid="{00000000-0005-0000-0000-000025100000}"/>
    <cellStyle name="Migliaia 7 4 2 2" xfId="2600" xr:uid="{00000000-0005-0000-0000-000026100000}"/>
    <cellStyle name="Migliaia 7 4 2 2 2" xfId="5660" xr:uid="{00000000-0005-0000-0000-000027100000}"/>
    <cellStyle name="Migliaia 7 4 2 2 3" xfId="6582" xr:uid="{00000000-0005-0000-0000-000028100000}"/>
    <cellStyle name="Migliaia 7 4 2 3" xfId="5284" xr:uid="{00000000-0005-0000-0000-000029100000}"/>
    <cellStyle name="Migliaia 7 4 2 4" xfId="6206" xr:uid="{00000000-0005-0000-0000-00002A100000}"/>
    <cellStyle name="Migliaia 7 4 3" xfId="2599" xr:uid="{00000000-0005-0000-0000-00002B100000}"/>
    <cellStyle name="Migliaia 7 4 3 2" xfId="5659" xr:uid="{00000000-0005-0000-0000-00002C100000}"/>
    <cellStyle name="Migliaia 7 4 3 3" xfId="6581" xr:uid="{00000000-0005-0000-0000-00002D100000}"/>
    <cellStyle name="Migliaia 7 4 4" xfId="5283" xr:uid="{00000000-0005-0000-0000-00002E100000}"/>
    <cellStyle name="Migliaia 7 4 5" xfId="6205" xr:uid="{00000000-0005-0000-0000-00002F100000}"/>
    <cellStyle name="Migliaia 7 5" xfId="957" xr:uid="{00000000-0005-0000-0000-000030100000}"/>
    <cellStyle name="Migliaia 7 5 2" xfId="5285" xr:uid="{00000000-0005-0000-0000-000031100000}"/>
    <cellStyle name="Migliaia 7 5 3" xfId="6207" xr:uid="{00000000-0005-0000-0000-000032100000}"/>
    <cellStyle name="Migliaia 7 6" xfId="4857" xr:uid="{00000000-0005-0000-0000-000033100000}"/>
    <cellStyle name="Migliaia 7 7" xfId="6200" xr:uid="{00000000-0005-0000-0000-000034100000}"/>
    <cellStyle name="Migliaia 8" xfId="958" xr:uid="{00000000-0005-0000-0000-000035100000}"/>
    <cellStyle name="Migliaia 8 2" xfId="959" xr:uid="{00000000-0005-0000-0000-000036100000}"/>
    <cellStyle name="Migliaia 8 2 2" xfId="2601" xr:uid="{00000000-0005-0000-0000-000037100000}"/>
    <cellStyle name="Migliaia 8 2 2 2" xfId="5661" xr:uid="{00000000-0005-0000-0000-000038100000}"/>
    <cellStyle name="Migliaia 8 2 2 3" xfId="6583" xr:uid="{00000000-0005-0000-0000-000039100000}"/>
    <cellStyle name="Migliaia 8 2 3" xfId="4922" xr:uid="{00000000-0005-0000-0000-00003A100000}"/>
    <cellStyle name="Migliaia 8 2 4" xfId="6209" xr:uid="{00000000-0005-0000-0000-00003B100000}"/>
    <cellStyle name="Migliaia 8 3" xfId="960" xr:uid="{00000000-0005-0000-0000-00003C100000}"/>
    <cellStyle name="Migliaia 8 3 2" xfId="961" xr:uid="{00000000-0005-0000-0000-00003D100000}"/>
    <cellStyle name="Migliaia 8 3 2 2" xfId="5287" xr:uid="{00000000-0005-0000-0000-00003E100000}"/>
    <cellStyle name="Migliaia 8 3 2 3" xfId="6211" xr:uid="{00000000-0005-0000-0000-00003F100000}"/>
    <cellStyle name="Migliaia 8 3 3" xfId="962" xr:uid="{00000000-0005-0000-0000-000040100000}"/>
    <cellStyle name="Migliaia 8 3 3 2" xfId="2603" xr:uid="{00000000-0005-0000-0000-000041100000}"/>
    <cellStyle name="Migliaia 8 3 3 2 2" xfId="5663" xr:uid="{00000000-0005-0000-0000-000042100000}"/>
    <cellStyle name="Migliaia 8 3 3 2 3" xfId="6585" xr:uid="{00000000-0005-0000-0000-000043100000}"/>
    <cellStyle name="Migliaia 8 3 3 3" xfId="5288" xr:uid="{00000000-0005-0000-0000-000044100000}"/>
    <cellStyle name="Migliaia 8 3 3 4" xfId="6212" xr:uid="{00000000-0005-0000-0000-000045100000}"/>
    <cellStyle name="Migliaia 8 3 4" xfId="2602" xr:uid="{00000000-0005-0000-0000-000046100000}"/>
    <cellStyle name="Migliaia 8 3 4 2" xfId="5662" xr:uid="{00000000-0005-0000-0000-000047100000}"/>
    <cellStyle name="Migliaia 8 3 4 3" xfId="6584" xr:uid="{00000000-0005-0000-0000-000048100000}"/>
    <cellStyle name="Migliaia 8 3 5" xfId="5286" xr:uid="{00000000-0005-0000-0000-000049100000}"/>
    <cellStyle name="Migliaia 8 3 6" xfId="6210" xr:uid="{00000000-0005-0000-0000-00004A100000}"/>
    <cellStyle name="Migliaia 8 4" xfId="963" xr:uid="{00000000-0005-0000-0000-00004B100000}"/>
    <cellStyle name="Migliaia 8 4 2" xfId="964" xr:uid="{00000000-0005-0000-0000-00004C100000}"/>
    <cellStyle name="Migliaia 8 4 2 2" xfId="2605" xr:uid="{00000000-0005-0000-0000-00004D100000}"/>
    <cellStyle name="Migliaia 8 4 2 2 2" xfId="5665" xr:uid="{00000000-0005-0000-0000-00004E100000}"/>
    <cellStyle name="Migliaia 8 4 2 2 3" xfId="6587" xr:uid="{00000000-0005-0000-0000-00004F100000}"/>
    <cellStyle name="Migliaia 8 4 2 3" xfId="5290" xr:uid="{00000000-0005-0000-0000-000050100000}"/>
    <cellStyle name="Migliaia 8 4 2 4" xfId="6214" xr:uid="{00000000-0005-0000-0000-000051100000}"/>
    <cellStyle name="Migliaia 8 4 3" xfId="2604" xr:uid="{00000000-0005-0000-0000-000052100000}"/>
    <cellStyle name="Migliaia 8 4 3 2" xfId="5664" xr:uid="{00000000-0005-0000-0000-000053100000}"/>
    <cellStyle name="Migliaia 8 4 3 3" xfId="6586" xr:uid="{00000000-0005-0000-0000-000054100000}"/>
    <cellStyle name="Migliaia 8 4 4" xfId="5289" xr:uid="{00000000-0005-0000-0000-000055100000}"/>
    <cellStyle name="Migliaia 8 4 5" xfId="6213" xr:uid="{00000000-0005-0000-0000-000056100000}"/>
    <cellStyle name="Migliaia 8 5" xfId="965" xr:uid="{00000000-0005-0000-0000-000057100000}"/>
    <cellStyle name="Migliaia 8 5 2" xfId="5291" xr:uid="{00000000-0005-0000-0000-000058100000}"/>
    <cellStyle name="Migliaia 8 5 3" xfId="6215" xr:uid="{00000000-0005-0000-0000-000059100000}"/>
    <cellStyle name="Migliaia 8 6" xfId="4858" xr:uid="{00000000-0005-0000-0000-00005A100000}"/>
    <cellStyle name="Migliaia 8 7" xfId="6208" xr:uid="{00000000-0005-0000-0000-00005B100000}"/>
    <cellStyle name="Migliaia 9" xfId="966" xr:uid="{00000000-0005-0000-0000-00005C100000}"/>
    <cellStyle name="Migliaia 9 2" xfId="967" xr:uid="{00000000-0005-0000-0000-00005D100000}"/>
    <cellStyle name="Migliaia 9 2 2" xfId="2606" xr:uid="{00000000-0005-0000-0000-00005E100000}"/>
    <cellStyle name="Migliaia 9 2 2 2" xfId="5666" xr:uid="{00000000-0005-0000-0000-00005F100000}"/>
    <cellStyle name="Migliaia 9 2 2 3" xfId="6588" xr:uid="{00000000-0005-0000-0000-000060100000}"/>
    <cellStyle name="Migliaia 9 2 3" xfId="4923" xr:uid="{00000000-0005-0000-0000-000061100000}"/>
    <cellStyle name="Migliaia 9 2 4" xfId="6217" xr:uid="{00000000-0005-0000-0000-000062100000}"/>
    <cellStyle name="Migliaia 9 3" xfId="968" xr:uid="{00000000-0005-0000-0000-000063100000}"/>
    <cellStyle name="Migliaia 9 3 2" xfId="969" xr:uid="{00000000-0005-0000-0000-000064100000}"/>
    <cellStyle name="Migliaia 9 3 2 2" xfId="5293" xr:uid="{00000000-0005-0000-0000-000065100000}"/>
    <cellStyle name="Migliaia 9 3 2 3" xfId="6219" xr:uid="{00000000-0005-0000-0000-000066100000}"/>
    <cellStyle name="Migliaia 9 3 3" xfId="970" xr:uid="{00000000-0005-0000-0000-000067100000}"/>
    <cellStyle name="Migliaia 9 3 3 2" xfId="2608" xr:uid="{00000000-0005-0000-0000-000068100000}"/>
    <cellStyle name="Migliaia 9 3 3 2 2" xfId="5668" xr:uid="{00000000-0005-0000-0000-000069100000}"/>
    <cellStyle name="Migliaia 9 3 3 2 3" xfId="6590" xr:uid="{00000000-0005-0000-0000-00006A100000}"/>
    <cellStyle name="Migliaia 9 3 3 3" xfId="5294" xr:uid="{00000000-0005-0000-0000-00006B100000}"/>
    <cellStyle name="Migliaia 9 3 3 4" xfId="6220" xr:uid="{00000000-0005-0000-0000-00006C100000}"/>
    <cellStyle name="Migliaia 9 3 4" xfId="2607" xr:uid="{00000000-0005-0000-0000-00006D100000}"/>
    <cellStyle name="Migliaia 9 3 4 2" xfId="5667" xr:uid="{00000000-0005-0000-0000-00006E100000}"/>
    <cellStyle name="Migliaia 9 3 4 3" xfId="6589" xr:uid="{00000000-0005-0000-0000-00006F100000}"/>
    <cellStyle name="Migliaia 9 3 5" xfId="5292" xr:uid="{00000000-0005-0000-0000-000070100000}"/>
    <cellStyle name="Migliaia 9 3 6" xfId="6218" xr:uid="{00000000-0005-0000-0000-000071100000}"/>
    <cellStyle name="Migliaia 9 4" xfId="971" xr:uid="{00000000-0005-0000-0000-000072100000}"/>
    <cellStyle name="Migliaia 9 4 2" xfId="972" xr:uid="{00000000-0005-0000-0000-000073100000}"/>
    <cellStyle name="Migliaia 9 4 2 2" xfId="2610" xr:uid="{00000000-0005-0000-0000-000074100000}"/>
    <cellStyle name="Migliaia 9 4 2 2 2" xfId="5670" xr:uid="{00000000-0005-0000-0000-000075100000}"/>
    <cellStyle name="Migliaia 9 4 2 2 3" xfId="6592" xr:uid="{00000000-0005-0000-0000-000076100000}"/>
    <cellStyle name="Migliaia 9 4 2 3" xfId="5296" xr:uid="{00000000-0005-0000-0000-000077100000}"/>
    <cellStyle name="Migliaia 9 4 2 4" xfId="6222" xr:uid="{00000000-0005-0000-0000-000078100000}"/>
    <cellStyle name="Migliaia 9 4 3" xfId="2609" xr:uid="{00000000-0005-0000-0000-000079100000}"/>
    <cellStyle name="Migliaia 9 4 3 2" xfId="5669" xr:uid="{00000000-0005-0000-0000-00007A100000}"/>
    <cellStyle name="Migliaia 9 4 3 3" xfId="6591" xr:uid="{00000000-0005-0000-0000-00007B100000}"/>
    <cellStyle name="Migliaia 9 4 4" xfId="5295" xr:uid="{00000000-0005-0000-0000-00007C100000}"/>
    <cellStyle name="Migliaia 9 4 5" xfId="6221" xr:uid="{00000000-0005-0000-0000-00007D100000}"/>
    <cellStyle name="Migliaia 9 5" xfId="973" xr:uid="{00000000-0005-0000-0000-00007E100000}"/>
    <cellStyle name="Migliaia 9 5 2" xfId="5297" xr:uid="{00000000-0005-0000-0000-00007F100000}"/>
    <cellStyle name="Migliaia 9 5 3" xfId="6223" xr:uid="{00000000-0005-0000-0000-000080100000}"/>
    <cellStyle name="Migliaia 9 6" xfId="4859" xr:uid="{00000000-0005-0000-0000-000081100000}"/>
    <cellStyle name="Migliaia 9 7" xfId="6216" xr:uid="{00000000-0005-0000-0000-000082100000}"/>
    <cellStyle name="Neutral" xfId="3332" builtinId="28" customBuiltin="1"/>
    <cellStyle name="Neutral 2" xfId="3446" xr:uid="{00000000-0005-0000-0000-000084100000}"/>
    <cellStyle name="Neutrale" xfId="974" xr:uid="{00000000-0005-0000-0000-000085100000}"/>
    <cellStyle name="Normal" xfId="0" builtinId="0"/>
    <cellStyle name="Normal 10" xfId="975" xr:uid="{00000000-0005-0000-0000-000087100000}"/>
    <cellStyle name="Normal 10 2" xfId="2611" xr:uid="{00000000-0005-0000-0000-000088100000}"/>
    <cellStyle name="Normal 10 2 2" xfId="3679" xr:uid="{00000000-0005-0000-0000-000089100000}"/>
    <cellStyle name="Normal 10 2 2 2" xfId="4311" xr:uid="{00000000-0005-0000-0000-00008A100000}"/>
    <cellStyle name="Normal 10 2 2 2 2" xfId="7479" xr:uid="{00000000-0005-0000-0000-00008B100000}"/>
    <cellStyle name="Normal 10 2 2 2 2 2" xfId="10147" xr:uid="{E087BF17-061C-43C8-A731-6F140A368B68}"/>
    <cellStyle name="Normal 10 2 2 2 2 2 2" xfId="15537" xr:uid="{E5AD9249-643C-4946-818B-1FAC48B01012}"/>
    <cellStyle name="Normal 10 2 2 2 2 3" xfId="12784" xr:uid="{3EAEFF34-337C-4F1C-AF5B-D96CCB1519D2}"/>
    <cellStyle name="Normal 10 2 2 2 3" xfId="8816" xr:uid="{D3687B48-432E-4B09-A8DF-34E9CF9342B9}"/>
    <cellStyle name="Normal 10 2 2 2 3 2" xfId="14175" xr:uid="{BD477297-390F-46D1-AE30-1F085688CAEA}"/>
    <cellStyle name="Normal 10 2 2 2 4" xfId="11453" xr:uid="{00ECD6F1-C996-4C5B-B7B5-D7350940F633}"/>
    <cellStyle name="Normal 10 2 2 3" xfId="6855" xr:uid="{00000000-0005-0000-0000-00008C100000}"/>
    <cellStyle name="Normal 10 2 2 3 2" xfId="9523" xr:uid="{2394A064-D015-473F-A6AE-1416645D55A1}"/>
    <cellStyle name="Normal 10 2 2 3 2 2" xfId="14913" xr:uid="{BB103140-4188-4A65-8501-73746E3EFD44}"/>
    <cellStyle name="Normal 10 2 2 3 3" xfId="12160" xr:uid="{C9F3F302-BD4B-4FE0-A796-8321DC7A663F}"/>
    <cellStyle name="Normal 10 2 2 4" xfId="8192" xr:uid="{12824D8B-EDC5-4C31-8C73-B64FEE5E5860}"/>
    <cellStyle name="Normal 10 2 2 4 2" xfId="13551" xr:uid="{1DA926AF-17B2-41C1-994A-59D13283FFE3}"/>
    <cellStyle name="Normal 10 2 2 5" xfId="10829" xr:uid="{1BC4822B-9BC7-4330-B9AA-2BEDEEF7270A}"/>
    <cellStyle name="Normal 10 2 3" xfId="3680" xr:uid="{00000000-0005-0000-0000-00008D100000}"/>
    <cellStyle name="Normal 10 2 3 2" xfId="4312" xr:uid="{00000000-0005-0000-0000-00008E100000}"/>
    <cellStyle name="Normal 10 2 3 2 2" xfId="7480" xr:uid="{00000000-0005-0000-0000-00008F100000}"/>
    <cellStyle name="Normal 10 2 3 2 2 2" xfId="10148" xr:uid="{5AD9CE46-9FC5-4B7A-8CE8-E944C7254C01}"/>
    <cellStyle name="Normal 10 2 3 2 2 2 2" xfId="15538" xr:uid="{A984D2F8-DD61-4EFB-BAB7-3B33DEA09402}"/>
    <cellStyle name="Normal 10 2 3 2 2 3" xfId="12785" xr:uid="{6C6BB531-B023-45D2-9035-EBADE09473A0}"/>
    <cellStyle name="Normal 10 2 3 2 3" xfId="8817" xr:uid="{FDA98FCD-E512-48AA-92CC-DF43DE9F22FF}"/>
    <cellStyle name="Normal 10 2 3 2 3 2" xfId="14176" xr:uid="{63171C17-6E7E-4235-AE6E-1F41F2E0A5D9}"/>
    <cellStyle name="Normal 10 2 3 2 4" xfId="11454" xr:uid="{576D5314-131D-4CB2-A4F8-71731C852BBD}"/>
    <cellStyle name="Normal 10 2 3 3" xfId="6856" xr:uid="{00000000-0005-0000-0000-000090100000}"/>
    <cellStyle name="Normal 10 2 3 3 2" xfId="9524" xr:uid="{B4D0F7FF-5250-494A-8B93-E80FCF364C18}"/>
    <cellStyle name="Normal 10 2 3 3 2 2" xfId="14914" xr:uid="{4976B871-1B75-4448-95BF-8FC81726A0E5}"/>
    <cellStyle name="Normal 10 2 3 3 3" xfId="12161" xr:uid="{16C9FA26-8057-45D4-A845-5EB0296B88FA}"/>
    <cellStyle name="Normal 10 2 3 4" xfId="8193" xr:uid="{77CD8112-8E51-4268-B6A9-3803D664D387}"/>
    <cellStyle name="Normal 10 2 3 4 2" xfId="13552" xr:uid="{566C00FE-0EA2-4C4C-B2A6-09EC52B87AF2}"/>
    <cellStyle name="Normal 10 2 3 5" xfId="10830" xr:uid="{FFC5EACC-9E2B-4D54-ACB9-4C15E1A3F9F5}"/>
    <cellStyle name="Normal 10 2 4" xfId="4310" xr:uid="{00000000-0005-0000-0000-000091100000}"/>
    <cellStyle name="Normal 10 2 4 2" xfId="7478" xr:uid="{00000000-0005-0000-0000-000092100000}"/>
    <cellStyle name="Normal 10 2 4 2 2" xfId="10146" xr:uid="{31320084-574E-4E54-91EB-AD3339E980CF}"/>
    <cellStyle name="Normal 10 2 4 2 2 2" xfId="15536" xr:uid="{DED115F3-4A5A-427F-9F40-684F3F552E3F}"/>
    <cellStyle name="Normal 10 2 4 2 3" xfId="12783" xr:uid="{D1C3D853-C27A-4CA1-A61B-9845BA15F73B}"/>
    <cellStyle name="Normal 10 2 4 3" xfId="8815" xr:uid="{355195AD-1FED-41C6-B2EE-F7BFB577A026}"/>
    <cellStyle name="Normal 10 2 4 3 2" xfId="14174" xr:uid="{FE660E4B-59EA-405D-A6BA-EC36FCB65EDF}"/>
    <cellStyle name="Normal 10 2 4 4" xfId="11452" xr:uid="{2D6FD943-8669-4BFA-8742-E8147E6B2F74}"/>
    <cellStyle name="Normal 10 2 5" xfId="3678" xr:uid="{00000000-0005-0000-0000-000093100000}"/>
    <cellStyle name="Normal 10 2 5 2" xfId="6854" xr:uid="{00000000-0005-0000-0000-000094100000}"/>
    <cellStyle name="Normal 10 2 5 2 2" xfId="9522" xr:uid="{B490E6CC-5917-4BA2-85F6-4F76C692C95E}"/>
    <cellStyle name="Normal 10 2 5 2 2 2" xfId="14912" xr:uid="{FC1FB48F-FC8F-4B1B-8754-E908348A2D68}"/>
    <cellStyle name="Normal 10 2 5 2 3" xfId="12159" xr:uid="{6E05855E-75AC-49A1-96FB-9B9FE8714F89}"/>
    <cellStyle name="Normal 10 2 5 3" xfId="8191" xr:uid="{AD9FC792-E82B-4FBB-A98B-CB4CB10C852B}"/>
    <cellStyle name="Normal 10 2 5 3 2" xfId="13550" xr:uid="{CC090A71-0962-47D8-A238-44C87BD4E993}"/>
    <cellStyle name="Normal 10 2 5 4" xfId="10828" xr:uid="{89F0BE1F-30E5-41FE-8B9F-786ECDC2232D}"/>
    <cellStyle name="Normal 10 3" xfId="3317" xr:uid="{00000000-0005-0000-0000-000095100000}"/>
    <cellStyle name="Normal 10 3 2" xfId="4313" xr:uid="{00000000-0005-0000-0000-000096100000}"/>
    <cellStyle name="Normal 10 3 2 2" xfId="7481" xr:uid="{00000000-0005-0000-0000-000097100000}"/>
    <cellStyle name="Normal 10 3 2 2 2" xfId="10149" xr:uid="{A6FD3809-6DEE-44C5-9B17-AD91AA005515}"/>
    <cellStyle name="Normal 10 3 2 2 2 2" xfId="15539" xr:uid="{0C1800D9-1D9E-47F9-BF20-CDF220A415D3}"/>
    <cellStyle name="Normal 10 3 2 2 3" xfId="12786" xr:uid="{E51D50E7-65CE-4290-BEA0-0A103B64C5FF}"/>
    <cellStyle name="Normal 10 3 2 3" xfId="8818" xr:uid="{EA3232EC-0C7E-4BDF-8756-A0F84066974A}"/>
    <cellStyle name="Normal 10 3 2 3 2" xfId="14177" xr:uid="{716C34B4-507A-4237-9BC0-B0C85EF35167}"/>
    <cellStyle name="Normal 10 3 2 4" xfId="11455" xr:uid="{DB258D88-5F6B-49EC-8110-7FA925CD9795}"/>
    <cellStyle name="Normal 10 3 3" xfId="3681" xr:uid="{00000000-0005-0000-0000-000098100000}"/>
    <cellStyle name="Normal 10 3 3 2" xfId="6857" xr:uid="{00000000-0005-0000-0000-000099100000}"/>
    <cellStyle name="Normal 10 3 3 2 2" xfId="9525" xr:uid="{5ED1023A-9D02-418C-A065-2A44FF8BBF2B}"/>
    <cellStyle name="Normal 10 3 3 2 2 2" xfId="14915" xr:uid="{BC882F30-0062-45B9-A3F0-84F43B6842B8}"/>
    <cellStyle name="Normal 10 3 3 2 3" xfId="12162" xr:uid="{6C2D726A-3723-4477-8FA7-B1126D495219}"/>
    <cellStyle name="Normal 10 3 3 3" xfId="8194" xr:uid="{59A9A55E-768A-46EF-B4C1-73C78BFA736A}"/>
    <cellStyle name="Normal 10 3 3 3 2" xfId="13553" xr:uid="{A8361E2D-C98C-4B56-97B7-7E933D1F1A2F}"/>
    <cellStyle name="Normal 10 3 3 4" xfId="10831" xr:uid="{90A55C2F-1BB1-43A0-9DD5-369E59FDA185}"/>
    <cellStyle name="Normal 10 4" xfId="3682" xr:uid="{00000000-0005-0000-0000-00009A100000}"/>
    <cellStyle name="Normal 10 4 2" xfId="4314" xr:uid="{00000000-0005-0000-0000-00009B100000}"/>
    <cellStyle name="Normal 10 4 2 2" xfId="7482" xr:uid="{00000000-0005-0000-0000-00009C100000}"/>
    <cellStyle name="Normal 10 4 2 2 2" xfId="10150" xr:uid="{1442A726-7BFB-42BD-BEC9-BAE55F1CAD10}"/>
    <cellStyle name="Normal 10 4 2 2 2 2" xfId="15540" xr:uid="{DAF47E31-7097-4E2E-83DA-94631DB3A1EF}"/>
    <cellStyle name="Normal 10 4 2 2 3" xfId="12787" xr:uid="{EDD4769A-B877-4B9A-B719-9E646D56BD7A}"/>
    <cellStyle name="Normal 10 4 2 3" xfId="8819" xr:uid="{0444036C-3BF0-4A3A-A126-76A00DD82E3D}"/>
    <cellStyle name="Normal 10 4 2 3 2" xfId="14178" xr:uid="{AD47A4EB-4F47-4138-96B6-E2CEBE03EF03}"/>
    <cellStyle name="Normal 10 4 2 4" xfId="11456" xr:uid="{1DC09836-D049-43AF-B696-CE4D343019B4}"/>
    <cellStyle name="Normal 10 4 3" xfId="6858" xr:uid="{00000000-0005-0000-0000-00009D100000}"/>
    <cellStyle name="Normal 10 4 3 2" xfId="9526" xr:uid="{7BD0A237-85D1-4D60-A920-38EFA3042495}"/>
    <cellStyle name="Normal 10 4 3 2 2" xfId="14916" xr:uid="{3C71F199-82FB-47A6-9593-2173229C346A}"/>
    <cellStyle name="Normal 10 4 3 3" xfId="12163" xr:uid="{A306F2DA-9EE4-474E-82CA-AE0C8A01052C}"/>
    <cellStyle name="Normal 10 4 4" xfId="8195" xr:uid="{D4579743-F49E-446A-BD0A-33CA6E149A99}"/>
    <cellStyle name="Normal 10 4 4 2" xfId="13554" xr:uid="{CE5A6900-1B74-465D-A9AF-6B5C8C71EBDF}"/>
    <cellStyle name="Normal 10 4 5" xfId="10832" xr:uid="{F3E41FF9-A9F5-4525-9F56-6D252A2B21B5}"/>
    <cellStyle name="Normal 10 5" xfId="3683" xr:uid="{00000000-0005-0000-0000-00009E100000}"/>
    <cellStyle name="Normal 10 5 2" xfId="4315" xr:uid="{00000000-0005-0000-0000-00009F100000}"/>
    <cellStyle name="Normal 10 5 2 2" xfId="7483" xr:uid="{00000000-0005-0000-0000-0000A0100000}"/>
    <cellStyle name="Normal 10 5 2 2 2" xfId="10151" xr:uid="{4AEF075B-0BFB-4741-800A-458EAE265D27}"/>
    <cellStyle name="Normal 10 5 2 2 2 2" xfId="15541" xr:uid="{DFB9083C-35F9-40F0-A545-A3C8D6E9B6AD}"/>
    <cellStyle name="Normal 10 5 2 2 3" xfId="12788" xr:uid="{D12C9E4D-7391-43FC-B7DA-56F299DDEE55}"/>
    <cellStyle name="Normal 10 5 2 3" xfId="8820" xr:uid="{DB78B969-D29D-4C1F-A7E7-0FA0CED15C0D}"/>
    <cellStyle name="Normal 10 5 2 3 2" xfId="14179" xr:uid="{079F0FD5-66A0-4D66-B369-81F9D0C04485}"/>
    <cellStyle name="Normal 10 5 2 4" xfId="11457" xr:uid="{E093B235-4BED-46A3-9D97-CED1C79FD0EB}"/>
    <cellStyle name="Normal 10 5 3" xfId="6859" xr:uid="{00000000-0005-0000-0000-0000A1100000}"/>
    <cellStyle name="Normal 10 5 3 2" xfId="9527" xr:uid="{F1E988A0-879F-47CC-B718-D6919BED9110}"/>
    <cellStyle name="Normal 10 5 3 2 2" xfId="14917" xr:uid="{ADDAB25E-7157-456E-93C1-7DEA00E6FD3D}"/>
    <cellStyle name="Normal 10 5 3 3" xfId="12164" xr:uid="{23066DF2-B526-48DD-B880-3F515FCBA54B}"/>
    <cellStyle name="Normal 10 5 4" xfId="8196" xr:uid="{2B7B1891-F816-4F9C-BC43-87555FBEFC9F}"/>
    <cellStyle name="Normal 10 5 4 2" xfId="13555" xr:uid="{DF8442AF-D884-4E11-9FF2-920C927DC6FC}"/>
    <cellStyle name="Normal 10 5 5" xfId="10833" xr:uid="{DFBE835B-58D3-4085-8A51-F841171289B1}"/>
    <cellStyle name="Normal 10 6" xfId="4309" xr:uid="{00000000-0005-0000-0000-0000A2100000}"/>
    <cellStyle name="Normal 10 6 2" xfId="7477" xr:uid="{00000000-0005-0000-0000-0000A3100000}"/>
    <cellStyle name="Normal 10 6 2 2" xfId="10145" xr:uid="{8B6759F1-D37C-4A4D-9ECD-11D803C99388}"/>
    <cellStyle name="Normal 10 6 2 2 2" xfId="15535" xr:uid="{0DB5C216-CB7D-4A32-8476-7CC23A1CCE29}"/>
    <cellStyle name="Normal 10 6 2 3" xfId="12782" xr:uid="{01DC8F34-8EE1-4905-A998-A653177CC677}"/>
    <cellStyle name="Normal 10 6 3" xfId="8814" xr:uid="{003AE7EC-328E-4B34-8BE9-7185B16B0829}"/>
    <cellStyle name="Normal 10 6 3 2" xfId="14173" xr:uid="{1FF90059-262E-4AE8-BF86-1C5E93FCA91F}"/>
    <cellStyle name="Normal 10 6 4" xfId="11451" xr:uid="{F9E2CC54-AE3E-474D-BA14-DE212C7D40A7}"/>
    <cellStyle name="Normal 10 7" xfId="3677" xr:uid="{00000000-0005-0000-0000-0000A4100000}"/>
    <cellStyle name="Normal 10 7 2" xfId="6853" xr:uid="{00000000-0005-0000-0000-0000A5100000}"/>
    <cellStyle name="Normal 10 7 2 2" xfId="9521" xr:uid="{D48A29CB-ECCA-4254-B174-A33C00F50285}"/>
    <cellStyle name="Normal 10 7 2 2 2" xfId="14911" xr:uid="{9A4776B1-F65D-4EE1-9A13-8DBFE4FCB753}"/>
    <cellStyle name="Normal 10 7 2 3" xfId="12158" xr:uid="{335B6D52-DC84-441A-B133-2183740D94A4}"/>
    <cellStyle name="Normal 10 7 3" xfId="8190" xr:uid="{5B0E998C-BDE2-492F-B282-E45D9AEB601F}"/>
    <cellStyle name="Normal 10 7 3 2" xfId="13549" xr:uid="{CC18C8C3-DDA6-4E25-BCF4-C030CF3DB3A1}"/>
    <cellStyle name="Normal 10 7 4" xfId="10827" xr:uid="{26ADAD34-4A19-4D0D-B44D-0A24CF098A95}"/>
    <cellStyle name="Normal 11" xfId="2005" xr:uid="{00000000-0005-0000-0000-0000A6100000}"/>
    <cellStyle name="Normal 11 10" xfId="6229" xr:uid="{00000000-0005-0000-0000-0000A7100000}"/>
    <cellStyle name="Normal 11 10 2" xfId="9266" xr:uid="{C0D8B2EA-3511-4352-9125-F8B746AE28FA}"/>
    <cellStyle name="Normal 11 10 2 2" xfId="14648" xr:uid="{6C552B83-6DB2-44BD-B287-C53DB8A1F4CE}"/>
    <cellStyle name="Normal 11 10 3" xfId="11903" xr:uid="{202773A7-B8EA-4EB5-B2E3-9E974740C8DF}"/>
    <cellStyle name="Normal 11 11" xfId="7921" xr:uid="{EA090DE3-4029-4B9E-B332-F973D6DEE62C}"/>
    <cellStyle name="Normal 11 11 2" xfId="13258" xr:uid="{6FE61A61-A69F-4DB5-9D79-E217E6D78E66}"/>
    <cellStyle name="Normal 11 12" xfId="10572" xr:uid="{385195A9-6FEE-47A4-A188-09958D898F4F}"/>
    <cellStyle name="Normal 11 2" xfId="3261" xr:uid="{00000000-0005-0000-0000-0000A8100000}"/>
    <cellStyle name="Normal 11 2 10" xfId="10582" xr:uid="{78CA2FC0-A64E-4905-AF18-18BEF55DEECA}"/>
    <cellStyle name="Normal 11 2 2" xfId="3310" xr:uid="{00000000-0005-0000-0000-0000A9100000}"/>
    <cellStyle name="Normal 11 2 2 2" xfId="4318" xr:uid="{00000000-0005-0000-0000-0000AA100000}"/>
    <cellStyle name="Normal 11 2 2 2 2" xfId="7486" xr:uid="{00000000-0005-0000-0000-0000AB100000}"/>
    <cellStyle name="Normal 11 2 2 2 2 2" xfId="10154" xr:uid="{178D9548-3EFF-4279-B6B3-2EAA70C97BA9}"/>
    <cellStyle name="Normal 11 2 2 2 2 2 2" xfId="15544" xr:uid="{01A197F7-F0BA-4784-A162-64780F27DEEE}"/>
    <cellStyle name="Normal 11 2 2 2 2 3" xfId="12791" xr:uid="{A6DC0DFA-A9EB-4128-BB42-0A2ED17F25B2}"/>
    <cellStyle name="Normal 11 2 2 2 3" xfId="8823" xr:uid="{EAE9D972-FEEA-4F3C-B348-FBF9A0BBB4BC}"/>
    <cellStyle name="Normal 11 2 2 2 3 2" xfId="14182" xr:uid="{91DAFC3E-CAC6-4BC2-8A83-2B2B8CDE32DF}"/>
    <cellStyle name="Normal 11 2 2 2 4" xfId="11460" xr:uid="{C2503B56-14E8-483A-A052-320705C27AFC}"/>
    <cellStyle name="Normal 11 2 2 3" xfId="3686" xr:uid="{00000000-0005-0000-0000-0000AC100000}"/>
    <cellStyle name="Normal 11 2 2 3 2" xfId="6862" xr:uid="{00000000-0005-0000-0000-0000AD100000}"/>
    <cellStyle name="Normal 11 2 2 3 2 2" xfId="9530" xr:uid="{13CD9549-0435-4622-95DA-684ABCE3DD5C}"/>
    <cellStyle name="Normal 11 2 2 3 2 2 2" xfId="14920" xr:uid="{1636551E-51AF-49C4-9BDE-099B42617AE0}"/>
    <cellStyle name="Normal 11 2 2 3 2 3" xfId="12167" xr:uid="{69883DCE-E2C6-434E-B6EC-AAD378C5312E}"/>
    <cellStyle name="Normal 11 2 2 3 3" xfId="8199" xr:uid="{8BD5B3DC-54E4-4E93-9D23-739A660CB156}"/>
    <cellStyle name="Normal 11 2 2 3 3 2" xfId="13558" xr:uid="{D0598F13-802E-47B0-AA2C-D8750755ED9E}"/>
    <cellStyle name="Normal 11 2 2 3 4" xfId="10836" xr:uid="{B30AA9C1-FA02-4550-90E6-A3B276B8609F}"/>
    <cellStyle name="Normal 11 2 2 4" xfId="6619" xr:uid="{00000000-0005-0000-0000-0000AE100000}"/>
    <cellStyle name="Normal 11 2 2 4 2" xfId="9296" xr:uid="{62A75DFD-BA83-4EA2-AFBB-0C122C12DEFA}"/>
    <cellStyle name="Normal 11 2 2 4 2 2" xfId="14686" xr:uid="{6C193EC6-DA5E-4D94-ABD9-FCA9E470CFA4}"/>
    <cellStyle name="Normal 11 2 2 4 3" xfId="11933" xr:uid="{238DB2CC-0A6D-445F-874A-B457789D224A}"/>
    <cellStyle name="Normal 11 2 2 5" xfId="7956" xr:uid="{927B31DE-D95C-4CCC-8664-505BAE79D751}"/>
    <cellStyle name="Normal 11 2 2 5 2" xfId="13316" xr:uid="{6B636F82-4C18-487B-ACEB-6F6947671D8D}"/>
    <cellStyle name="Normal 11 2 2 6" xfId="10602" xr:uid="{18D5852C-C474-4C5C-A2D9-11D825B8A825}"/>
    <cellStyle name="Normal 11 2 3" xfId="3687" xr:uid="{00000000-0005-0000-0000-0000AF100000}"/>
    <cellStyle name="Normal 11 2 3 2" xfId="4319" xr:uid="{00000000-0005-0000-0000-0000B0100000}"/>
    <cellStyle name="Normal 11 2 3 2 2" xfId="7487" xr:uid="{00000000-0005-0000-0000-0000B1100000}"/>
    <cellStyle name="Normal 11 2 3 2 2 2" xfId="10155" xr:uid="{BE30D93F-743E-462D-9AFD-70BC01A2A8D2}"/>
    <cellStyle name="Normal 11 2 3 2 2 2 2" xfId="15545" xr:uid="{F948D870-EDD4-4C11-9A4A-1F813B2574B4}"/>
    <cellStyle name="Normal 11 2 3 2 2 3" xfId="12792" xr:uid="{27DE9189-9401-4ED1-9DD6-796977AD9FAD}"/>
    <cellStyle name="Normal 11 2 3 2 3" xfId="8824" xr:uid="{3BBB5648-0BE5-40C4-B990-9E495E59AB7C}"/>
    <cellStyle name="Normal 11 2 3 2 3 2" xfId="14183" xr:uid="{5F7E2E33-A9AD-4AE3-9080-FFE7B2C54B5C}"/>
    <cellStyle name="Normal 11 2 3 2 4" xfId="11461" xr:uid="{47E6D5DE-A14D-4B23-BFA8-8196ABEF7171}"/>
    <cellStyle name="Normal 11 2 3 3" xfId="6863" xr:uid="{00000000-0005-0000-0000-0000B2100000}"/>
    <cellStyle name="Normal 11 2 3 3 2" xfId="9531" xr:uid="{0AFC5054-4C6F-4079-94FF-D95039419362}"/>
    <cellStyle name="Normal 11 2 3 3 2 2" xfId="14921" xr:uid="{8C912793-F237-4C2E-BFE7-DFE062F9E5A8}"/>
    <cellStyle name="Normal 11 2 3 3 3" xfId="12168" xr:uid="{C560A997-A2B3-460B-A337-93E4FEFAB7ED}"/>
    <cellStyle name="Normal 11 2 3 4" xfId="8200" xr:uid="{FCE96C69-675E-4A1E-8811-70DDC8FD9899}"/>
    <cellStyle name="Normal 11 2 3 4 2" xfId="13559" xr:uid="{E6AD02C8-8F84-4B24-A092-85E53848216A}"/>
    <cellStyle name="Normal 11 2 3 5" xfId="10837" xr:uid="{B267CD38-6F39-4967-9828-CFA580FAC578}"/>
    <cellStyle name="Normal 11 2 4" xfId="3688" xr:uid="{00000000-0005-0000-0000-0000B3100000}"/>
    <cellStyle name="Normal 11 2 4 2" xfId="4320" xr:uid="{00000000-0005-0000-0000-0000B4100000}"/>
    <cellStyle name="Normal 11 2 4 2 2" xfId="7488" xr:uid="{00000000-0005-0000-0000-0000B5100000}"/>
    <cellStyle name="Normal 11 2 4 2 2 2" xfId="10156" xr:uid="{1B197B69-B801-4111-ADB4-53EA95DBDF66}"/>
    <cellStyle name="Normal 11 2 4 2 2 2 2" xfId="15546" xr:uid="{3AC32CAA-9BE5-4BEA-B1C2-F18C54E406B1}"/>
    <cellStyle name="Normal 11 2 4 2 2 3" xfId="12793" xr:uid="{3B5351A9-9FF3-454C-B22C-62C1ADDD611A}"/>
    <cellStyle name="Normal 11 2 4 2 3" xfId="8825" xr:uid="{084ED02B-71D7-4D3A-AB9E-A1755E3C5DA8}"/>
    <cellStyle name="Normal 11 2 4 2 3 2" xfId="14184" xr:uid="{57C79A34-A5BF-44DF-BCBD-D80B801CDBD1}"/>
    <cellStyle name="Normal 11 2 4 2 4" xfId="11462" xr:uid="{39F65D10-D841-48B4-A624-1EF40353A9EF}"/>
    <cellStyle name="Normal 11 2 4 3" xfId="6864" xr:uid="{00000000-0005-0000-0000-0000B6100000}"/>
    <cellStyle name="Normal 11 2 4 3 2" xfId="9532" xr:uid="{865A0732-8D45-416B-8E51-27A690B944DD}"/>
    <cellStyle name="Normal 11 2 4 3 2 2" xfId="14922" xr:uid="{FE77785F-B3B1-4F6C-B145-FED9E7F6CE9B}"/>
    <cellStyle name="Normal 11 2 4 3 3" xfId="12169" xr:uid="{B19001CE-FA7B-4451-811C-524015210363}"/>
    <cellStyle name="Normal 11 2 4 4" xfId="8201" xr:uid="{F7A943CC-BB77-401F-A9A5-EDCA98F715FB}"/>
    <cellStyle name="Normal 11 2 4 4 2" xfId="13560" xr:uid="{C4FE3971-1C49-4E2F-A9A0-3579B1411C8F}"/>
    <cellStyle name="Normal 11 2 4 5" xfId="10838" xr:uid="{484A8D5C-373D-40D7-B588-D273CB86D699}"/>
    <cellStyle name="Normal 11 2 5" xfId="4317" xr:uid="{00000000-0005-0000-0000-0000B7100000}"/>
    <cellStyle name="Normal 11 2 5 2" xfId="7485" xr:uid="{00000000-0005-0000-0000-0000B8100000}"/>
    <cellStyle name="Normal 11 2 5 2 2" xfId="10153" xr:uid="{F54329FF-6F23-4D78-87D7-BE2E4B971CAD}"/>
    <cellStyle name="Normal 11 2 5 2 2 2" xfId="15543" xr:uid="{728922A3-F4C6-48FC-A04C-ED30FA2FBCB0}"/>
    <cellStyle name="Normal 11 2 5 2 3" xfId="12790" xr:uid="{B7E52754-BB93-4C35-9A10-8E489EEF3CE7}"/>
    <cellStyle name="Normal 11 2 5 3" xfId="8822" xr:uid="{645B5795-CC01-4899-9343-7C82E1A741B9}"/>
    <cellStyle name="Normal 11 2 5 3 2" xfId="14181" xr:uid="{66C590D7-D374-4FAE-B27A-2BD5C5862208}"/>
    <cellStyle name="Normal 11 2 5 4" xfId="11459" xr:uid="{9B3B48C0-1CA0-42C6-BA7D-46B52D68D5DF}"/>
    <cellStyle name="Normal 11 2 6" xfId="3685" xr:uid="{00000000-0005-0000-0000-0000B9100000}"/>
    <cellStyle name="Normal 11 2 6 2" xfId="6861" xr:uid="{00000000-0005-0000-0000-0000BA100000}"/>
    <cellStyle name="Normal 11 2 6 2 2" xfId="9529" xr:uid="{69A6AD0E-FCEC-4F45-92BA-B74E98496A6F}"/>
    <cellStyle name="Normal 11 2 6 2 2 2" xfId="14919" xr:uid="{0BB9FAB5-5EEA-41DF-B1E3-43D62DE2971E}"/>
    <cellStyle name="Normal 11 2 6 2 3" xfId="12166" xr:uid="{FCEC0810-0B16-49F9-9E92-20678501DF2E}"/>
    <cellStyle name="Normal 11 2 6 3" xfId="8198" xr:uid="{C7ED420C-33EB-455E-90E7-599A1F0D3E07}"/>
    <cellStyle name="Normal 11 2 6 3 2" xfId="13557" xr:uid="{B22756FF-5E4B-47CB-AD42-492E84E98A69}"/>
    <cellStyle name="Normal 11 2 6 4" xfId="10835" xr:uid="{4F1A7861-E4B4-4924-8740-C3ACBDE7EDA2}"/>
    <cellStyle name="Normal 11 2 7" xfId="5676" xr:uid="{00000000-0005-0000-0000-0000BB100000}"/>
    <cellStyle name="Normal 11 2 7 2" xfId="9256" xr:uid="{7B23B56E-0F2E-4FE3-9DA6-FF6B61AB9A21}"/>
    <cellStyle name="Normal 11 2 7 2 2" xfId="14629" xr:uid="{A8ECC21D-8565-4D65-8A22-E5028179E7F1}"/>
    <cellStyle name="Normal 11 2 7 3" xfId="11893" xr:uid="{FA7D13A5-97F0-40F3-80C1-089E1D19DBB0}"/>
    <cellStyle name="Normal 11 2 8" xfId="6598" xr:uid="{00000000-0005-0000-0000-0000BC100000}"/>
    <cellStyle name="Normal 11 2 8 2" xfId="9276" xr:uid="{C0C4C010-2407-42E4-91AE-E74611887EC2}"/>
    <cellStyle name="Normal 11 2 8 2 2" xfId="14665" xr:uid="{0D510A36-E546-4612-9AAC-DD4C265E7204}"/>
    <cellStyle name="Normal 11 2 8 3" xfId="11913" xr:uid="{585F7E68-6B9D-4434-B730-71087D48A3CC}"/>
    <cellStyle name="Normal 11 2 9" xfId="7936" xr:uid="{9A6C46C9-F0EF-480B-AF29-190D5078A92C}"/>
    <cellStyle name="Normal 11 2 9 2" xfId="13296" xr:uid="{48DFE4EF-A7D6-44FB-BB3D-7B5DE321A614}"/>
    <cellStyle name="Normal 11 3" xfId="3291" xr:uid="{00000000-0005-0000-0000-0000BD100000}"/>
    <cellStyle name="Normal 11 3 2" xfId="3690" xr:uid="{00000000-0005-0000-0000-0000BE100000}"/>
    <cellStyle name="Normal 11 3 2 2" xfId="4322" xr:uid="{00000000-0005-0000-0000-0000BF100000}"/>
    <cellStyle name="Normal 11 3 2 2 2" xfId="7490" xr:uid="{00000000-0005-0000-0000-0000C0100000}"/>
    <cellStyle name="Normal 11 3 2 2 2 2" xfId="10158" xr:uid="{9A92563F-4A0D-477F-A230-67590312BF0B}"/>
    <cellStyle name="Normal 11 3 2 2 2 2 2" xfId="15548" xr:uid="{2AB7C714-4A3D-4790-81E3-06F9A124BF3E}"/>
    <cellStyle name="Normal 11 3 2 2 2 3" xfId="12795" xr:uid="{5C105E5A-D830-4C4C-B9A2-DEAB7548048B}"/>
    <cellStyle name="Normal 11 3 2 2 3" xfId="8827" xr:uid="{92D3F55A-48E2-426F-9DD3-E0F4693291AB}"/>
    <cellStyle name="Normal 11 3 2 2 3 2" xfId="14186" xr:uid="{424C71B0-65AC-47BF-806B-C7BE9F64851E}"/>
    <cellStyle name="Normal 11 3 2 2 4" xfId="11464" xr:uid="{E7E98378-2736-4375-80A5-1208DC529781}"/>
    <cellStyle name="Normal 11 3 2 3" xfId="6866" xr:uid="{00000000-0005-0000-0000-0000C1100000}"/>
    <cellStyle name="Normal 11 3 2 3 2" xfId="9534" xr:uid="{611E5C79-1A14-4539-97F1-C48B8E422E58}"/>
    <cellStyle name="Normal 11 3 2 3 2 2" xfId="14924" xr:uid="{92306440-8812-41E5-8A72-4935AC97160F}"/>
    <cellStyle name="Normal 11 3 2 3 3" xfId="12171" xr:uid="{D0970618-7BA9-43B5-866D-9E66D11CAC25}"/>
    <cellStyle name="Normal 11 3 2 4" xfId="8203" xr:uid="{5BBA6DD6-1BD4-41D8-994F-EE64019DC937}"/>
    <cellStyle name="Normal 11 3 2 4 2" xfId="13562" xr:uid="{357DCB1D-8599-4A7F-AFE3-5AFBDAE9C602}"/>
    <cellStyle name="Normal 11 3 2 5" xfId="10840" xr:uid="{C81622C5-584B-48C0-9E43-8702A8C3FCDF}"/>
    <cellStyle name="Normal 11 3 3" xfId="3691" xr:uid="{00000000-0005-0000-0000-0000C2100000}"/>
    <cellStyle name="Normal 11 3 3 2" xfId="4323" xr:uid="{00000000-0005-0000-0000-0000C3100000}"/>
    <cellStyle name="Normal 11 3 3 2 2" xfId="7491" xr:uid="{00000000-0005-0000-0000-0000C4100000}"/>
    <cellStyle name="Normal 11 3 3 2 2 2" xfId="10159" xr:uid="{5779BC21-FECD-4968-A0ED-74060A8B2B9B}"/>
    <cellStyle name="Normal 11 3 3 2 2 2 2" xfId="15549" xr:uid="{549CF0D3-9250-403F-B6E8-75B26904AC15}"/>
    <cellStyle name="Normal 11 3 3 2 2 3" xfId="12796" xr:uid="{DB940814-493D-44B5-8745-558F68C3B93D}"/>
    <cellStyle name="Normal 11 3 3 2 3" xfId="8828" xr:uid="{3446246E-DCB9-4621-AC15-119CDF1248B5}"/>
    <cellStyle name="Normal 11 3 3 2 3 2" xfId="14187" xr:uid="{AFCDF60B-8D9E-462F-957D-D7DD577C8A1C}"/>
    <cellStyle name="Normal 11 3 3 2 4" xfId="11465" xr:uid="{2591855E-8489-4F0B-AB5D-362B3C1C5FAB}"/>
    <cellStyle name="Normal 11 3 3 3" xfId="6867" xr:uid="{00000000-0005-0000-0000-0000C5100000}"/>
    <cellStyle name="Normal 11 3 3 3 2" xfId="9535" xr:uid="{E27F7FDA-BBB7-42D6-80A4-149C9914EA80}"/>
    <cellStyle name="Normal 11 3 3 3 2 2" xfId="14925" xr:uid="{BFA0EA39-1A10-4022-BE0C-AEF03E0A5A8E}"/>
    <cellStyle name="Normal 11 3 3 3 3" xfId="12172" xr:uid="{5E8A87E7-04A0-44C0-8915-9F5B93993457}"/>
    <cellStyle name="Normal 11 3 3 4" xfId="8204" xr:uid="{52E8C4F4-3A31-449D-A04A-168E3626146A}"/>
    <cellStyle name="Normal 11 3 3 4 2" xfId="13563" xr:uid="{378C0705-16B9-473D-AA24-11F6AA436FD8}"/>
    <cellStyle name="Normal 11 3 3 5" xfId="10841" xr:uid="{945AD83E-565C-4A12-8E8B-187D7F821B35}"/>
    <cellStyle name="Normal 11 3 4" xfId="4321" xr:uid="{00000000-0005-0000-0000-0000C6100000}"/>
    <cellStyle name="Normal 11 3 4 2" xfId="7489" xr:uid="{00000000-0005-0000-0000-0000C7100000}"/>
    <cellStyle name="Normal 11 3 4 2 2" xfId="10157" xr:uid="{C10D9D14-A413-4682-A3DC-97F91E5C5AFA}"/>
    <cellStyle name="Normal 11 3 4 2 2 2" xfId="15547" xr:uid="{A3507CBF-7009-47BE-A9E6-4A689945CFB5}"/>
    <cellStyle name="Normal 11 3 4 2 3" xfId="12794" xr:uid="{1FD2B395-7356-4F78-B38E-8DB754DDB8EB}"/>
    <cellStyle name="Normal 11 3 4 3" xfId="8826" xr:uid="{CD73FA88-C41A-412B-AA4F-5037A5B9280C}"/>
    <cellStyle name="Normal 11 3 4 3 2" xfId="14185" xr:uid="{4B0ED424-64A8-4E1B-BDC6-4AC4D4D92FB7}"/>
    <cellStyle name="Normal 11 3 4 4" xfId="11463" xr:uid="{D939201C-B653-41F0-85B9-5E0DC6236616}"/>
    <cellStyle name="Normal 11 3 5" xfId="3689" xr:uid="{00000000-0005-0000-0000-0000C8100000}"/>
    <cellStyle name="Normal 11 3 5 2" xfId="6865" xr:uid="{00000000-0005-0000-0000-0000C9100000}"/>
    <cellStyle name="Normal 11 3 5 2 2" xfId="9533" xr:uid="{52378087-95E5-4FE8-8F5B-8B4E666C533D}"/>
    <cellStyle name="Normal 11 3 5 2 2 2" xfId="14923" xr:uid="{23E89CB0-A634-4788-A284-BBD65C41B19B}"/>
    <cellStyle name="Normal 11 3 5 2 3" xfId="12170" xr:uid="{45F04FBB-FA97-468E-936D-CBBF9D8448FE}"/>
    <cellStyle name="Normal 11 3 5 3" xfId="8202" xr:uid="{FE75CEF7-99AD-426A-9447-4C1B25946C4F}"/>
    <cellStyle name="Normal 11 3 5 3 2" xfId="13561" xr:uid="{E808C3FA-6393-4186-B7A9-6E69AAB51336}"/>
    <cellStyle name="Normal 11 3 5 4" xfId="10839" xr:uid="{08D65703-15EE-400A-85B9-8AA1FD171D33}"/>
    <cellStyle name="Normal 11 3 6" xfId="6609" xr:uid="{00000000-0005-0000-0000-0000CA100000}"/>
    <cellStyle name="Normal 11 3 6 2" xfId="9286" xr:uid="{30E58E66-AC58-4EBE-B251-B61BD60D968D}"/>
    <cellStyle name="Normal 11 3 6 2 2" xfId="14676" xr:uid="{6320A4C6-6C71-461A-9152-247350F16D54}"/>
    <cellStyle name="Normal 11 3 6 3" xfId="11923" xr:uid="{7C42AFE2-2EF8-4B62-A382-91F27DA60A77}"/>
    <cellStyle name="Normal 11 3 7" xfId="7946" xr:uid="{C19B8C8F-E877-49F1-858E-6F874F4C909C}"/>
    <cellStyle name="Normal 11 3 7 2" xfId="13306" xr:uid="{36ADA1B4-31EF-4D9A-92D8-BEC53AA2FAD3}"/>
    <cellStyle name="Normal 11 3 8" xfId="10592" xr:uid="{E913A680-2B74-422C-AA54-D80BF079714B}"/>
    <cellStyle name="Normal 11 4" xfId="3692" xr:uid="{00000000-0005-0000-0000-0000CB100000}"/>
    <cellStyle name="Normal 11 4 2" xfId="4324" xr:uid="{00000000-0005-0000-0000-0000CC100000}"/>
    <cellStyle name="Normal 11 4 2 2" xfId="7492" xr:uid="{00000000-0005-0000-0000-0000CD100000}"/>
    <cellStyle name="Normal 11 4 2 2 2" xfId="10160" xr:uid="{535F3827-52B6-419C-A84B-78F9105A6030}"/>
    <cellStyle name="Normal 11 4 2 2 2 2" xfId="15550" xr:uid="{92F7B015-DDE5-4506-8A54-014EA85BDB65}"/>
    <cellStyle name="Normal 11 4 2 2 3" xfId="12797" xr:uid="{EDE768E6-FB32-4DDC-A997-936C5AC26EB0}"/>
    <cellStyle name="Normal 11 4 2 3" xfId="8829" xr:uid="{C6D10975-091D-47EB-B698-DAB059B7AA71}"/>
    <cellStyle name="Normal 11 4 2 3 2" xfId="14188" xr:uid="{E8A0E7B9-544C-481F-80B4-200F5DA6C4BA}"/>
    <cellStyle name="Normal 11 4 2 4" xfId="11466" xr:uid="{A20AAFCA-1C37-4754-B9FC-925D260B19A6}"/>
    <cellStyle name="Normal 11 4 3" xfId="6868" xr:uid="{00000000-0005-0000-0000-0000CE100000}"/>
    <cellStyle name="Normal 11 4 3 2" xfId="9536" xr:uid="{8BF9F102-FE1C-4FDE-BCBA-40167286E237}"/>
    <cellStyle name="Normal 11 4 3 2 2" xfId="14926" xr:uid="{28B84141-A3C9-4E2E-83FA-F97CEC1CDF08}"/>
    <cellStyle name="Normal 11 4 3 3" xfId="12173" xr:uid="{BDA9A494-E019-4E87-B93E-6ED5375CFD24}"/>
    <cellStyle name="Normal 11 4 4" xfId="8205" xr:uid="{B4A0943D-DC0C-4283-8783-1148FCD40375}"/>
    <cellStyle name="Normal 11 4 4 2" xfId="15991" xr:uid="{BA635EA2-A9F3-4C69-8C38-20D23FD2A553}"/>
    <cellStyle name="Normal 11 4 4 3" xfId="15957" xr:uid="{9F45FD0C-A7CF-4C61-BA8D-1971CCD9CE5A}"/>
    <cellStyle name="Normal 11 4 5" xfId="13564" xr:uid="{BC2AD529-CDE2-413B-8320-D398AD8FF4FC}"/>
    <cellStyle name="Normal 11 4 6" xfId="10842" xr:uid="{C0AC5C59-8807-4837-A00A-F3F3932A06E2}"/>
    <cellStyle name="Normal 11 5" xfId="3693" xr:uid="{00000000-0005-0000-0000-0000CF100000}"/>
    <cellStyle name="Normal 11 5 2" xfId="4325" xr:uid="{00000000-0005-0000-0000-0000D0100000}"/>
    <cellStyle name="Normal 11 5 2 2" xfId="7493" xr:uid="{00000000-0005-0000-0000-0000D1100000}"/>
    <cellStyle name="Normal 11 5 2 2 2" xfId="10161" xr:uid="{B2C9CC2C-DFFC-4177-992B-2351AC702993}"/>
    <cellStyle name="Normal 11 5 2 2 2 2" xfId="15551" xr:uid="{D28BE04C-C23F-459E-BFC7-D878FA6D710A}"/>
    <cellStyle name="Normal 11 5 2 2 3" xfId="12798" xr:uid="{161843F3-1CB0-418C-B5B0-586C861F8164}"/>
    <cellStyle name="Normal 11 5 2 3" xfId="8830" xr:uid="{AAC5E89C-12F6-497C-811E-88AF49998E07}"/>
    <cellStyle name="Normal 11 5 2 3 2" xfId="14189" xr:uid="{44D794EF-4EFE-4572-BF52-CD6EE8ABC437}"/>
    <cellStyle name="Normal 11 5 2 4" xfId="11467" xr:uid="{C50AD2BC-4028-4B32-9081-F2FD360EA470}"/>
    <cellStyle name="Normal 11 5 3" xfId="6869" xr:uid="{00000000-0005-0000-0000-0000D2100000}"/>
    <cellStyle name="Normal 11 5 3 2" xfId="9537" xr:uid="{73E07FCA-1B39-4F01-97D7-3DD7369137A4}"/>
    <cellStyle name="Normal 11 5 3 2 2" xfId="14927" xr:uid="{2F905C42-10BA-4ED3-A225-0ABB15DD22D2}"/>
    <cellStyle name="Normal 11 5 3 3" xfId="12174" xr:uid="{681A30B2-FB11-4CD2-9983-70984A9B9CA6}"/>
    <cellStyle name="Normal 11 5 4" xfId="8206" xr:uid="{341C53CB-7A35-4708-A24E-DA7C93C2244E}"/>
    <cellStyle name="Normal 11 5 4 2" xfId="13565" xr:uid="{A18CE087-65BE-4C00-9DE9-FD81628CADF1}"/>
    <cellStyle name="Normal 11 5 5" xfId="10843" xr:uid="{2197C376-A98E-4AAC-B4B4-82AF6550B21E}"/>
    <cellStyle name="Normal 11 6" xfId="3694" xr:uid="{00000000-0005-0000-0000-0000D3100000}"/>
    <cellStyle name="Normal 11 6 2" xfId="4326" xr:uid="{00000000-0005-0000-0000-0000D4100000}"/>
    <cellStyle name="Normal 11 6 2 2" xfId="7494" xr:uid="{00000000-0005-0000-0000-0000D5100000}"/>
    <cellStyle name="Normal 11 6 2 2 2" xfId="10162" xr:uid="{63BFB2E7-D6B6-46F8-8279-D01D09A4A496}"/>
    <cellStyle name="Normal 11 6 2 2 2 2" xfId="15552" xr:uid="{04447879-380A-4FE6-856A-F8CB72A4A067}"/>
    <cellStyle name="Normal 11 6 2 2 3" xfId="12799" xr:uid="{D8536ABD-A3F3-4610-8717-AE799A412B2C}"/>
    <cellStyle name="Normal 11 6 2 3" xfId="8831" xr:uid="{1A698397-79E3-4F74-9339-7D95882E5DF0}"/>
    <cellStyle name="Normal 11 6 2 3 2" xfId="14190" xr:uid="{7C6791C3-44ED-459C-9B02-BE493DB8912C}"/>
    <cellStyle name="Normal 11 6 2 4" xfId="11468" xr:uid="{102F2518-D3AE-4810-BFCE-3A9B20BC3AB5}"/>
    <cellStyle name="Normal 11 6 3" xfId="6870" xr:uid="{00000000-0005-0000-0000-0000D6100000}"/>
    <cellStyle name="Normal 11 6 3 2" xfId="9538" xr:uid="{2579C94D-AAB1-4542-8BCB-719480AC8CAB}"/>
    <cellStyle name="Normal 11 6 3 2 2" xfId="14928" xr:uid="{EE3EDEEE-0A87-4241-ADCD-F8564E1B520E}"/>
    <cellStyle name="Normal 11 6 3 3" xfId="12175" xr:uid="{BE2438BB-714C-43D3-A155-E3B9C2D88128}"/>
    <cellStyle name="Normal 11 6 4" xfId="8207" xr:uid="{2A4023C5-3AFB-46E6-90EB-1E3F664B585D}"/>
    <cellStyle name="Normal 11 6 4 2" xfId="13566" xr:uid="{438FE1F5-AE50-42F1-8F98-1A8209346CC9}"/>
    <cellStyle name="Normal 11 6 5" xfId="10844" xr:uid="{23667499-0658-47E9-A1A8-53B670108B7C}"/>
    <cellStyle name="Normal 11 7" xfId="4316" xr:uid="{00000000-0005-0000-0000-0000D7100000}"/>
    <cellStyle name="Normal 11 7 2" xfId="7484" xr:uid="{00000000-0005-0000-0000-0000D8100000}"/>
    <cellStyle name="Normal 11 7 2 2" xfId="10152" xr:uid="{E0FE5E65-DBF4-4626-84CE-2F9FE6E2AAB9}"/>
    <cellStyle name="Normal 11 7 2 2 2" xfId="15542" xr:uid="{B8AF280E-28D2-485C-A1EA-AD4289C25E2C}"/>
    <cellStyle name="Normal 11 7 2 3" xfId="12789" xr:uid="{55E6275E-8A46-4731-A66C-CA3E7D9E5A58}"/>
    <cellStyle name="Normal 11 7 3" xfId="8821" xr:uid="{881F71CD-D5A1-442B-A9F4-AC94196C5BC4}"/>
    <cellStyle name="Normal 11 7 3 2" xfId="14180" xr:uid="{97865EBC-2D01-4C3C-8ADC-286FF582F506}"/>
    <cellStyle name="Normal 11 7 4" xfId="11458" xr:uid="{F2ED02BF-59BE-4C1E-813B-5F7E780AD317}"/>
    <cellStyle name="Normal 11 8" xfId="3684" xr:uid="{00000000-0005-0000-0000-0000D9100000}"/>
    <cellStyle name="Normal 11 8 2" xfId="6860" xr:uid="{00000000-0005-0000-0000-0000DA100000}"/>
    <cellStyle name="Normal 11 8 2 2" xfId="9528" xr:uid="{ED0404E4-4652-45A5-A0FF-88DFE762E4B1}"/>
    <cellStyle name="Normal 11 8 2 2 2" xfId="14918" xr:uid="{7CE1411C-6587-406B-A472-AAE3C4F5D1ED}"/>
    <cellStyle name="Normal 11 8 2 3" xfId="12165" xr:uid="{057E3B68-CAD2-4B1B-AC77-C1A9E69D1F4F}"/>
    <cellStyle name="Normal 11 8 3" xfId="8197" xr:uid="{67A6630A-46D6-4D27-90C8-286847449CFA}"/>
    <cellStyle name="Normal 11 8 3 2" xfId="13556" xr:uid="{3997C7DD-C670-4938-BEB0-2F412E9D723D}"/>
    <cellStyle name="Normal 11 8 4" xfId="10834" xr:uid="{B9C6EDB8-0A56-4463-B7F8-2758A20384F0}"/>
    <cellStyle name="Normal 11 9" xfId="5307" xr:uid="{00000000-0005-0000-0000-0000DB100000}"/>
    <cellStyle name="Normal 11 9 2" xfId="9246" xr:uid="{0B92D9B7-9DA3-48BE-B104-E25504569C72}"/>
    <cellStyle name="Normal 11 9 2 2" xfId="14615" xr:uid="{E65EA974-5C69-4269-B158-688399641D5E}"/>
    <cellStyle name="Normal 11 9 3" xfId="11883" xr:uid="{732616FD-C61B-491B-96A9-00BFDDE6206F}"/>
    <cellStyle name="Normal 12" xfId="2007" xr:uid="{00000000-0005-0000-0000-0000DC100000}"/>
    <cellStyle name="Normal 12 2" xfId="3696" xr:uid="{00000000-0005-0000-0000-0000DD100000}"/>
    <cellStyle name="Normal 12 2 2" xfId="3697" xr:uid="{00000000-0005-0000-0000-0000DE100000}"/>
    <cellStyle name="Normal 12 2 2 2" xfId="4329" xr:uid="{00000000-0005-0000-0000-0000DF100000}"/>
    <cellStyle name="Normal 12 2 2 2 2" xfId="7497" xr:uid="{00000000-0005-0000-0000-0000E0100000}"/>
    <cellStyle name="Normal 12 2 2 2 2 2" xfId="10165" xr:uid="{98BB3452-F047-471B-B6DA-75E72BD6EA58}"/>
    <cellStyle name="Normal 12 2 2 2 2 2 2" xfId="15555" xr:uid="{6829B89A-878D-4302-956A-65A1D67BBAAF}"/>
    <cellStyle name="Normal 12 2 2 2 2 3" xfId="12802" xr:uid="{C0B24C73-5448-4770-B8AA-1DFD61AFB7FD}"/>
    <cellStyle name="Normal 12 2 2 2 3" xfId="8834" xr:uid="{E492ADCE-CB50-4B2E-B40F-9EAE6CF2BE4B}"/>
    <cellStyle name="Normal 12 2 2 2 3 2" xfId="14193" xr:uid="{5DC83E4B-88F2-44C6-8F95-8C1BFC090C96}"/>
    <cellStyle name="Normal 12 2 2 2 4" xfId="11471" xr:uid="{FAF5FEEC-668B-4339-B5D9-196428AA4FAD}"/>
    <cellStyle name="Normal 12 2 2 3" xfId="6873" xr:uid="{00000000-0005-0000-0000-0000E1100000}"/>
    <cellStyle name="Normal 12 2 2 3 2" xfId="9541" xr:uid="{CB9633AD-FE7B-4BA5-8CE3-E1B35102DCD6}"/>
    <cellStyle name="Normal 12 2 2 3 2 2" xfId="14931" xr:uid="{DF7760B9-7207-441C-B7CE-83879D21A703}"/>
    <cellStyle name="Normal 12 2 2 3 3" xfId="12178" xr:uid="{A3CF87BD-672E-447E-87ED-A13620D3F76F}"/>
    <cellStyle name="Normal 12 2 2 4" xfId="8210" xr:uid="{97D8EDCB-78DE-4FFF-B473-4B01EED86AAE}"/>
    <cellStyle name="Normal 12 2 2 4 2" xfId="13569" xr:uid="{79E6365E-6A08-4359-B174-3F61B15F25F5}"/>
    <cellStyle name="Normal 12 2 2 5" xfId="10847" xr:uid="{06586C24-2D80-484D-950E-253D9DF00864}"/>
    <cellStyle name="Normal 12 2 3" xfId="3698" xr:uid="{00000000-0005-0000-0000-0000E2100000}"/>
    <cellStyle name="Normal 12 2 3 2" xfId="4330" xr:uid="{00000000-0005-0000-0000-0000E3100000}"/>
    <cellStyle name="Normal 12 2 3 2 2" xfId="7498" xr:uid="{00000000-0005-0000-0000-0000E4100000}"/>
    <cellStyle name="Normal 12 2 3 2 2 2" xfId="10166" xr:uid="{DB42FB18-55B6-4B0B-B2D8-C881C58F558C}"/>
    <cellStyle name="Normal 12 2 3 2 2 2 2" xfId="15556" xr:uid="{884C36CB-41A0-43E5-9D6C-6ECB43EEF026}"/>
    <cellStyle name="Normal 12 2 3 2 2 3" xfId="12803" xr:uid="{5D38F1FA-7EFB-4026-8642-77DF8FA4618F}"/>
    <cellStyle name="Normal 12 2 3 2 3" xfId="8835" xr:uid="{5961ACED-2572-417B-89A1-08692DA5A821}"/>
    <cellStyle name="Normal 12 2 3 2 3 2" xfId="14194" xr:uid="{FD933795-67A9-40D1-8041-EA82945CB3C3}"/>
    <cellStyle name="Normal 12 2 3 2 4" xfId="11472" xr:uid="{15BA1191-7509-46CB-9477-59DD3F6D6A46}"/>
    <cellStyle name="Normal 12 2 3 3" xfId="6874" xr:uid="{00000000-0005-0000-0000-0000E5100000}"/>
    <cellStyle name="Normal 12 2 3 3 2" xfId="9542" xr:uid="{003C0EF0-B4D2-4931-9BEA-6182F8350C05}"/>
    <cellStyle name="Normal 12 2 3 3 2 2" xfId="14932" xr:uid="{657197D2-E259-4FC3-968D-F16D70938387}"/>
    <cellStyle name="Normal 12 2 3 3 3" xfId="12179" xr:uid="{78997BC9-9768-4F14-9278-E0A60F56496D}"/>
    <cellStyle name="Normal 12 2 3 4" xfId="8211" xr:uid="{F2DBA119-37A6-4B78-87BA-E9C0D2AE1A1C}"/>
    <cellStyle name="Normal 12 2 3 4 2" xfId="13570" xr:uid="{81919E23-07CB-4638-A745-A8F9270C1AD4}"/>
    <cellStyle name="Normal 12 2 3 5" xfId="10848" xr:uid="{930673F1-0619-44DD-81EF-D9CBEBB1B284}"/>
    <cellStyle name="Normal 12 2 4" xfId="4328" xr:uid="{00000000-0005-0000-0000-0000E6100000}"/>
    <cellStyle name="Normal 12 2 4 2" xfId="7496" xr:uid="{00000000-0005-0000-0000-0000E7100000}"/>
    <cellStyle name="Normal 12 2 4 2 2" xfId="10164" xr:uid="{56BC0AE9-F85C-47EE-B232-5870373BA8D8}"/>
    <cellStyle name="Normal 12 2 4 2 2 2" xfId="15554" xr:uid="{50C41D59-25F3-4F90-8C3A-1B25F093A5CD}"/>
    <cellStyle name="Normal 12 2 4 2 3" xfId="12801" xr:uid="{9326BF47-4C80-4D79-8E5A-05E52A67BA40}"/>
    <cellStyle name="Normal 12 2 4 3" xfId="8833" xr:uid="{FF53B79A-3918-4971-8C16-D6B09CAA5112}"/>
    <cellStyle name="Normal 12 2 4 3 2" xfId="14192" xr:uid="{4FDA62C2-4FB7-4AEF-A144-E852676A00C0}"/>
    <cellStyle name="Normal 12 2 4 4" xfId="11470" xr:uid="{08DAF3CC-05AD-4C96-93BA-C2B83D779B07}"/>
    <cellStyle name="Normal 12 2 5" xfId="6872" xr:uid="{00000000-0005-0000-0000-0000E8100000}"/>
    <cellStyle name="Normal 12 2 5 2" xfId="9540" xr:uid="{BADB339A-7345-4C71-BBD5-3EFECE5D73BB}"/>
    <cellStyle name="Normal 12 2 5 2 2" xfId="14930" xr:uid="{D947D826-BF42-4CE3-B537-8E7D2B65E5F5}"/>
    <cellStyle name="Normal 12 2 5 3" xfId="12177" xr:uid="{57CAEBCD-2388-4E98-B9C4-DB341C99F26E}"/>
    <cellStyle name="Normal 12 2 6" xfId="8209" xr:uid="{64D0DCA6-E691-465B-8DFF-C0E329F21DC6}"/>
    <cellStyle name="Normal 12 2 6 2" xfId="13568" xr:uid="{B340E124-5E97-4A55-9FA8-EAB540325FB1}"/>
    <cellStyle name="Normal 12 2 7" xfId="10846" xr:uid="{18A9839D-EC49-45C9-8135-66A55EE3A53F}"/>
    <cellStyle name="Normal 12 3" xfId="3699" xr:uid="{00000000-0005-0000-0000-0000E9100000}"/>
    <cellStyle name="Normal 12 3 2" xfId="4331" xr:uid="{00000000-0005-0000-0000-0000EA100000}"/>
    <cellStyle name="Normal 12 3 2 2" xfId="7499" xr:uid="{00000000-0005-0000-0000-0000EB100000}"/>
    <cellStyle name="Normal 12 3 2 2 2" xfId="10167" xr:uid="{CC254FFE-3A93-4468-8EA6-6518A024ABBA}"/>
    <cellStyle name="Normal 12 3 2 2 2 2" xfId="15557" xr:uid="{21D8863F-A195-490E-915D-AF9D197CDB5C}"/>
    <cellStyle name="Normal 12 3 2 2 3" xfId="12804" xr:uid="{AC41A45C-467F-40CF-B1BC-A8797788AB3B}"/>
    <cellStyle name="Normal 12 3 2 3" xfId="8836" xr:uid="{572D81F5-361A-4AC7-A1A2-FBA569896613}"/>
    <cellStyle name="Normal 12 3 2 3 2" xfId="14195" xr:uid="{F2166A3B-5B1D-4B3C-B276-A415E1489FD1}"/>
    <cellStyle name="Normal 12 3 2 4" xfId="11473" xr:uid="{AEE3F9E6-05A1-4BC7-8226-B995F8BA89E7}"/>
    <cellStyle name="Normal 12 3 3" xfId="6875" xr:uid="{00000000-0005-0000-0000-0000EC100000}"/>
    <cellStyle name="Normal 12 3 3 2" xfId="9543" xr:uid="{BBAD54A0-E396-48A4-9BFC-36C45BE13ABA}"/>
    <cellStyle name="Normal 12 3 3 2 2" xfId="14933" xr:uid="{7DADF99E-356F-4814-9F65-22295E297F41}"/>
    <cellStyle name="Normal 12 3 3 3" xfId="12180" xr:uid="{CF5AFC68-DF6E-4DCC-B24A-A57B85EEF440}"/>
    <cellStyle name="Normal 12 3 4" xfId="8212" xr:uid="{E97562EB-FDC7-4519-823B-0B91E96E5844}"/>
    <cellStyle name="Normal 12 3 4 2" xfId="13571" xr:uid="{759B2A74-8A14-4DF6-8DD4-F53054609734}"/>
    <cellStyle name="Normal 12 3 5" xfId="10849" xr:uid="{7E093C80-98F6-48C1-B9C6-CD0F0FD7A938}"/>
    <cellStyle name="Normal 12 4" xfId="3700" xr:uid="{00000000-0005-0000-0000-0000ED100000}"/>
    <cellStyle name="Normal 12 4 2" xfId="4332" xr:uid="{00000000-0005-0000-0000-0000EE100000}"/>
    <cellStyle name="Normal 12 4 2 2" xfId="7500" xr:uid="{00000000-0005-0000-0000-0000EF100000}"/>
    <cellStyle name="Normal 12 4 2 2 2" xfId="10168" xr:uid="{71E33582-1C1E-4608-BD51-2F7ACF52583A}"/>
    <cellStyle name="Normal 12 4 2 2 2 2" xfId="15558" xr:uid="{F66E3FC5-8BCA-4017-9B34-E7684BB792F8}"/>
    <cellStyle name="Normal 12 4 2 2 3" xfId="12805" xr:uid="{FE589B11-F86F-40F8-A5F6-EFC91B6E3F13}"/>
    <cellStyle name="Normal 12 4 2 3" xfId="8837" xr:uid="{051C3F17-FB1B-4A4F-AAE4-514C370AFE27}"/>
    <cellStyle name="Normal 12 4 2 3 2" xfId="14196" xr:uid="{72B709F4-4421-4603-B057-D233032F676A}"/>
    <cellStyle name="Normal 12 4 2 4" xfId="11474" xr:uid="{DDD2039C-0CA7-4F85-97AA-512ADA11350C}"/>
    <cellStyle name="Normal 12 4 3" xfId="6876" xr:uid="{00000000-0005-0000-0000-0000F0100000}"/>
    <cellStyle name="Normal 12 4 3 2" xfId="9544" xr:uid="{5DC10467-77AA-4B2A-B884-964A4FA819F1}"/>
    <cellStyle name="Normal 12 4 3 2 2" xfId="14934" xr:uid="{CAFB2F8C-761E-4AE0-B2E3-5BCE8D966366}"/>
    <cellStyle name="Normal 12 4 3 3" xfId="12181" xr:uid="{73958B81-2084-49C3-8F52-953432163373}"/>
    <cellStyle name="Normal 12 4 4" xfId="8213" xr:uid="{CCCCD7C6-C672-4BA2-9429-507986625E7C}"/>
    <cellStyle name="Normal 12 4 4 2" xfId="13572" xr:uid="{390AC6EB-AB1B-4BBD-A968-6E483EE0748C}"/>
    <cellStyle name="Normal 12 4 5" xfId="10850" xr:uid="{2487360C-8152-48F2-B88D-4A757724F73F}"/>
    <cellStyle name="Normal 12 5" xfId="3701" xr:uid="{00000000-0005-0000-0000-0000F1100000}"/>
    <cellStyle name="Normal 12 5 2" xfId="4333" xr:uid="{00000000-0005-0000-0000-0000F2100000}"/>
    <cellStyle name="Normal 12 5 2 2" xfId="7501" xr:uid="{00000000-0005-0000-0000-0000F3100000}"/>
    <cellStyle name="Normal 12 5 2 2 2" xfId="10169" xr:uid="{471B0B1F-E924-43E0-ACCA-482FBF3C6F34}"/>
    <cellStyle name="Normal 12 5 2 2 2 2" xfId="15559" xr:uid="{8792378C-0B6B-4017-A3A6-86F9EDA2EDCA}"/>
    <cellStyle name="Normal 12 5 2 2 3" xfId="12806" xr:uid="{4D284A31-8F70-4847-9001-810B06ADDD1B}"/>
    <cellStyle name="Normal 12 5 2 3" xfId="8838" xr:uid="{5C8D3159-1C03-47F5-80DC-125EB38A6CE4}"/>
    <cellStyle name="Normal 12 5 2 3 2" xfId="14197" xr:uid="{A4A90B0F-D169-4B4D-A8FB-F3A70DD9A66D}"/>
    <cellStyle name="Normal 12 5 2 4" xfId="11475" xr:uid="{FFB2333A-C750-4BB6-86B7-855ADD08BBC1}"/>
    <cellStyle name="Normal 12 5 3" xfId="6877" xr:uid="{00000000-0005-0000-0000-0000F4100000}"/>
    <cellStyle name="Normal 12 5 3 2" xfId="9545" xr:uid="{83376912-5EE8-4F70-982E-AC095D6292D5}"/>
    <cellStyle name="Normal 12 5 3 2 2" xfId="14935" xr:uid="{48955AB0-3851-43A8-AE25-220D194071C8}"/>
    <cellStyle name="Normal 12 5 3 3" xfId="12182" xr:uid="{FCBA7ACB-C129-469C-A466-2D9D134668B2}"/>
    <cellStyle name="Normal 12 5 4" xfId="8214" xr:uid="{A4F4C275-86CE-4704-B968-549E44B9402D}"/>
    <cellStyle name="Normal 12 5 4 2" xfId="13573" xr:uid="{F1159D26-D65E-49AA-88B5-FE6402E75280}"/>
    <cellStyle name="Normal 12 5 5" xfId="10851" xr:uid="{061CD64B-200B-4A8F-A3C5-7507ACD85B9C}"/>
    <cellStyle name="Normal 12 6" xfId="4327" xr:uid="{00000000-0005-0000-0000-0000F5100000}"/>
    <cellStyle name="Normal 12 6 2" xfId="7495" xr:uid="{00000000-0005-0000-0000-0000F6100000}"/>
    <cellStyle name="Normal 12 6 2 2" xfId="10163" xr:uid="{7B630157-3F8A-4860-9214-E83969777C69}"/>
    <cellStyle name="Normal 12 6 2 2 2" xfId="15553" xr:uid="{C37AA7E7-D113-44E9-AAD2-CD44AE6EFB50}"/>
    <cellStyle name="Normal 12 6 2 3" xfId="12800" xr:uid="{5DD2008D-2288-43C8-95C7-E90E03C2787C}"/>
    <cellStyle name="Normal 12 6 3" xfId="8832" xr:uid="{774BE52D-F970-437A-A3EC-C6EBC2A522FE}"/>
    <cellStyle name="Normal 12 6 3 2" xfId="14191" xr:uid="{66561597-4C14-400C-9EB2-CCE6EEF63456}"/>
    <cellStyle name="Normal 12 6 4" xfId="11469" xr:uid="{2544A7BC-65EF-4077-9C3C-42AF2AEAF081}"/>
    <cellStyle name="Normal 12 7" xfId="3695" xr:uid="{00000000-0005-0000-0000-0000F7100000}"/>
    <cellStyle name="Normal 12 7 2" xfId="6871" xr:uid="{00000000-0005-0000-0000-0000F8100000}"/>
    <cellStyle name="Normal 12 7 2 2" xfId="9539" xr:uid="{FC63FA39-4A3A-4220-A872-EFAB6857D9FE}"/>
    <cellStyle name="Normal 12 7 2 2 2" xfId="14929" xr:uid="{B2A6A827-C411-47CA-BEE1-E0FF22381A2C}"/>
    <cellStyle name="Normal 12 7 2 3" xfId="12176" xr:uid="{141928C0-8A62-404B-BFF9-8BF93DDCE33D}"/>
    <cellStyle name="Normal 12 7 3" xfId="8208" xr:uid="{830D0D6C-276F-4BC2-97E2-0C97869ACB1A}"/>
    <cellStyle name="Normal 12 7 3 2" xfId="13567" xr:uid="{A1651640-DC1B-419A-8030-57DEE81CF365}"/>
    <cellStyle name="Normal 12 7 4" xfId="10845" xr:uid="{0424E4DD-695F-412F-B372-42E3741CF086}"/>
    <cellStyle name="Normal 13" xfId="3312" xr:uid="{00000000-0005-0000-0000-0000F9100000}"/>
    <cellStyle name="Normal 13 10" xfId="7958" xr:uid="{D1263131-BDC5-4BD3-80F4-578F5CE1FC70}"/>
    <cellStyle name="Normal 13 10 2" xfId="13318" xr:uid="{42B0CE69-AA75-4B46-A93D-EC68FFE56062}"/>
    <cellStyle name="Normal 13 11" xfId="10604" xr:uid="{62E39C40-E57A-4A11-99C6-941A8C151F4B}"/>
    <cellStyle name="Normal 13 2" xfId="3703" xr:uid="{00000000-0005-0000-0000-0000FA100000}"/>
    <cellStyle name="Normal 13 2 2" xfId="3704" xr:uid="{00000000-0005-0000-0000-0000FB100000}"/>
    <cellStyle name="Normal 13 2 2 2" xfId="4336" xr:uid="{00000000-0005-0000-0000-0000FC100000}"/>
    <cellStyle name="Normal 13 2 2 2 2" xfId="7504" xr:uid="{00000000-0005-0000-0000-0000FD100000}"/>
    <cellStyle name="Normal 13 2 2 2 2 2" xfId="10172" xr:uid="{AA20976D-A0F7-426E-8476-FE00EED1B45C}"/>
    <cellStyle name="Normal 13 2 2 2 2 2 2" xfId="15562" xr:uid="{B3B90FBD-7BE1-4516-94A9-7501E50EAC49}"/>
    <cellStyle name="Normal 13 2 2 2 2 3" xfId="12809" xr:uid="{F8AB4CF1-5645-458E-A40F-19764F4B4C74}"/>
    <cellStyle name="Normal 13 2 2 2 3" xfId="8841" xr:uid="{7D1803B4-52F9-479D-B6FF-13AA29BCC12C}"/>
    <cellStyle name="Normal 13 2 2 2 3 2" xfId="14200" xr:uid="{ADD762E9-83FA-499F-9ACD-A958FF527E6E}"/>
    <cellStyle name="Normal 13 2 2 2 4" xfId="11478" xr:uid="{21198B21-796C-4C0D-BE63-24C78F1079D0}"/>
    <cellStyle name="Normal 13 2 2 3" xfId="6880" xr:uid="{00000000-0005-0000-0000-0000FE100000}"/>
    <cellStyle name="Normal 13 2 2 3 2" xfId="9548" xr:uid="{279F88D6-6674-482E-B326-443DA504E155}"/>
    <cellStyle name="Normal 13 2 2 3 2 2" xfId="14938" xr:uid="{080D4920-4418-44C6-AEA7-1DEB146C3B7C}"/>
    <cellStyle name="Normal 13 2 2 3 3" xfId="12185" xr:uid="{3A0D2519-57A4-4FA3-9027-8701DA33CE68}"/>
    <cellStyle name="Normal 13 2 2 4" xfId="8217" xr:uid="{C577EB46-E8EC-43BF-9B29-C95B53A6BB0C}"/>
    <cellStyle name="Normal 13 2 2 4 2" xfId="13576" xr:uid="{35873C56-73EA-411F-9048-31DFA57E68A4}"/>
    <cellStyle name="Normal 13 2 2 5" xfId="10854" xr:uid="{06913FFD-311F-4598-BFAE-2A57F8C09AC0}"/>
    <cellStyle name="Normal 13 2 3" xfId="3705" xr:uid="{00000000-0005-0000-0000-0000FF100000}"/>
    <cellStyle name="Normal 13 2 3 2" xfId="4337" xr:uid="{00000000-0005-0000-0000-000000110000}"/>
    <cellStyle name="Normal 13 2 3 2 2" xfId="7505" xr:uid="{00000000-0005-0000-0000-000001110000}"/>
    <cellStyle name="Normal 13 2 3 2 2 2" xfId="10173" xr:uid="{5241F8D4-37D5-48FA-830D-E608B0124A37}"/>
    <cellStyle name="Normal 13 2 3 2 2 2 2" xfId="15563" xr:uid="{D7B37E5F-BBAD-4C29-954F-85A0AF4CFDB2}"/>
    <cellStyle name="Normal 13 2 3 2 2 3" xfId="12810" xr:uid="{CDB84CA7-2E2C-4DC7-8C41-D79CB6F2A993}"/>
    <cellStyle name="Normal 13 2 3 2 3" xfId="8842" xr:uid="{9FD69318-1BF8-4B17-BA1C-06503331879E}"/>
    <cellStyle name="Normal 13 2 3 2 3 2" xfId="14201" xr:uid="{26C5ADD6-28DC-4B7F-84FC-94EF11C88050}"/>
    <cellStyle name="Normal 13 2 3 2 4" xfId="11479" xr:uid="{D61C8F95-11D4-4F44-BA43-434379D3E588}"/>
    <cellStyle name="Normal 13 2 3 3" xfId="6881" xr:uid="{00000000-0005-0000-0000-000002110000}"/>
    <cellStyle name="Normal 13 2 3 3 2" xfId="9549" xr:uid="{DC2F005C-6B5F-49D3-AA29-C743CDAE94A7}"/>
    <cellStyle name="Normal 13 2 3 3 2 2" xfId="14939" xr:uid="{E1C8C4EE-68D6-4500-BC3C-784A5B520CC9}"/>
    <cellStyle name="Normal 13 2 3 3 3" xfId="12186" xr:uid="{411BE4BF-B186-44E7-9778-E461DB72BA95}"/>
    <cellStyle name="Normal 13 2 3 4" xfId="8218" xr:uid="{2D29E8B3-0D4A-435B-9ED8-B7CAA09281B4}"/>
    <cellStyle name="Normal 13 2 3 4 2" xfId="13577" xr:uid="{472675E0-5A49-4057-B771-5C52B7F8CD82}"/>
    <cellStyle name="Normal 13 2 3 5" xfId="10855" xr:uid="{FBDA814F-BD5B-40D3-BD78-5B52AA63671C}"/>
    <cellStyle name="Normal 13 2 4" xfId="4335" xr:uid="{00000000-0005-0000-0000-000003110000}"/>
    <cellStyle name="Normal 13 2 4 2" xfId="7503" xr:uid="{00000000-0005-0000-0000-000004110000}"/>
    <cellStyle name="Normal 13 2 4 2 2" xfId="10171" xr:uid="{DB6ADA5B-86F1-44D5-B4E4-3854AFDEE08C}"/>
    <cellStyle name="Normal 13 2 4 2 2 2" xfId="15561" xr:uid="{EA10B8E1-0BB5-4C00-A97D-5124D5406943}"/>
    <cellStyle name="Normal 13 2 4 2 3" xfId="12808" xr:uid="{1C52BDEB-60DE-47F0-8150-40DFEE66B9CE}"/>
    <cellStyle name="Normal 13 2 4 3" xfId="8840" xr:uid="{8514E070-F599-41B9-8945-27889EEF6152}"/>
    <cellStyle name="Normal 13 2 4 3 2" xfId="14199" xr:uid="{1A807DF7-639F-40C9-9FA1-C010E2D316CE}"/>
    <cellStyle name="Normal 13 2 4 4" xfId="11477" xr:uid="{44A1F1E1-7FEE-4F50-8086-B9E1EBC286AB}"/>
    <cellStyle name="Normal 13 2 5" xfId="6879" xr:uid="{00000000-0005-0000-0000-000005110000}"/>
    <cellStyle name="Normal 13 2 5 2" xfId="9547" xr:uid="{A60B1E69-4DE0-4AAD-94A7-D53132C94F68}"/>
    <cellStyle name="Normal 13 2 5 2 2" xfId="14937" xr:uid="{7E5475D4-28F4-4A82-89BA-E559753AF0A6}"/>
    <cellStyle name="Normal 13 2 5 3" xfId="12184" xr:uid="{DE73E26B-2CB1-4197-A2F7-F45471043702}"/>
    <cellStyle name="Normal 13 2 6" xfId="8216" xr:uid="{F384FD0A-E8FF-47BF-B6B0-269E2B6220BF}"/>
    <cellStyle name="Normal 13 2 6 2" xfId="13575" xr:uid="{6CC5D38E-4909-4856-97A5-8193990CD886}"/>
    <cellStyle name="Normal 13 2 7" xfId="10853" xr:uid="{6D26A496-8940-4A45-AF14-9D49BB99A021}"/>
    <cellStyle name="Normal 13 3" xfId="3706" xr:uid="{00000000-0005-0000-0000-000006110000}"/>
    <cellStyle name="Normal 13 3 2" xfId="4338" xr:uid="{00000000-0005-0000-0000-000007110000}"/>
    <cellStyle name="Normal 13 3 2 2" xfId="7506" xr:uid="{00000000-0005-0000-0000-000008110000}"/>
    <cellStyle name="Normal 13 3 2 2 2" xfId="10174" xr:uid="{C7A537B3-4DAF-400B-BD3C-9330E3C21665}"/>
    <cellStyle name="Normal 13 3 2 2 2 2" xfId="15564" xr:uid="{DBDF6238-95C5-4D99-A21F-D1AAD9D0F068}"/>
    <cellStyle name="Normal 13 3 2 2 3" xfId="12811" xr:uid="{73962AD9-9C8B-45C6-9E81-594AD3F6B5F3}"/>
    <cellStyle name="Normal 13 3 2 3" xfId="8843" xr:uid="{FFE1508A-F352-40D4-BD15-4A9D85501903}"/>
    <cellStyle name="Normal 13 3 2 3 2" xfId="14202" xr:uid="{6A00064B-FC72-4581-9AFF-9C2EA117F04D}"/>
    <cellStyle name="Normal 13 3 2 4" xfId="11480" xr:uid="{0A5E1CB6-697A-4DE7-8651-3EB3A5B8069C}"/>
    <cellStyle name="Normal 13 3 3" xfId="6882" xr:uid="{00000000-0005-0000-0000-000009110000}"/>
    <cellStyle name="Normal 13 3 3 2" xfId="9550" xr:uid="{D05B9FFB-D9D4-46FE-B20D-A474C3C061B7}"/>
    <cellStyle name="Normal 13 3 3 2 2" xfId="14940" xr:uid="{C077C796-9C4F-4EE5-A32E-6875E0194328}"/>
    <cellStyle name="Normal 13 3 3 3" xfId="12187" xr:uid="{FFD1A2A0-D3CD-4B7D-B242-96F0B49E9A02}"/>
    <cellStyle name="Normal 13 3 4" xfId="8219" xr:uid="{E0B0E38A-2F95-48C1-9622-7D95E880DBA8}"/>
    <cellStyle name="Normal 13 3 4 2" xfId="13578" xr:uid="{906F9C1E-6E4D-46D0-9096-A478429FEED1}"/>
    <cellStyle name="Normal 13 3 5" xfId="10856" xr:uid="{FA455F47-DFB4-4F06-B1C3-68D9BAA1C7F7}"/>
    <cellStyle name="Normal 13 4" xfId="3707" xr:uid="{00000000-0005-0000-0000-00000A110000}"/>
    <cellStyle name="Normal 13 4 2" xfId="4339" xr:uid="{00000000-0005-0000-0000-00000B110000}"/>
    <cellStyle name="Normal 13 4 2 2" xfId="7507" xr:uid="{00000000-0005-0000-0000-00000C110000}"/>
    <cellStyle name="Normal 13 4 2 2 2" xfId="10175" xr:uid="{024B4C22-D19F-473C-84D2-077A4CF41B74}"/>
    <cellStyle name="Normal 13 4 2 2 2 2" xfId="15565" xr:uid="{4501C581-B5EF-47B3-9105-84411DBCA4FC}"/>
    <cellStyle name="Normal 13 4 2 2 3" xfId="12812" xr:uid="{92198563-61C4-47F6-A492-C09565B9C1A6}"/>
    <cellStyle name="Normal 13 4 2 3" xfId="8844" xr:uid="{BE6B7E0C-69DF-41F3-8D2F-D26FD3482581}"/>
    <cellStyle name="Normal 13 4 2 3 2" xfId="14203" xr:uid="{8C34136E-D8A8-4BFB-8F7A-0A74085F1BD8}"/>
    <cellStyle name="Normal 13 4 2 4" xfId="11481" xr:uid="{03AECE21-FF0D-43FA-A7E4-0AC18E462E23}"/>
    <cellStyle name="Normal 13 4 3" xfId="6883" xr:uid="{00000000-0005-0000-0000-00000D110000}"/>
    <cellStyle name="Normal 13 4 3 2" xfId="9551" xr:uid="{3D38C2AA-0E23-44E4-B97F-75FC551A2299}"/>
    <cellStyle name="Normal 13 4 3 2 2" xfId="14941" xr:uid="{888D456D-064C-4B6B-825A-D84FD34485AD}"/>
    <cellStyle name="Normal 13 4 3 3" xfId="12188" xr:uid="{FFBE4EFB-D07F-40D4-8113-D5AEF1FC683C}"/>
    <cellStyle name="Normal 13 4 4" xfId="8220" xr:uid="{12337E2F-2EF8-4D9C-9289-8EF3C8241661}"/>
    <cellStyle name="Normal 13 4 4 2" xfId="13579" xr:uid="{6D79790F-1964-402D-9E1E-5514BCFB3FA1}"/>
    <cellStyle name="Normal 13 4 5" xfId="10857" xr:uid="{C68FFFEE-9258-4B70-BF2F-7C1D120BFEFE}"/>
    <cellStyle name="Normal 13 5" xfId="3708" xr:uid="{00000000-0005-0000-0000-00000E110000}"/>
    <cellStyle name="Normal 13 5 2" xfId="4340" xr:uid="{00000000-0005-0000-0000-00000F110000}"/>
    <cellStyle name="Normal 13 5 2 2" xfId="7508" xr:uid="{00000000-0005-0000-0000-000010110000}"/>
    <cellStyle name="Normal 13 5 2 2 2" xfId="10176" xr:uid="{9F956376-64CD-476C-9D7D-691812772EBA}"/>
    <cellStyle name="Normal 13 5 2 2 2 2" xfId="15566" xr:uid="{F358F1F8-E1DD-46C0-9B3F-F794BC6E1D87}"/>
    <cellStyle name="Normal 13 5 2 2 3" xfId="12813" xr:uid="{8F175412-BC05-4852-AB40-0DC4009B4D16}"/>
    <cellStyle name="Normal 13 5 2 3" xfId="8845" xr:uid="{9701D718-4F83-402D-8E2E-ECEA12F65E95}"/>
    <cellStyle name="Normal 13 5 2 3 2" xfId="14204" xr:uid="{40F1C79C-4935-45F7-A5ED-F61D3D154B7E}"/>
    <cellStyle name="Normal 13 5 2 4" xfId="11482" xr:uid="{0F2021F7-A11E-471E-A424-D73C6C2C6474}"/>
    <cellStyle name="Normal 13 5 3" xfId="6884" xr:uid="{00000000-0005-0000-0000-000011110000}"/>
    <cellStyle name="Normal 13 5 3 2" xfId="9552" xr:uid="{DE388DC5-515D-4BAB-87EB-447C98A02F28}"/>
    <cellStyle name="Normal 13 5 3 2 2" xfId="14942" xr:uid="{5F365EDC-4C33-43CC-A476-C1C6A7B3E90A}"/>
    <cellStyle name="Normal 13 5 3 3" xfId="12189" xr:uid="{52B79ED6-9CCC-4B60-9929-F0A48261017F}"/>
    <cellStyle name="Normal 13 5 4" xfId="8221" xr:uid="{88830583-507F-49FC-8324-B41618BECB7A}"/>
    <cellStyle name="Normal 13 5 4 2" xfId="13580" xr:uid="{20078B67-7A61-46C2-9D3B-6B5D8B21928A}"/>
    <cellStyle name="Normal 13 5 5" xfId="10858" xr:uid="{AB06E076-858C-4BBD-A176-643C89DD56DC}"/>
    <cellStyle name="Normal 13 6" xfId="4334" xr:uid="{00000000-0005-0000-0000-000012110000}"/>
    <cellStyle name="Normal 13 6 2" xfId="7502" xr:uid="{00000000-0005-0000-0000-000013110000}"/>
    <cellStyle name="Normal 13 6 2 2" xfId="10170" xr:uid="{95311322-DE7B-41BF-9A9A-4198ADF443AB}"/>
    <cellStyle name="Normal 13 6 2 2 2" xfId="15560" xr:uid="{BDF5D07A-48B2-49C7-B4D1-1C52A6C9AD08}"/>
    <cellStyle name="Normal 13 6 2 3" xfId="12807" xr:uid="{E4FAD27F-B059-43D0-85DF-FDC69BF2E8A4}"/>
    <cellStyle name="Normal 13 6 3" xfId="8839" xr:uid="{AC62DE2D-B19F-452D-AA09-7A3B3DCB3F55}"/>
    <cellStyle name="Normal 13 6 3 2" xfId="14198" xr:uid="{13194E84-D656-433A-9552-96313F91825A}"/>
    <cellStyle name="Normal 13 6 4" xfId="11476" xr:uid="{9693BB9A-D6B7-42AE-A332-575531D9FC0D}"/>
    <cellStyle name="Normal 13 7" xfId="3702" xr:uid="{00000000-0005-0000-0000-000014110000}"/>
    <cellStyle name="Normal 13 7 2" xfId="6878" xr:uid="{00000000-0005-0000-0000-000015110000}"/>
    <cellStyle name="Normal 13 7 2 2" xfId="9546" xr:uid="{13004953-8578-44E5-96E3-238D9BEEBDAB}"/>
    <cellStyle name="Normal 13 7 2 2 2" xfId="14936" xr:uid="{6A74D9F1-9209-42FC-88E9-8CF0B129EF05}"/>
    <cellStyle name="Normal 13 7 2 3" xfId="12183" xr:uid="{7F2F50F1-0386-4120-81D1-D4E378FE13B8}"/>
    <cellStyle name="Normal 13 7 3" xfId="8215" xr:uid="{C628E45A-8271-49A9-A996-D41CAB121340}"/>
    <cellStyle name="Normal 13 7 3 2" xfId="13574" xr:uid="{A9EC7093-B69A-4FF0-BB0C-ABFC6E5C18D1}"/>
    <cellStyle name="Normal 13 7 4" xfId="10852" xr:uid="{183228AE-811D-4F51-9829-4C3F62A32962}"/>
    <cellStyle name="Normal 13 8" xfId="4925" xr:uid="{00000000-0005-0000-0000-000016110000}"/>
    <cellStyle name="Normal 13 9" xfId="6621" xr:uid="{00000000-0005-0000-0000-000017110000}"/>
    <cellStyle name="Normal 13 9 2" xfId="9298" xr:uid="{DDB137E8-6300-4F47-93CB-9A99EAF05C0E}"/>
    <cellStyle name="Normal 13 9 2 2" xfId="14688" xr:uid="{D333CC3F-4808-4F0C-92FA-59C0587CCEFA}"/>
    <cellStyle name="Normal 13 9 3" xfId="11935" xr:uid="{9B52CA3C-C48A-4AB7-8F35-EAEB644E6FCF}"/>
    <cellStyle name="Normal 14" xfId="3362" xr:uid="{00000000-0005-0000-0000-000018110000}"/>
    <cellStyle name="Normal 14 2" xfId="3709" xr:uid="{00000000-0005-0000-0000-000019110000}"/>
    <cellStyle name="Normal 14 3" xfId="6646" xr:uid="{00000000-0005-0000-0000-00001A110000}"/>
    <cellStyle name="Normal 14 3 2" xfId="9323" xr:uid="{E91CF499-50A0-4729-8B56-A5B407E28D71}"/>
    <cellStyle name="Normal 14 3 2 2" xfId="14713" xr:uid="{A829E1FA-70CD-44A9-9FE1-68A73F39C47B}"/>
    <cellStyle name="Normal 14 3 3" xfId="11960" xr:uid="{0D7790D2-F6D2-460D-B9A0-31463CBC97C2}"/>
    <cellStyle name="Normal 14 4" xfId="7983" xr:uid="{8F05004B-B16C-4D4F-BC03-D4DE68BAC572}"/>
    <cellStyle name="Normal 14 4 2" xfId="15990" xr:uid="{F7058F72-0D31-436D-8097-41719481FCA8}"/>
    <cellStyle name="Normal 14 4 3" xfId="15954" xr:uid="{A7C58261-1AB9-4DFE-9946-41F681CEB8B2}"/>
    <cellStyle name="Normal 14 5" xfId="13343" xr:uid="{33161646-C199-4DD4-B9F6-5DF71A9CAF42}"/>
    <cellStyle name="Normal 14 6" xfId="10629" xr:uid="{6CE94A4B-9B47-44B6-8C54-4A60E5900138}"/>
    <cellStyle name="Normal 15" xfId="3710" xr:uid="{00000000-0005-0000-0000-00001B110000}"/>
    <cellStyle name="Normal 15 2" xfId="3711" xr:uid="{00000000-0005-0000-0000-00001C110000}"/>
    <cellStyle name="Normal 15 2 2" xfId="3712" xr:uid="{00000000-0005-0000-0000-00001D110000}"/>
    <cellStyle name="Normal 15 2 2 2" xfId="3713" xr:uid="{00000000-0005-0000-0000-00001E110000}"/>
    <cellStyle name="Normal 15 2 2 2 2" xfId="4343" xr:uid="{00000000-0005-0000-0000-00001F110000}"/>
    <cellStyle name="Normal 15 2 2 2 2 2" xfId="7511" xr:uid="{00000000-0005-0000-0000-000020110000}"/>
    <cellStyle name="Normal 15 2 2 2 2 2 2" xfId="10179" xr:uid="{0E7153FA-0E20-4DAD-BB0D-9BEBE77EA68C}"/>
    <cellStyle name="Normal 15 2 2 2 2 2 2 2" xfId="15569" xr:uid="{DF6BD042-B900-4BF6-A58D-8B688CD56F84}"/>
    <cellStyle name="Normal 15 2 2 2 2 2 3" xfId="12816" xr:uid="{6CD6CC10-F91F-4A40-A646-55CD7AA9D636}"/>
    <cellStyle name="Normal 15 2 2 2 2 3" xfId="8848" xr:uid="{E8AE3576-76EB-4CB8-95BC-62AA240AC756}"/>
    <cellStyle name="Normal 15 2 2 2 2 3 2" xfId="14207" xr:uid="{6164E097-83E4-469F-8CB6-168F1CF73260}"/>
    <cellStyle name="Normal 15 2 2 2 2 4" xfId="11485" xr:uid="{85FC1ACA-C2F8-44C4-BBAD-B95A44E113A9}"/>
    <cellStyle name="Normal 15 2 2 2 3" xfId="6887" xr:uid="{00000000-0005-0000-0000-000021110000}"/>
    <cellStyle name="Normal 15 2 2 2 3 2" xfId="9555" xr:uid="{E6985AF8-FBDA-4653-81C9-8B2E5D2FFB76}"/>
    <cellStyle name="Normal 15 2 2 2 3 2 2" xfId="14945" xr:uid="{D9327A21-3E5A-4550-BAB1-B8F42DAB5F50}"/>
    <cellStyle name="Normal 15 2 2 2 3 3" xfId="12192" xr:uid="{90C87834-47BE-47D7-A4CA-EB1DE3C30FC5}"/>
    <cellStyle name="Normal 15 2 2 2 4" xfId="8224" xr:uid="{659E2B5C-CCA2-43E0-8B94-B7A4C08F9718}"/>
    <cellStyle name="Normal 15 2 2 2 4 2" xfId="13583" xr:uid="{505044EF-72EA-4603-959F-52644251A996}"/>
    <cellStyle name="Normal 15 2 2 2 5" xfId="10861" xr:uid="{03468079-5C62-48EC-A244-331E064B7AC4}"/>
    <cellStyle name="Normal 15 2 2 3" xfId="3714" xr:uid="{00000000-0005-0000-0000-000022110000}"/>
    <cellStyle name="Normal 15 2 2 3 2" xfId="4344" xr:uid="{00000000-0005-0000-0000-000023110000}"/>
    <cellStyle name="Normal 15 2 2 3 2 2" xfId="7512" xr:uid="{00000000-0005-0000-0000-000024110000}"/>
    <cellStyle name="Normal 15 2 2 3 2 2 2" xfId="10180" xr:uid="{41E3534F-6642-45DF-AC6F-DFDCBDF5650D}"/>
    <cellStyle name="Normal 15 2 2 3 2 2 2 2" xfId="15570" xr:uid="{FF4E5C21-3961-49D0-BDB2-E2F7FEC1DFC3}"/>
    <cellStyle name="Normal 15 2 2 3 2 2 3" xfId="12817" xr:uid="{14D3906D-96DA-42FF-A73E-C68589D37274}"/>
    <cellStyle name="Normal 15 2 2 3 2 3" xfId="8849" xr:uid="{B21C0C68-17C8-4242-9F09-0743BF7A7DA0}"/>
    <cellStyle name="Normal 15 2 2 3 2 3 2" xfId="14208" xr:uid="{60B30B5F-DB69-44E0-B03A-F6AAC0890A5D}"/>
    <cellStyle name="Normal 15 2 2 3 2 4" xfId="11486" xr:uid="{A40749D3-FE10-4AF1-B8BF-EE7F29508D1F}"/>
    <cellStyle name="Normal 15 2 2 3 3" xfId="6888" xr:uid="{00000000-0005-0000-0000-000025110000}"/>
    <cellStyle name="Normal 15 2 2 3 3 2" xfId="9556" xr:uid="{E6FFC55B-AECE-4B10-A231-EE307906996B}"/>
    <cellStyle name="Normal 15 2 2 3 3 2 2" xfId="14946" xr:uid="{01C2868D-6F74-4F73-AE02-635CA6E582B7}"/>
    <cellStyle name="Normal 15 2 2 3 3 3" xfId="12193" xr:uid="{36CB098B-0A7A-4C71-8E8A-26FCAB4F3A75}"/>
    <cellStyle name="Normal 15 2 2 3 4" xfId="8225" xr:uid="{2EA1C63A-1DB8-4E95-B29C-24A7978021AF}"/>
    <cellStyle name="Normal 15 2 2 3 4 2" xfId="13584" xr:uid="{8D7B69F7-167B-4745-9C45-5E4F56B952F4}"/>
    <cellStyle name="Normal 15 2 2 3 5" xfId="10862" xr:uid="{A06596A8-13ED-4A01-AA22-E5E62B30784B}"/>
    <cellStyle name="Normal 15 2 2 4" xfId="3715" xr:uid="{00000000-0005-0000-0000-000026110000}"/>
    <cellStyle name="Normal 15 2 2 4 2" xfId="4345" xr:uid="{00000000-0005-0000-0000-000027110000}"/>
    <cellStyle name="Normal 15 2 2 4 2 2" xfId="7513" xr:uid="{00000000-0005-0000-0000-000028110000}"/>
    <cellStyle name="Normal 15 2 2 4 2 2 2" xfId="10181" xr:uid="{61BDBA26-AD61-4D9D-AD40-84251D10866C}"/>
    <cellStyle name="Normal 15 2 2 4 2 2 2 2" xfId="15571" xr:uid="{7BFB9167-966C-4B9E-8BFB-57BFE765DD2A}"/>
    <cellStyle name="Normal 15 2 2 4 2 2 3" xfId="12818" xr:uid="{39EF707A-CB79-47E1-B53A-E76B77030F3F}"/>
    <cellStyle name="Normal 15 2 2 4 2 3" xfId="8850" xr:uid="{B72C60A0-92FE-4A6A-8CE8-000FE47CD51C}"/>
    <cellStyle name="Normal 15 2 2 4 2 3 2" xfId="14209" xr:uid="{23710196-1362-4BC5-B870-C1524AD1B508}"/>
    <cellStyle name="Normal 15 2 2 4 2 4" xfId="11487" xr:uid="{D51A2075-5B7C-4884-9C4D-C94B5E30338C}"/>
    <cellStyle name="Normal 15 2 2 4 3" xfId="6889" xr:uid="{00000000-0005-0000-0000-000029110000}"/>
    <cellStyle name="Normal 15 2 2 4 3 2" xfId="9557" xr:uid="{8FAFF170-2080-4F38-9FE4-5A70A4EF8841}"/>
    <cellStyle name="Normal 15 2 2 4 3 2 2" xfId="14947" xr:uid="{EC8C0F36-34DD-462B-9708-95941B9BE729}"/>
    <cellStyle name="Normal 15 2 2 4 3 3" xfId="12194" xr:uid="{6BDB9FA4-C1F0-4503-BD94-638B2C160CAB}"/>
    <cellStyle name="Normal 15 2 2 4 4" xfId="8226" xr:uid="{E0A69052-1108-49F2-AEA0-7A0894EB76A0}"/>
    <cellStyle name="Normal 15 2 2 4 4 2" xfId="13585" xr:uid="{7A81C0B6-7B52-4575-9A49-E19456B5F53F}"/>
    <cellStyle name="Normal 15 2 2 4 5" xfId="10863" xr:uid="{9EFFE4AF-D3CB-4277-9EEC-1D2329A6972F}"/>
    <cellStyle name="Normal 15 2 2 5" xfId="4342" xr:uid="{00000000-0005-0000-0000-00002A110000}"/>
    <cellStyle name="Normal 15 2 2 5 2" xfId="7510" xr:uid="{00000000-0005-0000-0000-00002B110000}"/>
    <cellStyle name="Normal 15 2 2 5 2 2" xfId="10178" xr:uid="{886E9ADA-C7BB-404D-94BA-33418B1D1B84}"/>
    <cellStyle name="Normal 15 2 2 5 2 2 2" xfId="15568" xr:uid="{2E28D70E-D55A-47C5-931C-3CEB1E66428A}"/>
    <cellStyle name="Normal 15 2 2 5 2 3" xfId="12815" xr:uid="{8B6439E4-812F-4ABE-9FDE-30DCC2746764}"/>
    <cellStyle name="Normal 15 2 2 5 3" xfId="8847" xr:uid="{3C8F5F91-17D5-4235-BF8A-5C0DF136D6E8}"/>
    <cellStyle name="Normal 15 2 2 5 3 2" xfId="14206" xr:uid="{D57F5B63-01F0-4552-9E08-6358895818C4}"/>
    <cellStyle name="Normal 15 2 2 5 4" xfId="11484" xr:uid="{2EE454CE-E7DA-4222-B77A-51E12AD80BAE}"/>
    <cellStyle name="Normal 15 2 2 6" xfId="6886" xr:uid="{00000000-0005-0000-0000-00002C110000}"/>
    <cellStyle name="Normal 15 2 2 6 2" xfId="9554" xr:uid="{4DE35423-5B44-47B3-A5E0-07E4F8F7515D}"/>
    <cellStyle name="Normal 15 2 2 6 2 2" xfId="14944" xr:uid="{827CF750-6213-458E-B1F4-87DE83E71CC0}"/>
    <cellStyle name="Normal 15 2 2 6 3" xfId="12191" xr:uid="{AC953804-8C42-43C3-A2C2-E7CDFAC05856}"/>
    <cellStyle name="Normal 15 2 2 7" xfId="8223" xr:uid="{5C413774-B0D2-4857-8A1C-39337EEFC33F}"/>
    <cellStyle name="Normal 15 2 2 7 2" xfId="13582" xr:uid="{1C46AAB0-99AD-4F66-907F-5A041F592D3A}"/>
    <cellStyle name="Normal 15 2 2 8" xfId="10860" xr:uid="{CA928738-C005-405F-BC15-19AEFEC31730}"/>
    <cellStyle name="Normal 15 2 3" xfId="3716" xr:uid="{00000000-0005-0000-0000-00002D110000}"/>
    <cellStyle name="Normal 15 2 3 2" xfId="3717" xr:uid="{00000000-0005-0000-0000-00002E110000}"/>
    <cellStyle name="Normal 15 2 3 2 2" xfId="4347" xr:uid="{00000000-0005-0000-0000-00002F110000}"/>
    <cellStyle name="Normal 15 2 3 2 2 2" xfId="7515" xr:uid="{00000000-0005-0000-0000-000030110000}"/>
    <cellStyle name="Normal 15 2 3 2 2 2 2" xfId="10183" xr:uid="{39827533-159B-42E5-950C-9DA7A77C59C2}"/>
    <cellStyle name="Normal 15 2 3 2 2 2 2 2" xfId="15573" xr:uid="{AF60AA29-01DF-488A-A64D-DF28228B22D3}"/>
    <cellStyle name="Normal 15 2 3 2 2 2 3" xfId="12820" xr:uid="{A1304D55-AC0C-49CD-BF30-76C906060E21}"/>
    <cellStyle name="Normal 15 2 3 2 2 3" xfId="8852" xr:uid="{17A1A5E0-FD8F-439E-8061-3BE3143EA884}"/>
    <cellStyle name="Normal 15 2 3 2 2 3 2" xfId="14211" xr:uid="{600E2997-0318-4B79-8ABA-86347DD273B8}"/>
    <cellStyle name="Normal 15 2 3 2 2 4" xfId="11489" xr:uid="{9F4C16B2-C91A-412F-A090-B52EDDABF40F}"/>
    <cellStyle name="Normal 15 2 3 2 3" xfId="6891" xr:uid="{00000000-0005-0000-0000-000031110000}"/>
    <cellStyle name="Normal 15 2 3 2 3 2" xfId="9559" xr:uid="{08285F03-B1EB-48C7-8DF2-C4DD1B18B778}"/>
    <cellStyle name="Normal 15 2 3 2 3 2 2" xfId="14949" xr:uid="{AF0C783E-C2FE-44EA-B9A8-0F467432347F}"/>
    <cellStyle name="Normal 15 2 3 2 3 3" xfId="12196" xr:uid="{15A6A7A7-DC85-4EE5-92B8-6107C11BC68A}"/>
    <cellStyle name="Normal 15 2 3 2 4" xfId="8228" xr:uid="{03A755E4-C650-472B-BC03-FED280D4512A}"/>
    <cellStyle name="Normal 15 2 3 2 4 2" xfId="13587" xr:uid="{0ACBB5FF-704B-43D1-9A34-722F8673AE57}"/>
    <cellStyle name="Normal 15 2 3 2 5" xfId="10865" xr:uid="{0E893D32-96E8-4347-8A93-562155E3EF32}"/>
    <cellStyle name="Normal 15 2 3 3" xfId="3718" xr:uid="{00000000-0005-0000-0000-000032110000}"/>
    <cellStyle name="Normal 15 2 3 3 2" xfId="4348" xr:uid="{00000000-0005-0000-0000-000033110000}"/>
    <cellStyle name="Normal 15 2 3 3 2 2" xfId="7516" xr:uid="{00000000-0005-0000-0000-000034110000}"/>
    <cellStyle name="Normal 15 2 3 3 2 2 2" xfId="10184" xr:uid="{38BAB240-EEE7-4447-A112-F00AEA6084D1}"/>
    <cellStyle name="Normal 15 2 3 3 2 2 2 2" xfId="15574" xr:uid="{6FC65C90-6640-4506-8171-F76FC26B8939}"/>
    <cellStyle name="Normal 15 2 3 3 2 2 3" xfId="12821" xr:uid="{5652F4B8-2470-46FD-B500-E81D6B794694}"/>
    <cellStyle name="Normal 15 2 3 3 2 3" xfId="8853" xr:uid="{B9526956-5696-4A68-95D0-9DE4220F4729}"/>
    <cellStyle name="Normal 15 2 3 3 2 3 2" xfId="14212" xr:uid="{E5845D3B-6F7E-44DB-93C2-67E177910C08}"/>
    <cellStyle name="Normal 15 2 3 3 2 4" xfId="11490" xr:uid="{D35EA790-10C5-42A2-AE2C-25ED51315EBE}"/>
    <cellStyle name="Normal 15 2 3 3 3" xfId="6892" xr:uid="{00000000-0005-0000-0000-000035110000}"/>
    <cellStyle name="Normal 15 2 3 3 3 2" xfId="9560" xr:uid="{073D65CC-B69C-41AC-9EC2-A4DD511A5986}"/>
    <cellStyle name="Normal 15 2 3 3 3 2 2" xfId="14950" xr:uid="{623B7A0E-CCC4-4672-9A4D-A9EA11D92640}"/>
    <cellStyle name="Normal 15 2 3 3 3 3" xfId="12197" xr:uid="{94BEB883-58B4-4FAD-9E80-05869CB0226E}"/>
    <cellStyle name="Normal 15 2 3 3 4" xfId="8229" xr:uid="{B929996A-5AB5-49AF-ACD5-D62785B4799E}"/>
    <cellStyle name="Normal 15 2 3 3 4 2" xfId="13588" xr:uid="{238BB3F6-75E4-4902-A8AC-2E5AF05B92F4}"/>
    <cellStyle name="Normal 15 2 3 3 5" xfId="10866" xr:uid="{36B3E8FF-B0A7-4B93-ABAD-2B558E57EC26}"/>
    <cellStyle name="Normal 15 2 3 4" xfId="3719" xr:uid="{00000000-0005-0000-0000-000036110000}"/>
    <cellStyle name="Normal 15 2 3 4 2" xfId="4349" xr:uid="{00000000-0005-0000-0000-000037110000}"/>
    <cellStyle name="Normal 15 2 3 4 2 2" xfId="7517" xr:uid="{00000000-0005-0000-0000-000038110000}"/>
    <cellStyle name="Normal 15 2 3 4 2 2 2" xfId="10185" xr:uid="{92E7A0A1-A5CF-490E-99DE-0FC9D97B93C5}"/>
    <cellStyle name="Normal 15 2 3 4 2 2 2 2" xfId="15575" xr:uid="{71234F8B-2C4C-408C-BFBF-3A206876D9FC}"/>
    <cellStyle name="Normal 15 2 3 4 2 2 3" xfId="12822" xr:uid="{C7596B75-7C5F-4072-B3B9-3FB7A9F151EB}"/>
    <cellStyle name="Normal 15 2 3 4 2 3" xfId="8854" xr:uid="{8897C979-338C-4C08-AFAB-FCEBC450538C}"/>
    <cellStyle name="Normal 15 2 3 4 2 3 2" xfId="14213" xr:uid="{F619FC26-3BE5-42D6-BFF3-964A4DCFA5F7}"/>
    <cellStyle name="Normal 15 2 3 4 2 4" xfId="11491" xr:uid="{0EE3132F-001A-4747-92B7-5E62D0A00B48}"/>
    <cellStyle name="Normal 15 2 3 4 3" xfId="6893" xr:uid="{00000000-0005-0000-0000-000039110000}"/>
    <cellStyle name="Normal 15 2 3 4 3 2" xfId="9561" xr:uid="{7BC6C3D3-9A08-4315-84FE-A6CFBC709F45}"/>
    <cellStyle name="Normal 15 2 3 4 3 2 2" xfId="14951" xr:uid="{48135209-F4A5-4A80-8580-437438B4D715}"/>
    <cellStyle name="Normal 15 2 3 4 3 3" xfId="12198" xr:uid="{F76723D3-1B7E-47BD-9A41-DB67E2BA84FC}"/>
    <cellStyle name="Normal 15 2 3 4 4" xfId="8230" xr:uid="{1FC638DC-7F0B-4871-AF47-8B13F6E19DA1}"/>
    <cellStyle name="Normal 15 2 3 4 4 2" xfId="13589" xr:uid="{16F2B6B9-91D4-42EA-B6B8-D5DC2F4B036A}"/>
    <cellStyle name="Normal 15 2 3 4 5" xfId="10867" xr:uid="{2F47E013-2F3C-4EAA-884D-0D4E7C086D0F}"/>
    <cellStyle name="Normal 15 2 3 5" xfId="4346" xr:uid="{00000000-0005-0000-0000-00003A110000}"/>
    <cellStyle name="Normal 15 2 3 5 2" xfId="7514" xr:uid="{00000000-0005-0000-0000-00003B110000}"/>
    <cellStyle name="Normal 15 2 3 5 2 2" xfId="10182" xr:uid="{B848D7D0-DFE7-4A7D-8D01-31828B8BCCB1}"/>
    <cellStyle name="Normal 15 2 3 5 2 2 2" xfId="15572" xr:uid="{E1B7D8AB-64B3-4FF7-8C7C-2207EC44B18B}"/>
    <cellStyle name="Normal 15 2 3 5 2 3" xfId="12819" xr:uid="{75E5B8FB-A7F2-497B-8C49-306C087A1450}"/>
    <cellStyle name="Normal 15 2 3 5 3" xfId="8851" xr:uid="{BE9785D3-E461-45BC-84E2-52D5E683DED6}"/>
    <cellStyle name="Normal 15 2 3 5 3 2" xfId="14210" xr:uid="{3BB1595F-737D-4081-8FAB-9EB869E4A46C}"/>
    <cellStyle name="Normal 15 2 3 5 4" xfId="11488" xr:uid="{FA0E5DC6-7E40-498C-B761-AE966AD7B3D4}"/>
    <cellStyle name="Normal 15 2 3 6" xfId="6890" xr:uid="{00000000-0005-0000-0000-00003C110000}"/>
    <cellStyle name="Normal 15 2 3 6 2" xfId="9558" xr:uid="{184BEC2A-440E-4C3D-B3BF-C233E990DD05}"/>
    <cellStyle name="Normal 15 2 3 6 2 2" xfId="14948" xr:uid="{7E90285E-E055-4AFD-9C3F-BD8A77998FF7}"/>
    <cellStyle name="Normal 15 2 3 6 3" xfId="12195" xr:uid="{A934357A-1EF2-4E5B-9B97-876EEBDED98D}"/>
    <cellStyle name="Normal 15 2 3 7" xfId="8227" xr:uid="{A1EF805F-7DC8-4868-9855-1C4E4042E41A}"/>
    <cellStyle name="Normal 15 2 3 7 2" xfId="13586" xr:uid="{DA2D37A8-D5DD-458D-94D2-1E8384109D7C}"/>
    <cellStyle name="Normal 15 2 3 8" xfId="10864" xr:uid="{90AAE2FE-B0BD-4262-A2B3-D8AD2108BBEE}"/>
    <cellStyle name="Normal 15 3" xfId="3720" xr:uid="{00000000-0005-0000-0000-00003D110000}"/>
    <cellStyle name="Normal 15 4" xfId="3721" xr:uid="{00000000-0005-0000-0000-00003E110000}"/>
    <cellStyle name="Normal 15 4 2" xfId="4350" xr:uid="{00000000-0005-0000-0000-00003F110000}"/>
    <cellStyle name="Normal 15 4 2 2" xfId="7518" xr:uid="{00000000-0005-0000-0000-000040110000}"/>
    <cellStyle name="Normal 15 4 2 2 2" xfId="10186" xr:uid="{8EF0526F-35EE-4D36-997A-EAA0D67E1E52}"/>
    <cellStyle name="Normal 15 4 2 2 2 2" xfId="15576" xr:uid="{31BDE72B-532F-4631-B25E-0C9E2F59DB2C}"/>
    <cellStyle name="Normal 15 4 2 2 3" xfId="12823" xr:uid="{A3E074D9-5286-4A26-ACFA-47F35A94CE4E}"/>
    <cellStyle name="Normal 15 4 2 3" xfId="8855" xr:uid="{14294B64-20CA-4C0E-87FB-F60DA77E2DAD}"/>
    <cellStyle name="Normal 15 4 2 3 2" xfId="14214" xr:uid="{14F1115C-D871-4AFA-BC4A-389D030E9D4A}"/>
    <cellStyle name="Normal 15 4 2 4" xfId="11492" xr:uid="{F4801660-2474-4F2B-B595-CAFB0D595D10}"/>
    <cellStyle name="Normal 15 4 3" xfId="6894" xr:uid="{00000000-0005-0000-0000-000041110000}"/>
    <cellStyle name="Normal 15 4 3 2" xfId="9562" xr:uid="{A0EEA49A-686D-4C83-90FE-24FDD1EC549B}"/>
    <cellStyle name="Normal 15 4 3 2 2" xfId="14952" xr:uid="{42A1E1F9-80B7-4AA0-BF34-145073223894}"/>
    <cellStyle name="Normal 15 4 3 3" xfId="12199" xr:uid="{B6AECB8D-8230-470B-8EEA-1D96CA966D4E}"/>
    <cellStyle name="Normal 15 4 4" xfId="8231" xr:uid="{F9940E0F-A825-4490-9C69-934F40F4C634}"/>
    <cellStyle name="Normal 15 4 4 2" xfId="13590" xr:uid="{9EF59D2A-0C65-4491-A8E5-26E72207EBE7}"/>
    <cellStyle name="Normal 15 4 5" xfId="10868" xr:uid="{056028B2-DD13-4338-B45F-0C114B10E044}"/>
    <cellStyle name="Normal 15 5" xfId="3722" xr:uid="{00000000-0005-0000-0000-000042110000}"/>
    <cellStyle name="Normal 15 5 2" xfId="4351" xr:uid="{00000000-0005-0000-0000-000043110000}"/>
    <cellStyle name="Normal 15 5 2 2" xfId="7519" xr:uid="{00000000-0005-0000-0000-000044110000}"/>
    <cellStyle name="Normal 15 5 2 2 2" xfId="10187" xr:uid="{ECA6D134-E75B-401B-B8BB-CB577B49AC07}"/>
    <cellStyle name="Normal 15 5 2 2 2 2" xfId="15577" xr:uid="{7E8A2D1E-5E1C-44AC-98CB-37806C558585}"/>
    <cellStyle name="Normal 15 5 2 2 3" xfId="12824" xr:uid="{8CEDA721-41B8-46B3-BA71-284074932F5F}"/>
    <cellStyle name="Normal 15 5 2 3" xfId="8856" xr:uid="{3CAE2D35-71D3-4414-92DF-1568C0536B1E}"/>
    <cellStyle name="Normal 15 5 2 3 2" xfId="14215" xr:uid="{02A8F32E-97B3-4981-A9A3-A4CE9D1226AD}"/>
    <cellStyle name="Normal 15 5 2 4" xfId="11493" xr:uid="{2CA62172-F8B6-4996-8DE9-DA623E95ACF7}"/>
    <cellStyle name="Normal 15 5 3" xfId="6895" xr:uid="{00000000-0005-0000-0000-000045110000}"/>
    <cellStyle name="Normal 15 5 3 2" xfId="9563" xr:uid="{94C60024-E833-4298-A9FD-3100BC660ED8}"/>
    <cellStyle name="Normal 15 5 3 2 2" xfId="14953" xr:uid="{486B8595-55E1-427B-8856-6A8C4250D2EE}"/>
    <cellStyle name="Normal 15 5 3 3" xfId="12200" xr:uid="{A5719F26-BC64-4454-BFCA-29F5FFBAED06}"/>
    <cellStyle name="Normal 15 5 4" xfId="8232" xr:uid="{874DC45B-95AA-42F4-88BD-16FE64618735}"/>
    <cellStyle name="Normal 15 5 4 2" xfId="13591" xr:uid="{CDD631EC-BA4F-45BB-937D-D4C7E0F6DBD7}"/>
    <cellStyle name="Normal 15 5 5" xfId="10869" xr:uid="{72393771-AC11-427B-84AE-AE9AFF43D4FF}"/>
    <cellStyle name="Normal 15 6" xfId="4341" xr:uid="{00000000-0005-0000-0000-000046110000}"/>
    <cellStyle name="Normal 15 6 2" xfId="7509" xr:uid="{00000000-0005-0000-0000-000047110000}"/>
    <cellStyle name="Normal 15 6 2 2" xfId="10177" xr:uid="{F674E8AB-3D5C-4357-AEA4-9AA5C83492F4}"/>
    <cellStyle name="Normal 15 6 2 2 2" xfId="15567" xr:uid="{602ABCCC-9119-4A80-8015-EEFB4B5679ED}"/>
    <cellStyle name="Normal 15 6 2 3" xfId="12814" xr:uid="{D024A6B2-8E25-4325-BE2C-53891A4F3BD6}"/>
    <cellStyle name="Normal 15 6 3" xfId="8846" xr:uid="{605C0881-0640-4A68-A8F6-8B02093AD502}"/>
    <cellStyle name="Normal 15 6 3 2" xfId="14205" xr:uid="{DD9E51F9-E605-4157-AD4B-CA6113CF9ADF}"/>
    <cellStyle name="Normal 15 6 4" xfId="11483" xr:uid="{A0B5D25E-4742-4A5E-9F5E-633385DF30A5}"/>
    <cellStyle name="Normal 15 7" xfId="6885" xr:uid="{00000000-0005-0000-0000-000048110000}"/>
    <cellStyle name="Normal 15 7 2" xfId="9553" xr:uid="{BF299311-D734-4148-A3B4-A8D738C4D343}"/>
    <cellStyle name="Normal 15 7 2 2" xfId="14943" xr:uid="{642928B9-747A-431F-B785-D72B74321BFC}"/>
    <cellStyle name="Normal 15 7 3" xfId="12190" xr:uid="{E5ECA74E-1A33-4CF9-89AC-1400A226B99D}"/>
    <cellStyle name="Normal 15 8" xfId="8222" xr:uid="{89971F67-3BB6-4542-8F57-199793521648}"/>
    <cellStyle name="Normal 15 8 2" xfId="13581" xr:uid="{5F622BB9-B887-49B4-8F65-26FAFF9A8D0F}"/>
    <cellStyle name="Normal 15 9" xfId="10859" xr:uid="{43761429-2404-4E8C-9BB1-2D2E0072F1E0}"/>
    <cellStyle name="Normal 15_Trends fuels" xfId="3723" xr:uid="{00000000-0005-0000-0000-000049110000}"/>
    <cellStyle name="Normal 16" xfId="3724" xr:uid="{00000000-0005-0000-0000-00004A110000}"/>
    <cellStyle name="Normal 16 2" xfId="3725" xr:uid="{00000000-0005-0000-0000-00004B110000}"/>
    <cellStyle name="Normal 16 2 2" xfId="4353" xr:uid="{00000000-0005-0000-0000-00004C110000}"/>
    <cellStyle name="Normal 16 2 2 2" xfId="7521" xr:uid="{00000000-0005-0000-0000-00004D110000}"/>
    <cellStyle name="Normal 16 2 2 2 2" xfId="10189" xr:uid="{92B1CF42-D5B6-4D12-98C0-1A2733B14BB1}"/>
    <cellStyle name="Normal 16 2 2 2 2 2" xfId="15579" xr:uid="{E1CB1148-BF2D-4253-BEC3-FA1E46EEB9D4}"/>
    <cellStyle name="Normal 16 2 2 2 3" xfId="12826" xr:uid="{200B2912-66AC-4DF8-8D87-6995F80BF95C}"/>
    <cellStyle name="Normal 16 2 2 3" xfId="8858" xr:uid="{14D6DE80-F66F-4F3F-B56A-3654FAE66FE9}"/>
    <cellStyle name="Normal 16 2 2 3 2" xfId="14217" xr:uid="{2E0097DB-6117-4A42-B0C0-4AF6BCFF3159}"/>
    <cellStyle name="Normal 16 2 2 4" xfId="11495" xr:uid="{F91E55FD-148E-4BDE-9630-2B327702D394}"/>
    <cellStyle name="Normal 16 2 3" xfId="6897" xr:uid="{00000000-0005-0000-0000-00004E110000}"/>
    <cellStyle name="Normal 16 2 3 2" xfId="9565" xr:uid="{96F04D3C-6B96-4069-9ED3-84D5B9E6B9B9}"/>
    <cellStyle name="Normal 16 2 3 2 2" xfId="14955" xr:uid="{C5185DC0-18B6-48FC-B0B1-0B4AE09C34DB}"/>
    <cellStyle name="Normal 16 2 3 3" xfId="12202" xr:uid="{994FD29A-6486-4C6B-AF9E-AE82911E2BE6}"/>
    <cellStyle name="Normal 16 2 4" xfId="8234" xr:uid="{EF8C8914-B51B-4F0B-9AFB-6175639EC2DB}"/>
    <cellStyle name="Normal 16 2 4 2" xfId="13593" xr:uid="{A2F66FBE-9011-4326-BCF2-A4FF485625D9}"/>
    <cellStyle name="Normal 16 2 5" xfId="10871" xr:uid="{385A429E-D070-47FC-9B97-400120634789}"/>
    <cellStyle name="Normal 16 3" xfId="3726" xr:uid="{00000000-0005-0000-0000-00004F110000}"/>
    <cellStyle name="Normal 16 3 2" xfId="4354" xr:uid="{00000000-0005-0000-0000-000050110000}"/>
    <cellStyle name="Normal 16 3 2 2" xfId="7522" xr:uid="{00000000-0005-0000-0000-000051110000}"/>
    <cellStyle name="Normal 16 3 2 2 2" xfId="10190" xr:uid="{2610154E-D179-4E03-94DA-B3A911A0997A}"/>
    <cellStyle name="Normal 16 3 2 2 2 2" xfId="15580" xr:uid="{D9F3580C-9218-45FE-8CF9-77B079CBEC96}"/>
    <cellStyle name="Normal 16 3 2 2 3" xfId="12827" xr:uid="{A73B3D4B-604A-4A8F-97CD-E43039123E33}"/>
    <cellStyle name="Normal 16 3 2 3" xfId="8859" xr:uid="{2DB1AC00-620E-421D-B33B-279BEAF85FD9}"/>
    <cellStyle name="Normal 16 3 2 3 2" xfId="14218" xr:uid="{6A3D9935-82B2-413D-90C6-22EA33432EF0}"/>
    <cellStyle name="Normal 16 3 2 4" xfId="11496" xr:uid="{8E647929-B5AA-4B13-A6C5-39179AA9E2B4}"/>
    <cellStyle name="Normal 16 3 3" xfId="6898" xr:uid="{00000000-0005-0000-0000-000052110000}"/>
    <cellStyle name="Normal 16 3 3 2" xfId="9566" xr:uid="{0B843033-CD9E-4A96-9F78-C2610A6775A8}"/>
    <cellStyle name="Normal 16 3 3 2 2" xfId="14956" xr:uid="{12E3104F-865F-4D31-9515-07B77CAB4EA4}"/>
    <cellStyle name="Normal 16 3 3 3" xfId="12203" xr:uid="{4C8433C5-9520-40BC-A61A-DF77ECEC75D2}"/>
    <cellStyle name="Normal 16 3 4" xfId="8235" xr:uid="{391EB66F-EF5A-4856-A046-D383B370E690}"/>
    <cellStyle name="Normal 16 3 4 2" xfId="15959" xr:uid="{3372C2C5-522A-4809-A38D-61569EABC27E}"/>
    <cellStyle name="Normal 16 3 5" xfId="13594" xr:uid="{C12DDC0C-F519-4140-BB31-89868B1AACDA}"/>
    <cellStyle name="Normal 16 3 6" xfId="10872" xr:uid="{E7C0CF84-81C0-4B3F-B0B5-81906EF239AC}"/>
    <cellStyle name="Normal 16 4" xfId="3727" xr:uid="{00000000-0005-0000-0000-000053110000}"/>
    <cellStyle name="Normal 16 4 2" xfId="4355" xr:uid="{00000000-0005-0000-0000-000054110000}"/>
    <cellStyle name="Normal 16 4 2 2" xfId="7523" xr:uid="{00000000-0005-0000-0000-000055110000}"/>
    <cellStyle name="Normal 16 4 2 2 2" xfId="10191" xr:uid="{3F2C630F-F5C5-4E32-A6A3-5F70C19C8B2D}"/>
    <cellStyle name="Normal 16 4 2 2 2 2" xfId="15581" xr:uid="{9293F9EE-48AB-4E59-B68F-5D5291820488}"/>
    <cellStyle name="Normal 16 4 2 2 3" xfId="12828" xr:uid="{45F5AA90-6B25-45DF-BA3C-1FC74AD8CCAB}"/>
    <cellStyle name="Normal 16 4 2 3" xfId="8860" xr:uid="{5850E772-C212-4999-8AA2-F52632EB60FF}"/>
    <cellStyle name="Normal 16 4 2 3 2" xfId="14219" xr:uid="{84D0D86C-CD21-4427-9629-2CCBE6D9E360}"/>
    <cellStyle name="Normal 16 4 2 4" xfId="11497" xr:uid="{5AD7EEE9-C5E9-46B8-B9F9-A184D68224FA}"/>
    <cellStyle name="Normal 16 4 3" xfId="6899" xr:uid="{00000000-0005-0000-0000-000056110000}"/>
    <cellStyle name="Normal 16 4 3 2" xfId="9567" xr:uid="{306C660D-39FB-4D03-86D1-8454BBC8FA41}"/>
    <cellStyle name="Normal 16 4 3 2 2" xfId="14957" xr:uid="{2976C2A2-4D52-449B-AFE5-55F9EA0F10B8}"/>
    <cellStyle name="Normal 16 4 3 3" xfId="12204" xr:uid="{92C119A5-B036-4699-81D9-6726280B9EC4}"/>
    <cellStyle name="Normal 16 4 4" xfId="8236" xr:uid="{5FCE2C15-E567-4DC2-9BE6-AEFB1FA33128}"/>
    <cellStyle name="Normal 16 4 4 2" xfId="13595" xr:uid="{81F718E4-2724-48DF-874B-0CDE046F95C7}"/>
    <cellStyle name="Normal 16 4 5" xfId="10873" xr:uid="{1D9D736D-D60F-40ED-90F6-51D6BD88EE45}"/>
    <cellStyle name="Normal 16 5" xfId="4352" xr:uid="{00000000-0005-0000-0000-000057110000}"/>
    <cellStyle name="Normal 16 5 2" xfId="7520" xr:uid="{00000000-0005-0000-0000-000058110000}"/>
    <cellStyle name="Normal 16 5 2 2" xfId="10188" xr:uid="{8F29E0C6-F25F-4A79-880C-0C6AF956B0CD}"/>
    <cellStyle name="Normal 16 5 2 2 2" xfId="15578" xr:uid="{4BBD4FD0-E358-47A7-8FC8-375E048297A1}"/>
    <cellStyle name="Normal 16 5 2 3" xfId="12825" xr:uid="{71681C17-EBA6-45DC-BAB0-BD7F17CED8B4}"/>
    <cellStyle name="Normal 16 5 3" xfId="8857" xr:uid="{047E2FA9-9757-4E23-9F09-CFA2DC0D6EF8}"/>
    <cellStyle name="Normal 16 5 3 2" xfId="14216" xr:uid="{D0DE983E-D9E5-4EE5-943A-9CFFAFABC73C}"/>
    <cellStyle name="Normal 16 5 4" xfId="11494" xr:uid="{FFD53099-FFEB-47C5-B2C0-0E02A3CA6771}"/>
    <cellStyle name="Normal 16 6" xfId="6896" xr:uid="{00000000-0005-0000-0000-000059110000}"/>
    <cellStyle name="Normal 16 6 2" xfId="9564" xr:uid="{C3BA6B46-DAA7-472E-80EA-BA080AC647BF}"/>
    <cellStyle name="Normal 16 6 2 2" xfId="14954" xr:uid="{E4040A45-D58F-42B0-A8ED-EAD9E975F6A4}"/>
    <cellStyle name="Normal 16 6 3" xfId="12201" xr:uid="{5C605273-B04A-414E-9E2C-F7A105CA7CE3}"/>
    <cellStyle name="Normal 16 7" xfId="8233" xr:uid="{C7F40240-02CE-422B-9C6B-DE60CD2F581A}"/>
    <cellStyle name="Normal 16 7 2" xfId="13592" xr:uid="{D0C5CEE0-1B7D-46F1-AEEA-701C53CD292F}"/>
    <cellStyle name="Normal 16 8" xfId="10870" xr:uid="{8EA063D4-AC42-4D3B-9F73-727F4E7FF19F}"/>
    <cellStyle name="Normal 17" xfId="3728" xr:uid="{00000000-0005-0000-0000-00005A110000}"/>
    <cellStyle name="Normal 17 2" xfId="3729" xr:uid="{00000000-0005-0000-0000-00005B110000}"/>
    <cellStyle name="Normal 17 2 2" xfId="4357" xr:uid="{00000000-0005-0000-0000-00005C110000}"/>
    <cellStyle name="Normal 17 2 2 2" xfId="7525" xr:uid="{00000000-0005-0000-0000-00005D110000}"/>
    <cellStyle name="Normal 17 2 2 2 2" xfId="10193" xr:uid="{798E4FBB-E1B2-4D74-9E8A-2EA1774DD46E}"/>
    <cellStyle name="Normal 17 2 2 2 2 2" xfId="15583" xr:uid="{44F8CB3E-213B-4013-8EEF-10A92EA3018C}"/>
    <cellStyle name="Normal 17 2 2 2 3" xfId="12830" xr:uid="{F4613887-F825-4B4F-9C19-65286C9F382B}"/>
    <cellStyle name="Normal 17 2 2 3" xfId="8862" xr:uid="{A5E08F92-3CD3-4F0A-A469-02E0BCC17A25}"/>
    <cellStyle name="Normal 17 2 2 3 2" xfId="14221" xr:uid="{E89FDB75-3C76-4ED8-A3E4-B9EF172AB70B}"/>
    <cellStyle name="Normal 17 2 2 4" xfId="11499" xr:uid="{CF1A71E9-7F9D-4977-90EE-6E737914942C}"/>
    <cellStyle name="Normal 17 2 3" xfId="6901" xr:uid="{00000000-0005-0000-0000-00005E110000}"/>
    <cellStyle name="Normal 17 2 3 2" xfId="9569" xr:uid="{A0C399A2-7054-46A0-AD58-60A786834E8A}"/>
    <cellStyle name="Normal 17 2 3 2 2" xfId="14959" xr:uid="{29FCC77A-98E5-4508-AD96-668E362C5F2C}"/>
    <cellStyle name="Normal 17 2 3 3" xfId="12206" xr:uid="{C8931605-A928-44F4-B3D5-95A18E771616}"/>
    <cellStyle name="Normal 17 2 4" xfId="8238" xr:uid="{9CB50B26-D6E1-418F-A8E4-930DFEF805A3}"/>
    <cellStyle name="Normal 17 2 4 2" xfId="13597" xr:uid="{99F3544F-7457-4D91-85A6-97A44598EE2D}"/>
    <cellStyle name="Normal 17 2 5" xfId="10875" xr:uid="{DE6046C6-DA13-44C4-9562-CCC3D6B028D0}"/>
    <cellStyle name="Normal 17 3" xfId="3730" xr:uid="{00000000-0005-0000-0000-00005F110000}"/>
    <cellStyle name="Normal 17 3 2" xfId="4358" xr:uid="{00000000-0005-0000-0000-000060110000}"/>
    <cellStyle name="Normal 17 3 2 2" xfId="7526" xr:uid="{00000000-0005-0000-0000-000061110000}"/>
    <cellStyle name="Normal 17 3 2 2 2" xfId="10194" xr:uid="{7B37346A-649B-4513-8B29-548360A35168}"/>
    <cellStyle name="Normal 17 3 2 2 2 2" xfId="15584" xr:uid="{73DA7593-EAD9-448E-A065-BB723EDCA261}"/>
    <cellStyle name="Normal 17 3 2 2 3" xfId="12831" xr:uid="{D6259AA5-E874-4F3C-8A5E-8E73AA0F5221}"/>
    <cellStyle name="Normal 17 3 2 3" xfId="8863" xr:uid="{1A3A282E-95CA-408C-9DB9-59E28E6DCCF5}"/>
    <cellStyle name="Normal 17 3 2 3 2" xfId="14222" xr:uid="{EE1849EE-BE8B-4578-AADD-263A3CF32FF3}"/>
    <cellStyle name="Normal 17 3 2 4" xfId="11500" xr:uid="{425502B6-DE31-4821-8432-A0C731A27683}"/>
    <cellStyle name="Normal 17 3 3" xfId="6902" xr:uid="{00000000-0005-0000-0000-000062110000}"/>
    <cellStyle name="Normal 17 3 3 2" xfId="9570" xr:uid="{AFB53E67-4EDD-4007-BA7E-8B338B3D5C11}"/>
    <cellStyle name="Normal 17 3 3 2 2" xfId="14960" xr:uid="{D7DD7F7C-94D4-4A96-A3AD-D562F6DC3FE3}"/>
    <cellStyle name="Normal 17 3 3 3" xfId="12207" xr:uid="{AC56A28F-E9D4-4AF5-B5ED-2CED0CE53F42}"/>
    <cellStyle name="Normal 17 3 4" xfId="8239" xr:uid="{1EDC0F1A-2078-49DC-8A82-27B8435CFA9D}"/>
    <cellStyle name="Normal 17 3 4 2" xfId="13598" xr:uid="{F394FA52-A147-48AB-BDF8-7BE83932DB75}"/>
    <cellStyle name="Normal 17 3 5" xfId="10876" xr:uid="{EBBD43C6-6289-436B-A4B6-9EA36E616634}"/>
    <cellStyle name="Normal 17 4" xfId="3731" xr:uid="{00000000-0005-0000-0000-000063110000}"/>
    <cellStyle name="Normal 17 4 2" xfId="4359" xr:uid="{00000000-0005-0000-0000-000064110000}"/>
    <cellStyle name="Normal 17 4 2 2" xfId="7527" xr:uid="{00000000-0005-0000-0000-000065110000}"/>
    <cellStyle name="Normal 17 4 2 2 2" xfId="10195" xr:uid="{3A920360-65F2-481A-816D-77DB4A34B88B}"/>
    <cellStyle name="Normal 17 4 2 2 2 2" xfId="15585" xr:uid="{16597960-CBAF-4F43-B50B-C2F5462BF25E}"/>
    <cellStyle name="Normal 17 4 2 2 3" xfId="12832" xr:uid="{1FAE05C9-FE00-4541-B698-E7387EB306EA}"/>
    <cellStyle name="Normal 17 4 2 3" xfId="8864" xr:uid="{7391F57B-C12B-499C-B8D9-9763226EED82}"/>
    <cellStyle name="Normal 17 4 2 3 2" xfId="14223" xr:uid="{46DF04AA-C328-42F4-92EC-1C744F057DA6}"/>
    <cellStyle name="Normal 17 4 2 4" xfId="11501" xr:uid="{A4A7DF61-56BF-436B-A149-11917BEDDF77}"/>
    <cellStyle name="Normal 17 4 3" xfId="6903" xr:uid="{00000000-0005-0000-0000-000066110000}"/>
    <cellStyle name="Normal 17 4 3 2" xfId="9571" xr:uid="{5D25EE79-165F-4A68-957D-C740F2168790}"/>
    <cellStyle name="Normal 17 4 3 2 2" xfId="14961" xr:uid="{D61EA89C-F6BA-41BA-84B1-FA5A9516EC5A}"/>
    <cellStyle name="Normal 17 4 3 3" xfId="12208" xr:uid="{367402B9-9FB9-4824-AC0D-62549A696662}"/>
    <cellStyle name="Normal 17 4 4" xfId="8240" xr:uid="{56F054D4-9BD3-475D-9D5D-49AB2E7224B7}"/>
    <cellStyle name="Normal 17 4 4 2" xfId="13599" xr:uid="{438BBFC8-A64C-4941-B8E8-6E129EDDB4C9}"/>
    <cellStyle name="Normal 17 4 5" xfId="10877" xr:uid="{569D8561-B9E4-471C-AD13-66706DA7DE0D}"/>
    <cellStyle name="Normal 17 5" xfId="4356" xr:uid="{00000000-0005-0000-0000-000067110000}"/>
    <cellStyle name="Normal 17 5 2" xfId="7524" xr:uid="{00000000-0005-0000-0000-000068110000}"/>
    <cellStyle name="Normal 17 5 2 2" xfId="10192" xr:uid="{5602EE97-08CB-49EA-952E-C2EB935CF3A6}"/>
    <cellStyle name="Normal 17 5 2 2 2" xfId="15582" xr:uid="{67F97877-98F9-4E09-9593-A60999227FC2}"/>
    <cellStyle name="Normal 17 5 2 3" xfId="12829" xr:uid="{B4A45CE6-67A9-46EE-826F-1703575A1D32}"/>
    <cellStyle name="Normal 17 5 3" xfId="8861" xr:uid="{85858B25-1F28-4A8D-8791-72C8F1AEF1B8}"/>
    <cellStyle name="Normal 17 5 3 2" xfId="14220" xr:uid="{5039C19F-F5F2-4F05-BBD1-C30CD90834DB}"/>
    <cellStyle name="Normal 17 5 4" xfId="11498" xr:uid="{9A3D3988-CB63-4AC9-8D36-233694E6F719}"/>
    <cellStyle name="Normal 17 6" xfId="6900" xr:uid="{00000000-0005-0000-0000-000069110000}"/>
    <cellStyle name="Normal 17 6 2" xfId="9568" xr:uid="{A58D5CB2-D055-4575-8A2E-E5020434A60D}"/>
    <cellStyle name="Normal 17 6 2 2" xfId="14958" xr:uid="{6629254F-159E-459F-A427-FE2D15036FA5}"/>
    <cellStyle name="Normal 17 6 3" xfId="12205" xr:uid="{1C9CAA16-CBEE-4DDD-B3A2-939EF9194702}"/>
    <cellStyle name="Normal 17 7" xfId="8237" xr:uid="{9927856F-C9D6-4B8E-8B9E-38C72C98DC86}"/>
    <cellStyle name="Normal 17 7 2" xfId="13596" xr:uid="{024FF53E-ACDC-4916-8F24-D40F3A0C6F55}"/>
    <cellStyle name="Normal 17 8" xfId="10874" xr:uid="{5B9E1B51-B532-43F6-BA5E-05BCC606825F}"/>
    <cellStyle name="Normal 18" xfId="3732" xr:uid="{00000000-0005-0000-0000-00006A110000}"/>
    <cellStyle name="Normal 18 2" xfId="3733" xr:uid="{00000000-0005-0000-0000-00006B110000}"/>
    <cellStyle name="Normal 18 2 2" xfId="4361" xr:uid="{00000000-0005-0000-0000-00006C110000}"/>
    <cellStyle name="Normal 18 2 2 2" xfId="7529" xr:uid="{00000000-0005-0000-0000-00006D110000}"/>
    <cellStyle name="Normal 18 2 2 2 2" xfId="10197" xr:uid="{79643BFA-6A43-463F-A8C8-228DF212B69C}"/>
    <cellStyle name="Normal 18 2 2 2 2 2" xfId="15587" xr:uid="{71708F47-2EC5-43DE-88AC-4A10143FF3AE}"/>
    <cellStyle name="Normal 18 2 2 2 3" xfId="12834" xr:uid="{AB5D9E0D-FC21-4114-8443-7F7FFF9A7924}"/>
    <cellStyle name="Normal 18 2 2 3" xfId="8866" xr:uid="{32221F19-9EE3-4EC4-BE0E-457E1856F630}"/>
    <cellStyle name="Normal 18 2 2 3 2" xfId="14225" xr:uid="{ACF0B424-C66B-4861-97E5-5FDEB322E3E9}"/>
    <cellStyle name="Normal 18 2 2 4" xfId="11503" xr:uid="{F21737CB-D6CD-4EEB-BD4E-EBADE844F60F}"/>
    <cellStyle name="Normal 18 2 3" xfId="6905" xr:uid="{00000000-0005-0000-0000-00006E110000}"/>
    <cellStyle name="Normal 18 2 3 2" xfId="9573" xr:uid="{5C6FAB1C-3073-41C1-8D6C-4C56C9CCB5F3}"/>
    <cellStyle name="Normal 18 2 3 2 2" xfId="14963" xr:uid="{276D37F8-ED6D-405B-8B0F-1C1F037C4F03}"/>
    <cellStyle name="Normal 18 2 3 3" xfId="12210" xr:uid="{AA41D749-16FE-47B7-8F80-CFF9CEF0C5EF}"/>
    <cellStyle name="Normal 18 2 4" xfId="8242" xr:uid="{E069F03E-0B90-4B7B-BF05-7BECBCFB481A}"/>
    <cellStyle name="Normal 18 2 4 2" xfId="13601" xr:uid="{1278B90D-6AA0-4A22-B28F-00D13886596D}"/>
    <cellStyle name="Normal 18 2 5" xfId="10879" xr:uid="{AB326A84-38EC-4CE4-845B-0CE65B99053F}"/>
    <cellStyle name="Normal 18 3" xfId="3734" xr:uid="{00000000-0005-0000-0000-00006F110000}"/>
    <cellStyle name="Normal 18 3 2" xfId="4362" xr:uid="{00000000-0005-0000-0000-000070110000}"/>
    <cellStyle name="Normal 18 3 2 2" xfId="7530" xr:uid="{00000000-0005-0000-0000-000071110000}"/>
    <cellStyle name="Normal 18 3 2 2 2" xfId="10198" xr:uid="{2E73BC34-7999-4563-A7D0-9EF372AC0E31}"/>
    <cellStyle name="Normal 18 3 2 2 2 2" xfId="15588" xr:uid="{116E315A-698F-4683-8D68-5C147D0AE657}"/>
    <cellStyle name="Normal 18 3 2 2 3" xfId="12835" xr:uid="{DA15C0E4-1F4B-4B19-88CA-DA4FD4E3315A}"/>
    <cellStyle name="Normal 18 3 2 3" xfId="8867" xr:uid="{BA6C5EE5-5F72-4839-8E92-1D1ECF9239A2}"/>
    <cellStyle name="Normal 18 3 2 3 2" xfId="14226" xr:uid="{1D84886A-AE16-4944-B6E0-AB171100703F}"/>
    <cellStyle name="Normal 18 3 2 4" xfId="11504" xr:uid="{C5938101-8D38-4A7A-8AC7-B4EFD8180E4E}"/>
    <cellStyle name="Normal 18 3 3" xfId="6906" xr:uid="{00000000-0005-0000-0000-000072110000}"/>
    <cellStyle name="Normal 18 3 3 2" xfId="9574" xr:uid="{9F35066D-5245-48E4-88CA-7EA3A2DE9502}"/>
    <cellStyle name="Normal 18 3 3 2 2" xfId="14964" xr:uid="{8BAFC7C8-3C36-4C01-9533-4229F5D8DB02}"/>
    <cellStyle name="Normal 18 3 3 3" xfId="12211" xr:uid="{92DC221C-EDC1-4356-8987-5D810F6E5C8F}"/>
    <cellStyle name="Normal 18 3 4" xfId="8243" xr:uid="{AD525BD7-EB0E-4CF9-851C-B91BA941BA43}"/>
    <cellStyle name="Normal 18 3 4 2" xfId="13602" xr:uid="{7134B89E-988E-4921-A525-45604A1E37BC}"/>
    <cellStyle name="Normal 18 3 5" xfId="10880" xr:uid="{EA3FEE02-8EBB-4732-B27F-44C74745B357}"/>
    <cellStyle name="Normal 18 4" xfId="3735" xr:uid="{00000000-0005-0000-0000-000073110000}"/>
    <cellStyle name="Normal 18 4 2" xfId="4363" xr:uid="{00000000-0005-0000-0000-000074110000}"/>
    <cellStyle name="Normal 18 4 2 2" xfId="7531" xr:uid="{00000000-0005-0000-0000-000075110000}"/>
    <cellStyle name="Normal 18 4 2 2 2" xfId="10199" xr:uid="{B7F8F286-76FA-40F7-AE5B-F3282A77C3C8}"/>
    <cellStyle name="Normal 18 4 2 2 2 2" xfId="15589" xr:uid="{4D587211-A787-4240-9CCB-35429B89672C}"/>
    <cellStyle name="Normal 18 4 2 2 3" xfId="12836" xr:uid="{220B8991-D110-4955-A163-C753DF8048C2}"/>
    <cellStyle name="Normal 18 4 2 3" xfId="8868" xr:uid="{E70AB8C3-32CD-4EDA-AB0D-108ED0A99FFB}"/>
    <cellStyle name="Normal 18 4 2 3 2" xfId="14227" xr:uid="{F6B498B3-7000-4DAC-B017-2461317BEC20}"/>
    <cellStyle name="Normal 18 4 2 4" xfId="11505" xr:uid="{7968B184-EF71-4FA9-A51F-9615F2E5D1AE}"/>
    <cellStyle name="Normal 18 4 3" xfId="6907" xr:uid="{00000000-0005-0000-0000-000076110000}"/>
    <cellStyle name="Normal 18 4 3 2" xfId="9575" xr:uid="{4A5E3F7D-B832-44B4-9487-756484383FF6}"/>
    <cellStyle name="Normal 18 4 3 2 2" xfId="14965" xr:uid="{462F28B4-9C7A-4318-9ECC-4E61B6B854BC}"/>
    <cellStyle name="Normal 18 4 3 3" xfId="12212" xr:uid="{2EA0B36C-23BD-4EC1-BA08-F4925E2D2DB8}"/>
    <cellStyle name="Normal 18 4 4" xfId="8244" xr:uid="{260B02A2-2389-4F45-94B1-CCD9370842E5}"/>
    <cellStyle name="Normal 18 4 4 2" xfId="13603" xr:uid="{F8880ABC-0A7D-4422-AD1B-A46256CF4E51}"/>
    <cellStyle name="Normal 18 4 5" xfId="10881" xr:uid="{01A9AE08-B48F-4F16-922A-7685293A8A9A}"/>
    <cellStyle name="Normal 18 5" xfId="4360" xr:uid="{00000000-0005-0000-0000-000077110000}"/>
    <cellStyle name="Normal 18 5 2" xfId="7528" xr:uid="{00000000-0005-0000-0000-000078110000}"/>
    <cellStyle name="Normal 18 5 2 2" xfId="10196" xr:uid="{1E720568-70F1-4009-BE7D-0F4908968D12}"/>
    <cellStyle name="Normal 18 5 2 2 2" xfId="15586" xr:uid="{C789FD98-8BFB-438B-9D18-1BDB9C6A9BF8}"/>
    <cellStyle name="Normal 18 5 2 3" xfId="12833" xr:uid="{816DE913-661E-4C5C-9E8F-E22B0B4010E4}"/>
    <cellStyle name="Normal 18 5 3" xfId="8865" xr:uid="{21745B36-9876-4472-8C03-BB126055A8B7}"/>
    <cellStyle name="Normal 18 5 3 2" xfId="14224" xr:uid="{B04899F8-9B6B-46EF-B2C2-9513B6885470}"/>
    <cellStyle name="Normal 18 5 4" xfId="11502" xr:uid="{E06C3449-20E7-4AAE-BFFB-D9F0809CF35E}"/>
    <cellStyle name="Normal 18 6" xfId="6904" xr:uid="{00000000-0005-0000-0000-000079110000}"/>
    <cellStyle name="Normal 18 6 2" xfId="9572" xr:uid="{99BB9F55-BA33-4BFE-8E80-B4B9F894AE7A}"/>
    <cellStyle name="Normal 18 6 2 2" xfId="14962" xr:uid="{DFC93710-5653-47F7-A1DB-0AA4C6A80C85}"/>
    <cellStyle name="Normal 18 6 3" xfId="12209" xr:uid="{515C97C8-97C8-4F05-9FF0-960F47EE71B4}"/>
    <cellStyle name="Normal 18 7" xfId="8241" xr:uid="{0E083EF7-9155-4218-AFF6-20DBDBE93352}"/>
    <cellStyle name="Normal 18 7 2" xfId="13600" xr:uid="{61184CA1-7B34-486B-9945-B439B1C8E437}"/>
    <cellStyle name="Normal 18 8" xfId="10878" xr:uid="{C78AB906-6C30-40B8-85D9-19E5D0E47DBA}"/>
    <cellStyle name="Normal 19" xfId="3736" xr:uid="{00000000-0005-0000-0000-00007A110000}"/>
    <cellStyle name="Normal 19 2" xfId="3737" xr:uid="{00000000-0005-0000-0000-00007B110000}"/>
    <cellStyle name="Normal 19 2 2" xfId="4364" xr:uid="{00000000-0005-0000-0000-00007C110000}"/>
    <cellStyle name="Normal 19 2 2 2" xfId="7532" xr:uid="{00000000-0005-0000-0000-00007D110000}"/>
    <cellStyle name="Normal 19 2 2 2 2" xfId="10200" xr:uid="{7D53C20D-6E8B-48C3-B2D2-A2074C8B1A59}"/>
    <cellStyle name="Normal 19 2 2 2 2 2" xfId="15590" xr:uid="{A300DBB1-E2E2-4889-A963-7B64C13283BB}"/>
    <cellStyle name="Normal 19 2 2 2 3" xfId="12837" xr:uid="{A758C00A-B2A2-445C-8D52-EFEF264C553A}"/>
    <cellStyle name="Normal 19 2 2 3" xfId="8869" xr:uid="{79805664-1706-401C-AB1E-18BABC663663}"/>
    <cellStyle name="Normal 19 2 2 3 2" xfId="14228" xr:uid="{F7071521-0EFA-4030-91C3-FEC2581BA5DA}"/>
    <cellStyle name="Normal 19 2 2 4" xfId="11506" xr:uid="{116EE943-E8E6-4442-948E-C8502723018D}"/>
    <cellStyle name="Normal 19 2 3" xfId="6908" xr:uid="{00000000-0005-0000-0000-00007E110000}"/>
    <cellStyle name="Normal 19 2 3 2" xfId="9576" xr:uid="{010FFE27-37FF-426F-A0A0-1AE1CFF71C48}"/>
    <cellStyle name="Normal 19 2 3 2 2" xfId="14966" xr:uid="{1BEA3B59-C677-47C1-8494-A165297A12F4}"/>
    <cellStyle name="Normal 19 2 3 3" xfId="12213" xr:uid="{94AFCF67-F1D6-4B01-B09C-C42CE35D4223}"/>
    <cellStyle name="Normal 19 2 4" xfId="8245" xr:uid="{6C432FD4-655A-47C8-9813-E182B44831F0}"/>
    <cellStyle name="Normal 19 2 4 2" xfId="13604" xr:uid="{0BBE9D16-0808-4EE1-9E7E-DC526037B445}"/>
    <cellStyle name="Normal 19 2 5" xfId="10882" xr:uid="{32A57A4D-3293-464C-A27F-EDF6E0170BB0}"/>
    <cellStyle name="Normal 2" xfId="976" xr:uid="{00000000-0005-0000-0000-00007F110000}"/>
    <cellStyle name="Normal 2 10" xfId="3738" xr:uid="{00000000-0005-0000-0000-000080110000}"/>
    <cellStyle name="Normal 2 11" xfId="3739" xr:uid="{00000000-0005-0000-0000-000081110000}"/>
    <cellStyle name="Normal 2 11 2" xfId="3740" xr:uid="{00000000-0005-0000-0000-000082110000}"/>
    <cellStyle name="Normal 2 11 2 2" xfId="4366" xr:uid="{00000000-0005-0000-0000-000083110000}"/>
    <cellStyle name="Normal 2 11 2 2 2" xfId="7534" xr:uid="{00000000-0005-0000-0000-000084110000}"/>
    <cellStyle name="Normal 2 11 2 2 2 2" xfId="10202" xr:uid="{0C2FED5E-3357-4386-B6CF-BA6854B4A5E5}"/>
    <cellStyle name="Normal 2 11 2 2 2 2 2" xfId="15592" xr:uid="{484E3EEE-FEF6-4438-B1FE-2D5C073657FB}"/>
    <cellStyle name="Normal 2 11 2 2 2 3" xfId="12839" xr:uid="{13CEF25B-7DC5-4B16-9B9F-E27A5BA66DF8}"/>
    <cellStyle name="Normal 2 11 2 2 3" xfId="8871" xr:uid="{7346AA7A-3500-44F1-8F3E-6CBD126ED025}"/>
    <cellStyle name="Normal 2 11 2 2 3 2" xfId="14230" xr:uid="{BEDDAEFD-6789-4599-A83D-249729B10F5C}"/>
    <cellStyle name="Normal 2 11 2 2 4" xfId="11508" xr:uid="{2F6A3B26-5A09-4E9B-91CA-06FBC2041DB9}"/>
    <cellStyle name="Normal 2 11 2 3" xfId="6910" xr:uid="{00000000-0005-0000-0000-000085110000}"/>
    <cellStyle name="Normal 2 11 2 3 2" xfId="9578" xr:uid="{F229FEA6-FA5B-478E-81BC-A150DB5CD26A}"/>
    <cellStyle name="Normal 2 11 2 3 2 2" xfId="14968" xr:uid="{60A92D1B-3D0A-4823-95DD-445A5BB7B11E}"/>
    <cellStyle name="Normal 2 11 2 3 3" xfId="12215" xr:uid="{539B0CB3-D5E9-4608-B0E0-B34FD27CED5E}"/>
    <cellStyle name="Normal 2 11 2 4" xfId="8247" xr:uid="{1B541586-B069-4C89-91AD-4740649A54BE}"/>
    <cellStyle name="Normal 2 11 2 4 2" xfId="13606" xr:uid="{7076F04F-A3F5-4415-8C8D-CE50138EF10E}"/>
    <cellStyle name="Normal 2 11 2 5" xfId="10884" xr:uid="{F257DEFB-0500-4C21-9E81-390D9CC5D50C}"/>
    <cellStyle name="Normal 2 11 3" xfId="4365" xr:uid="{00000000-0005-0000-0000-000086110000}"/>
    <cellStyle name="Normal 2 11 3 2" xfId="7533" xr:uid="{00000000-0005-0000-0000-000087110000}"/>
    <cellStyle name="Normal 2 11 3 2 2" xfId="10201" xr:uid="{05EC5424-4CA8-4BE1-B07C-534DD539AC22}"/>
    <cellStyle name="Normal 2 11 3 2 2 2" xfId="15591" xr:uid="{3FACE0B9-C493-41AB-B363-32357F9B3B77}"/>
    <cellStyle name="Normal 2 11 3 2 3" xfId="12838" xr:uid="{F1BACC8D-00AC-45B2-BFE5-93CE3654E73F}"/>
    <cellStyle name="Normal 2 11 3 3" xfId="8870" xr:uid="{B5862272-0465-4573-A947-23739B023E88}"/>
    <cellStyle name="Normal 2 11 3 3 2" xfId="14229" xr:uid="{0B312CA8-4143-4A35-B1DC-158E5055FF4B}"/>
    <cellStyle name="Normal 2 11 3 4" xfId="11507" xr:uid="{EB637439-EADD-4C2F-B2A6-7100F829D3C6}"/>
    <cellStyle name="Normal 2 11 4" xfId="6909" xr:uid="{00000000-0005-0000-0000-000088110000}"/>
    <cellStyle name="Normal 2 11 4 2" xfId="9577" xr:uid="{148F594F-9DDB-4899-996F-1E1D6C2A80F0}"/>
    <cellStyle name="Normal 2 11 4 2 2" xfId="14967" xr:uid="{846B89B6-EF07-4D16-B8B7-39F341A56B41}"/>
    <cellStyle name="Normal 2 11 4 3" xfId="12214" xr:uid="{C85BBA0E-1FF8-4E75-9376-BEBEBB35B79D}"/>
    <cellStyle name="Normal 2 11 5" xfId="8246" xr:uid="{55BA5574-5992-472F-8E6B-DC32E54382FF}"/>
    <cellStyle name="Normal 2 11 5 2" xfId="13605" xr:uid="{E4C66BC7-9BCA-45C7-858C-184312E267CC}"/>
    <cellStyle name="Normal 2 11 6" xfId="10883" xr:uid="{691EA873-2FCF-4754-83F5-155762BB9A33}"/>
    <cellStyle name="Normal 2 12" xfId="3741" xr:uid="{00000000-0005-0000-0000-000089110000}"/>
    <cellStyle name="Normal 2 12 2" xfId="4367" xr:uid="{00000000-0005-0000-0000-00008A110000}"/>
    <cellStyle name="Normal 2 12 2 2" xfId="7535" xr:uid="{00000000-0005-0000-0000-00008B110000}"/>
    <cellStyle name="Normal 2 12 2 2 2" xfId="10203" xr:uid="{C63D8BF7-EEF7-41FD-91FA-542D28F817E7}"/>
    <cellStyle name="Normal 2 12 2 2 2 2" xfId="15593" xr:uid="{266BB8BB-B302-497A-BC45-FE18ED37503F}"/>
    <cellStyle name="Normal 2 12 2 2 3" xfId="12840" xr:uid="{3F285082-828D-4237-B5AA-47162E361DDC}"/>
    <cellStyle name="Normal 2 12 2 3" xfId="8872" xr:uid="{D4E3E65F-7409-4959-A2A8-89C5BC21FDCF}"/>
    <cellStyle name="Normal 2 12 2 3 2" xfId="14231" xr:uid="{7F9CD29F-2BFC-40B9-AD88-2B2F1811DAE8}"/>
    <cellStyle name="Normal 2 12 2 4" xfId="11509" xr:uid="{5C9FD972-966E-4EB4-BF0E-F899F78FE2BB}"/>
    <cellStyle name="Normal 2 12 3" xfId="6911" xr:uid="{00000000-0005-0000-0000-00008C110000}"/>
    <cellStyle name="Normal 2 12 3 2" xfId="9579" xr:uid="{66D0EC28-6825-411D-9A80-F83C2608E527}"/>
    <cellStyle name="Normal 2 12 3 2 2" xfId="14969" xr:uid="{3246350B-559A-45A3-82D1-7D954D112B93}"/>
    <cellStyle name="Normal 2 12 3 3" xfId="12216" xr:uid="{6898A978-6FD9-47EC-A2E7-C86BB38AF99D}"/>
    <cellStyle name="Normal 2 12 4" xfId="8248" xr:uid="{818EEB6A-6596-49A6-B03E-0B9623A89902}"/>
    <cellStyle name="Normal 2 12 4 2" xfId="13607" xr:uid="{AAE9A1D7-1309-4AD0-AB6A-1B3860E9B0F2}"/>
    <cellStyle name="Normal 2 12 5" xfId="10885" xr:uid="{B7D68CA1-67E9-4C4A-BA41-B7B6C5E8E90A}"/>
    <cellStyle name="Normal 2 13" xfId="3742" xr:uid="{00000000-0005-0000-0000-00008D110000}"/>
    <cellStyle name="Normal 2 13 2" xfId="4368" xr:uid="{00000000-0005-0000-0000-00008E110000}"/>
    <cellStyle name="Normal 2 13 2 2" xfId="7536" xr:uid="{00000000-0005-0000-0000-00008F110000}"/>
    <cellStyle name="Normal 2 13 2 2 2" xfId="10204" xr:uid="{B8089598-73B4-4457-9B9B-58029BF93D92}"/>
    <cellStyle name="Normal 2 13 2 2 2 2" xfId="15594" xr:uid="{B53A816B-741B-4D55-84AE-B323C0E6BDBF}"/>
    <cellStyle name="Normal 2 13 2 2 3" xfId="12841" xr:uid="{52A76A93-A356-4E78-A859-0615BFC7E158}"/>
    <cellStyle name="Normal 2 13 2 3" xfId="8873" xr:uid="{222793F1-631A-4C52-A3E2-1E62495CD76F}"/>
    <cellStyle name="Normal 2 13 2 3 2" xfId="14232" xr:uid="{69BD4A42-6903-4886-8AB1-1C69EE8CF969}"/>
    <cellStyle name="Normal 2 13 2 4" xfId="11510" xr:uid="{022539E8-343A-4D0D-AE33-62E40887791E}"/>
    <cellStyle name="Normal 2 13 3" xfId="6912" xr:uid="{00000000-0005-0000-0000-000090110000}"/>
    <cellStyle name="Normal 2 13 3 2" xfId="9580" xr:uid="{AED0CE04-C3D3-43D2-9E3B-7A29E96C6D4F}"/>
    <cellStyle name="Normal 2 13 3 2 2" xfId="14970" xr:uid="{E4E32CD4-EBFD-439E-B70D-260265995531}"/>
    <cellStyle name="Normal 2 13 3 3" xfId="12217" xr:uid="{38731550-0214-4886-AACD-66DBD95D8437}"/>
    <cellStyle name="Normal 2 13 4" xfId="8249" xr:uid="{25EAA857-3778-4DBD-A27F-D2242342442A}"/>
    <cellStyle name="Normal 2 13 4 2" xfId="13608" xr:uid="{21F5308C-CE7C-444E-ACEF-9F9231CEEC4C}"/>
    <cellStyle name="Normal 2 13 5" xfId="10886" xr:uid="{CEDC83AC-5B46-4D36-A87D-9855C826EAF6}"/>
    <cellStyle name="Normal 2 14" xfId="3512" xr:uid="{00000000-0005-0000-0000-000091110000}"/>
    <cellStyle name="Normal 2 14 2" xfId="4153" xr:uid="{00000000-0005-0000-0000-000092110000}"/>
    <cellStyle name="Normal 2 14 2 2" xfId="7321" xr:uid="{00000000-0005-0000-0000-000093110000}"/>
    <cellStyle name="Normal 2 14 2 2 2" xfId="9989" xr:uid="{716DA976-ACB9-4DBB-8168-14E494716256}"/>
    <cellStyle name="Normal 2 14 2 2 2 2" xfId="15379" xr:uid="{3FF6FD92-8442-4E9D-962B-AE9D4DC84CC2}"/>
    <cellStyle name="Normal 2 14 2 2 3" xfId="12626" xr:uid="{2D0CBED1-8A22-445D-A722-A864C10EB0AA}"/>
    <cellStyle name="Normal 2 14 2 3" xfId="8658" xr:uid="{2810C45A-F3CD-4AC5-81E8-3DCA77AB828D}"/>
    <cellStyle name="Normal 2 14 2 3 2" xfId="14017" xr:uid="{477A5198-AAB4-4E68-9D1B-C96ABB2C5FE2}"/>
    <cellStyle name="Normal 2 14 2 4" xfId="11295" xr:uid="{EBC2C5FA-7E3E-46F0-8A92-CCD0780C7E7C}"/>
    <cellStyle name="Normal 2 14 3" xfId="6710" xr:uid="{00000000-0005-0000-0000-000094110000}"/>
    <cellStyle name="Normal 2 14 3 2" xfId="9378" xr:uid="{58E1907D-0CCB-4297-B6DD-4BB01AB0A1C2}"/>
    <cellStyle name="Normal 2 14 3 2 2" xfId="14768" xr:uid="{CD7CD7EA-9E68-437B-A1DB-F722D1DCBF55}"/>
    <cellStyle name="Normal 2 14 3 3" xfId="12015" xr:uid="{9A0DB5A8-4183-408E-957C-0D52967E8001}"/>
    <cellStyle name="Normal 2 14 4" xfId="8042" xr:uid="{9A08CB6E-DFE4-4020-80C8-24FCDE85E0AD}"/>
    <cellStyle name="Normal 2 14 4 2" xfId="13401" xr:uid="{4A36EB9D-02F2-46C0-A6C6-88DC2199B750}"/>
    <cellStyle name="Normal 2 14 5" xfId="10684" xr:uid="{669A0322-0DAB-451E-8A13-B5FC53B77C7B}"/>
    <cellStyle name="Normal 2 15" xfId="3372" xr:uid="{00000000-0005-0000-0000-000095110000}"/>
    <cellStyle name="Normal 2 2" xfId="977" xr:uid="{00000000-0005-0000-0000-000096110000}"/>
    <cellStyle name="Normal 2 2 2" xfId="978" xr:uid="{00000000-0005-0000-0000-000097110000}"/>
    <cellStyle name="Normal 2 2 2 2" xfId="979" xr:uid="{00000000-0005-0000-0000-000098110000}"/>
    <cellStyle name="Normal 2 2 2 2 2" xfId="3743" xr:uid="{00000000-0005-0000-0000-000099110000}"/>
    <cellStyle name="Normal 2 2 2 2 2 2" xfId="4369" xr:uid="{00000000-0005-0000-0000-00009A110000}"/>
    <cellStyle name="Normal 2 2 2 2 2 2 2" xfId="7537" xr:uid="{00000000-0005-0000-0000-00009B110000}"/>
    <cellStyle name="Normal 2 2 2 2 2 2 2 2" xfId="10205" xr:uid="{8566C253-9184-49E6-86D0-47E9351469F7}"/>
    <cellStyle name="Normal 2 2 2 2 2 2 2 2 2" xfId="15595" xr:uid="{B5F47EDE-13B9-420B-A1EB-5DA9E118317C}"/>
    <cellStyle name="Normal 2 2 2 2 2 2 2 3" xfId="12842" xr:uid="{C01DB8D0-3D2A-43C5-A8D3-78D48121633D}"/>
    <cellStyle name="Normal 2 2 2 2 2 2 3" xfId="8874" xr:uid="{9B573B75-4870-4C92-99D5-7BF520D72AE9}"/>
    <cellStyle name="Normal 2 2 2 2 2 2 3 2" xfId="14233" xr:uid="{AE0CFD3E-D4DA-49E1-97CA-6BEDE58906F8}"/>
    <cellStyle name="Normal 2 2 2 2 2 2 4" xfId="11511" xr:uid="{22DBC4C9-9559-4F18-BAA9-BAD34390D372}"/>
    <cellStyle name="Normal 2 2 2 2 2 3" xfId="6913" xr:uid="{00000000-0005-0000-0000-00009C110000}"/>
    <cellStyle name="Normal 2 2 2 2 2 3 2" xfId="9581" xr:uid="{2DAE8433-CEE3-48FD-9CCF-82A41CD59D15}"/>
    <cellStyle name="Normal 2 2 2 2 2 3 2 2" xfId="14971" xr:uid="{1B4129DF-8069-4BC3-8702-07FBDF8BB477}"/>
    <cellStyle name="Normal 2 2 2 2 2 3 3" xfId="12218" xr:uid="{0426B898-AC18-42F8-9E48-BFBBE38101FE}"/>
    <cellStyle name="Normal 2 2 2 2 2 4" xfId="8250" xr:uid="{14CDF373-D928-4D66-A97D-96C1E1E96FE3}"/>
    <cellStyle name="Normal 2 2 2 2 2 4 2" xfId="13609" xr:uid="{766DDB5C-9D43-42BD-AE86-40B09261AD64}"/>
    <cellStyle name="Normal 2 2 2 2 2 5" xfId="10887" xr:uid="{52F2213D-5C71-4238-AF32-BB45F8E03B9C}"/>
    <cellStyle name="Normal 2 2 2 2 3" xfId="4132" xr:uid="{00000000-0005-0000-0000-00009D110000}"/>
    <cellStyle name="Normal 2 2 2 2 3 2" xfId="7300" xr:uid="{00000000-0005-0000-0000-00009E110000}"/>
    <cellStyle name="Normal 2 2 2 2 3 2 2" xfId="9968" xr:uid="{A36B3AC4-0379-4367-8BD8-ABC40D3E8B56}"/>
    <cellStyle name="Normal 2 2 2 2 3 2 2 2" xfId="15358" xr:uid="{2222C63D-C88F-4174-A882-77C7EF9E2BA7}"/>
    <cellStyle name="Normal 2 2 2 2 3 2 3" xfId="12605" xr:uid="{1946F12F-3DE3-4A89-894A-BCFAB0B16C1E}"/>
    <cellStyle name="Normal 2 2 2 2 3 3" xfId="8637" xr:uid="{8FB8F6F2-F5BA-45F6-B774-6589D120C928}"/>
    <cellStyle name="Normal 2 2 2 2 3 3 2" xfId="13996" xr:uid="{922C207D-7F70-4E2B-BE60-C9C5C8C947EE}"/>
    <cellStyle name="Normal 2 2 2 2 3 4" xfId="11274" xr:uid="{AAAC3B92-725E-443D-A6A8-3CCB76B5A403}"/>
    <cellStyle name="Normal 2 2 2 2 4" xfId="3481" xr:uid="{00000000-0005-0000-0000-00009F110000}"/>
    <cellStyle name="Normal 2 2 2 2 4 2" xfId="6689" xr:uid="{00000000-0005-0000-0000-0000A0110000}"/>
    <cellStyle name="Normal 2 2 2 2 4 2 2" xfId="9357" xr:uid="{A25B3E6D-4C15-462B-82B4-DEC6D9385E9C}"/>
    <cellStyle name="Normal 2 2 2 2 4 2 2 2" xfId="14747" xr:uid="{12F7F881-BC58-4860-AB9C-65A77E4CE53B}"/>
    <cellStyle name="Normal 2 2 2 2 4 2 3" xfId="11994" xr:uid="{3A432C51-5AEB-4CAB-9848-36B191E61692}"/>
    <cellStyle name="Normal 2 2 2 2 4 3" xfId="8021" xr:uid="{F89EFAB4-EB25-45B4-9340-B70900279F34}"/>
    <cellStyle name="Normal 2 2 2 2 4 3 2" xfId="13380" xr:uid="{3D4A1764-10B1-487B-9CE1-A9F0D5AF5C47}"/>
    <cellStyle name="Normal 2 2 2 2 4 4" xfId="10663" xr:uid="{2D977240-C130-4CE8-A832-96669ACF21C3}"/>
    <cellStyle name="Normal 2 2 2 3" xfId="2613" xr:uid="{00000000-0005-0000-0000-0000A1110000}"/>
    <cellStyle name="Normal 2 2 2 3 2" xfId="3744" xr:uid="{00000000-0005-0000-0000-0000A2110000}"/>
    <cellStyle name="Normal 2 2 2 3 2 2" xfId="4370" xr:uid="{00000000-0005-0000-0000-0000A3110000}"/>
    <cellStyle name="Normal 2 2 2 3 2 2 2" xfId="7538" xr:uid="{00000000-0005-0000-0000-0000A4110000}"/>
    <cellStyle name="Normal 2 2 2 3 2 2 2 2" xfId="10206" xr:uid="{EC5A2487-66D2-4CE1-9F9E-99BB06AD3975}"/>
    <cellStyle name="Normal 2 2 2 3 2 2 2 2 2" xfId="15596" xr:uid="{39B6AA14-ED48-40AA-8F27-1C9E39F1EEEF}"/>
    <cellStyle name="Normal 2 2 2 3 2 2 2 3" xfId="12843" xr:uid="{B08E8453-E795-4D13-B477-EE7252A902DE}"/>
    <cellStyle name="Normal 2 2 2 3 2 2 3" xfId="8875" xr:uid="{A7CE67D0-CD81-41CB-9777-241DEB763C38}"/>
    <cellStyle name="Normal 2 2 2 3 2 2 3 2" xfId="14234" xr:uid="{D08982B9-AD39-465C-A42A-100FC3357924}"/>
    <cellStyle name="Normal 2 2 2 3 2 2 4" xfId="11512" xr:uid="{A2A207CE-DC47-4EF8-BB96-A47C45CC5007}"/>
    <cellStyle name="Normal 2 2 2 3 2 3" xfId="6914" xr:uid="{00000000-0005-0000-0000-0000A5110000}"/>
    <cellStyle name="Normal 2 2 2 3 2 3 2" xfId="9582" xr:uid="{E4E95D7A-3F79-4FFD-B576-6E077150E0B3}"/>
    <cellStyle name="Normal 2 2 2 3 2 3 2 2" xfId="14972" xr:uid="{9F5A69DB-EA06-48F3-A065-388E3F48AEB1}"/>
    <cellStyle name="Normal 2 2 2 3 2 3 3" xfId="12219" xr:uid="{66FC4037-8F07-41EF-8D23-C89476572EF8}"/>
    <cellStyle name="Normal 2 2 2 3 2 4" xfId="8251" xr:uid="{BA23DF82-B0FB-48D2-B5DE-75B6A5AADA6E}"/>
    <cellStyle name="Normal 2 2 2 3 2 4 2" xfId="13610" xr:uid="{DB38FF37-9A29-4546-9FBB-44A67E2E7341}"/>
    <cellStyle name="Normal 2 2 2 3 2 5" xfId="10888" xr:uid="{DB26E7BA-F666-46F4-BE53-52469C9F7991}"/>
    <cellStyle name="Normal 2 2 2 3 3" xfId="4148" xr:uid="{00000000-0005-0000-0000-0000A6110000}"/>
    <cellStyle name="Normal 2 2 2 3 3 2" xfId="7316" xr:uid="{00000000-0005-0000-0000-0000A7110000}"/>
    <cellStyle name="Normal 2 2 2 3 3 2 2" xfId="9984" xr:uid="{5D7B5148-8BB8-41F6-8681-F0399CDEA3DD}"/>
    <cellStyle name="Normal 2 2 2 3 3 2 2 2" xfId="15374" xr:uid="{ADE34B6A-8744-42D4-87FB-1A975EEB7C8C}"/>
    <cellStyle name="Normal 2 2 2 3 3 2 3" xfId="12621" xr:uid="{A77E628B-304C-435F-85AE-4E1B4DDC4C66}"/>
    <cellStyle name="Normal 2 2 2 3 3 3" xfId="8653" xr:uid="{D3E98E82-86FF-4D9B-8ACF-C1B1580FEDE8}"/>
    <cellStyle name="Normal 2 2 2 3 3 3 2" xfId="14012" xr:uid="{F2B1B7D6-B98E-4FD8-8371-86910EC08731}"/>
    <cellStyle name="Normal 2 2 2 3 3 4" xfId="11290" xr:uid="{8E4670DC-456D-4035-B433-E61E702A2FB1}"/>
    <cellStyle name="Normal 2 2 2 3 4" xfId="3497" xr:uid="{00000000-0005-0000-0000-0000A8110000}"/>
    <cellStyle name="Normal 2 2 2 3 4 2" xfId="6705" xr:uid="{00000000-0005-0000-0000-0000A9110000}"/>
    <cellStyle name="Normal 2 2 2 3 4 2 2" xfId="9373" xr:uid="{5FF50E7D-29F6-4CBF-89F9-43C18763BA34}"/>
    <cellStyle name="Normal 2 2 2 3 4 2 2 2" xfId="14763" xr:uid="{9EE90AE1-6156-4CC4-99F6-CEE64EDA94F3}"/>
    <cellStyle name="Normal 2 2 2 3 4 2 3" xfId="12010" xr:uid="{A3BFEF73-3224-4817-970A-44D5D1DCD1BF}"/>
    <cellStyle name="Normal 2 2 2 3 4 3" xfId="8037" xr:uid="{379FA4D7-499A-45A0-A083-038B6A806BC6}"/>
    <cellStyle name="Normal 2 2 2 3 4 3 2" xfId="13396" xr:uid="{5D948409-42F4-4A3D-8ED1-4966AD6DBD42}"/>
    <cellStyle name="Normal 2 2 2 3 4 4" xfId="10679" xr:uid="{38441E75-68BE-4AE0-B4A9-18E945D8D425}"/>
    <cellStyle name="Normal 2 2 2 4" xfId="3326" xr:uid="{00000000-0005-0000-0000-0000AA110000}"/>
    <cellStyle name="Normal 2 2 2 4 2" xfId="4371" xr:uid="{00000000-0005-0000-0000-0000AB110000}"/>
    <cellStyle name="Normal 2 2 2 4 2 2" xfId="7539" xr:uid="{00000000-0005-0000-0000-0000AC110000}"/>
    <cellStyle name="Normal 2 2 2 4 2 2 2" xfId="10207" xr:uid="{0EBC7CEC-D5C3-4703-8D4D-E161CD839F8D}"/>
    <cellStyle name="Normal 2 2 2 4 2 2 2 2" xfId="15597" xr:uid="{EE38A15D-C220-40A8-A7E7-352C78D13CF5}"/>
    <cellStyle name="Normal 2 2 2 4 2 2 3" xfId="12844" xr:uid="{F21D8A20-00CB-4A6A-9306-B1FCDF016430}"/>
    <cellStyle name="Normal 2 2 2 4 2 3" xfId="8876" xr:uid="{99B35D41-3B04-4440-91C6-BA1286D029A1}"/>
    <cellStyle name="Normal 2 2 2 4 2 3 2" xfId="14235" xr:uid="{A4C4C4C8-E6FF-4928-84CC-FE54EE7C6A39}"/>
    <cellStyle name="Normal 2 2 2 4 2 4" xfId="11513" xr:uid="{63B620F7-2F4D-4379-AB2F-67F1261117E7}"/>
    <cellStyle name="Normal 2 2 2 4 3" xfId="3745" xr:uid="{00000000-0005-0000-0000-0000AD110000}"/>
    <cellStyle name="Normal 2 2 2 4 3 2" xfId="6915" xr:uid="{00000000-0005-0000-0000-0000AE110000}"/>
    <cellStyle name="Normal 2 2 2 4 3 2 2" xfId="9583" xr:uid="{A47546F7-A6BB-4CA0-AF3A-7DE5DF74FD13}"/>
    <cellStyle name="Normal 2 2 2 4 3 2 2 2" xfId="14973" xr:uid="{A1AC52F0-A81D-48DF-B75F-C0861EAF547A}"/>
    <cellStyle name="Normal 2 2 2 4 3 2 3" xfId="12220" xr:uid="{3125E03F-0455-43BC-95D7-90EA4AD8FBCA}"/>
    <cellStyle name="Normal 2 2 2 4 3 3" xfId="8252" xr:uid="{201D7E29-8247-4901-8056-928D8B5F1E68}"/>
    <cellStyle name="Normal 2 2 2 4 3 3 2" xfId="13611" xr:uid="{846EE9A4-685E-4C9A-A5ED-94BCF3F4104B}"/>
    <cellStyle name="Normal 2 2 2 4 3 4" xfId="10889" xr:uid="{A4F7860D-7C95-4262-816F-D17C1EF936E2}"/>
    <cellStyle name="Normal 2 2 2 4 4" xfId="6630" xr:uid="{00000000-0005-0000-0000-0000AF110000}"/>
    <cellStyle name="Normal 2 2 2 4 4 2" xfId="9307" xr:uid="{7A85D4C3-B98A-486F-A6EA-A57C9635C435}"/>
    <cellStyle name="Normal 2 2 2 4 4 2 2" xfId="14697" xr:uid="{E23ADA16-89F8-41EF-92F8-A91B085A3058}"/>
    <cellStyle name="Normal 2 2 2 4 4 3" xfId="11944" xr:uid="{1AC99056-283F-40DD-85AF-66B3E8E6FF47}"/>
    <cellStyle name="Normal 2 2 2 4 5" xfId="7967" xr:uid="{BBD401EB-BB32-4E43-8766-9113A430243B}"/>
    <cellStyle name="Normal 2 2 2 4 5 2" xfId="13327" xr:uid="{B5183A37-2EAC-4F6C-8920-14E786B67BB9}"/>
    <cellStyle name="Normal 2 2 2 4 6" xfId="10613" xr:uid="{4F8FE87A-41C4-4EB8-8372-572C0E2DBDD1}"/>
    <cellStyle name="Normal 2 2 2 5" xfId="3517" xr:uid="{00000000-0005-0000-0000-0000B0110000}"/>
    <cellStyle name="Normal 2 2 2 5 2" xfId="4158" xr:uid="{00000000-0005-0000-0000-0000B1110000}"/>
    <cellStyle name="Normal 2 2 2 5 2 2" xfId="7326" xr:uid="{00000000-0005-0000-0000-0000B2110000}"/>
    <cellStyle name="Normal 2 2 2 5 2 2 2" xfId="9994" xr:uid="{C299D088-4011-4CB2-9CA3-59142A461E70}"/>
    <cellStyle name="Normal 2 2 2 5 2 2 2 2" xfId="15384" xr:uid="{28BA422D-7568-403B-B321-05B967705571}"/>
    <cellStyle name="Normal 2 2 2 5 2 2 3" xfId="12631" xr:uid="{7898CE77-3C77-4835-9348-98478BA376DF}"/>
    <cellStyle name="Normal 2 2 2 5 2 3" xfId="8663" xr:uid="{6ABC3EA9-1772-4433-8AEF-44FDC4A97C73}"/>
    <cellStyle name="Normal 2 2 2 5 2 3 2" xfId="14022" xr:uid="{66310CB6-9AE5-4464-BFE8-D228F65F6DA9}"/>
    <cellStyle name="Normal 2 2 2 5 2 4" xfId="11300" xr:uid="{5E547BB0-F313-4536-9F5A-1F5BCD0CB844}"/>
    <cellStyle name="Normal 2 2 2 5 3" xfId="6715" xr:uid="{00000000-0005-0000-0000-0000B3110000}"/>
    <cellStyle name="Normal 2 2 2 5 3 2" xfId="9383" xr:uid="{81469428-ADF3-45E8-B749-D1EF65A8D505}"/>
    <cellStyle name="Normal 2 2 2 5 3 2 2" xfId="14773" xr:uid="{B7E7DEE8-FC92-4FE5-9CB7-43968D65838A}"/>
    <cellStyle name="Normal 2 2 2 5 3 3" xfId="12020" xr:uid="{2DF48253-6B7C-4716-9418-CFEB87B37C87}"/>
    <cellStyle name="Normal 2 2 2 5 4" xfId="8047" xr:uid="{CE19C332-D740-4D37-82BD-9AB9D13EA45B}"/>
    <cellStyle name="Normal 2 2 2 5 4 2" xfId="13406" xr:uid="{B480EF07-7EE5-4E8C-BC53-C2031D4D3A48}"/>
    <cellStyle name="Normal 2 2 2 5 5" xfId="10689" xr:uid="{3B6B0B09-5F7F-4469-828B-97E070D7B7C6}"/>
    <cellStyle name="Normal 2 2 2 6" xfId="4116" xr:uid="{00000000-0005-0000-0000-0000B4110000}"/>
    <cellStyle name="Normal 2 2 2 6 2" xfId="7284" xr:uid="{00000000-0005-0000-0000-0000B5110000}"/>
    <cellStyle name="Normal 2 2 2 6 2 2" xfId="9952" xr:uid="{2504CFA7-6AB0-49EB-A7B5-172BE170CD7D}"/>
    <cellStyle name="Normal 2 2 2 6 2 2 2" xfId="15342" xr:uid="{12F2EE90-9E63-4027-9279-61371EF4A023}"/>
    <cellStyle name="Normal 2 2 2 6 2 3" xfId="12589" xr:uid="{597583FB-6E93-4818-B4C1-ED5C76EC8BC9}"/>
    <cellStyle name="Normal 2 2 2 6 3" xfId="8621" xr:uid="{6845B90D-E363-490B-8531-C2BC58A5CFBD}"/>
    <cellStyle name="Normal 2 2 2 6 3 2" xfId="13980" xr:uid="{A6B9864B-BD04-4A64-9AF5-8103D2AAAC3F}"/>
    <cellStyle name="Normal 2 2 2 6 4" xfId="11258" xr:uid="{B0779A1B-95C1-4AA5-803A-7FDE06F7BFDF}"/>
    <cellStyle name="Normal 2 2 2 7" xfId="3465" xr:uid="{00000000-0005-0000-0000-0000B6110000}"/>
    <cellStyle name="Normal 2 2 2 7 2" xfId="6673" xr:uid="{00000000-0005-0000-0000-0000B7110000}"/>
    <cellStyle name="Normal 2 2 2 7 2 2" xfId="9341" xr:uid="{4251F2E1-96C3-456D-881C-E1A719342C83}"/>
    <cellStyle name="Normal 2 2 2 7 2 2 2" xfId="14731" xr:uid="{03E292D9-6CB4-4289-8BA7-A86749759431}"/>
    <cellStyle name="Normal 2 2 2 7 2 3" xfId="11978" xr:uid="{5FF1A6A7-F5C3-4FA3-BEA3-252D9F775034}"/>
    <cellStyle name="Normal 2 2 2 7 3" xfId="8005" xr:uid="{88547A51-48D2-4446-ACDF-AF5C99C26E62}"/>
    <cellStyle name="Normal 2 2 2 7 3 2" xfId="13364" xr:uid="{C44F3F3A-0CA2-4254-8AC9-8CFA5DC9DD44}"/>
    <cellStyle name="Normal 2 2 2 7 4" xfId="10647" xr:uid="{8E9E5629-ED66-4B31-9BFC-A8AE900DC504}"/>
    <cellStyle name="Normal 2 2 3" xfId="3319" xr:uid="{00000000-0005-0000-0000-0000B8110000}"/>
    <cellStyle name="Normal 2 2 3 2" xfId="3746" xr:uid="{00000000-0005-0000-0000-0000B9110000}"/>
    <cellStyle name="Normal 2 2 3 2 2" xfId="4372" xr:uid="{00000000-0005-0000-0000-0000BA110000}"/>
    <cellStyle name="Normal 2 2 3 2 2 2" xfId="7540" xr:uid="{00000000-0005-0000-0000-0000BB110000}"/>
    <cellStyle name="Normal 2 2 3 2 2 2 2" xfId="10208" xr:uid="{AD8719F6-70E1-4F56-BC17-C6C031D9FEB4}"/>
    <cellStyle name="Normal 2 2 3 2 2 2 2 2" xfId="15598" xr:uid="{D7703CE7-986E-4AC1-9306-219D4165DC4A}"/>
    <cellStyle name="Normal 2 2 3 2 2 2 3" xfId="12845" xr:uid="{F3BD4B83-26DE-4470-AC26-179E6676DA9E}"/>
    <cellStyle name="Normal 2 2 3 2 2 3" xfId="8877" xr:uid="{76F20DFF-51CF-4F12-B586-40AAF8B05383}"/>
    <cellStyle name="Normal 2 2 3 2 2 3 2" xfId="14236" xr:uid="{1DF860B2-DB7D-4C93-A69E-0026B7586F8D}"/>
    <cellStyle name="Normal 2 2 3 2 2 4" xfId="11514" xr:uid="{99C1841D-98B5-49F2-B78D-8CC0CBDA5404}"/>
    <cellStyle name="Normal 2 2 3 2 3" xfId="6916" xr:uid="{00000000-0005-0000-0000-0000BC110000}"/>
    <cellStyle name="Normal 2 2 3 2 3 2" xfId="9584" xr:uid="{BBCD4CF4-5C63-49B5-BB10-2296178EFF7E}"/>
    <cellStyle name="Normal 2 2 3 2 3 2 2" xfId="14974" xr:uid="{1CB00866-8385-4F35-BA61-0C4CBFE5CDA3}"/>
    <cellStyle name="Normal 2 2 3 2 3 3" xfId="12221" xr:uid="{8083C5AE-65E6-4C12-A098-ABC1DDD50CAA}"/>
    <cellStyle name="Normal 2 2 3 2 4" xfId="8253" xr:uid="{E6F15EE8-3666-4740-B4AF-D1DF4473390D}"/>
    <cellStyle name="Normal 2 2 3 2 4 2" xfId="13612" xr:uid="{64CA961D-8381-494E-95D1-C28D9B089E59}"/>
    <cellStyle name="Normal 2 2 3 2 5" xfId="10890" xr:uid="{A838F217-0F66-4613-95F3-57E57ED75F70}"/>
    <cellStyle name="Normal 2 2 3 3" xfId="4124" xr:uid="{00000000-0005-0000-0000-0000BD110000}"/>
    <cellStyle name="Normal 2 2 3 3 2" xfId="7292" xr:uid="{00000000-0005-0000-0000-0000BE110000}"/>
    <cellStyle name="Normal 2 2 3 3 2 2" xfId="9960" xr:uid="{AAEA3221-0D5B-4626-9CE4-9D5AA4C8BD6D}"/>
    <cellStyle name="Normal 2 2 3 3 2 2 2" xfId="15350" xr:uid="{211E2BA0-C684-4A9D-9C0F-5B10FD157556}"/>
    <cellStyle name="Normal 2 2 3 3 2 3" xfId="12597" xr:uid="{486E5BB5-CD7F-4B6D-8CD9-FD3B0743D6A8}"/>
    <cellStyle name="Normal 2 2 3 3 3" xfId="8629" xr:uid="{C1AD5657-CD30-4BAD-A3BE-D15EEBEEFE50}"/>
    <cellStyle name="Normal 2 2 3 3 3 2" xfId="13988" xr:uid="{B96A44C1-808D-4A0F-A116-A8CE1AE383E3}"/>
    <cellStyle name="Normal 2 2 3 3 4" xfId="11266" xr:uid="{6D07FA2D-CCDD-4CB4-81B0-27A0135D1B81}"/>
    <cellStyle name="Normal 2 2 3 4" xfId="3473" xr:uid="{00000000-0005-0000-0000-0000BF110000}"/>
    <cellStyle name="Normal 2 2 3 4 2" xfId="6681" xr:uid="{00000000-0005-0000-0000-0000C0110000}"/>
    <cellStyle name="Normal 2 2 3 4 2 2" xfId="9349" xr:uid="{EBAEFF0E-A320-4911-B2A8-51CBA35DD440}"/>
    <cellStyle name="Normal 2 2 3 4 2 2 2" xfId="14739" xr:uid="{D6E57168-A576-424F-A8DC-B7B53CDA8C9D}"/>
    <cellStyle name="Normal 2 2 3 4 2 3" xfId="11986" xr:uid="{8B8157DA-5DA8-451B-AEBE-116005565BA7}"/>
    <cellStyle name="Normal 2 2 3 4 3" xfId="8013" xr:uid="{5EC2D24D-015F-4AA9-8341-BE3DBFCAB300}"/>
    <cellStyle name="Normal 2 2 3 4 3 2" xfId="13372" xr:uid="{B191D669-450E-44F1-8E9A-7CE996E7B7F9}"/>
    <cellStyle name="Normal 2 2 3 4 4" xfId="10655" xr:uid="{9BCF1F69-473A-4336-B649-D5AF40EFEECC}"/>
    <cellStyle name="Normal 2 2 3 5" xfId="6626" xr:uid="{00000000-0005-0000-0000-0000C1110000}"/>
    <cellStyle name="Normal 2 2 3 5 2" xfId="9303" xr:uid="{7739BB4C-8023-4EC2-8365-D5070EEF0E20}"/>
    <cellStyle name="Normal 2 2 3 5 2 2" xfId="14693" xr:uid="{0610297B-21D7-44F5-A1E7-C758E6237D70}"/>
    <cellStyle name="Normal 2 2 3 5 3" xfId="11940" xr:uid="{4C24AF5A-E65D-4900-9877-5C9D2C499626}"/>
    <cellStyle name="Normal 2 2 3 6" xfId="7963" xr:uid="{FB288428-E00F-4C2A-A14F-E7F8A08566E3}"/>
    <cellStyle name="Normal 2 2 3 6 2" xfId="13323" xr:uid="{7159A1EB-F8CA-4D1B-AC8C-715E24EA2276}"/>
    <cellStyle name="Normal 2 2 3 7" xfId="10609" xr:uid="{32A89501-0FCE-46E7-90F6-4016B24F3232}"/>
    <cellStyle name="Normal 2 2 4" xfId="3489" xr:uid="{00000000-0005-0000-0000-0000C2110000}"/>
    <cellStyle name="Normal 2 2 4 2" xfId="3747" xr:uid="{00000000-0005-0000-0000-0000C3110000}"/>
    <cellStyle name="Normal 2 2 4 2 2" xfId="4373" xr:uid="{00000000-0005-0000-0000-0000C4110000}"/>
    <cellStyle name="Normal 2 2 4 2 2 2" xfId="7541" xr:uid="{00000000-0005-0000-0000-0000C5110000}"/>
    <cellStyle name="Normal 2 2 4 2 2 2 2" xfId="10209" xr:uid="{080601B4-DF8A-4639-8483-AE9FFC095EDD}"/>
    <cellStyle name="Normal 2 2 4 2 2 2 2 2" xfId="15599" xr:uid="{8F612DB8-FDCE-4421-B811-A6F6BCADEAE8}"/>
    <cellStyle name="Normal 2 2 4 2 2 2 3" xfId="12846" xr:uid="{9BBDD912-D115-4DA3-9AA3-D63C125A9E86}"/>
    <cellStyle name="Normal 2 2 4 2 2 3" xfId="8878" xr:uid="{CAF6FF13-ECFE-4253-BD59-55211A17C53F}"/>
    <cellStyle name="Normal 2 2 4 2 2 3 2" xfId="14237" xr:uid="{43199CA9-32BB-494B-A450-2C077E62C978}"/>
    <cellStyle name="Normal 2 2 4 2 2 4" xfId="11515" xr:uid="{914638CD-4B6E-434D-9350-38733B354AF9}"/>
    <cellStyle name="Normal 2 2 4 2 3" xfId="6917" xr:uid="{00000000-0005-0000-0000-0000C6110000}"/>
    <cellStyle name="Normal 2 2 4 2 3 2" xfId="9585" xr:uid="{DDF71B28-D4C3-4CDE-999B-3F7589270100}"/>
    <cellStyle name="Normal 2 2 4 2 3 2 2" xfId="14975" xr:uid="{81728E4C-6A3C-454E-ADB5-52896F064569}"/>
    <cellStyle name="Normal 2 2 4 2 3 3" xfId="12222" xr:uid="{BB077F65-A281-4DF1-963E-4036C1879CD0}"/>
    <cellStyle name="Normal 2 2 4 2 4" xfId="8254" xr:uid="{605D0DDD-5E7B-4443-9287-81FFF4F4555A}"/>
    <cellStyle name="Normal 2 2 4 2 4 2" xfId="13613" xr:uid="{D3B3C284-4DAB-4915-A275-96F3D80A2A6D}"/>
    <cellStyle name="Normal 2 2 4 2 5" xfId="10891" xr:uid="{8FADC919-759E-4257-BAED-3EA4AD4D6386}"/>
    <cellStyle name="Normal 2 2 4 3" xfId="4140" xr:uid="{00000000-0005-0000-0000-0000C7110000}"/>
    <cellStyle name="Normal 2 2 4 3 2" xfId="7308" xr:uid="{00000000-0005-0000-0000-0000C8110000}"/>
    <cellStyle name="Normal 2 2 4 3 2 2" xfId="9976" xr:uid="{CE144F35-A16C-4B2C-BCD7-0E7ED88023DC}"/>
    <cellStyle name="Normal 2 2 4 3 2 2 2" xfId="15366" xr:uid="{A9829B44-08E5-4ABE-9950-8BE7AC254A24}"/>
    <cellStyle name="Normal 2 2 4 3 2 3" xfId="12613" xr:uid="{83F43E06-3808-4F06-B75A-F1E4B78F772F}"/>
    <cellStyle name="Normal 2 2 4 3 3" xfId="8645" xr:uid="{F6556F0D-7823-4C37-862E-9FA7C2A6FC46}"/>
    <cellStyle name="Normal 2 2 4 3 3 2" xfId="14004" xr:uid="{CA873600-6F14-4A95-A66F-139B21ACC5A0}"/>
    <cellStyle name="Normal 2 2 4 3 4" xfId="11282" xr:uid="{474AE9CF-441E-4035-9CE4-4125B6CFC245}"/>
    <cellStyle name="Normal 2 2 4 4" xfId="6697" xr:uid="{00000000-0005-0000-0000-0000C9110000}"/>
    <cellStyle name="Normal 2 2 4 4 2" xfId="9365" xr:uid="{3F4BEBE0-337F-4356-B37E-B7BC87C20659}"/>
    <cellStyle name="Normal 2 2 4 4 2 2" xfId="14755" xr:uid="{86CF9B94-3727-4FCC-A187-BB2E0CBD0289}"/>
    <cellStyle name="Normal 2 2 4 4 3" xfId="12002" xr:uid="{678C123D-FCAE-41B0-B279-A6B5D32D6AB9}"/>
    <cellStyle name="Normal 2 2 4 5" xfId="8029" xr:uid="{5E3B7700-0F48-4AF4-96C3-8BEAE50ABF73}"/>
    <cellStyle name="Normal 2 2 4 5 2" xfId="13388" xr:uid="{F5C6D0C4-7AD1-46A4-9311-C5EC367A9D51}"/>
    <cellStyle name="Normal 2 2 4 6" xfId="10671" xr:uid="{056E9AC8-57A3-4CB6-A810-E2F472858FD1}"/>
    <cellStyle name="Normal 2 2 5" xfId="3748" xr:uid="{00000000-0005-0000-0000-0000CA110000}"/>
    <cellStyle name="Normal 2 2 5 2" xfId="4374" xr:uid="{00000000-0005-0000-0000-0000CB110000}"/>
    <cellStyle name="Normal 2 2 5 2 2" xfId="7542" xr:uid="{00000000-0005-0000-0000-0000CC110000}"/>
    <cellStyle name="Normal 2 2 5 2 2 2" xfId="10210" xr:uid="{9B07A686-EAC0-4737-A9CC-02E3A807DE39}"/>
    <cellStyle name="Normal 2 2 5 2 2 2 2" xfId="15600" xr:uid="{2D3B149C-64EE-40CD-8F93-031A65816750}"/>
    <cellStyle name="Normal 2 2 5 2 2 3" xfId="12847" xr:uid="{F19951F9-D2AB-4221-B981-1D0909AA4DF7}"/>
    <cellStyle name="Normal 2 2 5 2 3" xfId="8879" xr:uid="{F5F00D3A-FDBF-4F80-9442-E973EC453F34}"/>
    <cellStyle name="Normal 2 2 5 2 3 2" xfId="14238" xr:uid="{A4C105E6-82F3-41A5-84A0-DB88E44CB3D2}"/>
    <cellStyle name="Normal 2 2 5 2 4" xfId="11516" xr:uid="{E1F6B4DF-6420-4594-B3AB-BAE8BA7B7BF3}"/>
    <cellStyle name="Normal 2 2 5 3" xfId="6918" xr:uid="{00000000-0005-0000-0000-0000CD110000}"/>
    <cellStyle name="Normal 2 2 5 3 2" xfId="9586" xr:uid="{4BBC32B1-A616-4BA3-AEC5-669C28F67C1A}"/>
    <cellStyle name="Normal 2 2 5 3 2 2" xfId="14976" xr:uid="{83193EA5-DC9B-4ECB-A7A5-E724969882C9}"/>
    <cellStyle name="Normal 2 2 5 3 3" xfId="12223" xr:uid="{60D49AAD-1F83-4D28-BB9D-55261B40AB1E}"/>
    <cellStyle name="Normal 2 2 5 4" xfId="8255" xr:uid="{2E389586-CB67-43C9-B787-923BC6267820}"/>
    <cellStyle name="Normal 2 2 5 4 2" xfId="13614" xr:uid="{88F722A3-5F94-488D-A181-AC494140DC87}"/>
    <cellStyle name="Normal 2 2 5 5" xfId="10892" xr:uid="{5AB43AD4-C9E8-4132-95BD-41F60984CC1F}"/>
    <cellStyle name="Normal 2 2 6" xfId="3749" xr:uid="{00000000-0005-0000-0000-0000CE110000}"/>
    <cellStyle name="Normal 2 2 6 2" xfId="4375" xr:uid="{00000000-0005-0000-0000-0000CF110000}"/>
    <cellStyle name="Normal 2 2 6 2 2" xfId="7543" xr:uid="{00000000-0005-0000-0000-0000D0110000}"/>
    <cellStyle name="Normal 2 2 6 2 2 2" xfId="10211" xr:uid="{42DD4CF8-BC14-46DB-A4D5-5F36D06EF53B}"/>
    <cellStyle name="Normal 2 2 6 2 2 2 2" xfId="15601" xr:uid="{AEAC8D41-33C9-4942-A05D-56897A81E0AE}"/>
    <cellStyle name="Normal 2 2 6 2 2 3" xfId="12848" xr:uid="{CD39E5E3-2531-4B04-BF01-61E8029D5539}"/>
    <cellStyle name="Normal 2 2 6 2 3" xfId="8880" xr:uid="{BB5B25A8-4EA0-461B-8253-59E0203783CE}"/>
    <cellStyle name="Normal 2 2 6 2 3 2" xfId="14239" xr:uid="{C630C87A-74E5-413C-873D-46A30582D902}"/>
    <cellStyle name="Normal 2 2 6 2 4" xfId="11517" xr:uid="{E3D03C5E-4C00-435A-9D4E-705464041379}"/>
    <cellStyle name="Normal 2 2 6 3" xfId="6919" xr:uid="{00000000-0005-0000-0000-0000D1110000}"/>
    <cellStyle name="Normal 2 2 6 3 2" xfId="9587" xr:uid="{870FDA27-88DD-4D46-ABCC-1181F7A74C96}"/>
    <cellStyle name="Normal 2 2 6 3 2 2" xfId="14977" xr:uid="{B452D5A3-5FC2-41C2-BCD9-F0076FDD2185}"/>
    <cellStyle name="Normal 2 2 6 3 3" xfId="12224" xr:uid="{FC3E91E9-A3D0-4DEC-8B58-4F98195868CB}"/>
    <cellStyle name="Normal 2 2 6 4" xfId="8256" xr:uid="{E0E83BA8-55E6-4CFD-B071-9741996DA4C5}"/>
    <cellStyle name="Normal 2 2 6 4 2" xfId="13615" xr:uid="{6689AE3E-CB48-4963-9952-534284D00009}"/>
    <cellStyle name="Normal 2 2 6 5" xfId="10893" xr:uid="{C6B99FAF-48EB-4F30-A3E3-84BA3FCD4561}"/>
    <cellStyle name="Normal 2 2 7" xfId="3506" xr:uid="{00000000-0005-0000-0000-0000D2110000}"/>
    <cellStyle name="Normal 2 2 8" xfId="4108" xr:uid="{00000000-0005-0000-0000-0000D3110000}"/>
    <cellStyle name="Normal 2 2 8 2" xfId="7276" xr:uid="{00000000-0005-0000-0000-0000D4110000}"/>
    <cellStyle name="Normal 2 2 8 2 2" xfId="9944" xr:uid="{18DAC123-986C-4D07-BB48-465D218EC7C2}"/>
    <cellStyle name="Normal 2 2 8 2 2 2" xfId="15334" xr:uid="{B8F6E419-7683-4D5F-A230-843D4291C845}"/>
    <cellStyle name="Normal 2 2 8 2 3" xfId="12581" xr:uid="{7E0F13D8-1055-4608-BE39-634FAB3A6DF0}"/>
    <cellStyle name="Normal 2 2 8 3" xfId="8613" xr:uid="{8195D128-F4AE-4D6E-965F-8CA55F64DF0B}"/>
    <cellStyle name="Normal 2 2 8 3 2" xfId="13972" xr:uid="{68C2EB70-8A1E-407F-983B-9A60B4140E83}"/>
    <cellStyle name="Normal 2 2 8 4" xfId="11250" xr:uid="{24907E8B-BBF0-465D-A710-2A7F0A596907}"/>
    <cellStyle name="Normal 2 2 9" xfId="3447" xr:uid="{00000000-0005-0000-0000-0000D5110000}"/>
    <cellStyle name="Normal 2 2 9 2" xfId="6664" xr:uid="{00000000-0005-0000-0000-0000D6110000}"/>
    <cellStyle name="Normal 2 2 9 2 2" xfId="9333" xr:uid="{37BA0485-9E3B-4A79-B26C-ED810E947C7B}"/>
    <cellStyle name="Normal 2 2 9 2 2 2" xfId="14723" xr:uid="{C70998BC-9542-472B-BCEC-B668F70D649C}"/>
    <cellStyle name="Normal 2 2 9 2 3" xfId="11970" xr:uid="{5454BB23-33D2-42F7-BA28-B02A06C17D74}"/>
    <cellStyle name="Normal 2 2 9 3" xfId="7995" xr:uid="{9A4FAC78-040A-4E4A-81F2-37F579474B17}"/>
    <cellStyle name="Normal 2 2 9 3 2" xfId="13354" xr:uid="{A498DF19-D48E-4731-B26F-1A4BE027FD21}"/>
    <cellStyle name="Normal 2 2 9 4" xfId="10639" xr:uid="{EF37F910-25A3-49A2-BD3F-75E8A2F563F1}"/>
    <cellStyle name="Normal 2 3" xfId="980" xr:uid="{00000000-0005-0000-0000-0000D7110000}"/>
    <cellStyle name="Normal 2 3 2" xfId="3751" xr:uid="{00000000-0005-0000-0000-0000D8110000}"/>
    <cellStyle name="Normal 2 3 2 2" xfId="3752" xr:uid="{00000000-0005-0000-0000-0000D9110000}"/>
    <cellStyle name="Normal 2 3 2 2 2" xfId="4378" xr:uid="{00000000-0005-0000-0000-0000DA110000}"/>
    <cellStyle name="Normal 2 3 2 2 2 2" xfId="7546" xr:uid="{00000000-0005-0000-0000-0000DB110000}"/>
    <cellStyle name="Normal 2 3 2 2 2 2 2" xfId="10214" xr:uid="{BB308FAD-3C6E-4555-9F75-302B43BCB1D1}"/>
    <cellStyle name="Normal 2 3 2 2 2 2 2 2" xfId="15604" xr:uid="{109A4248-4C3E-4262-A679-5415E04BC1D2}"/>
    <cellStyle name="Normal 2 3 2 2 2 2 3" xfId="12851" xr:uid="{0F63B32B-13E5-4450-999C-896EDD2D4302}"/>
    <cellStyle name="Normal 2 3 2 2 2 3" xfId="8883" xr:uid="{55180EAB-0D31-42E3-8451-66A74B039F4C}"/>
    <cellStyle name="Normal 2 3 2 2 2 3 2" xfId="14242" xr:uid="{C5D42156-7D5B-4E39-8C6F-C1C87390461A}"/>
    <cellStyle name="Normal 2 3 2 2 2 4" xfId="11520" xr:uid="{5366D72C-B411-4CFD-9998-8F5C7127C66C}"/>
    <cellStyle name="Normal 2 3 2 2 3" xfId="6922" xr:uid="{00000000-0005-0000-0000-0000DC110000}"/>
    <cellStyle name="Normal 2 3 2 2 3 2" xfId="9590" xr:uid="{EBEF2856-0316-4A66-B8DD-EE1E4F06D755}"/>
    <cellStyle name="Normal 2 3 2 2 3 2 2" xfId="14980" xr:uid="{E06AAE9F-DC8B-401D-87B7-CAF3B8AA5CBE}"/>
    <cellStyle name="Normal 2 3 2 2 3 3" xfId="12227" xr:uid="{FC529174-AE7A-4769-BFB8-3ECAA210EED2}"/>
    <cellStyle name="Normal 2 3 2 2 4" xfId="8259" xr:uid="{66807FA0-F850-45DC-983F-FDF2490418FE}"/>
    <cellStyle name="Normal 2 3 2 2 4 2" xfId="13618" xr:uid="{DF03EFD4-B870-4061-9025-0F27E575F8CC}"/>
    <cellStyle name="Normal 2 3 2 2 5" xfId="10896" xr:uid="{78A258DB-8A1A-4975-B490-F461EA5C676B}"/>
    <cellStyle name="Normal 2 3 2 3" xfId="3753" xr:uid="{00000000-0005-0000-0000-0000DD110000}"/>
    <cellStyle name="Normal 2 3 2 3 2" xfId="4379" xr:uid="{00000000-0005-0000-0000-0000DE110000}"/>
    <cellStyle name="Normal 2 3 2 3 2 2" xfId="7547" xr:uid="{00000000-0005-0000-0000-0000DF110000}"/>
    <cellStyle name="Normal 2 3 2 3 2 2 2" xfId="10215" xr:uid="{10CF878A-83C2-4BC1-900C-D11F021503CE}"/>
    <cellStyle name="Normal 2 3 2 3 2 2 2 2" xfId="15605" xr:uid="{79CBD290-D049-402A-925B-FD44F7A766AE}"/>
    <cellStyle name="Normal 2 3 2 3 2 2 3" xfId="12852" xr:uid="{71AC37F0-4F1E-41F2-9697-572669EB0029}"/>
    <cellStyle name="Normal 2 3 2 3 2 3" xfId="8884" xr:uid="{52B274AC-B592-48E9-9195-E04734D07E37}"/>
    <cellStyle name="Normal 2 3 2 3 2 3 2" xfId="14243" xr:uid="{C3375FD6-EFE4-4AE8-B7FF-3BC9078647A7}"/>
    <cellStyle name="Normal 2 3 2 3 2 4" xfId="11521" xr:uid="{DF982033-4E00-4FA6-9D5B-5D323DCA3082}"/>
    <cellStyle name="Normal 2 3 2 3 3" xfId="6923" xr:uid="{00000000-0005-0000-0000-0000E0110000}"/>
    <cellStyle name="Normal 2 3 2 3 3 2" xfId="9591" xr:uid="{0D26CF6F-4FEE-428D-A304-E2C18FB56613}"/>
    <cellStyle name="Normal 2 3 2 3 3 2 2" xfId="14981" xr:uid="{E4808920-9627-4FF9-BF53-E6E795F864D2}"/>
    <cellStyle name="Normal 2 3 2 3 3 3" xfId="12228" xr:uid="{D83040CF-2CAB-4446-9951-0CFD805EBB4F}"/>
    <cellStyle name="Normal 2 3 2 3 4" xfId="8260" xr:uid="{6CB1A904-4DE5-4C3D-B289-3D08C4A53134}"/>
    <cellStyle name="Normal 2 3 2 3 4 2" xfId="13619" xr:uid="{57111C7C-EDE1-4FA2-9925-E8E698F936D1}"/>
    <cellStyle name="Normal 2 3 2 3 5" xfId="10897" xr:uid="{ADEFF027-7544-4230-B757-73159B0FF93E}"/>
    <cellStyle name="Normal 2 3 2 4" xfId="4377" xr:uid="{00000000-0005-0000-0000-0000E1110000}"/>
    <cellStyle name="Normal 2 3 2 4 2" xfId="7545" xr:uid="{00000000-0005-0000-0000-0000E2110000}"/>
    <cellStyle name="Normal 2 3 2 4 2 2" xfId="10213" xr:uid="{A5663AB1-7E74-4FF4-A8B3-FCD7AA06811E}"/>
    <cellStyle name="Normal 2 3 2 4 2 2 2" xfId="15603" xr:uid="{93A55387-FDC1-4290-AB2A-01AEDFCCF7A6}"/>
    <cellStyle name="Normal 2 3 2 4 2 3" xfId="12850" xr:uid="{4CE45F4A-BB9A-4F61-A823-22D91C3E4BC5}"/>
    <cellStyle name="Normal 2 3 2 4 3" xfId="8882" xr:uid="{20C009AF-D650-4E40-ABF0-FA6C4DD0452F}"/>
    <cellStyle name="Normal 2 3 2 4 3 2" xfId="14241" xr:uid="{9827C622-C9C1-4F43-924B-701DAC1F334C}"/>
    <cellStyle name="Normal 2 3 2 4 4" xfId="11519" xr:uid="{6E8D1792-9B4C-4E66-A80C-CDF0BA051FC9}"/>
    <cellStyle name="Normal 2 3 2 5" xfId="6921" xr:uid="{00000000-0005-0000-0000-0000E3110000}"/>
    <cellStyle name="Normal 2 3 2 5 2" xfId="9589" xr:uid="{5AB86620-4BC9-46AF-ACB9-7B98123DE5E4}"/>
    <cellStyle name="Normal 2 3 2 5 2 2" xfId="14979" xr:uid="{DC8CEB8F-90DE-41A1-A2DB-51E821E3477F}"/>
    <cellStyle name="Normal 2 3 2 5 3" xfId="12226" xr:uid="{8EC22370-4CC2-41AB-B651-1DCEE818C7DD}"/>
    <cellStyle name="Normal 2 3 2 6" xfId="8258" xr:uid="{18B0DD05-7CD9-4E2B-AFF8-DF9DE4A78FA0}"/>
    <cellStyle name="Normal 2 3 2 6 2" xfId="13617" xr:uid="{AA0E243D-ADDC-45D1-A732-0B99411B1B6D}"/>
    <cellStyle name="Normal 2 3 2 7" xfId="10895" xr:uid="{F62BE857-E377-4BDA-AEC9-23586BAB88EB}"/>
    <cellStyle name="Normal 2 3 3" xfId="3754" xr:uid="{00000000-0005-0000-0000-0000E4110000}"/>
    <cellStyle name="Normal 2 3 3 2" xfId="4380" xr:uid="{00000000-0005-0000-0000-0000E5110000}"/>
    <cellStyle name="Normal 2 3 3 2 2" xfId="7548" xr:uid="{00000000-0005-0000-0000-0000E6110000}"/>
    <cellStyle name="Normal 2 3 3 2 2 2" xfId="10216" xr:uid="{289AAB27-4789-4829-B194-A0DE8D55AB5F}"/>
    <cellStyle name="Normal 2 3 3 2 2 2 2" xfId="15606" xr:uid="{1EFE9191-1264-40D3-9E5A-33FBA11A4BF2}"/>
    <cellStyle name="Normal 2 3 3 2 2 3" xfId="12853" xr:uid="{70D9A12E-B405-431F-9733-9C9B6B069256}"/>
    <cellStyle name="Normal 2 3 3 2 3" xfId="8885" xr:uid="{5F1222DD-5D1F-4E44-B5A7-143325E4685D}"/>
    <cellStyle name="Normal 2 3 3 2 3 2" xfId="14244" xr:uid="{30679611-302F-4951-81B1-9FD17D9E8164}"/>
    <cellStyle name="Normal 2 3 3 2 4" xfId="11522" xr:uid="{72326363-61FB-471B-B8D9-79588084C04E}"/>
    <cellStyle name="Normal 2 3 3 3" xfId="6924" xr:uid="{00000000-0005-0000-0000-0000E7110000}"/>
    <cellStyle name="Normal 2 3 3 3 2" xfId="9592" xr:uid="{A0ECDA0B-C705-45A2-A775-2B7860968644}"/>
    <cellStyle name="Normal 2 3 3 3 2 2" xfId="14982" xr:uid="{ACF87987-B0B6-454F-8F35-9520711F29D2}"/>
    <cellStyle name="Normal 2 3 3 3 3" xfId="12229" xr:uid="{B0215174-5E64-475C-AFA5-627B185294AC}"/>
    <cellStyle name="Normal 2 3 3 4" xfId="8261" xr:uid="{CEC04F27-C58E-4B40-944B-2BBE4B69F9F4}"/>
    <cellStyle name="Normal 2 3 3 4 2" xfId="13620" xr:uid="{26CA3AA4-59D2-4621-B5CD-0623C5FC8A7F}"/>
    <cellStyle name="Normal 2 3 3 5" xfId="10898" xr:uid="{2C2CD0BD-290B-4614-B5D9-94AB655268C6}"/>
    <cellStyle name="Normal 2 3 4" xfId="3755" xr:uid="{00000000-0005-0000-0000-0000E8110000}"/>
    <cellStyle name="Normal 2 3 4 2" xfId="4381" xr:uid="{00000000-0005-0000-0000-0000E9110000}"/>
    <cellStyle name="Normal 2 3 4 2 2" xfId="7549" xr:uid="{00000000-0005-0000-0000-0000EA110000}"/>
    <cellStyle name="Normal 2 3 4 2 2 2" xfId="10217" xr:uid="{F6EE70B2-F266-45E5-8A4F-119FFD35DE67}"/>
    <cellStyle name="Normal 2 3 4 2 2 2 2" xfId="15607" xr:uid="{51730ABA-DFFF-4AC3-B87F-92B26C3F90B7}"/>
    <cellStyle name="Normal 2 3 4 2 2 3" xfId="12854" xr:uid="{CA18B310-6584-41BC-9E65-3FAA975CF1B2}"/>
    <cellStyle name="Normal 2 3 4 2 3" xfId="8886" xr:uid="{C340BEE1-C772-4077-8E00-85D721831803}"/>
    <cellStyle name="Normal 2 3 4 2 3 2" xfId="14245" xr:uid="{9DD31981-D58C-4A9C-BF96-B52ED092298B}"/>
    <cellStyle name="Normal 2 3 4 2 4" xfId="11523" xr:uid="{AE09F0FB-6DB0-4F0F-9961-863E56F7EBF4}"/>
    <cellStyle name="Normal 2 3 4 3" xfId="6925" xr:uid="{00000000-0005-0000-0000-0000EB110000}"/>
    <cellStyle name="Normal 2 3 4 3 2" xfId="9593" xr:uid="{3A6307BE-5D38-435F-A90D-1B4CF4B0815A}"/>
    <cellStyle name="Normal 2 3 4 3 2 2" xfId="14983" xr:uid="{45120050-9F3E-458F-9CAA-7D8D11C9C9BE}"/>
    <cellStyle name="Normal 2 3 4 3 3" xfId="12230" xr:uid="{01153D34-2B02-45DD-BE3E-7C514DB3ADE0}"/>
    <cellStyle name="Normal 2 3 4 4" xfId="8262" xr:uid="{AB282937-1FE9-4C59-B230-315BC1E69D8C}"/>
    <cellStyle name="Normal 2 3 4 4 2" xfId="13621" xr:uid="{E3BEB819-0217-43E8-93EC-DC7BAE717612}"/>
    <cellStyle name="Normal 2 3 4 5" xfId="10899" xr:uid="{AAC58DEC-5D30-4895-A095-9FC08688CF36}"/>
    <cellStyle name="Normal 2 3 5" xfId="3756" xr:uid="{00000000-0005-0000-0000-0000EC110000}"/>
    <cellStyle name="Normal 2 3 5 2" xfId="4382" xr:uid="{00000000-0005-0000-0000-0000ED110000}"/>
    <cellStyle name="Normal 2 3 5 2 2" xfId="7550" xr:uid="{00000000-0005-0000-0000-0000EE110000}"/>
    <cellStyle name="Normal 2 3 5 2 2 2" xfId="10218" xr:uid="{CA59A58A-AC69-49FC-92BA-F3B305E893B4}"/>
    <cellStyle name="Normal 2 3 5 2 2 2 2" xfId="15608" xr:uid="{6084A0B6-2648-4A1C-AA2C-845A719D7020}"/>
    <cellStyle name="Normal 2 3 5 2 2 3" xfId="12855" xr:uid="{6340C010-27B4-404C-9E54-C703F5105BB2}"/>
    <cellStyle name="Normal 2 3 5 2 3" xfId="8887" xr:uid="{17DF70D1-1EEC-4DF2-A1FB-42AB3D3FD8DE}"/>
    <cellStyle name="Normal 2 3 5 2 3 2" xfId="14246" xr:uid="{A260A374-123C-4229-8242-61EEF51778C1}"/>
    <cellStyle name="Normal 2 3 5 2 4" xfId="11524" xr:uid="{B719ECF0-3A17-4FF3-AF15-363859B722D7}"/>
    <cellStyle name="Normal 2 3 5 3" xfId="6926" xr:uid="{00000000-0005-0000-0000-0000EF110000}"/>
    <cellStyle name="Normal 2 3 5 3 2" xfId="9594" xr:uid="{7166ED28-D470-4BA4-9B7A-A4673F285A16}"/>
    <cellStyle name="Normal 2 3 5 3 2 2" xfId="14984" xr:uid="{C6FB828D-9702-40C9-B8CD-4C7DB0FEE49E}"/>
    <cellStyle name="Normal 2 3 5 3 3" xfId="12231" xr:uid="{AD9DABCB-49AF-444F-9401-19AEFA131EA1}"/>
    <cellStyle name="Normal 2 3 5 4" xfId="8263" xr:uid="{3AE44E99-A519-4C1C-A6D9-5694970AA6EC}"/>
    <cellStyle name="Normal 2 3 5 4 2" xfId="13622" xr:uid="{8F6E6E20-EAC1-4BB6-97AD-F95AB6B3F1A8}"/>
    <cellStyle name="Normal 2 3 5 5" xfId="10900" xr:uid="{B5C66FDB-59DE-4F09-962A-7F3F82F18B31}"/>
    <cellStyle name="Normal 2 3 6" xfId="3757" xr:uid="{00000000-0005-0000-0000-0000F0110000}"/>
    <cellStyle name="Normal 2 3 6 2" xfId="4383" xr:uid="{00000000-0005-0000-0000-0000F1110000}"/>
    <cellStyle name="Normal 2 3 6 2 2" xfId="7551" xr:uid="{00000000-0005-0000-0000-0000F2110000}"/>
    <cellStyle name="Normal 2 3 6 2 2 2" xfId="10219" xr:uid="{C82F781C-CE89-4BE6-A114-9371148D0FE7}"/>
    <cellStyle name="Normal 2 3 6 2 2 2 2" xfId="15609" xr:uid="{691778B4-8719-45A8-B61C-872DFD52DB8E}"/>
    <cellStyle name="Normal 2 3 6 2 2 3" xfId="12856" xr:uid="{690BE8E0-4B29-4EB7-98C8-16E553B30CCF}"/>
    <cellStyle name="Normal 2 3 6 2 3" xfId="8888" xr:uid="{2CFB4FAF-18D4-407F-B69E-006E3520CC28}"/>
    <cellStyle name="Normal 2 3 6 2 3 2" xfId="14247" xr:uid="{88506E25-9264-4702-91A5-5DC63C93C55B}"/>
    <cellStyle name="Normal 2 3 6 2 4" xfId="11525" xr:uid="{49D49C97-C6D7-4659-B245-647F7B608C46}"/>
    <cellStyle name="Normal 2 3 6 3" xfId="6927" xr:uid="{00000000-0005-0000-0000-0000F3110000}"/>
    <cellStyle name="Normal 2 3 6 3 2" xfId="9595" xr:uid="{9E4AEF99-5E36-442F-A5F7-017C8B70837F}"/>
    <cellStyle name="Normal 2 3 6 3 2 2" xfId="14985" xr:uid="{DBA356AD-2474-47A6-BEFB-D107E50FBDF9}"/>
    <cellStyle name="Normal 2 3 6 3 3" xfId="12232" xr:uid="{DC8AD2D7-F5AA-4936-B5CB-5C588544DFA7}"/>
    <cellStyle name="Normal 2 3 6 4" xfId="8264" xr:uid="{227B7732-31AC-4EC6-80E5-A211D2CFC99E}"/>
    <cellStyle name="Normal 2 3 6 4 2" xfId="13623" xr:uid="{B1411D57-7F9D-4DEF-8850-685006F45097}"/>
    <cellStyle name="Normal 2 3 6 5" xfId="10901" xr:uid="{963EE3BD-5A33-4E31-9773-CC3701F45FC6}"/>
    <cellStyle name="Normal 2 3 7" xfId="3750" xr:uid="{00000000-0005-0000-0000-0000F4110000}"/>
    <cellStyle name="Normal 2 3 7 2" xfId="4376" xr:uid="{00000000-0005-0000-0000-0000F5110000}"/>
    <cellStyle name="Normal 2 3 7 2 2" xfId="7544" xr:uid="{00000000-0005-0000-0000-0000F6110000}"/>
    <cellStyle name="Normal 2 3 7 2 2 2" xfId="10212" xr:uid="{D3B0D80E-82EA-462D-B19B-CB00133099A9}"/>
    <cellStyle name="Normal 2 3 7 2 2 2 2" xfId="15602" xr:uid="{986A381F-A211-464F-AC06-2EF734A42FE5}"/>
    <cellStyle name="Normal 2 3 7 2 2 3" xfId="12849" xr:uid="{6479D9F1-29B3-4366-96EC-EDCF02A9F0C7}"/>
    <cellStyle name="Normal 2 3 7 2 3" xfId="8881" xr:uid="{9BA43EED-FE90-498C-A24D-7054CE75DAC6}"/>
    <cellStyle name="Normal 2 3 7 2 3 2" xfId="14240" xr:uid="{1F3E5B47-9B51-437E-9C3D-4F47645ABF89}"/>
    <cellStyle name="Normal 2 3 7 2 4" xfId="11518" xr:uid="{875952B4-81C8-43B9-8C41-974300DF5FAA}"/>
    <cellStyle name="Normal 2 3 7 3" xfId="6920" xr:uid="{00000000-0005-0000-0000-0000F7110000}"/>
    <cellStyle name="Normal 2 3 7 3 2" xfId="9588" xr:uid="{DECE10DE-706B-4F2A-9125-B4849FD3C8B7}"/>
    <cellStyle name="Normal 2 3 7 3 2 2" xfId="14978" xr:uid="{6B318091-5732-41C5-BF31-93DE5B26B190}"/>
    <cellStyle name="Normal 2 3 7 3 3" xfId="12225" xr:uid="{AB3CED44-5C0B-45C5-9C85-28D7B6150232}"/>
    <cellStyle name="Normal 2 3 7 4" xfId="8257" xr:uid="{E4B1FAB0-BB31-4357-B28C-574D2366819D}"/>
    <cellStyle name="Normal 2 3 7 4 2" xfId="13616" xr:uid="{6B7068DA-F23B-47E2-B0F3-FDD8602A9894}"/>
    <cellStyle name="Normal 2 3 7 5" xfId="10894" xr:uid="{A1DCF552-BBA6-4831-BB9F-A827A4546166}"/>
    <cellStyle name="Normal 2 3 8" xfId="3378" xr:uid="{00000000-0005-0000-0000-0000F8110000}"/>
    <cellStyle name="Normal 2 4" xfId="981" xr:uid="{00000000-0005-0000-0000-0000F9110000}"/>
    <cellStyle name="Normal 2 4 2" xfId="2614" xr:uid="{00000000-0005-0000-0000-0000FA110000}"/>
    <cellStyle name="Normal 2 4 2 2" xfId="3760" xr:uid="{00000000-0005-0000-0000-0000FB110000}"/>
    <cellStyle name="Normal 2 4 2 2 2" xfId="4386" xr:uid="{00000000-0005-0000-0000-0000FC110000}"/>
    <cellStyle name="Normal 2 4 2 2 2 2" xfId="7554" xr:uid="{00000000-0005-0000-0000-0000FD110000}"/>
    <cellStyle name="Normal 2 4 2 2 2 2 2" xfId="10222" xr:uid="{ED1BD449-1E40-459D-B7CF-AA918F2331DD}"/>
    <cellStyle name="Normal 2 4 2 2 2 2 2 2" xfId="15612" xr:uid="{52CF63BE-932F-4273-9F1F-4620CD6C0786}"/>
    <cellStyle name="Normal 2 4 2 2 2 2 3" xfId="12859" xr:uid="{79378380-1769-4DA6-9419-BBF941178173}"/>
    <cellStyle name="Normal 2 4 2 2 2 3" xfId="8891" xr:uid="{EF3EEE28-C8F6-4C50-826A-A4293CFDE275}"/>
    <cellStyle name="Normal 2 4 2 2 2 3 2" xfId="14250" xr:uid="{7B198F8D-A4CA-47EE-875B-91B45B92FBCD}"/>
    <cellStyle name="Normal 2 4 2 2 2 4" xfId="11528" xr:uid="{8B039014-7531-4A5B-A8A9-576AE39D3012}"/>
    <cellStyle name="Normal 2 4 2 2 3" xfId="6930" xr:uid="{00000000-0005-0000-0000-0000FE110000}"/>
    <cellStyle name="Normal 2 4 2 2 3 2" xfId="9598" xr:uid="{7E2BA6FF-59A1-4E68-87D8-107F4DBFAB52}"/>
    <cellStyle name="Normal 2 4 2 2 3 2 2" xfId="14988" xr:uid="{F10E7BB7-74A4-4E4B-ADB1-97934189165D}"/>
    <cellStyle name="Normal 2 4 2 2 3 3" xfId="12235" xr:uid="{C1682CCE-E45D-4F83-BFEC-28C0E672A5BA}"/>
    <cellStyle name="Normal 2 4 2 2 4" xfId="8267" xr:uid="{D01A6A60-1C7D-4025-8588-4F1F7353939A}"/>
    <cellStyle name="Normal 2 4 2 2 4 2" xfId="13626" xr:uid="{671C4AB8-D2E6-4601-B57A-43D471D2F3F3}"/>
    <cellStyle name="Normal 2 4 2 2 5" xfId="10904" xr:uid="{445F02E3-ACDE-4A2B-958C-DCE1A2B26A10}"/>
    <cellStyle name="Normal 2 4 2 3" xfId="3761" xr:uid="{00000000-0005-0000-0000-0000FF110000}"/>
    <cellStyle name="Normal 2 4 2 3 2" xfId="4387" xr:uid="{00000000-0005-0000-0000-000000120000}"/>
    <cellStyle name="Normal 2 4 2 3 2 2" xfId="7555" xr:uid="{00000000-0005-0000-0000-000001120000}"/>
    <cellStyle name="Normal 2 4 2 3 2 2 2" xfId="10223" xr:uid="{E50E3EA3-B66E-4C4B-A2B6-730BEEFC8C4F}"/>
    <cellStyle name="Normal 2 4 2 3 2 2 2 2" xfId="15613" xr:uid="{E9716839-12BE-413F-8AD6-A3B9D1B18019}"/>
    <cellStyle name="Normal 2 4 2 3 2 2 3" xfId="12860" xr:uid="{81874E2F-AE28-43B8-B9A2-0E20CD5245A2}"/>
    <cellStyle name="Normal 2 4 2 3 2 3" xfId="8892" xr:uid="{3AAB4F99-2E67-44AD-9DA9-52A37ABB09F5}"/>
    <cellStyle name="Normal 2 4 2 3 2 3 2" xfId="14251" xr:uid="{7D7C3581-0729-4E82-AB10-34C9B7F8083C}"/>
    <cellStyle name="Normal 2 4 2 3 2 4" xfId="11529" xr:uid="{39F9E833-9ABB-4C3E-AE13-7B467FF3DC73}"/>
    <cellStyle name="Normal 2 4 2 3 3" xfId="6931" xr:uid="{00000000-0005-0000-0000-000002120000}"/>
    <cellStyle name="Normal 2 4 2 3 3 2" xfId="9599" xr:uid="{54975720-A055-452B-AA8A-7EE490CF1ABA}"/>
    <cellStyle name="Normal 2 4 2 3 3 2 2" xfId="14989" xr:uid="{CFC875A2-BFD6-426F-B88D-83D346AEA388}"/>
    <cellStyle name="Normal 2 4 2 3 3 3" xfId="12236" xr:uid="{EEB30936-F4B9-46A7-95E2-28BA81CEB24E}"/>
    <cellStyle name="Normal 2 4 2 3 4" xfId="8268" xr:uid="{02BE0884-DB54-4FC2-8FB8-3E88C8DA31AE}"/>
    <cellStyle name="Normal 2 4 2 3 4 2" xfId="13627" xr:uid="{22006F6F-6C3B-4F69-9FEA-4BA5B641F4E4}"/>
    <cellStyle name="Normal 2 4 2 3 5" xfId="10905" xr:uid="{759042D9-1903-40E9-95A3-BBDF40346E9F}"/>
    <cellStyle name="Normal 2 4 2 4" xfId="4385" xr:uid="{00000000-0005-0000-0000-000003120000}"/>
    <cellStyle name="Normal 2 4 2 4 2" xfId="7553" xr:uid="{00000000-0005-0000-0000-000004120000}"/>
    <cellStyle name="Normal 2 4 2 4 2 2" xfId="10221" xr:uid="{7E24936A-C686-4218-8864-FFC5EB3E7DC6}"/>
    <cellStyle name="Normal 2 4 2 4 2 2 2" xfId="15611" xr:uid="{7F110FCD-FEE7-4E68-BA1A-E8A33AABB664}"/>
    <cellStyle name="Normal 2 4 2 4 2 3" xfId="12858" xr:uid="{F500043F-F765-4004-8213-4E3111E95F6A}"/>
    <cellStyle name="Normal 2 4 2 4 3" xfId="8890" xr:uid="{0AB8312C-D9EE-4FE0-9D91-BE17FFE2A5E6}"/>
    <cellStyle name="Normal 2 4 2 4 3 2" xfId="14249" xr:uid="{C1E78942-4F22-460A-ADBB-EE217C8B2A3D}"/>
    <cellStyle name="Normal 2 4 2 4 4" xfId="11527" xr:uid="{D20BBB4D-184F-4189-9FA9-A25046D50909}"/>
    <cellStyle name="Normal 2 4 2 5" xfId="3759" xr:uid="{00000000-0005-0000-0000-000005120000}"/>
    <cellStyle name="Normal 2 4 2 5 2" xfId="6929" xr:uid="{00000000-0005-0000-0000-000006120000}"/>
    <cellStyle name="Normal 2 4 2 5 2 2" xfId="9597" xr:uid="{056228F6-2AC7-48AA-BBDF-3EB1F95B5D5F}"/>
    <cellStyle name="Normal 2 4 2 5 2 2 2" xfId="14987" xr:uid="{1D441301-5903-45BC-9E69-AC6433E459AF}"/>
    <cellStyle name="Normal 2 4 2 5 2 3" xfId="12234" xr:uid="{F45F8CA4-8CC3-4E74-9EA7-E8666477E856}"/>
    <cellStyle name="Normal 2 4 2 5 3" xfId="8266" xr:uid="{FDAA6CD0-28F0-45DA-8AE6-9C64DBA57304}"/>
    <cellStyle name="Normal 2 4 2 5 3 2" xfId="13625" xr:uid="{7E4DBA36-6EAA-4813-AF59-2283E8EEA13B}"/>
    <cellStyle name="Normal 2 4 2 5 4" xfId="10903" xr:uid="{A30F3095-3A0A-4E6D-B8EE-0CCB949D5826}"/>
    <cellStyle name="Normal 2 4 3" xfId="3762" xr:uid="{00000000-0005-0000-0000-000007120000}"/>
    <cellStyle name="Normal 2 4 3 2" xfId="4388" xr:uid="{00000000-0005-0000-0000-000008120000}"/>
    <cellStyle name="Normal 2 4 3 2 2" xfId="7556" xr:uid="{00000000-0005-0000-0000-000009120000}"/>
    <cellStyle name="Normal 2 4 3 2 2 2" xfId="10224" xr:uid="{FB6AB03E-C6CC-4F20-9B0D-1636A026B305}"/>
    <cellStyle name="Normal 2 4 3 2 2 2 2" xfId="15614" xr:uid="{BB81B210-AE0B-471A-B8B1-55C948F3CC57}"/>
    <cellStyle name="Normal 2 4 3 2 2 3" xfId="12861" xr:uid="{BC291119-F0D1-4517-BA24-14135C147243}"/>
    <cellStyle name="Normal 2 4 3 2 3" xfId="8893" xr:uid="{A3274B64-15A2-4B00-A155-49659A0E4EC4}"/>
    <cellStyle name="Normal 2 4 3 2 3 2" xfId="14252" xr:uid="{7DBFF457-EED9-42F1-A405-3F0201B30783}"/>
    <cellStyle name="Normal 2 4 3 2 4" xfId="11530" xr:uid="{BF547DDB-173C-4532-81B7-BB3C1718EFE9}"/>
    <cellStyle name="Normal 2 4 3 3" xfId="6932" xr:uid="{00000000-0005-0000-0000-00000A120000}"/>
    <cellStyle name="Normal 2 4 3 3 2" xfId="9600" xr:uid="{F9A7264D-E3EF-48F6-B71E-2DBFFD97AC01}"/>
    <cellStyle name="Normal 2 4 3 3 2 2" xfId="14990" xr:uid="{3087CE4A-F9C3-4549-A6CB-8A74C242B2D8}"/>
    <cellStyle name="Normal 2 4 3 3 3" xfId="12237" xr:uid="{05E58AA5-12AB-4E1C-8526-982D5849F6E2}"/>
    <cellStyle name="Normal 2 4 3 4" xfId="8269" xr:uid="{5D1B23F6-6703-473C-B481-ADE51B20CF11}"/>
    <cellStyle name="Normal 2 4 3 4 2" xfId="13628" xr:uid="{63A436CF-CACB-47D1-AC87-134B6667344E}"/>
    <cellStyle name="Normal 2 4 3 5" xfId="10906" xr:uid="{10641C31-0B20-4EF3-9013-F35E7A207932}"/>
    <cellStyle name="Normal 2 4 4" xfId="3763" xr:uid="{00000000-0005-0000-0000-00000B120000}"/>
    <cellStyle name="Normal 2 4 4 2" xfId="4389" xr:uid="{00000000-0005-0000-0000-00000C120000}"/>
    <cellStyle name="Normal 2 4 4 2 2" xfId="7557" xr:uid="{00000000-0005-0000-0000-00000D120000}"/>
    <cellStyle name="Normal 2 4 4 2 2 2" xfId="10225" xr:uid="{D80B25F9-5903-435E-A103-58EE4B7CE858}"/>
    <cellStyle name="Normal 2 4 4 2 2 2 2" xfId="15615" xr:uid="{57F78301-CBC7-486F-A1AA-9136D4D55EF6}"/>
    <cellStyle name="Normal 2 4 4 2 2 3" xfId="12862" xr:uid="{24D78501-398D-4D5D-83EB-3E30A884C061}"/>
    <cellStyle name="Normal 2 4 4 2 3" xfId="8894" xr:uid="{A3F52367-F4FE-46C0-BED3-D549D545D439}"/>
    <cellStyle name="Normal 2 4 4 2 3 2" xfId="14253" xr:uid="{D7E1BEF7-BF49-4F08-8049-379E778D20A5}"/>
    <cellStyle name="Normal 2 4 4 2 4" xfId="11531" xr:uid="{9CC0C28A-3437-421A-8197-E214C664FD75}"/>
    <cellStyle name="Normal 2 4 4 3" xfId="6933" xr:uid="{00000000-0005-0000-0000-00000E120000}"/>
    <cellStyle name="Normal 2 4 4 3 2" xfId="9601" xr:uid="{F246DC83-9016-4D3E-8807-0CB87C07FFD1}"/>
    <cellStyle name="Normal 2 4 4 3 2 2" xfId="14991" xr:uid="{CD5A3B75-1FFA-420F-8329-8DBF6E5930E0}"/>
    <cellStyle name="Normal 2 4 4 3 3" xfId="12238" xr:uid="{E9029660-D50A-4EB4-8F8E-DD6D0121D0AC}"/>
    <cellStyle name="Normal 2 4 4 4" xfId="8270" xr:uid="{8045F584-6AFF-4ABD-8409-18CFAC1BD4B9}"/>
    <cellStyle name="Normal 2 4 4 4 2" xfId="13629" xr:uid="{22150FCF-B16E-4E03-844E-F5438FCA615F}"/>
    <cellStyle name="Normal 2 4 4 5" xfId="10907" xr:uid="{B755726A-2648-4B98-8B73-8C2B22A4CA2D}"/>
    <cellStyle name="Normal 2 4 5" xfId="3764" xr:uid="{00000000-0005-0000-0000-00000F120000}"/>
    <cellStyle name="Normal 2 4 5 2" xfId="4390" xr:uid="{00000000-0005-0000-0000-000010120000}"/>
    <cellStyle name="Normal 2 4 5 2 2" xfId="7558" xr:uid="{00000000-0005-0000-0000-000011120000}"/>
    <cellStyle name="Normal 2 4 5 2 2 2" xfId="10226" xr:uid="{427EBAC2-B6CB-4CAA-879A-945C1C97D056}"/>
    <cellStyle name="Normal 2 4 5 2 2 2 2" xfId="15616" xr:uid="{9362FCE3-F16D-4870-805E-4304D67D384A}"/>
    <cellStyle name="Normal 2 4 5 2 2 3" xfId="12863" xr:uid="{82F3DEE3-1D20-425A-B109-16264F9B5169}"/>
    <cellStyle name="Normal 2 4 5 2 3" xfId="8895" xr:uid="{3B40387E-7FA0-4AA8-A999-9936CB1728D0}"/>
    <cellStyle name="Normal 2 4 5 2 3 2" xfId="14254" xr:uid="{AA2CD65E-A1E0-407E-844F-815017F7F501}"/>
    <cellStyle name="Normal 2 4 5 2 4" xfId="11532" xr:uid="{2B4CF156-8BE1-45F8-A43C-C5045AA69B59}"/>
    <cellStyle name="Normal 2 4 5 3" xfId="6934" xr:uid="{00000000-0005-0000-0000-000012120000}"/>
    <cellStyle name="Normal 2 4 5 3 2" xfId="9602" xr:uid="{3E855A2A-1F6C-4006-A991-0DE50843E370}"/>
    <cellStyle name="Normal 2 4 5 3 2 2" xfId="14992" xr:uid="{F836F6D2-8151-4E72-AB98-B265AB73B6C1}"/>
    <cellStyle name="Normal 2 4 5 3 3" xfId="12239" xr:uid="{6E6961D3-C128-4FE2-AEA3-050878DA7DEB}"/>
    <cellStyle name="Normal 2 4 5 4" xfId="8271" xr:uid="{FD08F4D5-1206-41EE-8DE5-BC65599ED136}"/>
    <cellStyle name="Normal 2 4 5 4 2" xfId="13630" xr:uid="{42D643FF-FB63-4541-9E6E-B7535030604C}"/>
    <cellStyle name="Normal 2 4 5 5" xfId="10908" xr:uid="{C3613A84-387F-4196-A3DB-96AC49948CB3}"/>
    <cellStyle name="Normal 2 4 6" xfId="3765" xr:uid="{00000000-0005-0000-0000-000013120000}"/>
    <cellStyle name="Normal 2 4 6 2" xfId="4391" xr:uid="{00000000-0005-0000-0000-000014120000}"/>
    <cellStyle name="Normal 2 4 6 2 2" xfId="7559" xr:uid="{00000000-0005-0000-0000-000015120000}"/>
    <cellStyle name="Normal 2 4 6 2 2 2" xfId="10227" xr:uid="{C5994522-50C8-4002-8EC6-60043A318A52}"/>
    <cellStyle name="Normal 2 4 6 2 2 2 2" xfId="15617" xr:uid="{73797429-0FE0-4981-8877-B9A57CB323C7}"/>
    <cellStyle name="Normal 2 4 6 2 2 3" xfId="12864" xr:uid="{1CE1B8CC-8645-4B6E-8009-DB7CD282E69A}"/>
    <cellStyle name="Normal 2 4 6 2 3" xfId="8896" xr:uid="{72ABA93C-AAF2-4B21-A18B-6991DBAF6823}"/>
    <cellStyle name="Normal 2 4 6 2 3 2" xfId="14255" xr:uid="{C3D67238-73DE-40F1-A507-5496B4A8EDE4}"/>
    <cellStyle name="Normal 2 4 6 2 4" xfId="11533" xr:uid="{2A46E623-3D24-4FE4-BF02-CAF04F1AE9E1}"/>
    <cellStyle name="Normal 2 4 6 3" xfId="6935" xr:uid="{00000000-0005-0000-0000-000016120000}"/>
    <cellStyle name="Normal 2 4 6 3 2" xfId="9603" xr:uid="{C2DF3CCD-067A-4F2A-93DB-5A5C1AC13A40}"/>
    <cellStyle name="Normal 2 4 6 3 2 2" xfId="14993" xr:uid="{01A5C1A4-209B-4ED7-BA0A-6E875B9491BD}"/>
    <cellStyle name="Normal 2 4 6 3 3" xfId="12240" xr:uid="{B65378C2-8A0F-4103-A2DA-4349E6541CD0}"/>
    <cellStyle name="Normal 2 4 6 4" xfId="8272" xr:uid="{1EAF5201-508C-4C1D-A628-CF01D8419322}"/>
    <cellStyle name="Normal 2 4 6 4 2" xfId="13631" xr:uid="{A9EE39C4-FC48-43EB-88A3-9C2776186C84}"/>
    <cellStyle name="Normal 2 4 6 5" xfId="10909" xr:uid="{E2247226-BB72-464C-B605-98FC839397A9}"/>
    <cellStyle name="Normal 2 4 7" xfId="3758" xr:uid="{00000000-0005-0000-0000-000017120000}"/>
    <cellStyle name="Normal 2 4 7 2" xfId="4384" xr:uid="{00000000-0005-0000-0000-000018120000}"/>
    <cellStyle name="Normal 2 4 7 2 2" xfId="7552" xr:uid="{00000000-0005-0000-0000-000019120000}"/>
    <cellStyle name="Normal 2 4 7 2 2 2" xfId="10220" xr:uid="{01DC96CF-A73E-462F-A98F-328E04BD325E}"/>
    <cellStyle name="Normal 2 4 7 2 2 2 2" xfId="15610" xr:uid="{29191DD0-1E38-4530-A9FD-FFB1E737D5D5}"/>
    <cellStyle name="Normal 2 4 7 2 2 3" xfId="12857" xr:uid="{E3FB5628-CE34-4DA8-897F-4167A704C50C}"/>
    <cellStyle name="Normal 2 4 7 2 3" xfId="8889" xr:uid="{01D59A05-8D28-4605-A5C9-5056C5B9DA4B}"/>
    <cellStyle name="Normal 2 4 7 2 3 2" xfId="14248" xr:uid="{77443FAC-BDDC-486B-8850-5734BE4CFCBD}"/>
    <cellStyle name="Normal 2 4 7 2 4" xfId="11526" xr:uid="{CD7A8FB1-455A-42FA-B46C-773971997CF2}"/>
    <cellStyle name="Normal 2 4 7 3" xfId="6928" xr:uid="{00000000-0005-0000-0000-00001A120000}"/>
    <cellStyle name="Normal 2 4 7 3 2" xfId="9596" xr:uid="{599A49BE-DD29-41C5-AC0B-3734F01BD40D}"/>
    <cellStyle name="Normal 2 4 7 3 2 2" xfId="14986" xr:uid="{33EBB15A-8FDA-4610-B685-CDA1D0EA3246}"/>
    <cellStyle name="Normal 2 4 7 3 3" xfId="12233" xr:uid="{708939FD-C814-4C38-A326-EAD3646BDF51}"/>
    <cellStyle name="Normal 2 4 7 4" xfId="8265" xr:uid="{D19BAA56-C363-4466-A382-FAF707609D87}"/>
    <cellStyle name="Normal 2 4 7 4 2" xfId="13624" xr:uid="{4D15D79A-2A8C-40E6-818A-52BF8E15AD23}"/>
    <cellStyle name="Normal 2 4 7 5" xfId="10902" xr:uid="{CE0EBF06-BB53-4E9E-98B1-4540C7E59E7B}"/>
    <cellStyle name="Normal 2 4 8" xfId="3379" xr:uid="{00000000-0005-0000-0000-00001B120000}"/>
    <cellStyle name="Normal 2 5" xfId="2612" xr:uid="{00000000-0005-0000-0000-00001C120000}"/>
    <cellStyle name="Normal 2 5 2" xfId="3767" xr:uid="{00000000-0005-0000-0000-00001D120000}"/>
    <cellStyle name="Normal 2 5 2 2" xfId="3768" xr:uid="{00000000-0005-0000-0000-00001E120000}"/>
    <cellStyle name="Normal 2 5 2 2 2" xfId="4394" xr:uid="{00000000-0005-0000-0000-00001F120000}"/>
    <cellStyle name="Normal 2 5 2 2 2 2" xfId="7562" xr:uid="{00000000-0005-0000-0000-000020120000}"/>
    <cellStyle name="Normal 2 5 2 2 2 2 2" xfId="10230" xr:uid="{9063E7C4-3F06-4FF9-9106-75BB66C357D0}"/>
    <cellStyle name="Normal 2 5 2 2 2 2 2 2" xfId="15620" xr:uid="{93291187-1AC6-4879-968E-A760476921B1}"/>
    <cellStyle name="Normal 2 5 2 2 2 2 3" xfId="12867" xr:uid="{DF554641-7BF8-466E-98D0-CDE260E5D300}"/>
    <cellStyle name="Normal 2 5 2 2 2 3" xfId="8899" xr:uid="{93FAF61F-7C0A-46E4-A311-9FA6FA435E68}"/>
    <cellStyle name="Normal 2 5 2 2 2 3 2" xfId="14258" xr:uid="{17293857-46B8-476C-AD3A-97CEA13F1CA1}"/>
    <cellStyle name="Normal 2 5 2 2 2 4" xfId="11536" xr:uid="{0A3B0E7F-EF8C-474D-8FED-3FC61513D11D}"/>
    <cellStyle name="Normal 2 5 2 2 3" xfId="6938" xr:uid="{00000000-0005-0000-0000-000021120000}"/>
    <cellStyle name="Normal 2 5 2 2 3 2" xfId="9606" xr:uid="{74967423-8E98-49FC-8290-CB66D3E1728D}"/>
    <cellStyle name="Normal 2 5 2 2 3 2 2" xfId="14996" xr:uid="{4F685727-1DF0-4D7B-8B28-9CB4607DF442}"/>
    <cellStyle name="Normal 2 5 2 2 3 3" xfId="12243" xr:uid="{39313CF8-45E2-4D85-AD6D-1C0F9C2E2761}"/>
    <cellStyle name="Normal 2 5 2 2 4" xfId="8275" xr:uid="{923BB850-526F-4253-B1B0-6982B4F3C874}"/>
    <cellStyle name="Normal 2 5 2 2 4 2" xfId="13634" xr:uid="{D197D336-3296-4E2E-8877-6E59E047D573}"/>
    <cellStyle name="Normal 2 5 2 2 5" xfId="10912" xr:uid="{8BEF9DAE-C431-41AE-81C9-5CFFD522B74A}"/>
    <cellStyle name="Normal 2 5 2 3" xfId="3769" xr:uid="{00000000-0005-0000-0000-000022120000}"/>
    <cellStyle name="Normal 2 5 2 3 2" xfId="4395" xr:uid="{00000000-0005-0000-0000-000023120000}"/>
    <cellStyle name="Normal 2 5 2 3 2 2" xfId="7563" xr:uid="{00000000-0005-0000-0000-000024120000}"/>
    <cellStyle name="Normal 2 5 2 3 2 2 2" xfId="10231" xr:uid="{869B9074-46FD-4D4F-AC7C-BC70D9FC31A3}"/>
    <cellStyle name="Normal 2 5 2 3 2 2 2 2" xfId="15621" xr:uid="{B304536D-14DD-402D-B52C-261F86AFDBE8}"/>
    <cellStyle name="Normal 2 5 2 3 2 2 3" xfId="12868" xr:uid="{4867505B-2349-4564-B4B4-E1C9ADD47541}"/>
    <cellStyle name="Normal 2 5 2 3 2 3" xfId="8900" xr:uid="{2FC5F39C-C710-4CF9-9C06-A0104FE8ADD5}"/>
    <cellStyle name="Normal 2 5 2 3 2 3 2" xfId="14259" xr:uid="{F7B6CD5C-6082-4808-B17A-9E577E055800}"/>
    <cellStyle name="Normal 2 5 2 3 2 4" xfId="11537" xr:uid="{7164BAB5-3FF5-4362-BA3C-A7392E2EB364}"/>
    <cellStyle name="Normal 2 5 2 3 3" xfId="6939" xr:uid="{00000000-0005-0000-0000-000025120000}"/>
    <cellStyle name="Normal 2 5 2 3 3 2" xfId="9607" xr:uid="{8F6F553C-521B-429D-84BA-6DAF3178636B}"/>
    <cellStyle name="Normal 2 5 2 3 3 2 2" xfId="14997" xr:uid="{91B06C10-DE3E-4EE2-899E-4C164A74533A}"/>
    <cellStyle name="Normal 2 5 2 3 3 3" xfId="12244" xr:uid="{B3CD3494-5431-4D1E-912E-385E06500DD4}"/>
    <cellStyle name="Normal 2 5 2 3 4" xfId="8276" xr:uid="{22926E51-FD40-4475-8984-BAA763A24E81}"/>
    <cellStyle name="Normal 2 5 2 3 4 2" xfId="13635" xr:uid="{FBA37EC4-4DF4-4F8C-9CDA-FBFFBEBC43C9}"/>
    <cellStyle name="Normal 2 5 2 3 5" xfId="10913" xr:uid="{671FD255-BDBD-4719-A526-7C31867253E4}"/>
    <cellStyle name="Normal 2 5 2 4" xfId="4393" xr:uid="{00000000-0005-0000-0000-000026120000}"/>
    <cellStyle name="Normal 2 5 2 4 2" xfId="7561" xr:uid="{00000000-0005-0000-0000-000027120000}"/>
    <cellStyle name="Normal 2 5 2 4 2 2" xfId="10229" xr:uid="{DADD5D0A-D2EF-4CAC-B38A-89F88317D091}"/>
    <cellStyle name="Normal 2 5 2 4 2 2 2" xfId="15619" xr:uid="{9F50BCB8-71D7-48F0-89D8-72597827A2ED}"/>
    <cellStyle name="Normal 2 5 2 4 2 3" xfId="12866" xr:uid="{75A36E6D-88BA-46CA-A5E4-7872EA478EFB}"/>
    <cellStyle name="Normal 2 5 2 4 3" xfId="8898" xr:uid="{BEE50C23-02A4-447A-8F92-9F4F4CE567D6}"/>
    <cellStyle name="Normal 2 5 2 4 3 2" xfId="14257" xr:uid="{3664F8C7-C24C-4947-BB75-4051DF1A446D}"/>
    <cellStyle name="Normal 2 5 2 4 4" xfId="11535" xr:uid="{EBAAE0D9-FD69-4140-8C4C-37EF84DA36A0}"/>
    <cellStyle name="Normal 2 5 2 5" xfId="6937" xr:uid="{00000000-0005-0000-0000-000028120000}"/>
    <cellStyle name="Normal 2 5 2 5 2" xfId="9605" xr:uid="{B53192E5-90F3-4E2D-BE61-32FB9896EB72}"/>
    <cellStyle name="Normal 2 5 2 5 2 2" xfId="14995" xr:uid="{29A7EBB9-50B0-4309-8E28-21C96AD67D52}"/>
    <cellStyle name="Normal 2 5 2 5 3" xfId="12242" xr:uid="{807F1A12-956D-4321-A23B-FB682C4B904B}"/>
    <cellStyle name="Normal 2 5 2 6" xfId="8274" xr:uid="{44B0925D-2BD6-4040-8818-2EC8A83D9B2A}"/>
    <cellStyle name="Normal 2 5 2 6 2" xfId="13633" xr:uid="{C2169D5B-33CA-4365-BB0A-088ECD25C127}"/>
    <cellStyle name="Normal 2 5 2 7" xfId="10911" xr:uid="{7FD04DC1-CCD2-4498-BF73-17AFA23D92EF}"/>
    <cellStyle name="Normal 2 5 3" xfId="3770" xr:uid="{00000000-0005-0000-0000-000029120000}"/>
    <cellStyle name="Normal 2 5 3 2" xfId="4396" xr:uid="{00000000-0005-0000-0000-00002A120000}"/>
    <cellStyle name="Normal 2 5 3 2 2" xfId="7564" xr:uid="{00000000-0005-0000-0000-00002B120000}"/>
    <cellStyle name="Normal 2 5 3 2 2 2" xfId="10232" xr:uid="{853E4098-C255-4B36-858D-296D5AB5B90D}"/>
    <cellStyle name="Normal 2 5 3 2 2 2 2" xfId="15622" xr:uid="{734DF01B-D800-40B1-A007-3F9FF7DCC6FE}"/>
    <cellStyle name="Normal 2 5 3 2 2 3" xfId="12869" xr:uid="{6A792E57-C427-4AA8-912F-CAA8FB24170B}"/>
    <cellStyle name="Normal 2 5 3 2 3" xfId="8901" xr:uid="{47E1DDC7-A324-482D-BE7A-327F235D3D5C}"/>
    <cellStyle name="Normal 2 5 3 2 3 2" xfId="14260" xr:uid="{DC8F6654-C374-402A-BDC2-A6BDF7F718DA}"/>
    <cellStyle name="Normal 2 5 3 2 4" xfId="11538" xr:uid="{5953FF04-38C9-4F52-827D-92BB4636DCC8}"/>
    <cellStyle name="Normal 2 5 3 3" xfId="6940" xr:uid="{00000000-0005-0000-0000-00002C120000}"/>
    <cellStyle name="Normal 2 5 3 3 2" xfId="9608" xr:uid="{B15F83BA-E2FA-4018-A7E2-E1EF5536E3B7}"/>
    <cellStyle name="Normal 2 5 3 3 2 2" xfId="14998" xr:uid="{1EB36099-B703-4449-8E15-FA60B68AA4D7}"/>
    <cellStyle name="Normal 2 5 3 3 3" xfId="12245" xr:uid="{35FA2B72-186C-48BC-AC3C-88206AA8529C}"/>
    <cellStyle name="Normal 2 5 3 4" xfId="8277" xr:uid="{7DFA8001-CDC9-49F4-B13C-35027C55F168}"/>
    <cellStyle name="Normal 2 5 3 4 2" xfId="13636" xr:uid="{A444D2BE-87CA-48DF-95B6-7E7AF58B3166}"/>
    <cellStyle name="Normal 2 5 3 5" xfId="10914" xr:uid="{76A8D486-A2C6-40F6-9C63-829670A62614}"/>
    <cellStyle name="Normal 2 5 4" xfId="3771" xr:uid="{00000000-0005-0000-0000-00002D120000}"/>
    <cellStyle name="Normal 2 5 4 2" xfId="4397" xr:uid="{00000000-0005-0000-0000-00002E120000}"/>
    <cellStyle name="Normal 2 5 4 2 2" xfId="7565" xr:uid="{00000000-0005-0000-0000-00002F120000}"/>
    <cellStyle name="Normal 2 5 4 2 2 2" xfId="10233" xr:uid="{04587533-FFC8-4EE8-A2B0-3A4E0BB31F00}"/>
    <cellStyle name="Normal 2 5 4 2 2 2 2" xfId="15623" xr:uid="{D9F7D7FC-4EA2-469F-8CD5-C1C1E55ACEFD}"/>
    <cellStyle name="Normal 2 5 4 2 2 3" xfId="12870" xr:uid="{107136B2-A09F-4809-8744-4002540C9395}"/>
    <cellStyle name="Normal 2 5 4 2 3" xfId="8902" xr:uid="{6345F180-7F42-4D82-A158-A0400ADD8AAF}"/>
    <cellStyle name="Normal 2 5 4 2 3 2" xfId="14261" xr:uid="{47893D49-6338-4C9D-B4F0-97748D60E433}"/>
    <cellStyle name="Normal 2 5 4 2 4" xfId="11539" xr:uid="{37E4AB33-58E0-439B-95DA-74855C386AFA}"/>
    <cellStyle name="Normal 2 5 4 3" xfId="6941" xr:uid="{00000000-0005-0000-0000-000030120000}"/>
    <cellStyle name="Normal 2 5 4 3 2" xfId="9609" xr:uid="{82BC9A50-F9AA-46A6-B811-21B6D6A8CC0D}"/>
    <cellStyle name="Normal 2 5 4 3 2 2" xfId="14999" xr:uid="{34CECE49-D876-43DE-9F9E-42A2D2B24FD8}"/>
    <cellStyle name="Normal 2 5 4 3 3" xfId="12246" xr:uid="{DCB626EC-8631-4E0C-B092-C2429F01F32B}"/>
    <cellStyle name="Normal 2 5 4 4" xfId="8278" xr:uid="{8AF5C30F-26A3-471A-8D9D-229AF005199F}"/>
    <cellStyle name="Normal 2 5 4 4 2" xfId="13637" xr:uid="{B93213EA-36AE-4F62-9FDE-7523073AC63D}"/>
    <cellStyle name="Normal 2 5 4 5" xfId="10915" xr:uid="{F9CD4DE7-FB71-4EED-9A34-179A03FDB4B2}"/>
    <cellStyle name="Normal 2 5 5" xfId="3772" xr:uid="{00000000-0005-0000-0000-000031120000}"/>
    <cellStyle name="Normal 2 5 5 2" xfId="4398" xr:uid="{00000000-0005-0000-0000-000032120000}"/>
    <cellStyle name="Normal 2 5 5 2 2" xfId="7566" xr:uid="{00000000-0005-0000-0000-000033120000}"/>
    <cellStyle name="Normal 2 5 5 2 2 2" xfId="10234" xr:uid="{6E0CEF26-11B4-4982-A8F5-2102EA7715B0}"/>
    <cellStyle name="Normal 2 5 5 2 2 2 2" xfId="15624" xr:uid="{B926406A-8751-4035-98C8-5C6D567169AC}"/>
    <cellStyle name="Normal 2 5 5 2 2 3" xfId="12871" xr:uid="{19F3405B-C117-4A6F-9E3F-2881C23F72A9}"/>
    <cellStyle name="Normal 2 5 5 2 3" xfId="8903" xr:uid="{EC641D23-BA1C-46B2-A56C-3B07EE986416}"/>
    <cellStyle name="Normal 2 5 5 2 3 2" xfId="14262" xr:uid="{4D2D7D85-0F0E-4285-AA8F-E8B776E82572}"/>
    <cellStyle name="Normal 2 5 5 2 4" xfId="11540" xr:uid="{02F841FD-B677-4EBA-8014-1021C9FA99AC}"/>
    <cellStyle name="Normal 2 5 5 3" xfId="6942" xr:uid="{00000000-0005-0000-0000-000034120000}"/>
    <cellStyle name="Normal 2 5 5 3 2" xfId="9610" xr:uid="{9D5E2CB9-0748-4ED5-80F9-5014613D8257}"/>
    <cellStyle name="Normal 2 5 5 3 2 2" xfId="15000" xr:uid="{31BC7162-139E-40B4-8045-A3361296BC55}"/>
    <cellStyle name="Normal 2 5 5 3 3" xfId="12247" xr:uid="{CA91D27C-3F55-495D-8104-B709F272A438}"/>
    <cellStyle name="Normal 2 5 5 4" xfId="8279" xr:uid="{73433B48-64D4-4640-B642-97941065696E}"/>
    <cellStyle name="Normal 2 5 5 4 2" xfId="13638" xr:uid="{29F677C4-E928-4874-99D7-1C5BF434327C}"/>
    <cellStyle name="Normal 2 5 5 5" xfId="10916" xr:uid="{13694699-A2EC-4B48-A550-CA44AA430298}"/>
    <cellStyle name="Normal 2 5 6" xfId="3766" xr:uid="{00000000-0005-0000-0000-000035120000}"/>
    <cellStyle name="Normal 2 5 6 2" xfId="4392" xr:uid="{00000000-0005-0000-0000-000036120000}"/>
    <cellStyle name="Normal 2 5 6 2 2" xfId="7560" xr:uid="{00000000-0005-0000-0000-000037120000}"/>
    <cellStyle name="Normal 2 5 6 2 2 2" xfId="10228" xr:uid="{E8E4808B-BB68-4168-932A-7DE93B39DD1F}"/>
    <cellStyle name="Normal 2 5 6 2 2 2 2" xfId="15618" xr:uid="{40069F8B-D5EB-411D-9AC2-A78CDDD7BBF4}"/>
    <cellStyle name="Normal 2 5 6 2 2 3" xfId="12865" xr:uid="{D263AC15-60E7-452D-B92C-0B4FBC210852}"/>
    <cellStyle name="Normal 2 5 6 2 3" xfId="8897" xr:uid="{C00E7A83-4181-4CED-944B-0B81016D8F0A}"/>
    <cellStyle name="Normal 2 5 6 2 3 2" xfId="14256" xr:uid="{49A4A0B3-9A06-4CE4-A1B1-EF8A67067B7E}"/>
    <cellStyle name="Normal 2 5 6 2 4" xfId="11534" xr:uid="{67E1448A-416B-4860-BEA7-2767DCFD1B4B}"/>
    <cellStyle name="Normal 2 5 6 3" xfId="6936" xr:uid="{00000000-0005-0000-0000-000038120000}"/>
    <cellStyle name="Normal 2 5 6 3 2" xfId="9604" xr:uid="{11735556-CC31-4ACF-AF4F-E0CA3CBF85E0}"/>
    <cellStyle name="Normal 2 5 6 3 2 2" xfId="14994" xr:uid="{F963A3CD-3E5E-489B-A808-42653B904AC3}"/>
    <cellStyle name="Normal 2 5 6 3 3" xfId="12241" xr:uid="{2C3D412F-37F3-4EE8-B7F2-D6CEADAB9874}"/>
    <cellStyle name="Normal 2 5 6 4" xfId="8273" xr:uid="{8424BA67-24EA-4DED-BBE3-25F7F8A79B64}"/>
    <cellStyle name="Normal 2 5 6 4 2" xfId="13632" xr:uid="{3D2C7385-B547-4B2B-BB85-D65B361CA727}"/>
    <cellStyle name="Normal 2 5 6 5" xfId="10910" xr:uid="{3FC41D8D-B5BE-422F-ACBD-214EAEB573C5}"/>
    <cellStyle name="Normal 2 5 7" xfId="3380" xr:uid="{00000000-0005-0000-0000-000039120000}"/>
    <cellStyle name="Normal 2 6" xfId="3389" xr:uid="{00000000-0005-0000-0000-00003A120000}"/>
    <cellStyle name="Normal 2 6 2" xfId="3774" xr:uid="{00000000-0005-0000-0000-00003B120000}"/>
    <cellStyle name="Normal 2 6 2 2" xfId="3775" xr:uid="{00000000-0005-0000-0000-00003C120000}"/>
    <cellStyle name="Normal 2 6 2 2 2" xfId="4401" xr:uid="{00000000-0005-0000-0000-00003D120000}"/>
    <cellStyle name="Normal 2 6 2 2 2 2" xfId="7569" xr:uid="{00000000-0005-0000-0000-00003E120000}"/>
    <cellStyle name="Normal 2 6 2 2 2 2 2" xfId="10237" xr:uid="{C44CA8BA-2BE8-4CEC-BF8F-9F1F302CCC93}"/>
    <cellStyle name="Normal 2 6 2 2 2 2 2 2" xfId="15627" xr:uid="{18D5DCE6-9E1E-43AE-BA60-DC3134102CB2}"/>
    <cellStyle name="Normal 2 6 2 2 2 2 3" xfId="12874" xr:uid="{529A3CE2-EE12-435B-9F15-F4A1C82D74E8}"/>
    <cellStyle name="Normal 2 6 2 2 2 3" xfId="8906" xr:uid="{198FBDD4-7805-4958-9460-62F55621A628}"/>
    <cellStyle name="Normal 2 6 2 2 2 3 2" xfId="14265" xr:uid="{E85466CC-D1C6-4965-AD47-040060684CBF}"/>
    <cellStyle name="Normal 2 6 2 2 2 4" xfId="11543" xr:uid="{305C98C9-ECAA-4CB6-9080-B963BFD1248F}"/>
    <cellStyle name="Normal 2 6 2 2 3" xfId="6945" xr:uid="{00000000-0005-0000-0000-00003F120000}"/>
    <cellStyle name="Normal 2 6 2 2 3 2" xfId="9613" xr:uid="{02CD130A-451F-4377-AA67-BE07630ADD5F}"/>
    <cellStyle name="Normal 2 6 2 2 3 2 2" xfId="15003" xr:uid="{D73A3AA1-5EB1-4228-BEAF-FB489482E9E8}"/>
    <cellStyle name="Normal 2 6 2 2 3 3" xfId="12250" xr:uid="{1D393BE5-D1BB-4FCD-B6BA-30C1595731E2}"/>
    <cellStyle name="Normal 2 6 2 2 4" xfId="8282" xr:uid="{EA86BF2A-76A9-465F-B0F7-A6C80A144A98}"/>
    <cellStyle name="Normal 2 6 2 2 4 2" xfId="13641" xr:uid="{8D6E6D57-D999-427E-8871-DE9AF303F5CD}"/>
    <cellStyle name="Normal 2 6 2 2 5" xfId="10919" xr:uid="{6328AEFB-0482-4D33-863F-FBC6BB5E3F44}"/>
    <cellStyle name="Normal 2 6 2 3" xfId="3776" xr:uid="{00000000-0005-0000-0000-000040120000}"/>
    <cellStyle name="Normal 2 6 2 3 2" xfId="4402" xr:uid="{00000000-0005-0000-0000-000041120000}"/>
    <cellStyle name="Normal 2 6 2 3 2 2" xfId="7570" xr:uid="{00000000-0005-0000-0000-000042120000}"/>
    <cellStyle name="Normal 2 6 2 3 2 2 2" xfId="10238" xr:uid="{2EC03FC6-C4D3-46D0-A24C-B76DC8A4C545}"/>
    <cellStyle name="Normal 2 6 2 3 2 2 2 2" xfId="15628" xr:uid="{51353F98-40E5-4625-B8BC-E83C818302A4}"/>
    <cellStyle name="Normal 2 6 2 3 2 2 3" xfId="12875" xr:uid="{2F48C2E0-A47B-4FA8-9B26-D6A60BCC47FB}"/>
    <cellStyle name="Normal 2 6 2 3 2 3" xfId="8907" xr:uid="{D8E0F64D-D58F-4757-AF41-74E8A800ADDF}"/>
    <cellStyle name="Normal 2 6 2 3 2 3 2" xfId="14266" xr:uid="{26D3EC4A-C32D-48D5-81A9-EB170E1E30F3}"/>
    <cellStyle name="Normal 2 6 2 3 2 4" xfId="11544" xr:uid="{07BABF92-EED9-418B-8595-111EDD81B6D4}"/>
    <cellStyle name="Normal 2 6 2 3 3" xfId="6946" xr:uid="{00000000-0005-0000-0000-000043120000}"/>
    <cellStyle name="Normal 2 6 2 3 3 2" xfId="9614" xr:uid="{ED40BAC0-2E8E-4583-BE6B-353D9308D7E9}"/>
    <cellStyle name="Normal 2 6 2 3 3 2 2" xfId="15004" xr:uid="{6CEAC16A-9F19-4B5E-9EEC-D465F670D0AB}"/>
    <cellStyle name="Normal 2 6 2 3 3 3" xfId="12251" xr:uid="{C7647FCB-D104-4178-A1D7-A3733424633A}"/>
    <cellStyle name="Normal 2 6 2 3 4" xfId="8283" xr:uid="{905A7D62-7043-4D09-9F88-CB1FB4E2096C}"/>
    <cellStyle name="Normal 2 6 2 3 4 2" xfId="13642" xr:uid="{E7C9C2B8-0042-4CC6-AA86-CA69F700A48D}"/>
    <cellStyle name="Normal 2 6 2 3 5" xfId="10920" xr:uid="{B8E4C0FB-9A65-4A18-A3C6-E1D8FCFC2D08}"/>
    <cellStyle name="Normal 2 6 2 4" xfId="4400" xr:uid="{00000000-0005-0000-0000-000044120000}"/>
    <cellStyle name="Normal 2 6 2 4 2" xfId="7568" xr:uid="{00000000-0005-0000-0000-000045120000}"/>
    <cellStyle name="Normal 2 6 2 4 2 2" xfId="10236" xr:uid="{E0E15178-79E0-4479-8B23-5A848A077863}"/>
    <cellStyle name="Normal 2 6 2 4 2 2 2" xfId="15626" xr:uid="{85B2FBBF-F247-4A7C-8E31-D297FE661ED7}"/>
    <cellStyle name="Normal 2 6 2 4 2 3" xfId="12873" xr:uid="{FC97E5EA-8D07-4764-92E4-38100ADD3513}"/>
    <cellStyle name="Normal 2 6 2 4 3" xfId="8905" xr:uid="{527FC765-16C2-49D9-8CB1-5461A485C99A}"/>
    <cellStyle name="Normal 2 6 2 4 3 2" xfId="14264" xr:uid="{0E13D975-972A-4C65-A273-EE2C2977748D}"/>
    <cellStyle name="Normal 2 6 2 4 4" xfId="11542" xr:uid="{C688E541-2B3D-48F2-B5F9-814FA809F33E}"/>
    <cellStyle name="Normal 2 6 2 5" xfId="6944" xr:uid="{00000000-0005-0000-0000-000046120000}"/>
    <cellStyle name="Normal 2 6 2 5 2" xfId="9612" xr:uid="{AE33340D-F546-46E2-AB33-FDFBD11AF73E}"/>
    <cellStyle name="Normal 2 6 2 5 2 2" xfId="15002" xr:uid="{8682BDC9-AF7E-4784-A0F0-5F37FF5A79E2}"/>
    <cellStyle name="Normal 2 6 2 5 3" xfId="12249" xr:uid="{21F09529-DBB4-4786-9ADC-9D6C0C52F0BB}"/>
    <cellStyle name="Normal 2 6 2 6" xfId="8281" xr:uid="{5E4C8D76-C26D-455F-B964-3D00890AD607}"/>
    <cellStyle name="Normal 2 6 2 6 2" xfId="13640" xr:uid="{1670D4F4-9D40-467F-B9AE-17DD55FB832B}"/>
    <cellStyle name="Normal 2 6 2 7" xfId="10918" xr:uid="{08767708-F956-4B6B-AF2B-1FF017B0B67C}"/>
    <cellStyle name="Normal 2 6 3" xfId="3777" xr:uid="{00000000-0005-0000-0000-000047120000}"/>
    <cellStyle name="Normal 2 6 3 2" xfId="4403" xr:uid="{00000000-0005-0000-0000-000048120000}"/>
    <cellStyle name="Normal 2 6 3 2 2" xfId="7571" xr:uid="{00000000-0005-0000-0000-000049120000}"/>
    <cellStyle name="Normal 2 6 3 2 2 2" xfId="10239" xr:uid="{3E3EDFB5-CAC2-4B50-98B0-57F866636F1D}"/>
    <cellStyle name="Normal 2 6 3 2 2 2 2" xfId="15629" xr:uid="{DB285790-5DBD-4976-B0F4-E0B3F8E6E055}"/>
    <cellStyle name="Normal 2 6 3 2 2 3" xfId="12876" xr:uid="{9ADAE8CA-8FAF-46DC-BFB0-AAD23151016B}"/>
    <cellStyle name="Normal 2 6 3 2 3" xfId="8908" xr:uid="{A7C13A8D-AE65-49A0-A381-A7DE168211A7}"/>
    <cellStyle name="Normal 2 6 3 2 3 2" xfId="14267" xr:uid="{20AD1BDA-B6D1-454A-937F-6B32192805FE}"/>
    <cellStyle name="Normal 2 6 3 2 4" xfId="11545" xr:uid="{C347FB1B-994F-40F2-B54C-C84C5AE15ADD}"/>
    <cellStyle name="Normal 2 6 3 3" xfId="6947" xr:uid="{00000000-0005-0000-0000-00004A120000}"/>
    <cellStyle name="Normal 2 6 3 3 2" xfId="9615" xr:uid="{7F690E6F-51C9-46BA-AC16-2457E23C43F3}"/>
    <cellStyle name="Normal 2 6 3 3 2 2" xfId="15005" xr:uid="{C842DBAE-D122-4B4E-8184-374D4E9384C6}"/>
    <cellStyle name="Normal 2 6 3 3 3" xfId="12252" xr:uid="{9A962645-1422-4FC6-A8A5-411B29011C5F}"/>
    <cellStyle name="Normal 2 6 3 4" xfId="8284" xr:uid="{CCEC8270-24EE-46BF-B5EF-04921716E600}"/>
    <cellStyle name="Normal 2 6 3 4 2" xfId="13643" xr:uid="{FB6AF795-87FF-4437-8F7A-EA75788798A1}"/>
    <cellStyle name="Normal 2 6 3 5" xfId="10921" xr:uid="{757F1568-393B-451C-8CBE-F2862FFB388D}"/>
    <cellStyle name="Normal 2 6 4" xfId="3778" xr:uid="{00000000-0005-0000-0000-00004B120000}"/>
    <cellStyle name="Normal 2 6 4 2" xfId="4404" xr:uid="{00000000-0005-0000-0000-00004C120000}"/>
    <cellStyle name="Normal 2 6 4 2 2" xfId="7572" xr:uid="{00000000-0005-0000-0000-00004D120000}"/>
    <cellStyle name="Normal 2 6 4 2 2 2" xfId="10240" xr:uid="{CB08770C-47D9-43BA-8DF8-740EB0863C21}"/>
    <cellStyle name="Normal 2 6 4 2 2 2 2" xfId="15630" xr:uid="{F8642C86-C8F5-4D72-BFD4-CF186655300A}"/>
    <cellStyle name="Normal 2 6 4 2 2 3" xfId="12877" xr:uid="{07F50A0F-F966-410F-BD5F-AC26B4DDFDF7}"/>
    <cellStyle name="Normal 2 6 4 2 3" xfId="8909" xr:uid="{4029D534-4373-4CBC-A475-4CE571CEFE44}"/>
    <cellStyle name="Normal 2 6 4 2 3 2" xfId="14268" xr:uid="{C3DCB38C-23B2-4515-BBED-D9D09F9EA2CF}"/>
    <cellStyle name="Normal 2 6 4 2 4" xfId="11546" xr:uid="{0819773A-223D-4CD1-8D7F-E72678511611}"/>
    <cellStyle name="Normal 2 6 4 3" xfId="6948" xr:uid="{00000000-0005-0000-0000-00004E120000}"/>
    <cellStyle name="Normal 2 6 4 3 2" xfId="9616" xr:uid="{D3FE930F-FBE1-4D19-8188-1AF4B70CCC9B}"/>
    <cellStyle name="Normal 2 6 4 3 2 2" xfId="15006" xr:uid="{16D5564C-A41C-423B-8642-2F382DDFE184}"/>
    <cellStyle name="Normal 2 6 4 3 3" xfId="12253" xr:uid="{FEE8907B-B6CF-42EB-9DCA-8742391A9AEF}"/>
    <cellStyle name="Normal 2 6 4 4" xfId="8285" xr:uid="{6764B12E-F18B-4606-949A-CB6BB6F8E5EF}"/>
    <cellStyle name="Normal 2 6 4 4 2" xfId="13644" xr:uid="{EB77F998-4E2D-4253-A3F2-27C284440C8C}"/>
    <cellStyle name="Normal 2 6 4 5" xfId="10922" xr:uid="{9DD6E406-2482-455D-89A5-D5FF9863769A}"/>
    <cellStyle name="Normal 2 6 5" xfId="3779" xr:uid="{00000000-0005-0000-0000-00004F120000}"/>
    <cellStyle name="Normal 2 6 5 2" xfId="4405" xr:uid="{00000000-0005-0000-0000-000050120000}"/>
    <cellStyle name="Normal 2 6 5 2 2" xfId="7573" xr:uid="{00000000-0005-0000-0000-000051120000}"/>
    <cellStyle name="Normal 2 6 5 2 2 2" xfId="10241" xr:uid="{7BB8B7BC-CBB4-43A9-AF8D-D1B9A5D7E7E8}"/>
    <cellStyle name="Normal 2 6 5 2 2 2 2" xfId="15631" xr:uid="{8193BBE7-4FF0-4115-9321-55ACF2E7C666}"/>
    <cellStyle name="Normal 2 6 5 2 2 3" xfId="12878" xr:uid="{0DFA72D6-E510-4D41-8408-35A81569FD31}"/>
    <cellStyle name="Normal 2 6 5 2 3" xfId="8910" xr:uid="{109F606F-C9A5-4CFF-A240-C8844E2A6DBD}"/>
    <cellStyle name="Normal 2 6 5 2 3 2" xfId="14269" xr:uid="{17FFB276-88FB-42E5-A04B-AF43592D3578}"/>
    <cellStyle name="Normal 2 6 5 2 4" xfId="11547" xr:uid="{C0D68A81-E890-453E-AF31-45CC4EFC56EF}"/>
    <cellStyle name="Normal 2 6 5 3" xfId="6949" xr:uid="{00000000-0005-0000-0000-000052120000}"/>
    <cellStyle name="Normal 2 6 5 3 2" xfId="9617" xr:uid="{5AE9EF25-CDF4-4FF8-81B1-A8A8D8B69550}"/>
    <cellStyle name="Normal 2 6 5 3 2 2" xfId="15007" xr:uid="{6C0C1742-A40B-4C87-BE80-17F3FF37030F}"/>
    <cellStyle name="Normal 2 6 5 3 3" xfId="12254" xr:uid="{0DB43395-4111-4A18-A3B4-DF0DA8237C56}"/>
    <cellStyle name="Normal 2 6 5 4" xfId="8286" xr:uid="{6A37F848-EF39-4019-80A9-70F2C8578E1E}"/>
    <cellStyle name="Normal 2 6 5 4 2" xfId="13645" xr:uid="{1B771446-4D1B-4233-AA57-97A47D377AAE}"/>
    <cellStyle name="Normal 2 6 5 5" xfId="10923" xr:uid="{B956E88D-28DE-4C53-B0DA-5117BF5AEDC9}"/>
    <cellStyle name="Normal 2 6 6" xfId="3773" xr:uid="{00000000-0005-0000-0000-000053120000}"/>
    <cellStyle name="Normal 2 6 6 2" xfId="4399" xr:uid="{00000000-0005-0000-0000-000054120000}"/>
    <cellStyle name="Normal 2 6 6 2 2" xfId="7567" xr:uid="{00000000-0005-0000-0000-000055120000}"/>
    <cellStyle name="Normal 2 6 6 2 2 2" xfId="10235" xr:uid="{D90D57F7-D6EC-4170-BF93-7A7F28E94B53}"/>
    <cellStyle name="Normal 2 6 6 2 2 2 2" xfId="15625" xr:uid="{54EB42EF-1F59-45A8-97F4-0D212EEA4005}"/>
    <cellStyle name="Normal 2 6 6 2 2 3" xfId="12872" xr:uid="{9A8E0A68-9C79-42DB-AD1C-A263ED7E154B}"/>
    <cellStyle name="Normal 2 6 6 2 3" xfId="8904" xr:uid="{C7CF772B-102B-4307-8A79-AA8C22E37694}"/>
    <cellStyle name="Normal 2 6 6 2 3 2" xfId="14263" xr:uid="{252907D8-B0D3-4DCC-B32A-F2AE59579C14}"/>
    <cellStyle name="Normal 2 6 6 2 4" xfId="11541" xr:uid="{5901CF9A-CCF1-48AC-9C5C-D9CD6E84B13A}"/>
    <cellStyle name="Normal 2 6 6 3" xfId="6943" xr:uid="{00000000-0005-0000-0000-000056120000}"/>
    <cellStyle name="Normal 2 6 6 3 2" xfId="9611" xr:uid="{86F56C73-103C-404A-A0AC-0D4778DEBB27}"/>
    <cellStyle name="Normal 2 6 6 3 2 2" xfId="15001" xr:uid="{0E583DC3-66DC-40D7-85E0-7EB8D4F01FEC}"/>
    <cellStyle name="Normal 2 6 6 3 3" xfId="12248" xr:uid="{7FC9E22B-FAF8-4481-90B5-CC93D29FCA6C}"/>
    <cellStyle name="Normal 2 6 6 4" xfId="8280" xr:uid="{39D97D02-8673-4A7B-B8E4-0F64F9246C06}"/>
    <cellStyle name="Normal 2 6 6 4 2" xfId="13639" xr:uid="{DF73EB05-46DD-49E1-B60E-1732E2FA24E3}"/>
    <cellStyle name="Normal 2 6 6 5" xfId="10917" xr:uid="{ECD3F247-12E9-4309-B2F8-CD22B54D40CB}"/>
    <cellStyle name="Normal 2 7" xfId="3780" xr:uid="{00000000-0005-0000-0000-000057120000}"/>
    <cellStyle name="Normal 2 7 2" xfId="3781" xr:uid="{00000000-0005-0000-0000-000058120000}"/>
    <cellStyle name="Normal 2 7 2 2" xfId="3782" xr:uid="{00000000-0005-0000-0000-000059120000}"/>
    <cellStyle name="Normal 2 7 2 2 2" xfId="4408" xr:uid="{00000000-0005-0000-0000-00005A120000}"/>
    <cellStyle name="Normal 2 7 2 2 2 2" xfId="7576" xr:uid="{00000000-0005-0000-0000-00005B120000}"/>
    <cellStyle name="Normal 2 7 2 2 2 2 2" xfId="10244" xr:uid="{3B2C2949-83D0-40F9-BDAF-3972C8882042}"/>
    <cellStyle name="Normal 2 7 2 2 2 2 2 2" xfId="15634" xr:uid="{CA8EC197-56B7-452D-BDEF-B2EE95AF7349}"/>
    <cellStyle name="Normal 2 7 2 2 2 2 3" xfId="12881" xr:uid="{74B02E61-ED1D-47FC-AAFA-85BF1BEEF966}"/>
    <cellStyle name="Normal 2 7 2 2 2 3" xfId="8913" xr:uid="{8F7E4E2D-ED1E-42FB-AED7-AB29D9E0D2FA}"/>
    <cellStyle name="Normal 2 7 2 2 2 3 2" xfId="14272" xr:uid="{06755CFA-806D-4BAB-B088-1801F32676ED}"/>
    <cellStyle name="Normal 2 7 2 2 2 4" xfId="11550" xr:uid="{E3F99D99-9D81-492F-BEF5-69B6B3235C2E}"/>
    <cellStyle name="Normal 2 7 2 2 3" xfId="6952" xr:uid="{00000000-0005-0000-0000-00005C120000}"/>
    <cellStyle name="Normal 2 7 2 2 3 2" xfId="9620" xr:uid="{36E80065-CFE0-496C-913A-B0F413FE57F8}"/>
    <cellStyle name="Normal 2 7 2 2 3 2 2" xfId="15010" xr:uid="{04D81E15-C881-46D3-8B72-EC3DCFDC51AE}"/>
    <cellStyle name="Normal 2 7 2 2 3 3" xfId="12257" xr:uid="{3CF4C55B-5459-4A1D-A48D-E0DE9D971B2C}"/>
    <cellStyle name="Normal 2 7 2 2 4" xfId="8289" xr:uid="{5713C74A-E205-408B-90F0-16E35761A435}"/>
    <cellStyle name="Normal 2 7 2 2 4 2" xfId="13648" xr:uid="{49A0435D-6B26-4557-A179-EE3D80207C9C}"/>
    <cellStyle name="Normal 2 7 2 2 5" xfId="10926" xr:uid="{A0E7D262-F6D1-4BDA-8DAF-D695B4C9FE4F}"/>
    <cellStyle name="Normal 2 7 2 3" xfId="3783" xr:uid="{00000000-0005-0000-0000-00005D120000}"/>
    <cellStyle name="Normal 2 7 2 3 2" xfId="4409" xr:uid="{00000000-0005-0000-0000-00005E120000}"/>
    <cellStyle name="Normal 2 7 2 3 2 2" xfId="7577" xr:uid="{00000000-0005-0000-0000-00005F120000}"/>
    <cellStyle name="Normal 2 7 2 3 2 2 2" xfId="10245" xr:uid="{705F8E12-18A8-45DA-B824-D68BA1CC8E72}"/>
    <cellStyle name="Normal 2 7 2 3 2 2 2 2" xfId="15635" xr:uid="{18AA28AF-C845-445C-9573-ED2CC68624EB}"/>
    <cellStyle name="Normal 2 7 2 3 2 2 3" xfId="12882" xr:uid="{65438FD2-261B-48CA-806C-A03395BB910B}"/>
    <cellStyle name="Normal 2 7 2 3 2 3" xfId="8914" xr:uid="{247E3639-4B48-48AB-9C5D-482F1973CF94}"/>
    <cellStyle name="Normal 2 7 2 3 2 3 2" xfId="14273" xr:uid="{0596CE35-B3D3-41FD-8F99-B73F3074038C}"/>
    <cellStyle name="Normal 2 7 2 3 2 4" xfId="11551" xr:uid="{C9C8039B-2699-44F9-AD53-E2EC90601E55}"/>
    <cellStyle name="Normal 2 7 2 3 3" xfId="6953" xr:uid="{00000000-0005-0000-0000-000060120000}"/>
    <cellStyle name="Normal 2 7 2 3 3 2" xfId="9621" xr:uid="{BE6A319F-6730-44D8-9FA9-FBDD4929D463}"/>
    <cellStyle name="Normal 2 7 2 3 3 2 2" xfId="15011" xr:uid="{F932E436-FD44-415B-9A27-5857283A6C3E}"/>
    <cellStyle name="Normal 2 7 2 3 3 3" xfId="12258" xr:uid="{8B318B78-4679-46F9-8943-9D20B1AD5416}"/>
    <cellStyle name="Normal 2 7 2 3 4" xfId="8290" xr:uid="{BF32F6FB-6873-4C7B-A4BE-F85853374FD2}"/>
    <cellStyle name="Normal 2 7 2 3 4 2" xfId="13649" xr:uid="{8201ED54-F5F4-4220-A73D-F47B0AA5A17E}"/>
    <cellStyle name="Normal 2 7 2 3 5" xfId="10927" xr:uid="{93F402B4-AB0D-4D70-BD6F-09C47FB143F2}"/>
    <cellStyle name="Normal 2 7 2 4" xfId="4407" xr:uid="{00000000-0005-0000-0000-000061120000}"/>
    <cellStyle name="Normal 2 7 2 4 2" xfId="7575" xr:uid="{00000000-0005-0000-0000-000062120000}"/>
    <cellStyle name="Normal 2 7 2 4 2 2" xfId="10243" xr:uid="{67D57A34-CF31-4EFE-8545-7D33C50AFA42}"/>
    <cellStyle name="Normal 2 7 2 4 2 2 2" xfId="15633" xr:uid="{B2B48B6A-2107-475D-8381-2AA2849F8BD9}"/>
    <cellStyle name="Normal 2 7 2 4 2 3" xfId="12880" xr:uid="{76815A41-296B-4603-B365-FE2A3AA6E970}"/>
    <cellStyle name="Normal 2 7 2 4 3" xfId="8912" xr:uid="{7E0BF573-ACF0-4133-9E15-2D71A12047BC}"/>
    <cellStyle name="Normal 2 7 2 4 3 2" xfId="14271" xr:uid="{7609B2FE-CA99-41EF-BEC9-034D7DAEAD9B}"/>
    <cellStyle name="Normal 2 7 2 4 4" xfId="11549" xr:uid="{F29FBF34-4119-4229-9ED6-295AEF2AA122}"/>
    <cellStyle name="Normal 2 7 2 5" xfId="6951" xr:uid="{00000000-0005-0000-0000-000063120000}"/>
    <cellStyle name="Normal 2 7 2 5 2" xfId="9619" xr:uid="{4A23C1B4-8874-4001-9798-634EA1D0CA30}"/>
    <cellStyle name="Normal 2 7 2 5 2 2" xfId="15009" xr:uid="{727AD6EF-189F-472D-A903-59925C84403B}"/>
    <cellStyle name="Normal 2 7 2 5 3" xfId="12256" xr:uid="{56EAA6DB-0177-4785-BFBA-5CC43B58675B}"/>
    <cellStyle name="Normal 2 7 2 6" xfId="8288" xr:uid="{71FB78AC-6263-4562-9888-E1F78B0711AE}"/>
    <cellStyle name="Normal 2 7 2 6 2" xfId="13647" xr:uid="{00CEDBB4-4D3A-4C0C-9780-32AEA17109E8}"/>
    <cellStyle name="Normal 2 7 2 7" xfId="10925" xr:uid="{A1A16362-0C52-4C2B-8791-A44D132AEAE8}"/>
    <cellStyle name="Normal 2 7 3" xfId="3784" xr:uid="{00000000-0005-0000-0000-000064120000}"/>
    <cellStyle name="Normal 2 7 3 2" xfId="4410" xr:uid="{00000000-0005-0000-0000-000065120000}"/>
    <cellStyle name="Normal 2 7 3 2 2" xfId="7578" xr:uid="{00000000-0005-0000-0000-000066120000}"/>
    <cellStyle name="Normal 2 7 3 2 2 2" xfId="10246" xr:uid="{76BA9351-B436-4C5E-9CFE-26800BA8CA97}"/>
    <cellStyle name="Normal 2 7 3 2 2 2 2" xfId="15636" xr:uid="{D3896BD8-9B78-424E-910F-CD6BFD28B83C}"/>
    <cellStyle name="Normal 2 7 3 2 2 3" xfId="12883" xr:uid="{D50D4AF1-CFF2-4EB9-93EA-D0B1BB9C3729}"/>
    <cellStyle name="Normal 2 7 3 2 3" xfId="8915" xr:uid="{5C987610-A533-4108-B285-5E4918DAEAD4}"/>
    <cellStyle name="Normal 2 7 3 2 3 2" xfId="14274" xr:uid="{502B1E12-3E44-4903-A0B6-5B3F9DEDCDBA}"/>
    <cellStyle name="Normal 2 7 3 2 4" xfId="11552" xr:uid="{102B30DB-00F6-4E4D-B7EF-DE6AE2B98AD2}"/>
    <cellStyle name="Normal 2 7 3 3" xfId="6954" xr:uid="{00000000-0005-0000-0000-000067120000}"/>
    <cellStyle name="Normal 2 7 3 3 2" xfId="9622" xr:uid="{A1257602-E59E-4DE7-9BB9-FCA695DAB9F5}"/>
    <cellStyle name="Normal 2 7 3 3 2 2" xfId="15012" xr:uid="{B19D6384-7378-489B-9CE5-83038FB12FB2}"/>
    <cellStyle name="Normal 2 7 3 3 3" xfId="12259" xr:uid="{0A20F46C-687A-461C-B36D-FA05AE3BA104}"/>
    <cellStyle name="Normal 2 7 3 4" xfId="8291" xr:uid="{4194E548-4602-4817-9D71-18B05B9C3D9F}"/>
    <cellStyle name="Normal 2 7 3 4 2" xfId="13650" xr:uid="{C91F5FFA-50A8-467D-8061-41630FFB337A}"/>
    <cellStyle name="Normal 2 7 3 5" xfId="10928" xr:uid="{C616C29D-85E7-4C5C-8288-8305DC4FF7EC}"/>
    <cellStyle name="Normal 2 7 4" xfId="3785" xr:uid="{00000000-0005-0000-0000-000068120000}"/>
    <cellStyle name="Normal 2 7 4 2" xfId="4411" xr:uid="{00000000-0005-0000-0000-000069120000}"/>
    <cellStyle name="Normal 2 7 4 2 2" xfId="7579" xr:uid="{00000000-0005-0000-0000-00006A120000}"/>
    <cellStyle name="Normal 2 7 4 2 2 2" xfId="10247" xr:uid="{968351AC-7C30-4D68-9858-9E788D1860E5}"/>
    <cellStyle name="Normal 2 7 4 2 2 2 2" xfId="15637" xr:uid="{B828C2CA-6CDC-46BB-BFD4-DB0BFA23A60B}"/>
    <cellStyle name="Normal 2 7 4 2 2 3" xfId="12884" xr:uid="{30FD1E7D-4C7B-4C34-964C-024ED667F629}"/>
    <cellStyle name="Normal 2 7 4 2 3" xfId="8916" xr:uid="{FC21025E-0453-4B46-8BE0-76765303C332}"/>
    <cellStyle name="Normal 2 7 4 2 3 2" xfId="14275" xr:uid="{E7607DE6-A00F-482D-A5DC-FCC9FF3EE119}"/>
    <cellStyle name="Normal 2 7 4 2 4" xfId="11553" xr:uid="{E141BEBE-C115-4604-AED0-682261F98E88}"/>
    <cellStyle name="Normal 2 7 4 3" xfId="6955" xr:uid="{00000000-0005-0000-0000-00006B120000}"/>
    <cellStyle name="Normal 2 7 4 3 2" xfId="9623" xr:uid="{E8141454-8B6E-46A4-AEAE-06A725B6E12E}"/>
    <cellStyle name="Normal 2 7 4 3 2 2" xfId="15013" xr:uid="{440B6F77-F1CF-4964-B367-5059CBEBED2E}"/>
    <cellStyle name="Normal 2 7 4 3 3" xfId="12260" xr:uid="{E4A3FE56-B050-45B2-A553-2ECF53B4E45A}"/>
    <cellStyle name="Normal 2 7 4 4" xfId="8292" xr:uid="{0C09D66D-AE3C-4D33-858F-D966F07F4E5E}"/>
    <cellStyle name="Normal 2 7 4 4 2" xfId="13651" xr:uid="{1811A798-11EA-4060-AE8B-7CE920601D75}"/>
    <cellStyle name="Normal 2 7 4 5" xfId="10929" xr:uid="{D603BA81-149D-4F60-B90B-36688784CD7A}"/>
    <cellStyle name="Normal 2 7 5" xfId="3786" xr:uid="{00000000-0005-0000-0000-00006C120000}"/>
    <cellStyle name="Normal 2 7 5 2" xfId="4412" xr:uid="{00000000-0005-0000-0000-00006D120000}"/>
    <cellStyle name="Normal 2 7 5 2 2" xfId="7580" xr:uid="{00000000-0005-0000-0000-00006E120000}"/>
    <cellStyle name="Normal 2 7 5 2 2 2" xfId="10248" xr:uid="{3846CB2D-2C6D-46EA-9980-D519CAFBED1C}"/>
    <cellStyle name="Normal 2 7 5 2 2 2 2" xfId="15638" xr:uid="{8178960C-B43A-4E6F-AA29-AA3B5A2FFC94}"/>
    <cellStyle name="Normal 2 7 5 2 2 3" xfId="12885" xr:uid="{36856487-0F7D-4095-B7FC-CDFBB47DB752}"/>
    <cellStyle name="Normal 2 7 5 2 3" xfId="8917" xr:uid="{1872F608-8842-459A-BCB5-EAAE38BB47F0}"/>
    <cellStyle name="Normal 2 7 5 2 3 2" xfId="14276" xr:uid="{1E06C981-B45A-4802-BFA4-ED43046C3572}"/>
    <cellStyle name="Normal 2 7 5 2 4" xfId="11554" xr:uid="{7FCC660B-71D0-4A30-98A5-F37E92A2FE55}"/>
    <cellStyle name="Normal 2 7 5 3" xfId="6956" xr:uid="{00000000-0005-0000-0000-00006F120000}"/>
    <cellStyle name="Normal 2 7 5 3 2" xfId="9624" xr:uid="{77244C75-63B2-4C44-8A21-BD77B735D6D5}"/>
    <cellStyle name="Normal 2 7 5 3 2 2" xfId="15014" xr:uid="{2DD67791-DC22-4529-A4F4-0558CE02A928}"/>
    <cellStyle name="Normal 2 7 5 3 3" xfId="12261" xr:uid="{3E6BBEF1-FA23-47C3-A4B8-B0D7055C1CA3}"/>
    <cellStyle name="Normal 2 7 5 4" xfId="8293" xr:uid="{36A6E931-1D37-4FC1-A3F2-2CBF17ACE0B8}"/>
    <cellStyle name="Normal 2 7 5 4 2" xfId="13652" xr:uid="{32344775-DCBE-4F33-93DF-36729596E174}"/>
    <cellStyle name="Normal 2 7 5 5" xfId="10930" xr:uid="{14D65A5A-E91E-4D11-9DA1-E91F217CBC19}"/>
    <cellStyle name="Normal 2 7 6" xfId="4406" xr:uid="{00000000-0005-0000-0000-000070120000}"/>
    <cellStyle name="Normal 2 7 6 2" xfId="7574" xr:uid="{00000000-0005-0000-0000-000071120000}"/>
    <cellStyle name="Normal 2 7 6 2 2" xfId="10242" xr:uid="{27598EC0-E89F-4964-8B86-4A8DF8123C36}"/>
    <cellStyle name="Normal 2 7 6 2 2 2" xfId="15632" xr:uid="{89B2A2B9-12AE-4DC0-8113-83C8B71A4A09}"/>
    <cellStyle name="Normal 2 7 6 2 3" xfId="12879" xr:uid="{745E7B3E-4EC8-4495-8381-6B8BE7DE7419}"/>
    <cellStyle name="Normal 2 7 6 3" xfId="8911" xr:uid="{706B7177-CD7F-41BF-9CFB-445A0C3A2A65}"/>
    <cellStyle name="Normal 2 7 6 3 2" xfId="14270" xr:uid="{7DF48D76-178C-4E16-957F-319A5E31E828}"/>
    <cellStyle name="Normal 2 7 6 4" xfId="11548" xr:uid="{E27DC9A6-BA11-4550-8E48-FC2ABC1BDB8C}"/>
    <cellStyle name="Normal 2 7 7" xfId="6950" xr:uid="{00000000-0005-0000-0000-000072120000}"/>
    <cellStyle name="Normal 2 7 7 2" xfId="9618" xr:uid="{6D146211-232A-4537-A070-C291AF33C230}"/>
    <cellStyle name="Normal 2 7 7 2 2" xfId="15008" xr:uid="{F9E37BF0-DC01-4072-8E67-F375328924D4}"/>
    <cellStyle name="Normal 2 7 7 3" xfId="12255" xr:uid="{5480C5C6-AA9E-477F-9EAF-54F2FD887459}"/>
    <cellStyle name="Normal 2 7 8" xfId="8287" xr:uid="{4AF74153-E365-471F-8D40-E2B60BBCAB9E}"/>
    <cellStyle name="Normal 2 7 8 2" xfId="13646" xr:uid="{35ABFC11-37CC-48FB-920D-B44E7F946841}"/>
    <cellStyle name="Normal 2 7 9" xfId="10924" xr:uid="{3E97C58F-915E-4264-A370-4B4BABFB0F7D}"/>
    <cellStyle name="Normal 2 8" xfId="3787" xr:uid="{00000000-0005-0000-0000-000073120000}"/>
    <cellStyle name="Normal 2 8 2" xfId="3788" xr:uid="{00000000-0005-0000-0000-000074120000}"/>
    <cellStyle name="Normal 2 8 2 2" xfId="3789" xr:uid="{00000000-0005-0000-0000-000075120000}"/>
    <cellStyle name="Normal 2 8 2 2 2" xfId="4415" xr:uid="{00000000-0005-0000-0000-000076120000}"/>
    <cellStyle name="Normal 2 8 2 2 2 2" xfId="7583" xr:uid="{00000000-0005-0000-0000-000077120000}"/>
    <cellStyle name="Normal 2 8 2 2 2 2 2" xfId="10251" xr:uid="{E76B057D-D3B6-4431-87E8-B2F477380616}"/>
    <cellStyle name="Normal 2 8 2 2 2 2 2 2" xfId="15641" xr:uid="{C0D6D77B-9070-4CAC-9635-A56B20023C48}"/>
    <cellStyle name="Normal 2 8 2 2 2 2 3" xfId="12888" xr:uid="{95C032FD-17F1-403D-B403-D1BBD56AED67}"/>
    <cellStyle name="Normal 2 8 2 2 2 3" xfId="8920" xr:uid="{88B5E4FD-78F8-4935-AA13-690699AE708B}"/>
    <cellStyle name="Normal 2 8 2 2 2 3 2" xfId="14279" xr:uid="{7C235AEA-5721-4F08-A96A-DDC0892C6E53}"/>
    <cellStyle name="Normal 2 8 2 2 2 4" xfId="11557" xr:uid="{4020C55F-8E6E-4936-B521-BEC5096CC1EA}"/>
    <cellStyle name="Normal 2 8 2 2 3" xfId="6959" xr:uid="{00000000-0005-0000-0000-000078120000}"/>
    <cellStyle name="Normal 2 8 2 2 3 2" xfId="9627" xr:uid="{93AF40C5-4FBE-43DE-8DE5-803A6CEA5A40}"/>
    <cellStyle name="Normal 2 8 2 2 3 2 2" xfId="15017" xr:uid="{FA03A7C8-AED3-4D1C-929E-58FB97A944D9}"/>
    <cellStyle name="Normal 2 8 2 2 3 3" xfId="12264" xr:uid="{C09CC4B2-FE20-4390-BE10-197D069C0410}"/>
    <cellStyle name="Normal 2 8 2 2 4" xfId="8296" xr:uid="{43BBA94A-4AC7-465E-8665-88A2CAF5DE0C}"/>
    <cellStyle name="Normal 2 8 2 2 4 2" xfId="13655" xr:uid="{C790E9C0-085D-4681-AD43-056AAFF5FDB6}"/>
    <cellStyle name="Normal 2 8 2 2 5" xfId="10933" xr:uid="{0ABE4BED-1D79-482B-A3B8-E45D6CE1CBAD}"/>
    <cellStyle name="Normal 2 8 2 3" xfId="3790" xr:uid="{00000000-0005-0000-0000-000079120000}"/>
    <cellStyle name="Normal 2 8 2 3 2" xfId="4416" xr:uid="{00000000-0005-0000-0000-00007A120000}"/>
    <cellStyle name="Normal 2 8 2 3 2 2" xfId="7584" xr:uid="{00000000-0005-0000-0000-00007B120000}"/>
    <cellStyle name="Normal 2 8 2 3 2 2 2" xfId="10252" xr:uid="{CA60E1AA-D6ED-4104-9FE0-66AD42C0203B}"/>
    <cellStyle name="Normal 2 8 2 3 2 2 2 2" xfId="15642" xr:uid="{5D094247-1303-45D6-8274-7C67F7960EA4}"/>
    <cellStyle name="Normal 2 8 2 3 2 2 3" xfId="12889" xr:uid="{C22F136F-8BDF-42E5-A1A0-DD91468DE716}"/>
    <cellStyle name="Normal 2 8 2 3 2 3" xfId="8921" xr:uid="{9368FF83-16DA-4EDA-8D3E-250679B315BC}"/>
    <cellStyle name="Normal 2 8 2 3 2 3 2" xfId="14280" xr:uid="{33420E51-1569-4627-AB94-E4272A9A6E87}"/>
    <cellStyle name="Normal 2 8 2 3 2 4" xfId="11558" xr:uid="{2043352C-AB26-4F0B-A10F-9F5EC1EC7B79}"/>
    <cellStyle name="Normal 2 8 2 3 3" xfId="6960" xr:uid="{00000000-0005-0000-0000-00007C120000}"/>
    <cellStyle name="Normal 2 8 2 3 3 2" xfId="9628" xr:uid="{19FA3AD0-D2BC-442A-A110-6AD29CA1E56D}"/>
    <cellStyle name="Normal 2 8 2 3 3 2 2" xfId="15018" xr:uid="{74E0C26E-E687-4D81-9E89-4D8104D2A2C0}"/>
    <cellStyle name="Normal 2 8 2 3 3 3" xfId="12265" xr:uid="{692EF1CE-90E2-4C18-B281-3FFE95509677}"/>
    <cellStyle name="Normal 2 8 2 3 4" xfId="8297" xr:uid="{6794BE65-7F9C-4161-B902-4159F59CAF79}"/>
    <cellStyle name="Normal 2 8 2 3 4 2" xfId="13656" xr:uid="{86B24FD0-7AC6-4D43-B5CA-B90FD69BFBE3}"/>
    <cellStyle name="Normal 2 8 2 3 5" xfId="10934" xr:uid="{8C626DAD-017B-4684-9F9F-79784D9D25D6}"/>
    <cellStyle name="Normal 2 8 2 4" xfId="4414" xr:uid="{00000000-0005-0000-0000-00007D120000}"/>
    <cellStyle name="Normal 2 8 2 4 2" xfId="7582" xr:uid="{00000000-0005-0000-0000-00007E120000}"/>
    <cellStyle name="Normal 2 8 2 4 2 2" xfId="10250" xr:uid="{ADDF2759-A7DD-44A8-A3C0-9739A19FD870}"/>
    <cellStyle name="Normal 2 8 2 4 2 2 2" xfId="15640" xr:uid="{F2CE7740-E7A3-4D93-AEC1-62C5C8CF7199}"/>
    <cellStyle name="Normal 2 8 2 4 2 3" xfId="12887" xr:uid="{AAA23598-DFCC-4CD7-866F-F22865CFC428}"/>
    <cellStyle name="Normal 2 8 2 4 3" xfId="8919" xr:uid="{999E616A-B0D5-4896-BDB6-DFE8A99B9111}"/>
    <cellStyle name="Normal 2 8 2 4 3 2" xfId="14278" xr:uid="{F86ED369-966B-4FCF-9D6B-B7CFA7A20382}"/>
    <cellStyle name="Normal 2 8 2 4 4" xfId="11556" xr:uid="{34F3C7E2-0F89-46A5-93F7-33C37138D3FE}"/>
    <cellStyle name="Normal 2 8 2 5" xfId="6958" xr:uid="{00000000-0005-0000-0000-00007F120000}"/>
    <cellStyle name="Normal 2 8 2 5 2" xfId="9626" xr:uid="{011FA947-347F-428A-933B-10CB2913BBEE}"/>
    <cellStyle name="Normal 2 8 2 5 2 2" xfId="15016" xr:uid="{443F0098-5605-46DD-85D5-7C97C3473722}"/>
    <cellStyle name="Normal 2 8 2 5 3" xfId="12263" xr:uid="{417B59B5-E201-48DF-9BA2-DC706B4C059E}"/>
    <cellStyle name="Normal 2 8 2 6" xfId="8295" xr:uid="{2697832D-8E71-4E68-833E-66EA85942C42}"/>
    <cellStyle name="Normal 2 8 2 6 2" xfId="13654" xr:uid="{4A7D0CE2-90F1-4FAA-9125-0DB6AFCB901D}"/>
    <cellStyle name="Normal 2 8 2 7" xfId="10932" xr:uid="{E829C80C-1FF8-40B0-9CAD-4BBC66CE9F63}"/>
    <cellStyle name="Normal 2 8 3" xfId="3791" xr:uid="{00000000-0005-0000-0000-000080120000}"/>
    <cellStyle name="Normal 2 8 3 2" xfId="4417" xr:uid="{00000000-0005-0000-0000-000081120000}"/>
    <cellStyle name="Normal 2 8 3 2 2" xfId="7585" xr:uid="{00000000-0005-0000-0000-000082120000}"/>
    <cellStyle name="Normal 2 8 3 2 2 2" xfId="10253" xr:uid="{6C5C39FE-9E53-44FE-96CF-C65EA057196E}"/>
    <cellStyle name="Normal 2 8 3 2 2 2 2" xfId="15643" xr:uid="{88404D25-41FF-498C-B270-1C7EC165EECD}"/>
    <cellStyle name="Normal 2 8 3 2 2 3" xfId="12890" xr:uid="{4E9A25C5-E5FF-4AE1-9466-E2F4FE821F58}"/>
    <cellStyle name="Normal 2 8 3 2 3" xfId="8922" xr:uid="{30B0E119-5171-4CAE-8683-81432E5E2592}"/>
    <cellStyle name="Normal 2 8 3 2 3 2" xfId="14281" xr:uid="{58AC34EA-41C7-4ED4-BED4-D4E7C71F1E0C}"/>
    <cellStyle name="Normal 2 8 3 2 4" xfId="11559" xr:uid="{60E200CC-7E17-4380-83E3-E378337A09FD}"/>
    <cellStyle name="Normal 2 8 3 3" xfId="6961" xr:uid="{00000000-0005-0000-0000-000083120000}"/>
    <cellStyle name="Normal 2 8 3 3 2" xfId="9629" xr:uid="{263226E3-65FC-430E-A651-81DE02F37809}"/>
    <cellStyle name="Normal 2 8 3 3 2 2" xfId="15019" xr:uid="{0B704800-DDED-4263-B41B-41C24361488D}"/>
    <cellStyle name="Normal 2 8 3 3 3" xfId="12266" xr:uid="{3D810AD1-546A-48B6-B6B0-BD064E0A1D63}"/>
    <cellStyle name="Normal 2 8 3 4" xfId="8298" xr:uid="{160DBB16-FE2E-4A3A-B9A1-691E5B46EADC}"/>
    <cellStyle name="Normal 2 8 3 4 2" xfId="13657" xr:uid="{8C110C25-E4AE-4B78-AB30-B8314BCBCB28}"/>
    <cellStyle name="Normal 2 8 3 5" xfId="10935" xr:uid="{F3D4BAB3-3E67-44B0-B837-B222C40FD0BB}"/>
    <cellStyle name="Normal 2 8 4" xfId="3792" xr:uid="{00000000-0005-0000-0000-000084120000}"/>
    <cellStyle name="Normal 2 8 4 2" xfId="4418" xr:uid="{00000000-0005-0000-0000-000085120000}"/>
    <cellStyle name="Normal 2 8 4 2 2" xfId="7586" xr:uid="{00000000-0005-0000-0000-000086120000}"/>
    <cellStyle name="Normal 2 8 4 2 2 2" xfId="10254" xr:uid="{7A4F1711-1017-46CE-ADD5-F05E57470BC0}"/>
    <cellStyle name="Normal 2 8 4 2 2 2 2" xfId="15644" xr:uid="{B5FEC9ED-1F28-440E-B1E0-3283DF9E0C34}"/>
    <cellStyle name="Normal 2 8 4 2 2 3" xfId="12891" xr:uid="{E955B06F-D779-4F13-9389-A84169641AA7}"/>
    <cellStyle name="Normal 2 8 4 2 3" xfId="8923" xr:uid="{25AD5CC8-5BE6-49CD-BCBC-E485F0F05EFC}"/>
    <cellStyle name="Normal 2 8 4 2 3 2" xfId="14282" xr:uid="{1EFC0659-92A7-446F-B76E-AFC130B38C08}"/>
    <cellStyle name="Normal 2 8 4 2 4" xfId="11560" xr:uid="{7AF2A056-5673-4616-B8CE-30442007FAB1}"/>
    <cellStyle name="Normal 2 8 4 3" xfId="6962" xr:uid="{00000000-0005-0000-0000-000087120000}"/>
    <cellStyle name="Normal 2 8 4 3 2" xfId="9630" xr:uid="{6282EEC4-BCA1-46DA-8173-28FBE8F47E47}"/>
    <cellStyle name="Normal 2 8 4 3 2 2" xfId="15020" xr:uid="{3B90CBD0-9044-4B9D-AB3E-9ED2D097A106}"/>
    <cellStyle name="Normal 2 8 4 3 3" xfId="12267" xr:uid="{A9563325-0373-4B41-AF2F-82955AD1ED47}"/>
    <cellStyle name="Normal 2 8 4 4" xfId="8299" xr:uid="{04C13D3C-B5B1-46B6-B0B4-960E9BF7EDA6}"/>
    <cellStyle name="Normal 2 8 4 4 2" xfId="13658" xr:uid="{37A46C8E-FB43-4844-B956-2BA7976DD3AB}"/>
    <cellStyle name="Normal 2 8 4 5" xfId="10936" xr:uid="{5EADBB09-DA32-4B1E-9980-AEB30ACEA5F3}"/>
    <cellStyle name="Normal 2 8 5" xfId="3793" xr:uid="{00000000-0005-0000-0000-000088120000}"/>
    <cellStyle name="Normal 2 8 5 2" xfId="4419" xr:uid="{00000000-0005-0000-0000-000089120000}"/>
    <cellStyle name="Normal 2 8 5 2 2" xfId="7587" xr:uid="{00000000-0005-0000-0000-00008A120000}"/>
    <cellStyle name="Normal 2 8 5 2 2 2" xfId="10255" xr:uid="{FCBCDBD5-31AC-4EFB-81F0-CEFCE041894D}"/>
    <cellStyle name="Normal 2 8 5 2 2 2 2" xfId="15645" xr:uid="{EA0C7DF7-0C12-4A8A-9EB2-FB5AB496E090}"/>
    <cellStyle name="Normal 2 8 5 2 2 3" xfId="12892" xr:uid="{3ABA9CF8-B079-4C50-9AA1-1DD60560237E}"/>
    <cellStyle name="Normal 2 8 5 2 3" xfId="8924" xr:uid="{D35B595B-23FD-4E63-ABAF-F39CB9655573}"/>
    <cellStyle name="Normal 2 8 5 2 3 2" xfId="14283" xr:uid="{6B8F388F-8990-4F16-AD07-EB845896B8DE}"/>
    <cellStyle name="Normal 2 8 5 2 4" xfId="11561" xr:uid="{D910444C-AD29-43CE-9A6F-687B269CD99C}"/>
    <cellStyle name="Normal 2 8 5 3" xfId="6963" xr:uid="{00000000-0005-0000-0000-00008B120000}"/>
    <cellStyle name="Normal 2 8 5 3 2" xfId="9631" xr:uid="{4B0D40A3-21CD-48A2-8E84-3D696053E38E}"/>
    <cellStyle name="Normal 2 8 5 3 2 2" xfId="15021" xr:uid="{DE1BF991-64D5-417D-8603-D1A0CA08DB84}"/>
    <cellStyle name="Normal 2 8 5 3 3" xfId="12268" xr:uid="{88A5CFE8-B373-4828-97A3-08E185C6D62D}"/>
    <cellStyle name="Normal 2 8 5 4" xfId="8300" xr:uid="{EF399673-B918-4496-BDF6-C0965B1C1C90}"/>
    <cellStyle name="Normal 2 8 5 4 2" xfId="13659" xr:uid="{C6A43C48-C4ED-4286-BB1D-56523B373A50}"/>
    <cellStyle name="Normal 2 8 5 5" xfId="10937" xr:uid="{BA7FC79A-6920-4375-B8C5-E362FD8A5CEF}"/>
    <cellStyle name="Normal 2 8 6" xfId="4413" xr:uid="{00000000-0005-0000-0000-00008C120000}"/>
    <cellStyle name="Normal 2 8 6 2" xfId="7581" xr:uid="{00000000-0005-0000-0000-00008D120000}"/>
    <cellStyle name="Normal 2 8 6 2 2" xfId="10249" xr:uid="{A7D3350A-F66E-444E-A199-574AD3EE2441}"/>
    <cellStyle name="Normal 2 8 6 2 2 2" xfId="15639" xr:uid="{DAF8663D-EB64-4E73-85E3-4BC08E0B2440}"/>
    <cellStyle name="Normal 2 8 6 2 3" xfId="12886" xr:uid="{5E93D382-4511-41DF-B611-07844BC2C255}"/>
    <cellStyle name="Normal 2 8 6 3" xfId="8918" xr:uid="{CBCFA0EE-8FB4-48A1-9D3D-5F95854DA891}"/>
    <cellStyle name="Normal 2 8 6 3 2" xfId="14277" xr:uid="{701AB66C-62EE-4D85-9684-EEBBAF056A9D}"/>
    <cellStyle name="Normal 2 8 6 4" xfId="11555" xr:uid="{97E2E92F-72DE-4353-8219-849DA1A88ECB}"/>
    <cellStyle name="Normal 2 8 7" xfId="6957" xr:uid="{00000000-0005-0000-0000-00008E120000}"/>
    <cellStyle name="Normal 2 8 7 2" xfId="9625" xr:uid="{EEA8C9C7-4EA7-4D1C-B300-0BDB91F7B2C0}"/>
    <cellStyle name="Normal 2 8 7 2 2" xfId="15015" xr:uid="{0F5DAE36-DF49-4478-AB0C-D5E79FA23F29}"/>
    <cellStyle name="Normal 2 8 7 3" xfId="12262" xr:uid="{825746F7-FA9A-469D-8AEF-8BBF65F28356}"/>
    <cellStyle name="Normal 2 8 8" xfId="8294" xr:uid="{52FA8019-5BF1-4DC9-BE3A-CE7DD006EB0B}"/>
    <cellStyle name="Normal 2 8 8 2" xfId="13653" xr:uid="{51EB18EB-5F21-4C07-8A87-7A6581DA24A6}"/>
    <cellStyle name="Normal 2 8 9" xfId="10931" xr:uid="{8185FF43-8DCC-4C03-A1AD-D20F54E65330}"/>
    <cellStyle name="Normal 2 9" xfId="3794" xr:uid="{00000000-0005-0000-0000-00008F120000}"/>
    <cellStyle name="Normal 2 9 2" xfId="3795" xr:uid="{00000000-0005-0000-0000-000090120000}"/>
    <cellStyle name="Normal 2 9 2 2" xfId="3796" xr:uid="{00000000-0005-0000-0000-000091120000}"/>
    <cellStyle name="Normal 2 9 2 2 2" xfId="4422" xr:uid="{00000000-0005-0000-0000-000092120000}"/>
    <cellStyle name="Normal 2 9 2 2 2 2" xfId="7590" xr:uid="{00000000-0005-0000-0000-000093120000}"/>
    <cellStyle name="Normal 2 9 2 2 2 2 2" xfId="10258" xr:uid="{D2385A84-7241-4BBE-909E-43AA8CC9DC30}"/>
    <cellStyle name="Normal 2 9 2 2 2 2 2 2" xfId="15648" xr:uid="{FAE12B26-C66A-4303-8895-8972E3F39764}"/>
    <cellStyle name="Normal 2 9 2 2 2 2 3" xfId="12895" xr:uid="{91056F4F-158E-424A-A2ED-2A1259130A53}"/>
    <cellStyle name="Normal 2 9 2 2 2 3" xfId="8927" xr:uid="{C6A238B0-1D43-49C0-B157-16EABC6DC4E0}"/>
    <cellStyle name="Normal 2 9 2 2 2 3 2" xfId="14286" xr:uid="{E4D93FA9-9421-459A-9283-85688E87F85B}"/>
    <cellStyle name="Normal 2 9 2 2 2 4" xfId="11564" xr:uid="{A158A893-4672-484D-8180-2F0EA52E706D}"/>
    <cellStyle name="Normal 2 9 2 2 3" xfId="6966" xr:uid="{00000000-0005-0000-0000-000094120000}"/>
    <cellStyle name="Normal 2 9 2 2 3 2" xfId="9634" xr:uid="{0EAD3666-7A1C-4D29-97DD-CC33EECDDC38}"/>
    <cellStyle name="Normal 2 9 2 2 3 2 2" xfId="15024" xr:uid="{8C9BC93E-E26A-4079-8AD3-4E44312E90BB}"/>
    <cellStyle name="Normal 2 9 2 2 3 3" xfId="12271" xr:uid="{36DC1544-ED14-4B0D-B304-A9320EF8A594}"/>
    <cellStyle name="Normal 2 9 2 2 4" xfId="8303" xr:uid="{3D7CECD4-1B04-4572-8905-C8C1C222A22C}"/>
    <cellStyle name="Normal 2 9 2 2 4 2" xfId="13662" xr:uid="{4F8ED6E0-F26C-4B9C-9076-DEED5A8A0FC9}"/>
    <cellStyle name="Normal 2 9 2 2 5" xfId="10940" xr:uid="{449AC035-B571-4FED-9C83-581B2CE8A719}"/>
    <cellStyle name="Normal 2 9 2 3" xfId="3797" xr:uid="{00000000-0005-0000-0000-000095120000}"/>
    <cellStyle name="Normal 2 9 2 3 2" xfId="4423" xr:uid="{00000000-0005-0000-0000-000096120000}"/>
    <cellStyle name="Normal 2 9 2 3 2 2" xfId="7591" xr:uid="{00000000-0005-0000-0000-000097120000}"/>
    <cellStyle name="Normal 2 9 2 3 2 2 2" xfId="10259" xr:uid="{15F17294-0A97-44B3-B555-712F376BF470}"/>
    <cellStyle name="Normal 2 9 2 3 2 2 2 2" xfId="15649" xr:uid="{8CDD3079-FEE8-44F6-9179-FBCE5582336E}"/>
    <cellStyle name="Normal 2 9 2 3 2 2 3" xfId="12896" xr:uid="{C12B54C7-DB33-4613-8B86-63AFB01C7299}"/>
    <cellStyle name="Normal 2 9 2 3 2 3" xfId="8928" xr:uid="{43C6668C-DD46-4050-8689-E4605FEBB58F}"/>
    <cellStyle name="Normal 2 9 2 3 2 3 2" xfId="14287" xr:uid="{5210EF60-C1EA-4522-9EA2-0CE75B40237C}"/>
    <cellStyle name="Normal 2 9 2 3 2 4" xfId="11565" xr:uid="{7C06DF37-D7EF-4258-9927-61398A5DB1A1}"/>
    <cellStyle name="Normal 2 9 2 3 3" xfId="6967" xr:uid="{00000000-0005-0000-0000-000098120000}"/>
    <cellStyle name="Normal 2 9 2 3 3 2" xfId="9635" xr:uid="{EA9BF34B-99FD-4A6F-BFFF-5E87276E2A6C}"/>
    <cellStyle name="Normal 2 9 2 3 3 2 2" xfId="15025" xr:uid="{5C484660-B09C-4650-A277-B6894F441462}"/>
    <cellStyle name="Normal 2 9 2 3 3 3" xfId="12272" xr:uid="{2055D253-D449-40C8-A58B-BB0FB089DDE8}"/>
    <cellStyle name="Normal 2 9 2 3 4" xfId="8304" xr:uid="{BBB8796F-0603-47C9-831D-2AF3773114A8}"/>
    <cellStyle name="Normal 2 9 2 3 4 2" xfId="13663" xr:uid="{0020FC0F-5C93-41CE-963C-AB4CE217C848}"/>
    <cellStyle name="Normal 2 9 2 3 5" xfId="10941" xr:uid="{7356710D-3665-420B-935A-2078D2607574}"/>
    <cellStyle name="Normal 2 9 2 4" xfId="4421" xr:uid="{00000000-0005-0000-0000-000099120000}"/>
    <cellStyle name="Normal 2 9 2 4 2" xfId="7589" xr:uid="{00000000-0005-0000-0000-00009A120000}"/>
    <cellStyle name="Normal 2 9 2 4 2 2" xfId="10257" xr:uid="{7113E886-3DD5-46C4-AFCD-7B477D641301}"/>
    <cellStyle name="Normal 2 9 2 4 2 2 2" xfId="15647" xr:uid="{A8B58B49-C000-4662-839A-4B190B56C5D5}"/>
    <cellStyle name="Normal 2 9 2 4 2 3" xfId="12894" xr:uid="{B77C892E-35F1-4EBE-9FEF-74C4A5590FE0}"/>
    <cellStyle name="Normal 2 9 2 4 3" xfId="8926" xr:uid="{3F09D35C-D363-497F-A530-12E74EEBCB77}"/>
    <cellStyle name="Normal 2 9 2 4 3 2" xfId="14285" xr:uid="{A8C71F11-6E8B-4468-B836-4BC099B61605}"/>
    <cellStyle name="Normal 2 9 2 4 4" xfId="11563" xr:uid="{418BFB14-9180-41BB-883B-1124BEBAB6E6}"/>
    <cellStyle name="Normal 2 9 2 5" xfId="6965" xr:uid="{00000000-0005-0000-0000-00009B120000}"/>
    <cellStyle name="Normal 2 9 2 5 2" xfId="9633" xr:uid="{1A60858C-F3F8-480F-9803-F119741435AA}"/>
    <cellStyle name="Normal 2 9 2 5 2 2" xfId="15023" xr:uid="{03686707-D555-4236-85AA-6C412BC74963}"/>
    <cellStyle name="Normal 2 9 2 5 3" xfId="12270" xr:uid="{3C683079-AA88-4FD8-9435-A8AC77B14D46}"/>
    <cellStyle name="Normal 2 9 2 6" xfId="8302" xr:uid="{C030CDA8-26DC-4931-8B5A-008B38A501AC}"/>
    <cellStyle name="Normal 2 9 2 6 2" xfId="13661" xr:uid="{142C446E-3F7B-4F99-B843-E7BFDE4C399E}"/>
    <cellStyle name="Normal 2 9 2 7" xfId="10939" xr:uid="{DD51AED3-81E5-49DB-8562-8CCB43890BE6}"/>
    <cellStyle name="Normal 2 9 3" xfId="3798" xr:uid="{00000000-0005-0000-0000-00009C120000}"/>
    <cellStyle name="Normal 2 9 3 2" xfId="4424" xr:uid="{00000000-0005-0000-0000-00009D120000}"/>
    <cellStyle name="Normal 2 9 3 2 2" xfId="7592" xr:uid="{00000000-0005-0000-0000-00009E120000}"/>
    <cellStyle name="Normal 2 9 3 2 2 2" xfId="10260" xr:uid="{1D4095FE-09AB-4760-BBDD-A721FC641BDF}"/>
    <cellStyle name="Normal 2 9 3 2 2 2 2" xfId="15650" xr:uid="{437C1F20-6F4F-4433-9063-3748BA724613}"/>
    <cellStyle name="Normal 2 9 3 2 2 3" xfId="12897" xr:uid="{EED7D5CF-50A8-40C1-8252-61F9D4387C73}"/>
    <cellStyle name="Normal 2 9 3 2 3" xfId="8929" xr:uid="{EC79B4F1-68AC-4322-ACF2-D513C7C692AA}"/>
    <cellStyle name="Normal 2 9 3 2 3 2" xfId="14288" xr:uid="{D8C0EBDF-15C4-4333-B33C-73DECABB6EFD}"/>
    <cellStyle name="Normal 2 9 3 2 4" xfId="11566" xr:uid="{A963445C-924E-41CA-B69A-1A73494B0D3A}"/>
    <cellStyle name="Normal 2 9 3 3" xfId="6968" xr:uid="{00000000-0005-0000-0000-00009F120000}"/>
    <cellStyle name="Normal 2 9 3 3 2" xfId="9636" xr:uid="{28BCC07D-C24C-408C-9C23-451E884A3A49}"/>
    <cellStyle name="Normal 2 9 3 3 2 2" xfId="15026" xr:uid="{480E1F2B-AD95-4FC5-B4C8-845D36DC6BB3}"/>
    <cellStyle name="Normal 2 9 3 3 3" xfId="12273" xr:uid="{624B0BF5-6DA5-4EBB-86C7-0E093AF0055A}"/>
    <cellStyle name="Normal 2 9 3 4" xfId="8305" xr:uid="{1761E027-9C10-4449-AA97-36CD5E082F84}"/>
    <cellStyle name="Normal 2 9 3 4 2" xfId="13664" xr:uid="{991ABEF3-E5E5-4D55-91AE-3CC878616A1B}"/>
    <cellStyle name="Normal 2 9 3 5" xfId="10942" xr:uid="{1DC76160-1A41-4FAE-B3D0-680F3B6008D0}"/>
    <cellStyle name="Normal 2 9 4" xfId="3799" xr:uid="{00000000-0005-0000-0000-0000A0120000}"/>
    <cellStyle name="Normal 2 9 4 2" xfId="4425" xr:uid="{00000000-0005-0000-0000-0000A1120000}"/>
    <cellStyle name="Normal 2 9 4 2 2" xfId="7593" xr:uid="{00000000-0005-0000-0000-0000A2120000}"/>
    <cellStyle name="Normal 2 9 4 2 2 2" xfId="10261" xr:uid="{FB971C41-4519-4A2A-B6ED-D9A01CE191EE}"/>
    <cellStyle name="Normal 2 9 4 2 2 2 2" xfId="15651" xr:uid="{F38AD250-C519-42C8-B141-0F28725E49A8}"/>
    <cellStyle name="Normal 2 9 4 2 2 3" xfId="12898" xr:uid="{755D8534-62AD-4215-8AD8-28DE0A612D94}"/>
    <cellStyle name="Normal 2 9 4 2 3" xfId="8930" xr:uid="{CFA2DAE6-A5CE-470D-AAD1-EB066D6E9CC4}"/>
    <cellStyle name="Normal 2 9 4 2 3 2" xfId="14289" xr:uid="{54488026-B869-488E-9C9C-E71B73431B80}"/>
    <cellStyle name="Normal 2 9 4 2 4" xfId="11567" xr:uid="{E699E4F5-9916-491F-91B2-7360028C7263}"/>
    <cellStyle name="Normal 2 9 4 3" xfId="6969" xr:uid="{00000000-0005-0000-0000-0000A3120000}"/>
    <cellStyle name="Normal 2 9 4 3 2" xfId="9637" xr:uid="{06B9DC58-4247-4371-8F41-964B3AF53FE1}"/>
    <cellStyle name="Normal 2 9 4 3 2 2" xfId="15027" xr:uid="{9AAEE182-A510-45A1-8686-4995F36CF5BF}"/>
    <cellStyle name="Normal 2 9 4 3 3" xfId="12274" xr:uid="{CE5B9384-A97B-481B-AAC9-84B3E4AC9D1F}"/>
    <cellStyle name="Normal 2 9 4 4" xfId="8306" xr:uid="{28ABB1FD-0A28-40D1-BDF4-59823B9CBAE2}"/>
    <cellStyle name="Normal 2 9 4 4 2" xfId="13665" xr:uid="{79B95AF2-B2DF-4FB9-AF30-FCB61F3BFC7D}"/>
    <cellStyle name="Normal 2 9 4 5" xfId="10943" xr:uid="{AB707EF4-438C-4B28-B906-77537858F0D2}"/>
    <cellStyle name="Normal 2 9 5" xfId="4420" xr:uid="{00000000-0005-0000-0000-0000A4120000}"/>
    <cellStyle name="Normal 2 9 5 2" xfId="7588" xr:uid="{00000000-0005-0000-0000-0000A5120000}"/>
    <cellStyle name="Normal 2 9 5 2 2" xfId="10256" xr:uid="{74A914B7-30AD-4FB0-BD87-0A8446326BB7}"/>
    <cellStyle name="Normal 2 9 5 2 2 2" xfId="15646" xr:uid="{F2C41C61-D706-481B-A14B-9472B0760962}"/>
    <cellStyle name="Normal 2 9 5 2 3" xfId="12893" xr:uid="{A9BE8336-5852-431F-B8D7-D7B08B0089A8}"/>
    <cellStyle name="Normal 2 9 5 3" xfId="8925" xr:uid="{B6C6B23A-E7F3-4096-9351-60F9A033AC34}"/>
    <cellStyle name="Normal 2 9 5 3 2" xfId="14284" xr:uid="{054D85DE-AD52-4BDB-B3B9-DD76F47E1946}"/>
    <cellStyle name="Normal 2 9 5 4" xfId="11562" xr:uid="{0F90546B-C311-4FBF-BA43-C1C5C050BD20}"/>
    <cellStyle name="Normal 2 9 6" xfId="6964" xr:uid="{00000000-0005-0000-0000-0000A6120000}"/>
    <cellStyle name="Normal 2 9 6 2" xfId="9632" xr:uid="{546C4978-FAB3-408D-8109-4945E4ECDA0D}"/>
    <cellStyle name="Normal 2 9 6 2 2" xfId="15022" xr:uid="{5611C61D-1E98-4633-8952-4D19FF19E675}"/>
    <cellStyle name="Normal 2 9 6 3" xfId="12269" xr:uid="{C117C169-85CF-49CA-A788-AEFEB999AD5E}"/>
    <cellStyle name="Normal 2 9 7" xfId="8301" xr:uid="{674EEB81-CFA4-4EFA-B031-FA70351F83C9}"/>
    <cellStyle name="Normal 2 9 7 2" xfId="13660" xr:uid="{018069FA-E0B4-4357-B91E-6A4464D89829}"/>
    <cellStyle name="Normal 2 9 8" xfId="10938" xr:uid="{82442E86-E183-48FD-9E46-46668DF8EF45}"/>
    <cellStyle name="Normal 20" xfId="3800" xr:uid="{00000000-0005-0000-0000-0000A7120000}"/>
    <cellStyle name="Normal 20 2" xfId="4426" xr:uid="{00000000-0005-0000-0000-0000A8120000}"/>
    <cellStyle name="Normal 20 2 2" xfId="7594" xr:uid="{00000000-0005-0000-0000-0000A9120000}"/>
    <cellStyle name="Normal 20 2 2 2" xfId="10262" xr:uid="{E8902208-A57C-4675-BADB-EF43702FD7B8}"/>
    <cellStyle name="Normal 20 2 2 2 2" xfId="15652" xr:uid="{44BBAB4B-316B-4303-B1C5-89C4C738EBFA}"/>
    <cellStyle name="Normal 20 2 2 3" xfId="12899" xr:uid="{42FC867F-329E-410F-95A6-7BFA5D2A481A}"/>
    <cellStyle name="Normal 20 2 3" xfId="8931" xr:uid="{976BE411-E9D3-4F0F-8E33-B48541554360}"/>
    <cellStyle name="Normal 20 2 3 2" xfId="14290" xr:uid="{09101DED-19A2-4C37-AE39-53DA282FE12C}"/>
    <cellStyle name="Normal 20 2 4" xfId="11568" xr:uid="{EAD5D927-CBD4-43F3-8DBC-03D8FE8514E6}"/>
    <cellStyle name="Normal 20 3" xfId="6970" xr:uid="{00000000-0005-0000-0000-0000AA120000}"/>
    <cellStyle name="Normal 20 3 2" xfId="9638" xr:uid="{75148BA2-3346-4F78-BA24-E824C1D474AC}"/>
    <cellStyle name="Normal 20 3 2 2" xfId="15028" xr:uid="{6829D41A-9D6B-4804-B2B3-D9B1CE68C0B7}"/>
    <cellStyle name="Normal 20 3 3" xfId="12275" xr:uid="{03F75E9B-B338-4786-8E0C-F330D700AA3F}"/>
    <cellStyle name="Normal 20 4" xfId="8307" xr:uid="{CB0B29D6-2986-411C-89B8-2FBD7D48811C}"/>
    <cellStyle name="Normal 20 4 2" xfId="13666" xr:uid="{327BC041-78A8-46EB-8F4B-7BA990F7B774}"/>
    <cellStyle name="Normal 20 5" xfId="10944" xr:uid="{8C797465-4385-49FA-A865-014A8D7DB1F5}"/>
    <cellStyle name="Normal 21" xfId="3801" xr:uid="{00000000-0005-0000-0000-0000AB120000}"/>
    <cellStyle name="Normal 21 2" xfId="4427" xr:uid="{00000000-0005-0000-0000-0000AC120000}"/>
    <cellStyle name="Normal 21 2 2" xfId="7595" xr:uid="{00000000-0005-0000-0000-0000AD120000}"/>
    <cellStyle name="Normal 21 2 2 2" xfId="10263" xr:uid="{BA76BE00-28CB-4177-964E-A27BA3EFAD99}"/>
    <cellStyle name="Normal 21 2 2 2 2" xfId="15653" xr:uid="{4993F102-E976-48C6-B90E-96E6FFB25B96}"/>
    <cellStyle name="Normal 21 2 2 3" xfId="12900" xr:uid="{2D065CB0-CF58-4D47-BE10-9AFA377DBB3F}"/>
    <cellStyle name="Normal 21 2 3" xfId="8932" xr:uid="{838E6911-617A-4EB8-9E43-F111913BC79D}"/>
    <cellStyle name="Normal 21 2 3 2" xfId="14291" xr:uid="{0C9574AE-0E07-45B2-B1D8-5A148BE465CA}"/>
    <cellStyle name="Normal 21 2 4" xfId="11569" xr:uid="{27C4BC17-4A1D-4184-89F1-E551B5813874}"/>
    <cellStyle name="Normal 21 3" xfId="6971" xr:uid="{00000000-0005-0000-0000-0000AE120000}"/>
    <cellStyle name="Normal 21 3 2" xfId="9639" xr:uid="{024D2432-C33B-4682-8C8A-E8F90DE3299B}"/>
    <cellStyle name="Normal 21 3 2 2" xfId="15029" xr:uid="{9514E8FE-B2C8-4BB5-9AB2-AA3208AA9902}"/>
    <cellStyle name="Normal 21 3 3" xfId="12276" xr:uid="{788E5A4F-982B-45FA-9DE4-EE81A9A9C6DF}"/>
    <cellStyle name="Normal 21 4" xfId="8308" xr:uid="{6A9A0156-0E2A-44A8-8D99-88BCE947D4EE}"/>
    <cellStyle name="Normal 21 4 2" xfId="13667" xr:uid="{4EDBB5AD-4F05-4BAE-8C92-CCCDC33A0695}"/>
    <cellStyle name="Normal 21 5" xfId="10945" xr:uid="{EF89195A-51E8-4DC3-A7A0-BBC227EE1460}"/>
    <cellStyle name="Normal 22" xfId="3802" xr:uid="{00000000-0005-0000-0000-0000AF120000}"/>
    <cellStyle name="Normal 22 2" xfId="4428" xr:uid="{00000000-0005-0000-0000-0000B0120000}"/>
    <cellStyle name="Normal 22 2 2" xfId="7596" xr:uid="{00000000-0005-0000-0000-0000B1120000}"/>
    <cellStyle name="Normal 22 2 2 2" xfId="10264" xr:uid="{14C602C9-02D0-4AA6-AD06-6F73BB6F4322}"/>
    <cellStyle name="Normal 22 2 2 2 2" xfId="15654" xr:uid="{21F04E08-B0F7-4CDE-B52F-99232F132D47}"/>
    <cellStyle name="Normal 22 2 2 3" xfId="12901" xr:uid="{33006C66-DC68-49E4-B6A2-D78AF30F86B8}"/>
    <cellStyle name="Normal 22 2 3" xfId="8933" xr:uid="{62FFFCF6-AED1-47A4-B2E7-2A16B1D92748}"/>
    <cellStyle name="Normal 22 2 3 2" xfId="14292" xr:uid="{52EFE7D3-203D-4C05-8F59-2BA3D6EDBEDA}"/>
    <cellStyle name="Normal 22 2 4" xfId="11570" xr:uid="{000E3853-9E51-4613-B4F4-0B60295C5C07}"/>
    <cellStyle name="Normal 22 3" xfId="6972" xr:uid="{00000000-0005-0000-0000-0000B2120000}"/>
    <cellStyle name="Normal 22 3 2" xfId="9640" xr:uid="{6AE8ED50-6A81-4590-BB72-065D37643D0B}"/>
    <cellStyle name="Normal 22 3 2 2" xfId="15030" xr:uid="{2943A073-0634-4BCD-8E21-FBAD1242ECF3}"/>
    <cellStyle name="Normal 22 3 3" xfId="12277" xr:uid="{FDE5B70A-59A6-4A9C-A4EA-78C4CF95DA1E}"/>
    <cellStyle name="Normal 22 4" xfId="8309" xr:uid="{1E2002FD-B251-4DEC-966B-B32F97395AD2}"/>
    <cellStyle name="Normal 22 4 2" xfId="13668" xr:uid="{3977496E-359E-4BCB-87D7-657CD92E376C}"/>
    <cellStyle name="Normal 22 5" xfId="10946" xr:uid="{BC6D9021-BAED-4D0B-85E1-E877AD392FA6}"/>
    <cellStyle name="Normal 23" xfId="3515" xr:uid="{00000000-0005-0000-0000-0000B3120000}"/>
    <cellStyle name="Normal 23 2" xfId="4156" xr:uid="{00000000-0005-0000-0000-0000B4120000}"/>
    <cellStyle name="Normal 23 2 2" xfId="7324" xr:uid="{00000000-0005-0000-0000-0000B5120000}"/>
    <cellStyle name="Normal 23 2 2 2" xfId="9992" xr:uid="{DDD3AE58-B8D1-450D-B1FE-AFB174DF088A}"/>
    <cellStyle name="Normal 23 2 2 2 2" xfId="15382" xr:uid="{0E2E3F2F-D765-4DE5-9B6F-24266B2F44AC}"/>
    <cellStyle name="Normal 23 2 2 3" xfId="12629" xr:uid="{06D1ABB8-9C36-4E4D-9520-99CB44439B6A}"/>
    <cellStyle name="Normal 23 2 3" xfId="8661" xr:uid="{337E83AD-E479-4373-96D3-9E0810742FBC}"/>
    <cellStyle name="Normal 23 2 3 2" xfId="14020" xr:uid="{3D07175B-BA91-4782-8B39-3A8B3AA07F8D}"/>
    <cellStyle name="Normal 23 2 4" xfId="11298" xr:uid="{5769DD32-8177-41E6-A724-EA0A9C04F158}"/>
    <cellStyle name="Normal 23 3" xfId="6713" xr:uid="{00000000-0005-0000-0000-0000B6120000}"/>
    <cellStyle name="Normal 23 3 2" xfId="9381" xr:uid="{C40349C1-1725-4AF0-96E7-0B7529038B4C}"/>
    <cellStyle name="Normal 23 3 2 2" xfId="14771" xr:uid="{2449D521-D8A1-4592-95E5-CEE398886713}"/>
    <cellStyle name="Normal 23 3 3" xfId="12018" xr:uid="{3D5AF49D-5430-4328-A9B8-B2D2C4FF7259}"/>
    <cellStyle name="Normal 23 4" xfId="8045" xr:uid="{1F2AC88B-6553-40A9-A6DB-CD6E98C86276}"/>
    <cellStyle name="Normal 23 4 2" xfId="15955" xr:uid="{7B2E86A7-EF0D-4254-9AF3-D104177779D0}"/>
    <cellStyle name="Normal 23 5" xfId="13404" xr:uid="{51AB526C-E7D6-4AE7-B679-50B2BFFA1A02}"/>
    <cellStyle name="Normal 23 6" xfId="10687" xr:uid="{F2D75448-24DF-4495-B204-B990AE115457}"/>
    <cellStyle name="Normal 24" xfId="4728" xr:uid="{00000000-0005-0000-0000-0000B7120000}"/>
    <cellStyle name="Normal 25" xfId="4731" xr:uid="{00000000-0005-0000-0000-0000B8120000}"/>
    <cellStyle name="Normal 26" xfId="4732" xr:uid="{00000000-0005-0000-0000-0000B9120000}"/>
    <cellStyle name="Normal 27" xfId="4733" xr:uid="{00000000-0005-0000-0000-0000BA120000}"/>
    <cellStyle name="Normal 28" xfId="4734" xr:uid="{00000000-0005-0000-0000-0000BB120000}"/>
    <cellStyle name="Normal 29" xfId="4735" xr:uid="{00000000-0005-0000-0000-0000BC120000}"/>
    <cellStyle name="Normal 3" xfId="982" xr:uid="{00000000-0005-0000-0000-0000BD120000}"/>
    <cellStyle name="Normal 3 10" xfId="3804" xr:uid="{00000000-0005-0000-0000-0000BE120000}"/>
    <cellStyle name="Normal 3 10 2" xfId="3805" xr:uid="{00000000-0005-0000-0000-0000BF120000}"/>
    <cellStyle name="Normal 3 10 2 2" xfId="4431" xr:uid="{00000000-0005-0000-0000-0000C0120000}"/>
    <cellStyle name="Normal 3 10 2 2 2" xfId="7599" xr:uid="{00000000-0005-0000-0000-0000C1120000}"/>
    <cellStyle name="Normal 3 10 2 2 2 2" xfId="10267" xr:uid="{A0538B90-A2CA-45CF-B8DC-8B359C905DEC}"/>
    <cellStyle name="Normal 3 10 2 2 2 2 2" xfId="15657" xr:uid="{3D40F47D-F14D-4546-9A17-472FF0057DE9}"/>
    <cellStyle name="Normal 3 10 2 2 2 3" xfId="12904" xr:uid="{D39AA526-5B3F-4DF7-A722-7611C59DD6C6}"/>
    <cellStyle name="Normal 3 10 2 2 3" xfId="8936" xr:uid="{B3080A0B-D5A8-465E-9F3E-0215D5AAE665}"/>
    <cellStyle name="Normal 3 10 2 2 3 2" xfId="14295" xr:uid="{418A9A65-580D-4F36-AC9F-DBD17D4B3092}"/>
    <cellStyle name="Normal 3 10 2 2 4" xfId="11573" xr:uid="{EB880F57-18A7-4C2E-B431-EF59F9240239}"/>
    <cellStyle name="Normal 3 10 2 3" xfId="6975" xr:uid="{00000000-0005-0000-0000-0000C2120000}"/>
    <cellStyle name="Normal 3 10 2 3 2" xfId="9643" xr:uid="{B627570A-FB1D-430A-9729-863359337DC2}"/>
    <cellStyle name="Normal 3 10 2 3 2 2" xfId="15033" xr:uid="{CEF7FB6A-A635-4929-92B8-E621117E99AB}"/>
    <cellStyle name="Normal 3 10 2 3 3" xfId="12280" xr:uid="{2C8719E8-A323-4A5A-9497-E4BDD3006AC6}"/>
    <cellStyle name="Normal 3 10 2 4" xfId="8312" xr:uid="{945CA9F5-0E76-4980-9154-7968F81ACAF6}"/>
    <cellStyle name="Normal 3 10 2 4 2" xfId="13671" xr:uid="{319FEAD4-4D6E-467A-919C-708B7B3C553A}"/>
    <cellStyle name="Normal 3 10 2 5" xfId="10949" xr:uid="{B91C8133-DC8C-4299-AE05-3968243A01C8}"/>
    <cellStyle name="Normal 3 10 3" xfId="4430" xr:uid="{00000000-0005-0000-0000-0000C3120000}"/>
    <cellStyle name="Normal 3 10 3 2" xfId="7598" xr:uid="{00000000-0005-0000-0000-0000C4120000}"/>
    <cellStyle name="Normal 3 10 3 2 2" xfId="10266" xr:uid="{EBE114A7-4216-4675-8DCE-58CD2D780C13}"/>
    <cellStyle name="Normal 3 10 3 2 2 2" xfId="15656" xr:uid="{2204C85B-626F-4BB4-9395-0DF143938CD5}"/>
    <cellStyle name="Normal 3 10 3 2 3" xfId="12903" xr:uid="{71DA6C42-65EF-4280-8650-0A204099955D}"/>
    <cellStyle name="Normal 3 10 3 3" xfId="8935" xr:uid="{B2219A86-62A6-48CC-9C90-AC5C187B7813}"/>
    <cellStyle name="Normal 3 10 3 3 2" xfId="14294" xr:uid="{96D7680E-EFE6-44FE-8B38-0289DCAF878F}"/>
    <cellStyle name="Normal 3 10 3 4" xfId="11572" xr:uid="{A4D8991E-EE32-4F03-BEC2-3872A852D009}"/>
    <cellStyle name="Normal 3 10 4" xfId="6974" xr:uid="{00000000-0005-0000-0000-0000C5120000}"/>
    <cellStyle name="Normal 3 10 4 2" xfId="9642" xr:uid="{207AB713-00BD-4628-9ED9-9657A41A03B7}"/>
    <cellStyle name="Normal 3 10 4 2 2" xfId="15032" xr:uid="{B574DE94-6A43-49FF-9DBD-B0DB7297DC55}"/>
    <cellStyle name="Normal 3 10 4 3" xfId="12279" xr:uid="{7B548674-05EB-49A2-946B-58B17670A39E}"/>
    <cellStyle name="Normal 3 10 5" xfId="8311" xr:uid="{E742CE6A-9149-4210-A47A-59C26C2B9A6E}"/>
    <cellStyle name="Normal 3 10 5 2" xfId="13670" xr:uid="{1055135C-B078-41DE-887C-35D92E243775}"/>
    <cellStyle name="Normal 3 10 6" xfId="10948" xr:uid="{FA00A8C7-05C5-4868-A643-7014F9B66275}"/>
    <cellStyle name="Normal 3 11" xfId="3806" xr:uid="{00000000-0005-0000-0000-0000C6120000}"/>
    <cellStyle name="Normal 3 11 2" xfId="4432" xr:uid="{00000000-0005-0000-0000-0000C7120000}"/>
    <cellStyle name="Normal 3 11 2 2" xfId="7600" xr:uid="{00000000-0005-0000-0000-0000C8120000}"/>
    <cellStyle name="Normal 3 11 2 2 2" xfId="10268" xr:uid="{BA7241E8-F9D5-4811-938C-FEBE5A6A5B33}"/>
    <cellStyle name="Normal 3 11 2 2 2 2" xfId="15658" xr:uid="{BEC5715C-7DEE-4A0D-B556-568D461A0B98}"/>
    <cellStyle name="Normal 3 11 2 2 3" xfId="12905" xr:uid="{504130BC-D408-4950-9A8D-61CFA4C55A94}"/>
    <cellStyle name="Normal 3 11 2 3" xfId="8937" xr:uid="{892D1D10-AAEC-49DB-AB79-7589B3C56721}"/>
    <cellStyle name="Normal 3 11 2 3 2" xfId="14296" xr:uid="{B44492C8-BB2D-4E85-ABC3-5C4A26C41AD9}"/>
    <cellStyle name="Normal 3 11 2 4" xfId="11574" xr:uid="{6B9CF7DA-E71E-4017-99FD-0EE02D45821B}"/>
    <cellStyle name="Normal 3 11 3" xfId="6976" xr:uid="{00000000-0005-0000-0000-0000C9120000}"/>
    <cellStyle name="Normal 3 11 3 2" xfId="9644" xr:uid="{FFABB8BF-D4FE-4818-962F-89E429F5337C}"/>
    <cellStyle name="Normal 3 11 3 2 2" xfId="15034" xr:uid="{4F058760-64E6-4D62-9646-327ADE7DAA41}"/>
    <cellStyle name="Normal 3 11 3 3" xfId="12281" xr:uid="{61440657-37F5-4E42-82EE-1F06B9715F24}"/>
    <cellStyle name="Normal 3 11 4" xfId="8313" xr:uid="{B1B5E89C-85D4-4E00-8106-09A75CD0AE39}"/>
    <cellStyle name="Normal 3 11 4 2" xfId="13672" xr:uid="{98059F9C-CD1A-41FC-BFC0-7579B66969DA}"/>
    <cellStyle name="Normal 3 11 5" xfId="10950" xr:uid="{435C48FB-549D-4276-A12B-1A95485C1352}"/>
    <cellStyle name="Normal 3 12" xfId="3807" xr:uid="{00000000-0005-0000-0000-0000CA120000}"/>
    <cellStyle name="Normal 3 12 2" xfId="4433" xr:uid="{00000000-0005-0000-0000-0000CB120000}"/>
    <cellStyle name="Normal 3 12 2 2" xfId="7601" xr:uid="{00000000-0005-0000-0000-0000CC120000}"/>
    <cellStyle name="Normal 3 12 2 2 2" xfId="10269" xr:uid="{25FB1E05-A437-42E1-9A55-84DE98D90E3E}"/>
    <cellStyle name="Normal 3 12 2 2 2 2" xfId="15659" xr:uid="{37C6F23A-1561-4E41-82D4-55A13D959351}"/>
    <cellStyle name="Normal 3 12 2 2 3" xfId="12906" xr:uid="{8F27399F-EF69-4A70-94CF-13DD4D943C39}"/>
    <cellStyle name="Normal 3 12 2 3" xfId="8938" xr:uid="{1D7648D9-F94F-4EB2-8B63-CCDEE0148BF3}"/>
    <cellStyle name="Normal 3 12 2 3 2" xfId="14297" xr:uid="{E1F205CD-D9E0-4F39-B0A1-4D5FCFB4005A}"/>
    <cellStyle name="Normal 3 12 2 4" xfId="11575" xr:uid="{498B6625-5D88-44CE-8EEA-697BB4849A09}"/>
    <cellStyle name="Normal 3 12 3" xfId="6977" xr:uid="{00000000-0005-0000-0000-0000CD120000}"/>
    <cellStyle name="Normal 3 12 3 2" xfId="9645" xr:uid="{79B695A2-BB9E-487A-93F7-37693B489AB5}"/>
    <cellStyle name="Normal 3 12 3 2 2" xfId="15035" xr:uid="{C966DD88-F9A0-4171-9AF2-92801DC998FD}"/>
    <cellStyle name="Normal 3 12 3 3" xfId="12282" xr:uid="{6EC3DB28-E8DF-4371-A70E-835AAB5760A6}"/>
    <cellStyle name="Normal 3 12 4" xfId="8314" xr:uid="{B127812A-5C58-4471-84DC-7F640BA36283}"/>
    <cellStyle name="Normal 3 12 4 2" xfId="13673" xr:uid="{B412AF0C-D80D-46B9-A44F-E64380D15D0F}"/>
    <cellStyle name="Normal 3 12 5" xfId="10951" xr:uid="{7E2A2BFA-ED92-485E-A1B5-1AA9EFFA9C90}"/>
    <cellStyle name="Normal 3 13" xfId="3808" xr:uid="{00000000-0005-0000-0000-0000CE120000}"/>
    <cellStyle name="Normal 3 13 2" xfId="4434" xr:uid="{00000000-0005-0000-0000-0000CF120000}"/>
    <cellStyle name="Normal 3 13 2 2" xfId="7602" xr:uid="{00000000-0005-0000-0000-0000D0120000}"/>
    <cellStyle name="Normal 3 13 2 2 2" xfId="10270" xr:uid="{FBBB475D-3FC1-48E6-99F2-417689BC0BB8}"/>
    <cellStyle name="Normal 3 13 2 2 2 2" xfId="15660" xr:uid="{3F83CB0C-2D4B-4B81-B6B7-413EEA89A824}"/>
    <cellStyle name="Normal 3 13 2 2 3" xfId="12907" xr:uid="{D38C49ED-2AED-4A06-91D7-6659FBCADC26}"/>
    <cellStyle name="Normal 3 13 2 3" xfId="8939" xr:uid="{51093B58-ED7E-4348-8154-904083654457}"/>
    <cellStyle name="Normal 3 13 2 3 2" xfId="14298" xr:uid="{FAEE7F5C-87B3-4C50-9BC8-36FB686196AB}"/>
    <cellStyle name="Normal 3 13 2 4" xfId="11576" xr:uid="{9B971756-D319-4ABC-8003-BF29F7708D11}"/>
    <cellStyle name="Normal 3 13 3" xfId="6978" xr:uid="{00000000-0005-0000-0000-0000D1120000}"/>
    <cellStyle name="Normal 3 13 3 2" xfId="9646" xr:uid="{3E07C646-F0B3-498C-ADA0-6BADB94938AB}"/>
    <cellStyle name="Normal 3 13 3 2 2" xfId="15036" xr:uid="{2071B994-18E3-441D-B66A-19D035ADDBE5}"/>
    <cellStyle name="Normal 3 13 3 3" xfId="12283" xr:uid="{352151DF-641B-4CBA-860A-A7DC6477C997}"/>
    <cellStyle name="Normal 3 13 4" xfId="8315" xr:uid="{50287E2F-1FB0-4CF6-8B4A-6B6A714862EC}"/>
    <cellStyle name="Normal 3 13 4 2" xfId="13674" xr:uid="{927F8137-E73F-4ACF-B9EE-01EE9B20FD91}"/>
    <cellStyle name="Normal 3 13 5" xfId="10952" xr:uid="{00357DC5-CB9E-4FB0-ABD5-DAF05B4082D3}"/>
    <cellStyle name="Normal 3 14" xfId="3803" xr:uid="{00000000-0005-0000-0000-0000D2120000}"/>
    <cellStyle name="Normal 3 14 2" xfId="4429" xr:uid="{00000000-0005-0000-0000-0000D3120000}"/>
    <cellStyle name="Normal 3 14 2 2" xfId="7597" xr:uid="{00000000-0005-0000-0000-0000D4120000}"/>
    <cellStyle name="Normal 3 14 2 2 2" xfId="10265" xr:uid="{83E2F8F2-B100-4BDC-BD0D-149BA6951C7A}"/>
    <cellStyle name="Normal 3 14 2 2 2 2" xfId="15655" xr:uid="{FF9FE866-9A4A-419E-AD94-CCCF87BCDC74}"/>
    <cellStyle name="Normal 3 14 2 2 3" xfId="12902" xr:uid="{6DDAC469-51A2-497C-9DD7-D84319F14D22}"/>
    <cellStyle name="Normal 3 14 2 3" xfId="8934" xr:uid="{D2A9D81D-6D8A-4CD3-BD7A-ED1CF6B03032}"/>
    <cellStyle name="Normal 3 14 2 3 2" xfId="14293" xr:uid="{270F3EDA-9369-4962-B428-EF4F1BF34256}"/>
    <cellStyle name="Normal 3 14 2 4" xfId="11571" xr:uid="{7B1B6BB4-A867-45D4-9CBB-171C563844A7}"/>
    <cellStyle name="Normal 3 14 3" xfId="6973" xr:uid="{00000000-0005-0000-0000-0000D5120000}"/>
    <cellStyle name="Normal 3 14 3 2" xfId="9641" xr:uid="{060A580B-F1CD-4C7F-A590-4C43C602B9AB}"/>
    <cellStyle name="Normal 3 14 3 2 2" xfId="15031" xr:uid="{22A8EC2C-3579-4E47-84B5-53BC359CF431}"/>
    <cellStyle name="Normal 3 14 3 3" xfId="12278" xr:uid="{137ADA8F-B3B3-4F5B-9594-392EA4529543}"/>
    <cellStyle name="Normal 3 14 4" xfId="8310" xr:uid="{C29086BF-06A5-4699-AE94-D9ED917FC424}"/>
    <cellStyle name="Normal 3 14 4 2" xfId="13669" xr:uid="{C7BA12CA-821C-4765-9C66-53D427D8460B}"/>
    <cellStyle name="Normal 3 14 5" xfId="10947" xr:uid="{36313A8C-9170-45A4-A0C4-635F06F33255}"/>
    <cellStyle name="Normal 3 15" xfId="3381" xr:uid="{00000000-0005-0000-0000-0000D6120000}"/>
    <cellStyle name="Normal 3 2" xfId="983" xr:uid="{00000000-0005-0000-0000-0000D7120000}"/>
    <cellStyle name="Normal 3 2 10" xfId="6224" xr:uid="{00000000-0005-0000-0000-0000D8120000}"/>
    <cellStyle name="Normal 3 2 10 2" xfId="9261" xr:uid="{363A9334-F08D-4CA1-B447-B448C2FDD01D}"/>
    <cellStyle name="Normal 3 2 10 2 2" xfId="14643" xr:uid="{F961CB5A-46F3-411E-8625-D895CCEFEE86}"/>
    <cellStyle name="Normal 3 2 10 3" xfId="11898" xr:uid="{A096F8CD-BDCB-48E9-B327-F3D40DE4B2F0}"/>
    <cellStyle name="Normal 3 2 11" xfId="7903" xr:uid="{84339A21-99CC-4B85-A241-7A5F35B9A18A}"/>
    <cellStyle name="Normal 3 2 11 2" xfId="13220" xr:uid="{27835291-694A-411B-98D9-6B3ABFB52180}"/>
    <cellStyle name="Normal 3 2 12" xfId="10567" xr:uid="{90E4E93D-1CC1-4E0E-B366-3648A5D0B242}"/>
    <cellStyle name="Normal 3 2 2" xfId="984" xr:uid="{00000000-0005-0000-0000-0000D9120000}"/>
    <cellStyle name="Normal 3 2 2 2" xfId="2616" xr:uid="{00000000-0005-0000-0000-0000DA120000}"/>
    <cellStyle name="Normal 3 2 2 2 2" xfId="4437" xr:uid="{00000000-0005-0000-0000-0000DB120000}"/>
    <cellStyle name="Normal 3 2 2 2 2 2" xfId="7605" xr:uid="{00000000-0005-0000-0000-0000DC120000}"/>
    <cellStyle name="Normal 3 2 2 2 2 2 2" xfId="10273" xr:uid="{9E0037B8-70E4-449E-9056-8B45B4635543}"/>
    <cellStyle name="Normal 3 2 2 2 2 2 2 2" xfId="15663" xr:uid="{435D9482-CA6C-4149-83ED-99D8E6F12BB5}"/>
    <cellStyle name="Normal 3 2 2 2 2 2 3" xfId="12910" xr:uid="{15FA9130-2734-4AE6-AFE3-E74C76DEF627}"/>
    <cellStyle name="Normal 3 2 2 2 2 3" xfId="8942" xr:uid="{165FF51D-B598-428C-B1C7-B414C26DB6FD}"/>
    <cellStyle name="Normal 3 2 2 2 2 3 2" xfId="14301" xr:uid="{422DC456-761C-4841-A332-0665EE257935}"/>
    <cellStyle name="Normal 3 2 2 2 2 4" xfId="11579" xr:uid="{1343A0E1-FC4E-4C7C-91DB-C18142749E30}"/>
    <cellStyle name="Normal 3 2 2 2 3" xfId="3811" xr:uid="{00000000-0005-0000-0000-0000DD120000}"/>
    <cellStyle name="Normal 3 2 2 2 3 2" xfId="6981" xr:uid="{00000000-0005-0000-0000-0000DE120000}"/>
    <cellStyle name="Normal 3 2 2 2 3 2 2" xfId="9649" xr:uid="{4365D7A8-ED2F-4899-9B6B-1B7742ABB687}"/>
    <cellStyle name="Normal 3 2 2 2 3 2 2 2" xfId="15039" xr:uid="{F1ACE8E9-3952-4C4F-9D68-1B9F74A56EDA}"/>
    <cellStyle name="Normal 3 2 2 2 3 2 3" xfId="12286" xr:uid="{A2EE4AB5-481E-4273-9742-20ACB7CDAE89}"/>
    <cellStyle name="Normal 3 2 2 2 3 3" xfId="8318" xr:uid="{651C131C-675F-43E8-8506-06982D04252D}"/>
    <cellStyle name="Normal 3 2 2 2 3 3 2" xfId="13677" xr:uid="{56B82E92-1171-4124-BC4D-8A6B5D90BCCB}"/>
    <cellStyle name="Normal 3 2 2 2 3 4" xfId="10955" xr:uid="{F32CA332-B224-4CE3-8A4B-662E91C9DA56}"/>
    <cellStyle name="Normal 3 2 2 3" xfId="3328" xr:uid="{00000000-0005-0000-0000-0000DF120000}"/>
    <cellStyle name="Normal 3 2 2 3 2" xfId="4438" xr:uid="{00000000-0005-0000-0000-0000E0120000}"/>
    <cellStyle name="Normal 3 2 2 3 2 2" xfId="7606" xr:uid="{00000000-0005-0000-0000-0000E1120000}"/>
    <cellStyle name="Normal 3 2 2 3 2 2 2" xfId="10274" xr:uid="{555D8E87-FFC2-4F92-BC73-B4042223D428}"/>
    <cellStyle name="Normal 3 2 2 3 2 2 2 2" xfId="15664" xr:uid="{5ECAA9BD-1B77-4D52-AE47-2E7050ED98E4}"/>
    <cellStyle name="Normal 3 2 2 3 2 2 3" xfId="12911" xr:uid="{61EC2E1E-FAAE-4580-8088-BE1509E26D51}"/>
    <cellStyle name="Normal 3 2 2 3 2 3" xfId="8943" xr:uid="{07F74D48-2761-4F32-97F1-58F290810EA0}"/>
    <cellStyle name="Normal 3 2 2 3 2 3 2" xfId="14302" xr:uid="{0FB3A74A-FCE4-487D-94D9-0004A2937D9A}"/>
    <cellStyle name="Normal 3 2 2 3 2 4" xfId="11580" xr:uid="{0517C7ED-1336-426B-9C69-6CEAF830274B}"/>
    <cellStyle name="Normal 3 2 2 3 3" xfId="3812" xr:uid="{00000000-0005-0000-0000-0000E2120000}"/>
    <cellStyle name="Normal 3 2 2 3 3 2" xfId="6982" xr:uid="{00000000-0005-0000-0000-0000E3120000}"/>
    <cellStyle name="Normal 3 2 2 3 3 2 2" xfId="9650" xr:uid="{D5A3EFF5-88D2-42F0-8B39-2E8E5B77CF7D}"/>
    <cellStyle name="Normal 3 2 2 3 3 2 2 2" xfId="15040" xr:uid="{9FC8E2F8-4251-46AF-A27E-AC4A966788CA}"/>
    <cellStyle name="Normal 3 2 2 3 3 2 3" xfId="12287" xr:uid="{7F9CE80E-68B2-4DFB-BDA1-78323DF0FE60}"/>
    <cellStyle name="Normal 3 2 2 3 3 3" xfId="8319" xr:uid="{CF0A90F4-911F-4F54-8A2B-DCE61CB734B6}"/>
    <cellStyle name="Normal 3 2 2 3 3 3 2" xfId="13678" xr:uid="{F34CA7DC-FC17-4A7E-AFE3-0CF2FEDFB903}"/>
    <cellStyle name="Normal 3 2 2 3 3 4" xfId="10956" xr:uid="{0EB53E94-81CF-4BF6-93FC-BE135EBE6A74}"/>
    <cellStyle name="Normal 3 2 2 3 4" xfId="6632" xr:uid="{00000000-0005-0000-0000-0000E4120000}"/>
    <cellStyle name="Normal 3 2 2 3 4 2" xfId="9309" xr:uid="{5D4B0257-095F-4DF5-AF14-84EE76F49F82}"/>
    <cellStyle name="Normal 3 2 2 3 4 2 2" xfId="14699" xr:uid="{3CDB70E1-0871-42FC-93C3-2A1BEF56AE0D}"/>
    <cellStyle name="Normal 3 2 2 3 4 3" xfId="11946" xr:uid="{D7A27483-4F62-4EF7-BD1E-35D476F7CE98}"/>
    <cellStyle name="Normal 3 2 2 3 5" xfId="7969" xr:uid="{2124D5DB-5F27-400C-8208-777A9378E4A2}"/>
    <cellStyle name="Normal 3 2 2 3 5 2" xfId="13329" xr:uid="{F213465A-4613-4002-95DD-D0E355810F45}"/>
    <cellStyle name="Normal 3 2 2 3 6" xfId="10615" xr:uid="{A99F64E5-FC12-4EE1-98CB-2F9A27D3C559}"/>
    <cellStyle name="Normal 3 2 2 4" xfId="3813" xr:uid="{00000000-0005-0000-0000-0000E5120000}"/>
    <cellStyle name="Normal 3 2 2 4 2" xfId="4439" xr:uid="{00000000-0005-0000-0000-0000E6120000}"/>
    <cellStyle name="Normal 3 2 2 4 2 2" xfId="7607" xr:uid="{00000000-0005-0000-0000-0000E7120000}"/>
    <cellStyle name="Normal 3 2 2 4 2 2 2" xfId="10275" xr:uid="{47EAB052-5E24-469B-BCFE-7112446D5B32}"/>
    <cellStyle name="Normal 3 2 2 4 2 2 2 2" xfId="15665" xr:uid="{8EF012CD-E915-45E0-BC7A-4650353333B0}"/>
    <cellStyle name="Normal 3 2 2 4 2 2 3" xfId="12912" xr:uid="{3D330195-29E7-49E5-991F-726CC6898055}"/>
    <cellStyle name="Normal 3 2 2 4 2 3" xfId="8944" xr:uid="{239DF056-774F-44F6-9818-26B69C0E9C2F}"/>
    <cellStyle name="Normal 3 2 2 4 2 3 2" xfId="14303" xr:uid="{199FC60E-1998-434D-AB12-02E01BAB3C5F}"/>
    <cellStyle name="Normal 3 2 2 4 2 4" xfId="11581" xr:uid="{9F8D3ADC-298B-4D67-A039-176B07EEAD41}"/>
    <cellStyle name="Normal 3 2 2 4 3" xfId="6983" xr:uid="{00000000-0005-0000-0000-0000E8120000}"/>
    <cellStyle name="Normal 3 2 2 4 3 2" xfId="9651" xr:uid="{5C9A588B-4090-43EC-A65C-4A0E611329D7}"/>
    <cellStyle name="Normal 3 2 2 4 3 2 2" xfId="15041" xr:uid="{5152DB36-76A8-406F-9219-7E425430F999}"/>
    <cellStyle name="Normal 3 2 2 4 3 3" xfId="12288" xr:uid="{D23D43A8-45F6-4BC4-B373-E233A08704DD}"/>
    <cellStyle name="Normal 3 2 2 4 4" xfId="8320" xr:uid="{7816FEDD-9C26-44C2-9F30-431D9C9BA548}"/>
    <cellStyle name="Normal 3 2 2 4 4 2" xfId="13679" xr:uid="{C99273EB-A155-4D0A-9788-009C9AC99961}"/>
    <cellStyle name="Normal 3 2 2 4 5" xfId="10957" xr:uid="{9480A8D2-EC48-47E4-A480-7C89814A91B6}"/>
    <cellStyle name="Normal 3 2 2 5" xfId="4436" xr:uid="{00000000-0005-0000-0000-0000E9120000}"/>
    <cellStyle name="Normal 3 2 2 5 2" xfId="7604" xr:uid="{00000000-0005-0000-0000-0000EA120000}"/>
    <cellStyle name="Normal 3 2 2 5 2 2" xfId="10272" xr:uid="{FCBB1CE8-1A25-4E4B-A352-43024D5D7926}"/>
    <cellStyle name="Normal 3 2 2 5 2 2 2" xfId="15662" xr:uid="{D4FCBD6F-0296-4D4D-B216-2CB2A7C2325C}"/>
    <cellStyle name="Normal 3 2 2 5 2 3" xfId="12909" xr:uid="{66EADABF-EC20-4EFD-8C82-4FC67986C0AD}"/>
    <cellStyle name="Normal 3 2 2 5 3" xfId="8941" xr:uid="{3287F2CD-9DDC-431A-A441-8D49E74B47CA}"/>
    <cellStyle name="Normal 3 2 2 5 3 2" xfId="14300" xr:uid="{F93965ED-F7B4-4FAF-804F-AEA77136D158}"/>
    <cellStyle name="Normal 3 2 2 5 4" xfId="11578" xr:uid="{974F6A50-4F54-4B25-AF8E-ED15E1ACD857}"/>
    <cellStyle name="Normal 3 2 2 6" xfId="3810" xr:uid="{00000000-0005-0000-0000-0000EB120000}"/>
    <cellStyle name="Normal 3 2 2 6 2" xfId="6980" xr:uid="{00000000-0005-0000-0000-0000EC120000}"/>
    <cellStyle name="Normal 3 2 2 6 2 2" xfId="9648" xr:uid="{8404A3B3-B887-471D-9A29-DBC4F17301EC}"/>
    <cellStyle name="Normal 3 2 2 6 2 2 2" xfId="15038" xr:uid="{956A7937-876A-4B04-9903-53DEB45B12E2}"/>
    <cellStyle name="Normal 3 2 2 6 2 3" xfId="12285" xr:uid="{811D68AA-0BDD-4C89-AF73-86FB53DA393D}"/>
    <cellStyle name="Normal 3 2 2 6 3" xfId="8317" xr:uid="{B49027DB-1DED-4471-BC6C-625C30170AA6}"/>
    <cellStyle name="Normal 3 2 2 6 3 2" xfId="13676" xr:uid="{D3FB1526-42FF-40C2-ADC2-FFAFCA1B5B99}"/>
    <cellStyle name="Normal 3 2 2 6 4" xfId="10954" xr:uid="{2060D964-43CD-4CCE-80A9-FF2E47B3C0F9}"/>
    <cellStyle name="Normal 3 2 3" xfId="2615" xr:uid="{00000000-0005-0000-0000-0000ED120000}"/>
    <cellStyle name="Normal 3 2 3 2" xfId="3305" xr:uid="{00000000-0005-0000-0000-0000EE120000}"/>
    <cellStyle name="Normal 3 2 3 2 2" xfId="4440" xr:uid="{00000000-0005-0000-0000-0000EF120000}"/>
    <cellStyle name="Normal 3 2 3 2 2 2" xfId="7608" xr:uid="{00000000-0005-0000-0000-0000F0120000}"/>
    <cellStyle name="Normal 3 2 3 2 2 2 2" xfId="10276" xr:uid="{D0049368-16D5-460F-B2EC-1ECFD2DE5DDD}"/>
    <cellStyle name="Normal 3 2 3 2 2 2 2 2" xfId="15666" xr:uid="{3C7A141D-DF79-491A-A45B-6A129CDB946B}"/>
    <cellStyle name="Normal 3 2 3 2 2 2 3" xfId="12913" xr:uid="{AA265CA9-E066-4E73-B690-136FC89C9D46}"/>
    <cellStyle name="Normal 3 2 3 2 2 3" xfId="8945" xr:uid="{E7908823-A912-4194-968F-4CE5C3D1E488}"/>
    <cellStyle name="Normal 3 2 3 2 2 3 2" xfId="14304" xr:uid="{5D258841-90D2-4CF9-9D47-9A0CF45FE0E8}"/>
    <cellStyle name="Normal 3 2 3 2 2 4" xfId="11582" xr:uid="{FE1FCF2B-4AED-45A9-B6AF-6605F3B101AC}"/>
    <cellStyle name="Normal 3 2 3 2 3" xfId="6614" xr:uid="{00000000-0005-0000-0000-0000F1120000}"/>
    <cellStyle name="Normal 3 2 3 2 3 2" xfId="9291" xr:uid="{3DE9B4F3-6489-4F70-8CBF-DF1C4DAE6462}"/>
    <cellStyle name="Normal 3 2 3 2 3 2 2" xfId="14681" xr:uid="{35B49932-C8A6-487C-8817-F28A5ECFC2C7}"/>
    <cellStyle name="Normal 3 2 3 2 3 3" xfId="11928" xr:uid="{190D5951-DA70-414B-8887-49276E8E4640}"/>
    <cellStyle name="Normal 3 2 3 2 4" xfId="7951" xr:uid="{AF830217-E3A7-4256-B429-F4373330D9A2}"/>
    <cellStyle name="Normal 3 2 3 2 4 2" xfId="13311" xr:uid="{9A9B5B2B-6D32-477D-9C22-7C079E8FD0EC}"/>
    <cellStyle name="Normal 3 2 3 2 5" xfId="10597" xr:uid="{9ECCC6C8-846B-4180-B391-20A00A3564A0}"/>
    <cellStyle name="Normal 3 2 3 3" xfId="3814" xr:uid="{00000000-0005-0000-0000-0000F2120000}"/>
    <cellStyle name="Normal 3 2 3 3 2" xfId="6984" xr:uid="{00000000-0005-0000-0000-0000F3120000}"/>
    <cellStyle name="Normal 3 2 3 3 2 2" xfId="9652" xr:uid="{F77204EC-6E9D-4BF7-A0DE-D5F5EA13A2BB}"/>
    <cellStyle name="Normal 3 2 3 3 2 2 2" xfId="15042" xr:uid="{70642F8B-ABCC-4F51-A38A-315FFEB2AFAA}"/>
    <cellStyle name="Normal 3 2 3 3 2 3" xfId="12289" xr:uid="{A048D511-9AE9-48F4-A1F9-2B63A73C23FD}"/>
    <cellStyle name="Normal 3 2 3 3 3" xfId="8321" xr:uid="{66A8F96B-436B-40FA-A6A8-E563034F5622}"/>
    <cellStyle name="Normal 3 2 3 3 3 2" xfId="13680" xr:uid="{AD90632D-0845-45D9-858E-0EFAF0BA2F28}"/>
    <cellStyle name="Normal 3 2 3 3 4" xfId="10958" xr:uid="{7A9B2018-F2A4-4F2E-A0A0-B97F55EB4124}"/>
    <cellStyle name="Normal 3 2 3 4" xfId="5671" xr:uid="{00000000-0005-0000-0000-0000F4120000}"/>
    <cellStyle name="Normal 3 2 3 4 2" xfId="9251" xr:uid="{D3BBC055-9EEB-4A0C-AAD0-605734691C0B}"/>
    <cellStyle name="Normal 3 2 3 4 2 2" xfId="14624" xr:uid="{BD952BD4-7A25-4AFD-9ED5-690C2C2AE0BF}"/>
    <cellStyle name="Normal 3 2 3 4 3" xfId="11888" xr:uid="{A2D862E4-EC16-4ACB-AB2C-86F246073B1C}"/>
    <cellStyle name="Normal 3 2 3 5" xfId="6593" xr:uid="{00000000-0005-0000-0000-0000F5120000}"/>
    <cellStyle name="Normal 3 2 3 5 2" xfId="9271" xr:uid="{1BDE5E0A-8A7A-4EFC-A161-D9FF3679E349}"/>
    <cellStyle name="Normal 3 2 3 5 2 2" xfId="14660" xr:uid="{FF4ADF01-C367-4605-881C-DABB86792661}"/>
    <cellStyle name="Normal 3 2 3 5 3" xfId="11908" xr:uid="{7707DE37-BD38-40CD-B5DE-579791DC78BD}"/>
    <cellStyle name="Normal 3 2 3 6" xfId="7926" xr:uid="{4DA0256E-0C15-4A9E-B345-33E62E56CE48}"/>
    <cellStyle name="Normal 3 2 3 6 2" xfId="13273" xr:uid="{2BA31D61-5365-4524-86F1-76F9FAC1832E}"/>
    <cellStyle name="Normal 3 2 3 7" xfId="10577" xr:uid="{E01A3D1F-BE8B-42F7-BC2E-E0D4B5606755}"/>
    <cellStyle name="Normal 3 2 4" xfId="3321" xr:uid="{00000000-0005-0000-0000-0000F6120000}"/>
    <cellStyle name="Normal 3 2 4 2" xfId="4441" xr:uid="{00000000-0005-0000-0000-0000F7120000}"/>
    <cellStyle name="Normal 3 2 4 2 2" xfId="7609" xr:uid="{00000000-0005-0000-0000-0000F8120000}"/>
    <cellStyle name="Normal 3 2 4 2 2 2" xfId="10277" xr:uid="{1E31FA3B-7234-44A6-99E5-F0075A15076A}"/>
    <cellStyle name="Normal 3 2 4 2 2 2 2" xfId="15667" xr:uid="{756AC1FC-860A-4410-978D-874E39EB29BD}"/>
    <cellStyle name="Normal 3 2 4 2 2 3" xfId="12914" xr:uid="{D1E90F4D-509E-41AD-BEDE-48F32DBF9639}"/>
    <cellStyle name="Normal 3 2 4 2 3" xfId="8946" xr:uid="{DA3D74E7-3ECD-40B7-BCEE-A0F3474A74CF}"/>
    <cellStyle name="Normal 3 2 4 2 3 2" xfId="14305" xr:uid="{786C6C04-94A1-47C3-BB9E-5FD37DB414BD}"/>
    <cellStyle name="Normal 3 2 4 2 4" xfId="11583" xr:uid="{1E5FAD77-04AF-4DBE-92D8-6099BFA24829}"/>
    <cellStyle name="Normal 3 2 4 3" xfId="3815" xr:uid="{00000000-0005-0000-0000-0000F9120000}"/>
    <cellStyle name="Normal 3 2 4 3 2" xfId="6985" xr:uid="{00000000-0005-0000-0000-0000FA120000}"/>
    <cellStyle name="Normal 3 2 4 3 2 2" xfId="9653" xr:uid="{C2D8646A-C4C3-4649-90D5-B7C5DB4FD968}"/>
    <cellStyle name="Normal 3 2 4 3 2 2 2" xfId="15043" xr:uid="{879CE721-FB24-4861-A7D0-971D88E46BDF}"/>
    <cellStyle name="Normal 3 2 4 3 2 3" xfId="12290" xr:uid="{3B95EF7C-F84C-4510-835F-57E5A1DFEF7D}"/>
    <cellStyle name="Normal 3 2 4 3 3" xfId="8322" xr:uid="{101DE304-08DE-4349-8F1D-860137513243}"/>
    <cellStyle name="Normal 3 2 4 3 3 2" xfId="13681" xr:uid="{47530172-733F-42B4-A442-6568FC1E7D3B}"/>
    <cellStyle name="Normal 3 2 4 3 4" xfId="10959" xr:uid="{901C9CBE-00CA-4218-AA6E-28DAE6254935}"/>
    <cellStyle name="Normal 3 2 4 4" xfId="6628" xr:uid="{00000000-0005-0000-0000-0000FB120000}"/>
    <cellStyle name="Normal 3 2 4 4 2" xfId="9305" xr:uid="{4B0F5616-D8F5-4489-B36E-45FDD9BE8142}"/>
    <cellStyle name="Normal 3 2 4 4 2 2" xfId="14695" xr:uid="{6230C900-0A54-424E-A26D-1A3984469540}"/>
    <cellStyle name="Normal 3 2 4 4 3" xfId="11942" xr:uid="{013F9682-82B6-4D75-A2FB-91C46CA6CB41}"/>
    <cellStyle name="Normal 3 2 4 5" xfId="7965" xr:uid="{248A2786-06F2-43CB-9A09-C76A03F54E46}"/>
    <cellStyle name="Normal 3 2 4 5 2" xfId="13325" xr:uid="{9D27EA47-C8FE-4EE2-85E1-9058C9D13017}"/>
    <cellStyle name="Normal 3 2 4 6" xfId="10611" xr:uid="{8AD60CFC-B226-450B-8DA6-FB433A7A7FCC}"/>
    <cellStyle name="Normal 3 2 5" xfId="3286" xr:uid="{00000000-0005-0000-0000-0000FC120000}"/>
    <cellStyle name="Normal 3 2 5 2" xfId="4442" xr:uid="{00000000-0005-0000-0000-0000FD120000}"/>
    <cellStyle name="Normal 3 2 5 2 2" xfId="7610" xr:uid="{00000000-0005-0000-0000-0000FE120000}"/>
    <cellStyle name="Normal 3 2 5 2 2 2" xfId="10278" xr:uid="{50BD3D82-D5D1-4617-8E50-F106E2A017B0}"/>
    <cellStyle name="Normal 3 2 5 2 2 2 2" xfId="15668" xr:uid="{3E467207-F642-4312-9A25-6C180DC82D6F}"/>
    <cellStyle name="Normal 3 2 5 2 2 3" xfId="12915" xr:uid="{2B7E3CED-0140-4F9B-AF17-CF0AEC55D768}"/>
    <cellStyle name="Normal 3 2 5 2 3" xfId="8947" xr:uid="{2954A7E2-50DE-48E3-8B5B-48B1808C9419}"/>
    <cellStyle name="Normal 3 2 5 2 3 2" xfId="14306" xr:uid="{794C27D5-9F39-43B1-A34B-9E8398E86EA9}"/>
    <cellStyle name="Normal 3 2 5 2 4" xfId="11584" xr:uid="{CD32A897-619C-4E78-880E-B87235E6DE14}"/>
    <cellStyle name="Normal 3 2 5 3" xfId="3816" xr:uid="{00000000-0005-0000-0000-0000FF120000}"/>
    <cellStyle name="Normal 3 2 5 3 2" xfId="6986" xr:uid="{00000000-0005-0000-0000-000000130000}"/>
    <cellStyle name="Normal 3 2 5 3 2 2" xfId="9654" xr:uid="{8D16FA17-1EDA-4B31-AD7E-B4290D469421}"/>
    <cellStyle name="Normal 3 2 5 3 2 2 2" xfId="15044" xr:uid="{E322D7F4-CAF7-4E54-A937-4C36E76B3E94}"/>
    <cellStyle name="Normal 3 2 5 3 2 3" xfId="12291" xr:uid="{595B42EF-6768-46DD-B2DC-4AAC55D238C5}"/>
    <cellStyle name="Normal 3 2 5 3 3" xfId="8323" xr:uid="{B8B39D33-E4C5-4944-805C-EB8C427EA19D}"/>
    <cellStyle name="Normal 3 2 5 3 3 2" xfId="13682" xr:uid="{7539AB5C-0CA5-4D99-9625-677A2C51811D}"/>
    <cellStyle name="Normal 3 2 5 3 4" xfId="10960" xr:uid="{56A7B054-D37F-41BA-84CE-1FF5C28C1502}"/>
    <cellStyle name="Normal 3 2 5 4" xfId="6604" xr:uid="{00000000-0005-0000-0000-000001130000}"/>
    <cellStyle name="Normal 3 2 5 4 2" xfId="9281" xr:uid="{B8C23342-49C6-4CA9-B296-D54CF3E7BAC7}"/>
    <cellStyle name="Normal 3 2 5 4 2 2" xfId="14671" xr:uid="{DB00A1C0-E67D-4AEA-A5C3-DB7D6CF447F8}"/>
    <cellStyle name="Normal 3 2 5 4 3" xfId="11918" xr:uid="{A40AEFAE-CF53-4DF1-96B3-C64C3C90E85E}"/>
    <cellStyle name="Normal 3 2 5 5" xfId="7941" xr:uid="{B95FCCE6-5CA8-4D9B-8E86-29054A38BE7D}"/>
    <cellStyle name="Normal 3 2 5 5 2" xfId="13301" xr:uid="{76E435AF-CA91-4F47-BD67-54440ECF9CD5}"/>
    <cellStyle name="Normal 3 2 5 6" xfId="10587" xr:uid="{2CF3E25A-8472-42DE-AD02-1F2E4416E1FF}"/>
    <cellStyle name="Normal 3 2 6" xfId="3817" xr:uid="{00000000-0005-0000-0000-000002130000}"/>
    <cellStyle name="Normal 3 2 6 2" xfId="4443" xr:uid="{00000000-0005-0000-0000-000003130000}"/>
    <cellStyle name="Normal 3 2 6 2 2" xfId="7611" xr:uid="{00000000-0005-0000-0000-000004130000}"/>
    <cellStyle name="Normal 3 2 6 2 2 2" xfId="10279" xr:uid="{21F3D783-A6F1-4ED6-91D5-1DA32BE52DE7}"/>
    <cellStyle name="Normal 3 2 6 2 2 2 2" xfId="15669" xr:uid="{E7B2A8BC-E42D-4D78-B73F-1A8AEBD6EDA8}"/>
    <cellStyle name="Normal 3 2 6 2 2 3" xfId="12916" xr:uid="{67E744DB-22B6-468C-8CE3-F09580F8FFE4}"/>
    <cellStyle name="Normal 3 2 6 2 3" xfId="8948" xr:uid="{27BD7EBD-67C9-4AD6-B7A8-BC54513B78C1}"/>
    <cellStyle name="Normal 3 2 6 2 3 2" xfId="14307" xr:uid="{CC9E1484-D9F6-411D-BC9F-83550E7F26DF}"/>
    <cellStyle name="Normal 3 2 6 2 4" xfId="11585" xr:uid="{08B17200-B704-4673-B9F1-D2185BF2494C}"/>
    <cellStyle name="Normal 3 2 6 3" xfId="6987" xr:uid="{00000000-0005-0000-0000-000005130000}"/>
    <cellStyle name="Normal 3 2 6 3 2" xfId="9655" xr:uid="{8D15DE99-2738-4DC3-A8D0-93BD93A59A38}"/>
    <cellStyle name="Normal 3 2 6 3 2 2" xfId="15045" xr:uid="{06E76541-E930-41DD-B909-7700A849FEDF}"/>
    <cellStyle name="Normal 3 2 6 3 3" xfId="12292" xr:uid="{AD939234-F21F-4FCB-8D67-22E1C3C30AEA}"/>
    <cellStyle name="Normal 3 2 6 4" xfId="8324" xr:uid="{0E96D276-1A0F-46BF-93C2-636462CC2567}"/>
    <cellStyle name="Normal 3 2 6 4 2" xfId="13683" xr:uid="{21658FF7-8C17-44F8-87BF-CECF97F29D39}"/>
    <cellStyle name="Normal 3 2 6 5" xfId="10961" xr:uid="{6758AD6D-BAE1-4AC1-8569-12F0B798C10D}"/>
    <cellStyle name="Normal 3 2 7" xfId="3809" xr:uid="{00000000-0005-0000-0000-000006130000}"/>
    <cellStyle name="Normal 3 2 7 2" xfId="4435" xr:uid="{00000000-0005-0000-0000-000007130000}"/>
    <cellStyle name="Normal 3 2 7 2 2" xfId="7603" xr:uid="{00000000-0005-0000-0000-000008130000}"/>
    <cellStyle name="Normal 3 2 7 2 2 2" xfId="10271" xr:uid="{F1157411-0BE3-4D8B-908B-6E4C59FF3623}"/>
    <cellStyle name="Normal 3 2 7 2 2 2 2" xfId="15661" xr:uid="{6B874DCA-A0A6-4577-9A15-88DDF27906D6}"/>
    <cellStyle name="Normal 3 2 7 2 2 3" xfId="12908" xr:uid="{8C009A26-F7F1-446F-98D2-F31BE3A8C6DF}"/>
    <cellStyle name="Normal 3 2 7 2 3" xfId="8940" xr:uid="{C0216A55-0801-45DC-A4DB-6F566B909FF2}"/>
    <cellStyle name="Normal 3 2 7 2 3 2" xfId="14299" xr:uid="{D09B45EE-F0A1-41B8-8F39-90EEE659AFE6}"/>
    <cellStyle name="Normal 3 2 7 2 4" xfId="11577" xr:uid="{D767EE86-B397-4FD3-AB16-011930C30C3E}"/>
    <cellStyle name="Normal 3 2 7 3" xfId="6979" xr:uid="{00000000-0005-0000-0000-000009130000}"/>
    <cellStyle name="Normal 3 2 7 3 2" xfId="9647" xr:uid="{F044B2D6-720E-45BA-865E-3D1FF02721C5}"/>
    <cellStyle name="Normal 3 2 7 3 2 2" xfId="15037" xr:uid="{4F569389-564B-44E7-A284-0A78A626BC21}"/>
    <cellStyle name="Normal 3 2 7 3 3" xfId="12284" xr:uid="{E05B4236-7840-48A9-B702-72FA16166E69}"/>
    <cellStyle name="Normal 3 2 7 4" xfId="8316" xr:uid="{1ED64F8D-1F5E-4248-BFC0-A048285A3FEE}"/>
    <cellStyle name="Normal 3 2 7 4 2" xfId="13675" xr:uid="{000F9819-4349-4B21-8916-4E35AA414B29}"/>
    <cellStyle name="Normal 3 2 7 5" xfId="10953" xr:uid="{72BBC0E1-A698-4498-B17A-A149D54F3BBC}"/>
    <cellStyle name="Normal 3 2 8" xfId="3505" xr:uid="{00000000-0005-0000-0000-00000A130000}"/>
    <cellStyle name="Normal 3 2 9" xfId="5299" xr:uid="{00000000-0005-0000-0000-00000B130000}"/>
    <cellStyle name="Normal 3 2 9 2" xfId="9241" xr:uid="{299B9F23-88F6-4493-97D9-BC9CB1D5DAA9}"/>
    <cellStyle name="Normal 3 2 9 2 2" xfId="14610" xr:uid="{7A8519A9-C5FE-47D8-BF2E-2BFC5BB58DB4}"/>
    <cellStyle name="Normal 3 2 9 3" xfId="11878" xr:uid="{644B06AD-ADBD-4FEE-9749-6FF73C6B9277}"/>
    <cellStyle name="Normal 3 3" xfId="985" xr:uid="{00000000-0005-0000-0000-00000C130000}"/>
    <cellStyle name="Normal 3 3 10" xfId="6225" xr:uid="{00000000-0005-0000-0000-00000D130000}"/>
    <cellStyle name="Normal 3 3 10 2" xfId="9262" xr:uid="{58767E1D-5F31-472A-A0DA-B98B0CD32306}"/>
    <cellStyle name="Normal 3 3 10 2 2" xfId="14644" xr:uid="{67763CCF-7E69-4509-944B-21D134539E0D}"/>
    <cellStyle name="Normal 3 3 10 3" xfId="11899" xr:uid="{FE42899A-E6A4-492B-AD33-9791CED62F88}"/>
    <cellStyle name="Normal 3 3 11" xfId="7904" xr:uid="{3D142F90-4652-482C-899D-7614AB310D65}"/>
    <cellStyle name="Normal 3 3 11 2" xfId="13221" xr:uid="{34867759-812C-4408-8E1D-2D46C15CF250}"/>
    <cellStyle name="Normal 3 3 12" xfId="10568" xr:uid="{AB486294-3027-4317-8454-CB081ABBCC74}"/>
    <cellStyle name="Normal 3 3 2" xfId="2617" xr:uid="{00000000-0005-0000-0000-00000E130000}"/>
    <cellStyle name="Normal 3 3 2 2" xfId="3306" xr:uid="{00000000-0005-0000-0000-00000F130000}"/>
    <cellStyle name="Normal 3 3 2 2 2" xfId="4446" xr:uid="{00000000-0005-0000-0000-000010130000}"/>
    <cellStyle name="Normal 3 3 2 2 2 2" xfId="7614" xr:uid="{00000000-0005-0000-0000-000011130000}"/>
    <cellStyle name="Normal 3 3 2 2 2 2 2" xfId="10282" xr:uid="{E77C27D0-CCC6-40B8-8D78-474CFF7C809A}"/>
    <cellStyle name="Normal 3 3 2 2 2 2 2 2" xfId="15672" xr:uid="{D9170338-F8DB-47AE-9698-34A26D3B2C30}"/>
    <cellStyle name="Normal 3 3 2 2 2 2 3" xfId="12919" xr:uid="{09274CD2-04F7-4E92-8ADE-555F10943D2E}"/>
    <cellStyle name="Normal 3 3 2 2 2 3" xfId="8951" xr:uid="{DCDB6645-FB5A-44FD-9EB4-8A18327555F7}"/>
    <cellStyle name="Normal 3 3 2 2 2 3 2" xfId="14310" xr:uid="{E511B30B-63AE-4A01-B7B5-9A718CA1B6FA}"/>
    <cellStyle name="Normal 3 3 2 2 2 4" xfId="11588" xr:uid="{587B7F80-2080-412F-8C47-7231A17331EE}"/>
    <cellStyle name="Normal 3 3 2 2 3" xfId="3820" xr:uid="{00000000-0005-0000-0000-000012130000}"/>
    <cellStyle name="Normal 3 3 2 2 3 2" xfId="6990" xr:uid="{00000000-0005-0000-0000-000013130000}"/>
    <cellStyle name="Normal 3 3 2 2 3 2 2" xfId="9658" xr:uid="{3827E8C2-115C-4797-BCC3-A5D9E719C64A}"/>
    <cellStyle name="Normal 3 3 2 2 3 2 2 2" xfId="15048" xr:uid="{2B616961-D43F-4F40-9E5E-2749377FC7FF}"/>
    <cellStyle name="Normal 3 3 2 2 3 2 3" xfId="12295" xr:uid="{185371B4-09A1-4875-8AA5-A254B657608B}"/>
    <cellStyle name="Normal 3 3 2 2 3 3" xfId="8327" xr:uid="{9C56AE31-8779-48EB-8041-625986F55604}"/>
    <cellStyle name="Normal 3 3 2 2 3 3 2" xfId="13686" xr:uid="{92B55596-B822-4FF4-98FE-FF6A7A3E2B4E}"/>
    <cellStyle name="Normal 3 3 2 2 3 4" xfId="10964" xr:uid="{82233ADA-ACD3-465E-A5B6-CED21E6DED2A}"/>
    <cellStyle name="Normal 3 3 2 2 4" xfId="6615" xr:uid="{00000000-0005-0000-0000-000014130000}"/>
    <cellStyle name="Normal 3 3 2 2 4 2" xfId="9292" xr:uid="{D352EEAD-A3EF-49BB-89B6-EE50D87A46D8}"/>
    <cellStyle name="Normal 3 3 2 2 4 2 2" xfId="14682" xr:uid="{251BD480-7CED-46DB-89EA-6D5ED7544C38}"/>
    <cellStyle name="Normal 3 3 2 2 4 3" xfId="11929" xr:uid="{7FF64ADA-F032-40F2-BCD8-18651C61AAC0}"/>
    <cellStyle name="Normal 3 3 2 2 5" xfId="7952" xr:uid="{526A8078-D0CE-46C7-AEBE-559B2C164CF3}"/>
    <cellStyle name="Normal 3 3 2 2 5 2" xfId="13312" xr:uid="{66D89D59-DDB0-4583-8539-A081A75CCE97}"/>
    <cellStyle name="Normal 3 3 2 2 6" xfId="10598" xr:uid="{26B1E6D4-CD52-42DD-BC8E-06CAB01A704E}"/>
    <cellStyle name="Normal 3 3 2 3" xfId="3821" xr:uid="{00000000-0005-0000-0000-000015130000}"/>
    <cellStyle name="Normal 3 3 2 3 2" xfId="4447" xr:uid="{00000000-0005-0000-0000-000016130000}"/>
    <cellStyle name="Normal 3 3 2 3 2 2" xfId="7615" xr:uid="{00000000-0005-0000-0000-000017130000}"/>
    <cellStyle name="Normal 3 3 2 3 2 2 2" xfId="10283" xr:uid="{2901D82B-63F9-4651-AEBD-4ECAEA566DB1}"/>
    <cellStyle name="Normal 3 3 2 3 2 2 2 2" xfId="15673" xr:uid="{C9DA7405-4FFF-4ED3-AD12-BEFA50020826}"/>
    <cellStyle name="Normal 3 3 2 3 2 2 3" xfId="12920" xr:uid="{07BCCB63-790D-4549-8F1D-FFA1D9AD2DC9}"/>
    <cellStyle name="Normal 3 3 2 3 2 3" xfId="8952" xr:uid="{029BB1F7-0773-438D-89EB-C3E91F775F5D}"/>
    <cellStyle name="Normal 3 3 2 3 2 3 2" xfId="14311" xr:uid="{822A4F7B-A4BB-413F-8D7F-64A7022004FD}"/>
    <cellStyle name="Normal 3 3 2 3 2 4" xfId="11589" xr:uid="{04E26EC9-BE2B-4339-8283-D8D61B1D1E70}"/>
    <cellStyle name="Normal 3 3 2 3 3" xfId="6991" xr:uid="{00000000-0005-0000-0000-000018130000}"/>
    <cellStyle name="Normal 3 3 2 3 3 2" xfId="9659" xr:uid="{73F5BF19-4036-4B96-B178-C61D5B739141}"/>
    <cellStyle name="Normal 3 3 2 3 3 2 2" xfId="15049" xr:uid="{65FDF6BC-2BFC-454B-9984-2C38777C1258}"/>
    <cellStyle name="Normal 3 3 2 3 3 3" xfId="12296" xr:uid="{66D99B2C-26F1-426F-AA66-DB0C7C27B219}"/>
    <cellStyle name="Normal 3 3 2 3 4" xfId="8328" xr:uid="{224AB238-837F-4B24-A2CB-A78E38509AA7}"/>
    <cellStyle name="Normal 3 3 2 3 4 2" xfId="13687" xr:uid="{E1005F56-2FF6-45EB-9BCA-36981E83EB4F}"/>
    <cellStyle name="Normal 3 3 2 3 5" xfId="10965" xr:uid="{F4A5B622-27F0-4A65-8632-42CC36FF5B90}"/>
    <cellStyle name="Normal 3 3 2 4" xfId="4445" xr:uid="{00000000-0005-0000-0000-000019130000}"/>
    <cellStyle name="Normal 3 3 2 4 2" xfId="7613" xr:uid="{00000000-0005-0000-0000-00001A130000}"/>
    <cellStyle name="Normal 3 3 2 4 2 2" xfId="10281" xr:uid="{CDE1A152-57E9-47D4-81BB-CB2060D8662D}"/>
    <cellStyle name="Normal 3 3 2 4 2 2 2" xfId="15671" xr:uid="{706172EB-DAC4-4F45-BD98-971D77FC492C}"/>
    <cellStyle name="Normal 3 3 2 4 2 3" xfId="12918" xr:uid="{B20D5B08-B369-4EB2-B06B-95DE1688E69C}"/>
    <cellStyle name="Normal 3 3 2 4 3" xfId="8950" xr:uid="{4936C68E-5EED-4BED-85C8-6DEDEB3EDC23}"/>
    <cellStyle name="Normal 3 3 2 4 3 2" xfId="14309" xr:uid="{663878E3-780D-430C-896C-E21A581E3044}"/>
    <cellStyle name="Normal 3 3 2 4 4" xfId="11587" xr:uid="{A169655F-8A39-4E89-A835-C701820B151E}"/>
    <cellStyle name="Normal 3 3 2 5" xfId="3819" xr:uid="{00000000-0005-0000-0000-00001B130000}"/>
    <cellStyle name="Normal 3 3 2 5 2" xfId="6989" xr:uid="{00000000-0005-0000-0000-00001C130000}"/>
    <cellStyle name="Normal 3 3 2 5 2 2" xfId="9657" xr:uid="{CE050767-83B5-4D44-AF02-F63DFB904CC6}"/>
    <cellStyle name="Normal 3 3 2 5 2 2 2" xfId="15047" xr:uid="{957D678E-7D23-438B-8452-D4DB30020F05}"/>
    <cellStyle name="Normal 3 3 2 5 2 3" xfId="12294" xr:uid="{2A717A3F-A1F3-49E8-881F-7EDE21D60A23}"/>
    <cellStyle name="Normal 3 3 2 5 3" xfId="8326" xr:uid="{B035FA10-E5B8-496C-8D56-C4DE7FB2520B}"/>
    <cellStyle name="Normal 3 3 2 5 3 2" xfId="13685" xr:uid="{8E11BBB3-85D3-4BDC-AE33-FC437F1AB154}"/>
    <cellStyle name="Normal 3 3 2 5 4" xfId="10963" xr:uid="{275C08D3-C983-46DA-855D-9F9AD6046A15}"/>
    <cellStyle name="Normal 3 3 2 6" xfId="5672" xr:uid="{00000000-0005-0000-0000-00001D130000}"/>
    <cellStyle name="Normal 3 3 2 6 2" xfId="9252" xr:uid="{9106C7C4-877B-4E7E-A60C-B59AF8E2DF0E}"/>
    <cellStyle name="Normal 3 3 2 6 2 2" xfId="14625" xr:uid="{AE8B44E2-87AE-4190-9BD3-241DB088857D}"/>
    <cellStyle name="Normal 3 3 2 6 3" xfId="11889" xr:uid="{C1D6A5CF-5E84-4F27-8004-8225FF6EAF51}"/>
    <cellStyle name="Normal 3 3 2 7" xfId="6594" xr:uid="{00000000-0005-0000-0000-00001E130000}"/>
    <cellStyle name="Normal 3 3 2 7 2" xfId="9272" xr:uid="{4CD9004C-D31E-4573-89E8-473635EF4953}"/>
    <cellStyle name="Normal 3 3 2 7 2 2" xfId="14661" xr:uid="{FCDEA61E-56C0-450A-8FE5-BFE8CAFD4746}"/>
    <cellStyle name="Normal 3 3 2 7 3" xfId="11909" xr:uid="{02F5240B-E397-4414-ADCF-6964CB642C28}"/>
    <cellStyle name="Normal 3 3 2 8" xfId="7927" xr:uid="{437481D5-ED51-49BE-B680-BF2AA2FD775F}"/>
    <cellStyle name="Normal 3 3 2 8 2" xfId="13274" xr:uid="{DEF69227-0049-4B3B-9DBE-1F4C3FA8A8E9}"/>
    <cellStyle name="Normal 3 3 2 9" xfId="10578" xr:uid="{77670BD4-2890-4116-A8AC-DE513C475711}"/>
    <cellStyle name="Normal 3 3 3" xfId="3327" xr:uid="{00000000-0005-0000-0000-00001F130000}"/>
    <cellStyle name="Normal 3 3 3 2" xfId="4448" xr:uid="{00000000-0005-0000-0000-000020130000}"/>
    <cellStyle name="Normal 3 3 3 2 2" xfId="7616" xr:uid="{00000000-0005-0000-0000-000021130000}"/>
    <cellStyle name="Normal 3 3 3 2 2 2" xfId="10284" xr:uid="{BAAF8C15-106E-4E12-A2F9-22DD4D877133}"/>
    <cellStyle name="Normal 3 3 3 2 2 2 2" xfId="15674" xr:uid="{A95DE049-0875-42C2-A789-43D566407D7D}"/>
    <cellStyle name="Normal 3 3 3 2 2 3" xfId="12921" xr:uid="{A4275AC1-B68D-45AF-AD60-9C356441AE28}"/>
    <cellStyle name="Normal 3 3 3 2 3" xfId="8953" xr:uid="{1279FB6D-529F-40E0-B815-93A1E67DC23E}"/>
    <cellStyle name="Normal 3 3 3 2 3 2" xfId="14312" xr:uid="{A51D3D98-F6D2-4230-B8C7-9B251D1A0A1D}"/>
    <cellStyle name="Normal 3 3 3 2 4" xfId="11590" xr:uid="{8021AF2B-76DD-4364-A544-47734E14C615}"/>
    <cellStyle name="Normal 3 3 3 3" xfId="3822" xr:uid="{00000000-0005-0000-0000-000022130000}"/>
    <cellStyle name="Normal 3 3 3 3 2" xfId="6992" xr:uid="{00000000-0005-0000-0000-000023130000}"/>
    <cellStyle name="Normal 3 3 3 3 2 2" xfId="9660" xr:uid="{5B149498-0ABC-486F-BB08-92B44E60BD61}"/>
    <cellStyle name="Normal 3 3 3 3 2 2 2" xfId="15050" xr:uid="{1D16D2BE-94E1-483A-B19F-74B3DCC024AD}"/>
    <cellStyle name="Normal 3 3 3 3 2 3" xfId="12297" xr:uid="{B3E2DFEF-71A7-44FB-983D-10C540CB8233}"/>
    <cellStyle name="Normal 3 3 3 3 3" xfId="8329" xr:uid="{FACDFB0C-C122-4E77-B449-A1C38D8A9D09}"/>
    <cellStyle name="Normal 3 3 3 3 3 2" xfId="13688" xr:uid="{BA9A9DA2-BE19-458E-A5E2-E827D193E7BA}"/>
    <cellStyle name="Normal 3 3 3 3 4" xfId="10966" xr:uid="{F860502D-B3F6-4717-8457-287DEC316A86}"/>
    <cellStyle name="Normal 3 3 3 4" xfId="6631" xr:uid="{00000000-0005-0000-0000-000024130000}"/>
    <cellStyle name="Normal 3 3 3 4 2" xfId="9308" xr:uid="{A73F9155-CDBB-4F31-B6CA-628780F5B0AC}"/>
    <cellStyle name="Normal 3 3 3 4 2 2" xfId="14698" xr:uid="{2E5885F4-9479-4E81-A0E7-4F8A257A1313}"/>
    <cellStyle name="Normal 3 3 3 4 3" xfId="11945" xr:uid="{3AA83677-C54D-45A1-B12A-2560B60433A9}"/>
    <cellStyle name="Normal 3 3 3 5" xfId="7968" xr:uid="{EFBEB11C-0F4D-4823-B205-D4FCA4EEC030}"/>
    <cellStyle name="Normal 3 3 3 5 2" xfId="13328" xr:uid="{9F1384D0-BB25-4A61-BCEE-2D849109426C}"/>
    <cellStyle name="Normal 3 3 3 6" xfId="10614" xr:uid="{E450451A-72FC-4EBB-9563-E483BB6832B5}"/>
    <cellStyle name="Normal 3 3 4" xfId="3287" xr:uid="{00000000-0005-0000-0000-000025130000}"/>
    <cellStyle name="Normal 3 3 4 2" xfId="4449" xr:uid="{00000000-0005-0000-0000-000026130000}"/>
    <cellStyle name="Normal 3 3 4 2 2" xfId="7617" xr:uid="{00000000-0005-0000-0000-000027130000}"/>
    <cellStyle name="Normal 3 3 4 2 2 2" xfId="10285" xr:uid="{66F1641A-935B-47FC-A83F-882A081CF6B0}"/>
    <cellStyle name="Normal 3 3 4 2 2 2 2" xfId="15675" xr:uid="{0F707B7D-861A-4C4B-8019-5D2CD8DC0C38}"/>
    <cellStyle name="Normal 3 3 4 2 2 3" xfId="12922" xr:uid="{8C30B57F-C43F-4D3A-A180-860DA571E3B6}"/>
    <cellStyle name="Normal 3 3 4 2 3" xfId="8954" xr:uid="{48E16104-6AA6-4B6E-8485-A6E1B7605AE5}"/>
    <cellStyle name="Normal 3 3 4 2 3 2" xfId="14313" xr:uid="{B6BF7660-DF46-4605-B1B4-745C168499F2}"/>
    <cellStyle name="Normal 3 3 4 2 4" xfId="11591" xr:uid="{950A4702-6456-464C-800B-CF6BA01583BD}"/>
    <cellStyle name="Normal 3 3 4 3" xfId="3823" xr:uid="{00000000-0005-0000-0000-000028130000}"/>
    <cellStyle name="Normal 3 3 4 3 2" xfId="6993" xr:uid="{00000000-0005-0000-0000-000029130000}"/>
    <cellStyle name="Normal 3 3 4 3 2 2" xfId="9661" xr:uid="{2A502150-02A5-4B4C-B989-36B3849A5F99}"/>
    <cellStyle name="Normal 3 3 4 3 2 2 2" xfId="15051" xr:uid="{5FAE511C-294B-42BA-B943-BCC3E6F419BE}"/>
    <cellStyle name="Normal 3 3 4 3 2 3" xfId="12298" xr:uid="{60F65448-6D41-44C0-BF20-46DCC63277AA}"/>
    <cellStyle name="Normal 3 3 4 3 3" xfId="8330" xr:uid="{374511AA-717B-425D-BA56-B0CB1C466699}"/>
    <cellStyle name="Normal 3 3 4 3 3 2" xfId="13689" xr:uid="{EF78413C-4344-48B5-BC70-BA2438A9B3F1}"/>
    <cellStyle name="Normal 3 3 4 3 4" xfId="10967" xr:uid="{FEBFD6D3-5E74-46E5-AABD-4C8DF52F272C}"/>
    <cellStyle name="Normal 3 3 4 4" xfId="6605" xr:uid="{00000000-0005-0000-0000-00002A130000}"/>
    <cellStyle name="Normal 3 3 4 4 2" xfId="9282" xr:uid="{0D5FC8EE-D316-4AC8-B2D5-655D2D66090D}"/>
    <cellStyle name="Normal 3 3 4 4 2 2" xfId="14672" xr:uid="{AD344702-2B04-4882-8C99-01F584427E44}"/>
    <cellStyle name="Normal 3 3 4 4 3" xfId="11919" xr:uid="{9EFFB195-53F2-4B97-B408-DD25318EBCA5}"/>
    <cellStyle name="Normal 3 3 4 5" xfId="7942" xr:uid="{241871D6-DF1C-499C-94E4-6AF1E1287027}"/>
    <cellStyle name="Normal 3 3 4 5 2" xfId="13302" xr:uid="{53D3607E-B349-4CB2-B9C6-707EBDE2F1ED}"/>
    <cellStyle name="Normal 3 3 4 6" xfId="10588" xr:uid="{D2C0F9B1-B84F-442D-BF43-5C2061F4570E}"/>
    <cellStyle name="Normal 3 3 5" xfId="3824" xr:uid="{00000000-0005-0000-0000-00002B130000}"/>
    <cellStyle name="Normal 3 3 5 2" xfId="4450" xr:uid="{00000000-0005-0000-0000-00002C130000}"/>
    <cellStyle name="Normal 3 3 5 2 2" xfId="7618" xr:uid="{00000000-0005-0000-0000-00002D130000}"/>
    <cellStyle name="Normal 3 3 5 2 2 2" xfId="10286" xr:uid="{B88525E9-A855-4A67-B612-74F59B439A0A}"/>
    <cellStyle name="Normal 3 3 5 2 2 2 2" xfId="15676" xr:uid="{6A6A3176-9236-43A5-AFE9-316F6283CE26}"/>
    <cellStyle name="Normal 3 3 5 2 2 3" xfId="12923" xr:uid="{6BB459F2-BD63-429C-A0A7-ECDBDAA995F3}"/>
    <cellStyle name="Normal 3 3 5 2 3" xfId="8955" xr:uid="{CC7A2192-BAA7-40AE-A204-5506EFDE5607}"/>
    <cellStyle name="Normal 3 3 5 2 3 2" xfId="14314" xr:uid="{A374A9D7-35A0-4EAC-B915-44AF2ADDBC70}"/>
    <cellStyle name="Normal 3 3 5 2 4" xfId="11592" xr:uid="{B611F69C-794B-4CCE-85C7-D540616E65B9}"/>
    <cellStyle name="Normal 3 3 5 3" xfId="6994" xr:uid="{00000000-0005-0000-0000-00002E130000}"/>
    <cellStyle name="Normal 3 3 5 3 2" xfId="9662" xr:uid="{69CB1B67-4BF8-4EAA-834F-7E082590C2A3}"/>
    <cellStyle name="Normal 3 3 5 3 2 2" xfId="15052" xr:uid="{04947F12-8280-4F08-948A-2A38128B4558}"/>
    <cellStyle name="Normal 3 3 5 3 3" xfId="12299" xr:uid="{8D91DBAA-5804-4412-86CF-BACDF279B286}"/>
    <cellStyle name="Normal 3 3 5 4" xfId="8331" xr:uid="{17C90F18-B071-4A3D-B946-A0578DDC4FA4}"/>
    <cellStyle name="Normal 3 3 5 4 2" xfId="13690" xr:uid="{EBBC5D9B-013C-4EBA-B31E-72A6E97DF9EC}"/>
    <cellStyle name="Normal 3 3 5 5" xfId="10968" xr:uid="{CEF2E04B-884B-457D-8784-187F41B31670}"/>
    <cellStyle name="Normal 3 3 6" xfId="3825" xr:uid="{00000000-0005-0000-0000-00002F130000}"/>
    <cellStyle name="Normal 3 3 6 2" xfId="4451" xr:uid="{00000000-0005-0000-0000-000030130000}"/>
    <cellStyle name="Normal 3 3 6 2 2" xfId="7619" xr:uid="{00000000-0005-0000-0000-000031130000}"/>
    <cellStyle name="Normal 3 3 6 2 2 2" xfId="10287" xr:uid="{A9F368F0-73FA-43CE-BA85-56A70BE17124}"/>
    <cellStyle name="Normal 3 3 6 2 2 2 2" xfId="15677" xr:uid="{6AD206B3-2804-47E1-93E7-4B903E16BFE3}"/>
    <cellStyle name="Normal 3 3 6 2 2 3" xfId="12924" xr:uid="{3C2C3010-FEC3-4F07-B9C9-CB580FE721B0}"/>
    <cellStyle name="Normal 3 3 6 2 3" xfId="8956" xr:uid="{37BD20B9-649E-44F5-93AE-A8705BBF14D0}"/>
    <cellStyle name="Normal 3 3 6 2 3 2" xfId="14315" xr:uid="{3ADFC253-9E37-452D-87B3-5F5770021B81}"/>
    <cellStyle name="Normal 3 3 6 2 4" xfId="11593" xr:uid="{7C835771-E447-4213-8254-B57EC670B849}"/>
    <cellStyle name="Normal 3 3 6 3" xfId="6995" xr:uid="{00000000-0005-0000-0000-000032130000}"/>
    <cellStyle name="Normal 3 3 6 3 2" xfId="9663" xr:uid="{D87F5998-FE58-4DB8-8ABE-1876BA1E86A5}"/>
    <cellStyle name="Normal 3 3 6 3 2 2" xfId="15053" xr:uid="{D0A65B4A-6D92-49D7-8C8C-51507F264AF2}"/>
    <cellStyle name="Normal 3 3 6 3 3" xfId="12300" xr:uid="{9CA44881-3167-442C-843C-ABD8C0AFF568}"/>
    <cellStyle name="Normal 3 3 6 4" xfId="8332" xr:uid="{FB7AC865-53FD-4607-B393-C3FEFB0D5AAF}"/>
    <cellStyle name="Normal 3 3 6 4 2" xfId="13691" xr:uid="{39F592FF-46FA-489B-8F78-CAC99245F47B}"/>
    <cellStyle name="Normal 3 3 6 5" xfId="10969" xr:uid="{F9D525A1-53F1-4EF3-801B-3F160E6EC16B}"/>
    <cellStyle name="Normal 3 3 7" xfId="4444" xr:uid="{00000000-0005-0000-0000-000033130000}"/>
    <cellStyle name="Normal 3 3 7 2" xfId="7612" xr:uid="{00000000-0005-0000-0000-000034130000}"/>
    <cellStyle name="Normal 3 3 7 2 2" xfId="10280" xr:uid="{2E1A10E1-F01E-4452-BB82-30139FB32A7D}"/>
    <cellStyle name="Normal 3 3 7 2 2 2" xfId="15670" xr:uid="{DAC29EBD-E27D-475D-8033-3B39ABC5007B}"/>
    <cellStyle name="Normal 3 3 7 2 3" xfId="12917" xr:uid="{29CADDFE-1D51-4B03-B683-6F0466033327}"/>
    <cellStyle name="Normal 3 3 7 3" xfId="8949" xr:uid="{0138A1AE-230F-4841-9E89-FE5584F1E6D3}"/>
    <cellStyle name="Normal 3 3 7 3 2" xfId="14308" xr:uid="{2A51771A-97D1-4521-A406-EC8D4C88F2C5}"/>
    <cellStyle name="Normal 3 3 7 4" xfId="11586" xr:uid="{39DCFBA2-C215-4C71-A330-9B5DFFD7B1B4}"/>
    <cellStyle name="Normal 3 3 8" xfId="3818" xr:uid="{00000000-0005-0000-0000-000035130000}"/>
    <cellStyle name="Normal 3 3 8 2" xfId="6988" xr:uid="{00000000-0005-0000-0000-000036130000}"/>
    <cellStyle name="Normal 3 3 8 2 2" xfId="9656" xr:uid="{868BABD2-5E82-4B1C-9C58-DCDBD5815433}"/>
    <cellStyle name="Normal 3 3 8 2 2 2" xfId="15046" xr:uid="{A41C1E0C-5FED-41BD-B9FD-ED1AC5716EEC}"/>
    <cellStyle name="Normal 3 3 8 2 3" xfId="12293" xr:uid="{5345C443-78A4-407A-8DE0-17B706E3031D}"/>
    <cellStyle name="Normal 3 3 8 3" xfId="8325" xr:uid="{6F882AD5-B453-4E4E-9018-FC8C7FD952F0}"/>
    <cellStyle name="Normal 3 3 8 3 2" xfId="13684" xr:uid="{B804CEC5-282F-4E52-938B-64A7D941582C}"/>
    <cellStyle name="Normal 3 3 8 4" xfId="10962" xr:uid="{1B416595-08A3-4710-B734-B943E8190E57}"/>
    <cellStyle name="Normal 3 3 9" xfId="5300" xr:uid="{00000000-0005-0000-0000-000037130000}"/>
    <cellStyle name="Normal 3 3 9 2" xfId="9242" xr:uid="{C8A9489F-0DE4-45CD-987E-1F8BA3B921C4}"/>
    <cellStyle name="Normal 3 3 9 2 2" xfId="14611" xr:uid="{6A8775CA-4A9E-4735-A0E7-3F8D42275AE7}"/>
    <cellStyle name="Normal 3 3 9 3" xfId="11879" xr:uid="{CE8F882C-72AE-4BF0-BDF1-9AF6C041D5BB}"/>
    <cellStyle name="Normal 3 4" xfId="3320" xr:uid="{00000000-0005-0000-0000-000038130000}"/>
    <cellStyle name="Normal 3 4 10" xfId="6627" xr:uid="{00000000-0005-0000-0000-000039130000}"/>
    <cellStyle name="Normal 3 4 10 2" xfId="9304" xr:uid="{1838FAC0-C0C1-41CB-9E27-3E83F83FA0B3}"/>
    <cellStyle name="Normal 3 4 10 2 2" xfId="14694" xr:uid="{F87235D9-D391-433D-B864-C3354271FD69}"/>
    <cellStyle name="Normal 3 4 10 3" xfId="11941" xr:uid="{14B23D13-95CF-4087-9F49-1B476FE2C6E3}"/>
    <cellStyle name="Normal 3 4 11" xfId="7964" xr:uid="{CC8074A8-4B70-4362-B241-F9C46267CE73}"/>
    <cellStyle name="Normal 3 4 11 2" xfId="13324" xr:uid="{42226F5F-0B2C-4F32-A03E-69B7B43C33C0}"/>
    <cellStyle name="Normal 3 4 12" xfId="10610" xr:uid="{5AB4435D-6178-4449-BF58-ACFE3B304BA2}"/>
    <cellStyle name="Normal 3 4 2" xfId="3827" xr:uid="{00000000-0005-0000-0000-00003A130000}"/>
    <cellStyle name="Normal 3 4 2 2" xfId="3828" xr:uid="{00000000-0005-0000-0000-00003B130000}"/>
    <cellStyle name="Normal 3 4 2 2 2" xfId="4454" xr:uid="{00000000-0005-0000-0000-00003C130000}"/>
    <cellStyle name="Normal 3 4 2 2 2 2" xfId="7622" xr:uid="{00000000-0005-0000-0000-00003D130000}"/>
    <cellStyle name="Normal 3 4 2 2 2 2 2" xfId="10290" xr:uid="{654AFE2B-5307-4872-8B0C-DE058C9A6DEF}"/>
    <cellStyle name="Normal 3 4 2 2 2 2 2 2" xfId="15680" xr:uid="{40C84AD2-677D-4BA2-AA40-B4677A9A1E65}"/>
    <cellStyle name="Normal 3 4 2 2 2 2 3" xfId="12927" xr:uid="{4B920128-928E-41A5-BFFB-FE3AF88EE268}"/>
    <cellStyle name="Normal 3 4 2 2 2 3" xfId="8959" xr:uid="{56EF9B06-517C-4729-8D94-DA080003562E}"/>
    <cellStyle name="Normal 3 4 2 2 2 3 2" xfId="14318" xr:uid="{733F76B0-3B51-4573-BD34-EF52192D1EB0}"/>
    <cellStyle name="Normal 3 4 2 2 2 4" xfId="11596" xr:uid="{B2C379CE-B388-4F2A-A73E-1BD06683623B}"/>
    <cellStyle name="Normal 3 4 2 2 3" xfId="6998" xr:uid="{00000000-0005-0000-0000-00003E130000}"/>
    <cellStyle name="Normal 3 4 2 2 3 2" xfId="9666" xr:uid="{3EEA2AA0-B369-4BEA-8A9F-34CFA10E68DB}"/>
    <cellStyle name="Normal 3 4 2 2 3 2 2" xfId="15056" xr:uid="{F9411D8A-D26C-4DA8-8335-4ED8E76D6118}"/>
    <cellStyle name="Normal 3 4 2 2 3 3" xfId="12303" xr:uid="{DE8FB92B-3994-4872-A237-EA4F8A1BC42A}"/>
    <cellStyle name="Normal 3 4 2 2 4" xfId="8335" xr:uid="{EF8EEF02-F708-41C0-8D89-567E363E64FB}"/>
    <cellStyle name="Normal 3 4 2 2 4 2" xfId="13694" xr:uid="{BB42F5E6-4B37-44D7-BF75-80D45C8003E6}"/>
    <cellStyle name="Normal 3 4 2 2 5" xfId="10972" xr:uid="{026D15F9-80E5-4AC8-B2C5-06730F4259B0}"/>
    <cellStyle name="Normal 3 4 2 3" xfId="3829" xr:uid="{00000000-0005-0000-0000-00003F130000}"/>
    <cellStyle name="Normal 3 4 2 3 2" xfId="4455" xr:uid="{00000000-0005-0000-0000-000040130000}"/>
    <cellStyle name="Normal 3 4 2 3 2 2" xfId="7623" xr:uid="{00000000-0005-0000-0000-000041130000}"/>
    <cellStyle name="Normal 3 4 2 3 2 2 2" xfId="10291" xr:uid="{1B7253E7-BFA3-4C64-8B6B-6A8029EC65EB}"/>
    <cellStyle name="Normal 3 4 2 3 2 2 2 2" xfId="15681" xr:uid="{3E206287-2167-4BB1-AA0A-CA8C7FD1FE9A}"/>
    <cellStyle name="Normal 3 4 2 3 2 2 3" xfId="12928" xr:uid="{9CB51C3D-C5A2-405F-AFBF-2E919FD313F9}"/>
    <cellStyle name="Normal 3 4 2 3 2 3" xfId="8960" xr:uid="{E37BFEFD-1511-4F9B-9771-591FF389215E}"/>
    <cellStyle name="Normal 3 4 2 3 2 3 2" xfId="14319" xr:uid="{02AED9E1-495D-4EFB-8C5D-7AB522AFD80F}"/>
    <cellStyle name="Normal 3 4 2 3 2 4" xfId="11597" xr:uid="{37991A6B-EE86-4115-805B-8E0B9E24AFD5}"/>
    <cellStyle name="Normal 3 4 2 3 3" xfId="6999" xr:uid="{00000000-0005-0000-0000-000042130000}"/>
    <cellStyle name="Normal 3 4 2 3 3 2" xfId="9667" xr:uid="{C4FF74F1-403B-412D-8666-D0D901EADA10}"/>
    <cellStyle name="Normal 3 4 2 3 3 2 2" xfId="15057" xr:uid="{FF135C66-DA99-4398-A3AC-557F52D967AB}"/>
    <cellStyle name="Normal 3 4 2 3 3 3" xfId="12304" xr:uid="{0830E131-D3E9-4248-9B2F-580148B26CCF}"/>
    <cellStyle name="Normal 3 4 2 3 4" xfId="8336" xr:uid="{F737D368-AFA9-4C6D-8F94-CA50ECB2273B}"/>
    <cellStyle name="Normal 3 4 2 3 4 2" xfId="13695" xr:uid="{6EF10625-8136-44E2-8738-DD66A144C358}"/>
    <cellStyle name="Normal 3 4 2 3 5" xfId="10973" xr:uid="{9C48A3BC-44D4-4C74-B63E-78569AA1CB71}"/>
    <cellStyle name="Normal 3 4 2 4" xfId="4453" xr:uid="{00000000-0005-0000-0000-000043130000}"/>
    <cellStyle name="Normal 3 4 2 4 2" xfId="7621" xr:uid="{00000000-0005-0000-0000-000044130000}"/>
    <cellStyle name="Normal 3 4 2 4 2 2" xfId="10289" xr:uid="{BA25889E-0627-4245-B840-74063553C06E}"/>
    <cellStyle name="Normal 3 4 2 4 2 2 2" xfId="15679" xr:uid="{FBCA61C6-A22C-4352-A155-348E26488661}"/>
    <cellStyle name="Normal 3 4 2 4 2 3" xfId="12926" xr:uid="{15475ECB-79CC-44A7-8471-BDBAA0C25A6E}"/>
    <cellStyle name="Normal 3 4 2 4 3" xfId="8958" xr:uid="{24261A88-B001-4DB8-A126-394821C9FF5A}"/>
    <cellStyle name="Normal 3 4 2 4 3 2" xfId="14317" xr:uid="{D023814F-72BB-4A6F-A826-B779353E7D2F}"/>
    <cellStyle name="Normal 3 4 2 4 4" xfId="11595" xr:uid="{6058B603-15FA-44C5-AC70-31178655EA75}"/>
    <cellStyle name="Normal 3 4 2 5" xfId="6997" xr:uid="{00000000-0005-0000-0000-000045130000}"/>
    <cellStyle name="Normal 3 4 2 5 2" xfId="9665" xr:uid="{6B410474-62AB-4523-9BC8-4D1C20514E5E}"/>
    <cellStyle name="Normal 3 4 2 5 2 2" xfId="15055" xr:uid="{F311BC71-0E2D-4630-81FC-F72A8E09F7BA}"/>
    <cellStyle name="Normal 3 4 2 5 3" xfId="12302" xr:uid="{CEB169E9-141B-4C29-A1B9-86B4D29BBDE1}"/>
    <cellStyle name="Normal 3 4 2 6" xfId="8334" xr:uid="{5FB1EE9D-1270-4F25-9454-08C92030A927}"/>
    <cellStyle name="Normal 3 4 2 6 2" xfId="13693" xr:uid="{8A0FA38D-3E31-4479-A51A-8339077E910B}"/>
    <cellStyle name="Normal 3 4 2 7" xfId="10971" xr:uid="{34A97341-548E-4962-BD76-F667BE2F6CFB}"/>
    <cellStyle name="Normal 3 4 3" xfId="3830" xr:uid="{00000000-0005-0000-0000-000046130000}"/>
    <cellStyle name="Normal 3 4 3 2" xfId="4456" xr:uid="{00000000-0005-0000-0000-000047130000}"/>
    <cellStyle name="Normal 3 4 3 2 2" xfId="7624" xr:uid="{00000000-0005-0000-0000-000048130000}"/>
    <cellStyle name="Normal 3 4 3 2 2 2" xfId="10292" xr:uid="{83C55553-795E-4B53-B160-BC8921B8C673}"/>
    <cellStyle name="Normal 3 4 3 2 2 2 2" xfId="15682" xr:uid="{26CD59EC-16CA-4306-A13E-C515474C7671}"/>
    <cellStyle name="Normal 3 4 3 2 2 3" xfId="12929" xr:uid="{F2554EFB-3C6D-4B51-89E6-901090E6E707}"/>
    <cellStyle name="Normal 3 4 3 2 3" xfId="8961" xr:uid="{BC797429-C05B-4186-909D-C165B06BD867}"/>
    <cellStyle name="Normal 3 4 3 2 3 2" xfId="14320" xr:uid="{ACC7BCBB-7F5F-4F23-8939-66B64F52CE97}"/>
    <cellStyle name="Normal 3 4 3 2 4" xfId="11598" xr:uid="{C6204E45-E593-4744-937F-A55D21663896}"/>
    <cellStyle name="Normal 3 4 3 3" xfId="7000" xr:uid="{00000000-0005-0000-0000-000049130000}"/>
    <cellStyle name="Normal 3 4 3 3 2" xfId="9668" xr:uid="{EAA568BC-D75A-437E-BEDD-E677B7DBB337}"/>
    <cellStyle name="Normal 3 4 3 3 2 2" xfId="15058" xr:uid="{58FC4859-0CD4-4BC8-8C7D-3CE5D1D59397}"/>
    <cellStyle name="Normal 3 4 3 3 3" xfId="12305" xr:uid="{B877E0BA-0EA7-444B-B7D3-C3B50B465328}"/>
    <cellStyle name="Normal 3 4 3 4" xfId="8337" xr:uid="{54B9B103-CBCD-455D-91ED-77CFFCDF7B15}"/>
    <cellStyle name="Normal 3 4 3 4 2" xfId="13696" xr:uid="{91434287-22FD-4D2D-8326-2979FAD14B96}"/>
    <cellStyle name="Normal 3 4 3 5" xfId="10974" xr:uid="{588573E7-4EDB-4576-9EB1-F6593D10F9AF}"/>
    <cellStyle name="Normal 3 4 4" xfId="3831" xr:uid="{00000000-0005-0000-0000-00004A130000}"/>
    <cellStyle name="Normal 3 4 4 2" xfId="4457" xr:uid="{00000000-0005-0000-0000-00004B130000}"/>
    <cellStyle name="Normal 3 4 4 2 2" xfId="7625" xr:uid="{00000000-0005-0000-0000-00004C130000}"/>
    <cellStyle name="Normal 3 4 4 2 2 2" xfId="10293" xr:uid="{424951F2-230E-4190-AB4D-A55FA5B3C61E}"/>
    <cellStyle name="Normal 3 4 4 2 2 2 2" xfId="15683" xr:uid="{13A49D10-9028-4AF5-A17F-9E9B825AEB5D}"/>
    <cellStyle name="Normal 3 4 4 2 2 3" xfId="12930" xr:uid="{E9BB32BE-8E10-437E-BCAA-B20B2E2178AF}"/>
    <cellStyle name="Normal 3 4 4 2 3" xfId="8962" xr:uid="{F9ADF665-0066-4DF3-A710-56779376FDC5}"/>
    <cellStyle name="Normal 3 4 4 2 3 2" xfId="14321" xr:uid="{C188CF77-21F8-4BE6-BEF3-E7F5A9C402F5}"/>
    <cellStyle name="Normal 3 4 4 2 4" xfId="11599" xr:uid="{2877CF13-EB91-4A9F-97C7-74B632B09B72}"/>
    <cellStyle name="Normal 3 4 4 3" xfId="7001" xr:uid="{00000000-0005-0000-0000-00004D130000}"/>
    <cellStyle name="Normal 3 4 4 3 2" xfId="9669" xr:uid="{C75DBE01-9960-459D-855D-114228FE2200}"/>
    <cellStyle name="Normal 3 4 4 3 2 2" xfId="15059" xr:uid="{E1F136BD-E63F-4178-AF7D-A274C01041CA}"/>
    <cellStyle name="Normal 3 4 4 3 3" xfId="12306" xr:uid="{DF1EDC82-7636-4CB7-8EB2-D3CCD0B0D7B6}"/>
    <cellStyle name="Normal 3 4 4 4" xfId="8338" xr:uid="{BAA73EAE-6525-4443-8470-71B55F2DC68B}"/>
    <cellStyle name="Normal 3 4 4 4 2" xfId="13697" xr:uid="{61181855-2D7A-4434-A4F1-F68A7A23D0C2}"/>
    <cellStyle name="Normal 3 4 4 5" xfId="10975" xr:uid="{6716065E-654B-44ED-9BD5-33744345C9F6}"/>
    <cellStyle name="Normal 3 4 5" xfId="3832" xr:uid="{00000000-0005-0000-0000-00004E130000}"/>
    <cellStyle name="Normal 3 4 5 2" xfId="4458" xr:uid="{00000000-0005-0000-0000-00004F130000}"/>
    <cellStyle name="Normal 3 4 5 2 2" xfId="7626" xr:uid="{00000000-0005-0000-0000-000050130000}"/>
    <cellStyle name="Normal 3 4 5 2 2 2" xfId="10294" xr:uid="{51343FF1-44AD-4209-AAF9-91E60485A9CC}"/>
    <cellStyle name="Normal 3 4 5 2 2 2 2" xfId="15684" xr:uid="{C1EDA915-81FC-496C-8353-27EB66CD3A31}"/>
    <cellStyle name="Normal 3 4 5 2 2 3" xfId="12931" xr:uid="{19E57793-3CA0-4679-BB87-CD99CD105ABF}"/>
    <cellStyle name="Normal 3 4 5 2 3" xfId="8963" xr:uid="{2A788043-004C-4A09-9180-CA199A28AC7D}"/>
    <cellStyle name="Normal 3 4 5 2 3 2" xfId="14322" xr:uid="{4617B8FD-7330-49D5-AC59-83BB534C2308}"/>
    <cellStyle name="Normal 3 4 5 2 4" xfId="11600" xr:uid="{2328B25E-D305-4FDA-8503-513980F0A4E8}"/>
    <cellStyle name="Normal 3 4 5 3" xfId="7002" xr:uid="{00000000-0005-0000-0000-000051130000}"/>
    <cellStyle name="Normal 3 4 5 3 2" xfId="9670" xr:uid="{228F3F8E-1BD4-4288-A17C-7A029B20B6D6}"/>
    <cellStyle name="Normal 3 4 5 3 2 2" xfId="15060" xr:uid="{D021F16C-3777-4135-9B29-288C29785C42}"/>
    <cellStyle name="Normal 3 4 5 3 3" xfId="12307" xr:uid="{E4D73999-B9AB-49FF-8972-2254922B0CFC}"/>
    <cellStyle name="Normal 3 4 5 4" xfId="8339" xr:uid="{EC2D8B06-0ECB-48D0-B4AB-02EC97226027}"/>
    <cellStyle name="Normal 3 4 5 4 2" xfId="13698" xr:uid="{0EDF2F15-F738-4A04-9DE1-4EAFD5BEAE26}"/>
    <cellStyle name="Normal 3 4 5 5" xfId="10976" xr:uid="{D0E7E6C9-8302-4FC3-A23A-A8A0E5B708F3}"/>
    <cellStyle name="Normal 3 4 6" xfId="3833" xr:uid="{00000000-0005-0000-0000-000052130000}"/>
    <cellStyle name="Normal 3 4 6 2" xfId="4459" xr:uid="{00000000-0005-0000-0000-000053130000}"/>
    <cellStyle name="Normal 3 4 6 2 2" xfId="7627" xr:uid="{00000000-0005-0000-0000-000054130000}"/>
    <cellStyle name="Normal 3 4 6 2 2 2" xfId="10295" xr:uid="{54C58C6A-BADC-4045-A2AE-7FA595BCABF6}"/>
    <cellStyle name="Normal 3 4 6 2 2 2 2" xfId="15685" xr:uid="{86241762-C075-4158-A972-6E1CA0DFCD57}"/>
    <cellStyle name="Normal 3 4 6 2 2 3" xfId="12932" xr:uid="{93B40DA0-CFBF-495B-ADA9-7455419D6AB5}"/>
    <cellStyle name="Normal 3 4 6 2 3" xfId="8964" xr:uid="{29D12E20-CD22-405B-A060-F6C81C562FD9}"/>
    <cellStyle name="Normal 3 4 6 2 3 2" xfId="14323" xr:uid="{CB794BCD-94B7-47BA-8B0D-5A94F64E5DD0}"/>
    <cellStyle name="Normal 3 4 6 2 4" xfId="11601" xr:uid="{116ABB6F-443E-4CEE-808D-26E84C48FD40}"/>
    <cellStyle name="Normal 3 4 6 3" xfId="7003" xr:uid="{00000000-0005-0000-0000-000055130000}"/>
    <cellStyle name="Normal 3 4 6 3 2" xfId="9671" xr:uid="{B0B5FF2D-0C48-4F0C-9B68-EA0779E1A0EA}"/>
    <cellStyle name="Normal 3 4 6 3 2 2" xfId="15061" xr:uid="{2901FE34-E9F7-4650-A6B1-D855524B70E2}"/>
    <cellStyle name="Normal 3 4 6 3 3" xfId="12308" xr:uid="{E6C19523-65C5-4AD3-9FD6-BE8E386D8EA0}"/>
    <cellStyle name="Normal 3 4 6 4" xfId="8340" xr:uid="{3FB02E2B-8DBF-4667-A0F5-5FE60ABE821E}"/>
    <cellStyle name="Normal 3 4 6 4 2" xfId="13699" xr:uid="{2584E2AB-49DB-4B7D-B9B8-276494B413F9}"/>
    <cellStyle name="Normal 3 4 6 5" xfId="10977" xr:uid="{07BCED9B-356C-48F8-9A8A-B5A4602BE2ED}"/>
    <cellStyle name="Normal 3 4 7" xfId="4452" xr:uid="{00000000-0005-0000-0000-000056130000}"/>
    <cellStyle name="Normal 3 4 7 2" xfId="7620" xr:uid="{00000000-0005-0000-0000-000057130000}"/>
    <cellStyle name="Normal 3 4 7 2 2" xfId="10288" xr:uid="{9FDF47EC-73D1-4C02-908F-2668F7F87BB0}"/>
    <cellStyle name="Normal 3 4 7 2 2 2" xfId="15678" xr:uid="{4D0BBC55-2F23-4E1C-99F6-3FF83BBC0CFD}"/>
    <cellStyle name="Normal 3 4 7 2 3" xfId="12925" xr:uid="{2598ED89-15D8-433E-82A4-EF9E233702C6}"/>
    <cellStyle name="Normal 3 4 7 3" xfId="8957" xr:uid="{1529A243-381E-4EB1-AD07-777AD063B349}"/>
    <cellStyle name="Normal 3 4 7 3 2" xfId="14316" xr:uid="{2BD7138B-F2A6-4F7E-92BF-61FA33A011B7}"/>
    <cellStyle name="Normal 3 4 7 4" xfId="11594" xr:uid="{199A87F3-C7A8-47C6-B815-9FE8A1551F11}"/>
    <cellStyle name="Normal 3 4 8" xfId="3826" xr:uid="{00000000-0005-0000-0000-000058130000}"/>
    <cellStyle name="Normal 3 4 8 2" xfId="6996" xr:uid="{00000000-0005-0000-0000-000059130000}"/>
    <cellStyle name="Normal 3 4 8 2 2" xfId="9664" xr:uid="{51994291-FA01-4657-B9D0-515A4947A498}"/>
    <cellStyle name="Normal 3 4 8 2 2 2" xfId="15054" xr:uid="{DF7318F6-8B36-4EF8-8E1E-539AF283EDCF}"/>
    <cellStyle name="Normal 3 4 8 2 3" xfId="12301" xr:uid="{B17AD722-F57E-49BF-89B3-6D8B1C742055}"/>
    <cellStyle name="Normal 3 4 8 3" xfId="8333" xr:uid="{6E29AC5A-3555-47D0-95A9-D5477410B881}"/>
    <cellStyle name="Normal 3 4 8 3 2" xfId="13692" xr:uid="{40ACCB9F-DB7F-49FE-8FF6-DCF4636B3FA7}"/>
    <cellStyle name="Normal 3 4 8 4" xfId="10970" xr:uid="{80797AE2-9984-4B0D-8F45-A38BE45AAD57}"/>
    <cellStyle name="Normal 3 4 9" xfId="5298" xr:uid="{00000000-0005-0000-0000-00005A130000}"/>
    <cellStyle name="Normal 3 5" xfId="3834" xr:uid="{00000000-0005-0000-0000-00005B130000}"/>
    <cellStyle name="Normal 3 5 2" xfId="3835" xr:uid="{00000000-0005-0000-0000-00005C130000}"/>
    <cellStyle name="Normal 3 5 2 2" xfId="3836" xr:uid="{00000000-0005-0000-0000-00005D130000}"/>
    <cellStyle name="Normal 3 5 2 2 2" xfId="4462" xr:uid="{00000000-0005-0000-0000-00005E130000}"/>
    <cellStyle name="Normal 3 5 2 2 2 2" xfId="7630" xr:uid="{00000000-0005-0000-0000-00005F130000}"/>
    <cellStyle name="Normal 3 5 2 2 2 2 2" xfId="10298" xr:uid="{DF4D80B5-EF17-4274-B4CB-FA97B62AE209}"/>
    <cellStyle name="Normal 3 5 2 2 2 2 2 2" xfId="15688" xr:uid="{FC59388D-AC9A-4712-8396-F4333FFF177E}"/>
    <cellStyle name="Normal 3 5 2 2 2 2 3" xfId="12935" xr:uid="{A83B2CA0-9D9A-4F2B-8D76-E5F2F88002CF}"/>
    <cellStyle name="Normal 3 5 2 2 2 3" xfId="8967" xr:uid="{64B11336-88F0-45A1-8DF5-85497375C48C}"/>
    <cellStyle name="Normal 3 5 2 2 2 3 2" xfId="14326" xr:uid="{C0AEA833-5891-46A9-B3E4-12CEC8425820}"/>
    <cellStyle name="Normal 3 5 2 2 2 4" xfId="11604" xr:uid="{1011BD9F-F763-4F06-BF49-77094D5945AB}"/>
    <cellStyle name="Normal 3 5 2 2 3" xfId="7006" xr:uid="{00000000-0005-0000-0000-000060130000}"/>
    <cellStyle name="Normal 3 5 2 2 3 2" xfId="9674" xr:uid="{7438AD15-92D3-4C7C-8E0B-C1D178ADDCF4}"/>
    <cellStyle name="Normal 3 5 2 2 3 2 2" xfId="15064" xr:uid="{383BA616-0BDB-4D5D-A76A-AB9D1CC6BB9F}"/>
    <cellStyle name="Normal 3 5 2 2 3 3" xfId="12311" xr:uid="{F67B20E0-D3BD-45CE-9667-C1CE18B2B516}"/>
    <cellStyle name="Normal 3 5 2 2 4" xfId="8343" xr:uid="{BE26FB8B-09FB-40BB-81E6-24B5AC96E18B}"/>
    <cellStyle name="Normal 3 5 2 2 4 2" xfId="13702" xr:uid="{2EF5F321-8CD9-4C00-A720-63C67F642D0F}"/>
    <cellStyle name="Normal 3 5 2 2 5" xfId="10980" xr:uid="{07084B1C-F1BA-4BF5-8132-029B60EBE789}"/>
    <cellStyle name="Normal 3 5 2 3" xfId="3837" xr:uid="{00000000-0005-0000-0000-000061130000}"/>
    <cellStyle name="Normal 3 5 2 3 2" xfId="4463" xr:uid="{00000000-0005-0000-0000-000062130000}"/>
    <cellStyle name="Normal 3 5 2 3 2 2" xfId="7631" xr:uid="{00000000-0005-0000-0000-000063130000}"/>
    <cellStyle name="Normal 3 5 2 3 2 2 2" xfId="10299" xr:uid="{951ED2A8-2E79-4416-B177-611DC6B8F816}"/>
    <cellStyle name="Normal 3 5 2 3 2 2 2 2" xfId="15689" xr:uid="{A1F86477-63CF-44C8-8EB3-CBF0E99B0FB9}"/>
    <cellStyle name="Normal 3 5 2 3 2 2 3" xfId="12936" xr:uid="{8ACEC1B6-509B-404F-B2EC-459056247FCD}"/>
    <cellStyle name="Normal 3 5 2 3 2 3" xfId="8968" xr:uid="{B005EDC8-12AB-481E-A7DA-70B72AA2FF74}"/>
    <cellStyle name="Normal 3 5 2 3 2 3 2" xfId="14327" xr:uid="{1C88B166-6FCD-45AF-82B6-9178A82E150F}"/>
    <cellStyle name="Normal 3 5 2 3 2 4" xfId="11605" xr:uid="{690DAE0B-7DA2-4008-8ECC-1BF0FB57499E}"/>
    <cellStyle name="Normal 3 5 2 3 3" xfId="7007" xr:uid="{00000000-0005-0000-0000-000064130000}"/>
    <cellStyle name="Normal 3 5 2 3 3 2" xfId="9675" xr:uid="{5E479990-D5A9-4CD3-8B5C-D89798C7F828}"/>
    <cellStyle name="Normal 3 5 2 3 3 2 2" xfId="15065" xr:uid="{ED321ADD-00FD-4EC0-B547-5763367C3964}"/>
    <cellStyle name="Normal 3 5 2 3 3 3" xfId="12312" xr:uid="{1B7EC8CD-FC48-4859-9C55-860184F37B26}"/>
    <cellStyle name="Normal 3 5 2 3 4" xfId="8344" xr:uid="{8F12B913-9CCB-41B9-A08F-A1B514CE8C6D}"/>
    <cellStyle name="Normal 3 5 2 3 4 2" xfId="13703" xr:uid="{DBAAD2AF-AF0D-4030-9900-0B4020FFAF79}"/>
    <cellStyle name="Normal 3 5 2 3 5" xfId="10981" xr:uid="{AA56DCA5-D66F-4188-B3A8-DFFAC75BAEED}"/>
    <cellStyle name="Normal 3 5 2 4" xfId="4461" xr:uid="{00000000-0005-0000-0000-000065130000}"/>
    <cellStyle name="Normal 3 5 2 4 2" xfId="7629" xr:uid="{00000000-0005-0000-0000-000066130000}"/>
    <cellStyle name="Normal 3 5 2 4 2 2" xfId="10297" xr:uid="{6441C46E-1C22-4199-B57E-AF1487E5D474}"/>
    <cellStyle name="Normal 3 5 2 4 2 2 2" xfId="15687" xr:uid="{ED769F52-49AD-4FAF-AF48-4FA28CC0606C}"/>
    <cellStyle name="Normal 3 5 2 4 2 3" xfId="12934" xr:uid="{3D03E3E6-2967-4072-BFA7-040D8C1AE33B}"/>
    <cellStyle name="Normal 3 5 2 4 3" xfId="8966" xr:uid="{F072182F-3AE3-4775-903D-26F4DDD27682}"/>
    <cellStyle name="Normal 3 5 2 4 3 2" xfId="14325" xr:uid="{6E329ED0-F132-413A-A3FE-BD5ABF3ED71E}"/>
    <cellStyle name="Normal 3 5 2 4 4" xfId="11603" xr:uid="{815C2DA5-E879-4E59-96E7-23205EB6E6C1}"/>
    <cellStyle name="Normal 3 5 2 5" xfId="7005" xr:uid="{00000000-0005-0000-0000-000067130000}"/>
    <cellStyle name="Normal 3 5 2 5 2" xfId="9673" xr:uid="{171F4D4F-3085-45D8-A882-1773E12CB361}"/>
    <cellStyle name="Normal 3 5 2 5 2 2" xfId="15063" xr:uid="{488C9CA1-D75C-49BF-870A-8E91EFC763F0}"/>
    <cellStyle name="Normal 3 5 2 5 3" xfId="12310" xr:uid="{853CFB2B-84A9-43AC-8479-998B9324468C}"/>
    <cellStyle name="Normal 3 5 2 6" xfId="8342" xr:uid="{8666B8AA-FB39-4500-9552-27272B39CF50}"/>
    <cellStyle name="Normal 3 5 2 6 2" xfId="13701" xr:uid="{F09B9269-B919-4663-8C55-81D8E4D84215}"/>
    <cellStyle name="Normal 3 5 2 7" xfId="10979" xr:uid="{4DBDE597-B1E4-46FA-BE52-3CC93F35C361}"/>
    <cellStyle name="Normal 3 5 3" xfId="3838" xr:uid="{00000000-0005-0000-0000-000068130000}"/>
    <cellStyle name="Normal 3 5 3 2" xfId="4464" xr:uid="{00000000-0005-0000-0000-000069130000}"/>
    <cellStyle name="Normal 3 5 3 2 2" xfId="7632" xr:uid="{00000000-0005-0000-0000-00006A130000}"/>
    <cellStyle name="Normal 3 5 3 2 2 2" xfId="10300" xr:uid="{7F53731F-E9C5-41E3-AD59-FFA21EEB9662}"/>
    <cellStyle name="Normal 3 5 3 2 2 2 2" xfId="15690" xr:uid="{E785E7C7-F3DD-484B-9308-1BE5F039FEBF}"/>
    <cellStyle name="Normal 3 5 3 2 2 3" xfId="12937" xr:uid="{F3878C4F-1CFC-4528-BC09-32D85B06B916}"/>
    <cellStyle name="Normal 3 5 3 2 3" xfId="8969" xr:uid="{73A0BC54-0095-4FA9-A1A8-5F2C60D61C96}"/>
    <cellStyle name="Normal 3 5 3 2 3 2" xfId="14328" xr:uid="{A55614EA-A401-4920-BB37-14B35183315C}"/>
    <cellStyle name="Normal 3 5 3 2 4" xfId="11606" xr:uid="{8A6CED28-D9B6-4E2B-9393-ACCB603A8C9B}"/>
    <cellStyle name="Normal 3 5 3 3" xfId="7008" xr:uid="{00000000-0005-0000-0000-00006B130000}"/>
    <cellStyle name="Normal 3 5 3 3 2" xfId="9676" xr:uid="{3F77E959-2974-4920-9ACC-0B2DDAB8C847}"/>
    <cellStyle name="Normal 3 5 3 3 2 2" xfId="15066" xr:uid="{803D1A7F-004B-4FA5-B98C-F0944C0C4336}"/>
    <cellStyle name="Normal 3 5 3 3 3" xfId="12313" xr:uid="{2CA6AD25-D075-4CE0-98E0-4BDA4F397D9F}"/>
    <cellStyle name="Normal 3 5 3 4" xfId="8345" xr:uid="{3AF1ECF4-B5AE-41F8-A4A0-6D3EC05440E9}"/>
    <cellStyle name="Normal 3 5 3 4 2" xfId="13704" xr:uid="{5F944035-C62B-4961-983F-1F9A9B88DC62}"/>
    <cellStyle name="Normal 3 5 3 5" xfId="10982" xr:uid="{8E4BADD1-8811-4484-A40E-E9677FD2C848}"/>
    <cellStyle name="Normal 3 5 4" xfId="3839" xr:uid="{00000000-0005-0000-0000-00006C130000}"/>
    <cellStyle name="Normal 3 5 4 2" xfId="4465" xr:uid="{00000000-0005-0000-0000-00006D130000}"/>
    <cellStyle name="Normal 3 5 4 2 2" xfId="7633" xr:uid="{00000000-0005-0000-0000-00006E130000}"/>
    <cellStyle name="Normal 3 5 4 2 2 2" xfId="10301" xr:uid="{221760AA-0888-4800-868B-6BDE60CD062F}"/>
    <cellStyle name="Normal 3 5 4 2 2 2 2" xfId="15691" xr:uid="{DFAFFA9F-F2E6-4AA1-8034-8B8DC3FEE7A4}"/>
    <cellStyle name="Normal 3 5 4 2 2 3" xfId="12938" xr:uid="{046609DB-BCF0-4FDF-8F93-7DD410574409}"/>
    <cellStyle name="Normal 3 5 4 2 3" xfId="8970" xr:uid="{A1EDE913-4631-4F32-A410-6D2F2C160D8E}"/>
    <cellStyle name="Normal 3 5 4 2 3 2" xfId="14329" xr:uid="{CC886C83-A325-47D2-B951-B435C7B8F384}"/>
    <cellStyle name="Normal 3 5 4 2 4" xfId="11607" xr:uid="{3864EF4C-A270-4208-AB1F-2D817A101904}"/>
    <cellStyle name="Normal 3 5 4 3" xfId="7009" xr:uid="{00000000-0005-0000-0000-00006F130000}"/>
    <cellStyle name="Normal 3 5 4 3 2" xfId="9677" xr:uid="{01AF044B-0AA4-4540-B28F-9181FE482412}"/>
    <cellStyle name="Normal 3 5 4 3 2 2" xfId="15067" xr:uid="{9CBEC03A-D8C2-4E02-8EBC-3C7D14D96805}"/>
    <cellStyle name="Normal 3 5 4 3 3" xfId="12314" xr:uid="{5381979C-4A7F-4155-885C-FC10042A11BD}"/>
    <cellStyle name="Normal 3 5 4 4" xfId="8346" xr:uid="{AE012A3B-690C-486F-A8FD-EEA9632DBD2C}"/>
    <cellStyle name="Normal 3 5 4 4 2" xfId="13705" xr:uid="{4EB0C4DE-2378-4527-8557-6C6BD7972D69}"/>
    <cellStyle name="Normal 3 5 4 5" xfId="10983" xr:uid="{D25A9576-DE4F-4BC3-97DF-7ADDA28589ED}"/>
    <cellStyle name="Normal 3 5 5" xfId="3840" xr:uid="{00000000-0005-0000-0000-000070130000}"/>
    <cellStyle name="Normal 3 5 5 2" xfId="4466" xr:uid="{00000000-0005-0000-0000-000071130000}"/>
    <cellStyle name="Normal 3 5 5 2 2" xfId="7634" xr:uid="{00000000-0005-0000-0000-000072130000}"/>
    <cellStyle name="Normal 3 5 5 2 2 2" xfId="10302" xr:uid="{416C14CB-A4B9-4994-ABBD-5189C68155EB}"/>
    <cellStyle name="Normal 3 5 5 2 2 2 2" xfId="15692" xr:uid="{43439FD3-F214-4476-9603-C9079BC107C3}"/>
    <cellStyle name="Normal 3 5 5 2 2 3" xfId="12939" xr:uid="{DEE462F5-8D9E-48FB-8B12-CFF9E5665153}"/>
    <cellStyle name="Normal 3 5 5 2 3" xfId="8971" xr:uid="{06984FCF-6691-4732-92D7-4BC5BD5D74D7}"/>
    <cellStyle name="Normal 3 5 5 2 3 2" xfId="14330" xr:uid="{4BFD26E8-569F-4344-AD8E-7131F6C374CC}"/>
    <cellStyle name="Normal 3 5 5 2 4" xfId="11608" xr:uid="{AAD46090-BAD4-46E9-A968-A6C974C95CE3}"/>
    <cellStyle name="Normal 3 5 5 3" xfId="7010" xr:uid="{00000000-0005-0000-0000-000073130000}"/>
    <cellStyle name="Normal 3 5 5 3 2" xfId="9678" xr:uid="{CC74FC5A-B98D-47A7-8914-9A8A89B39750}"/>
    <cellStyle name="Normal 3 5 5 3 2 2" xfId="15068" xr:uid="{4FE0F020-B7C1-48F8-B844-2B606E5F5116}"/>
    <cellStyle name="Normal 3 5 5 3 3" xfId="12315" xr:uid="{DB731E24-8789-41E4-8231-37D0331F3FC2}"/>
    <cellStyle name="Normal 3 5 5 4" xfId="8347" xr:uid="{5E223CA6-9E21-4881-BD85-94120130ECCA}"/>
    <cellStyle name="Normal 3 5 5 4 2" xfId="13706" xr:uid="{1CD2C01F-B23F-48EE-B578-D454CB0E6D4B}"/>
    <cellStyle name="Normal 3 5 5 5" xfId="10984" xr:uid="{C506198E-28B5-4069-94A9-3E98DBB93095}"/>
    <cellStyle name="Normal 3 5 6" xfId="4460" xr:uid="{00000000-0005-0000-0000-000074130000}"/>
    <cellStyle name="Normal 3 5 6 2" xfId="7628" xr:uid="{00000000-0005-0000-0000-000075130000}"/>
    <cellStyle name="Normal 3 5 6 2 2" xfId="10296" xr:uid="{1C8CC574-8ABA-41A2-A65D-1CF5C9ACEA2C}"/>
    <cellStyle name="Normal 3 5 6 2 2 2" xfId="15686" xr:uid="{BCC5E32C-3521-4FFB-BBA1-3FB61145EA81}"/>
    <cellStyle name="Normal 3 5 6 2 3" xfId="12933" xr:uid="{35282D8B-E82E-446F-A8BF-EEF57FD08EB5}"/>
    <cellStyle name="Normal 3 5 6 3" xfId="8965" xr:uid="{87999F20-0311-4B55-A7E0-FD4FCA6898BB}"/>
    <cellStyle name="Normal 3 5 6 3 2" xfId="14324" xr:uid="{9B514CB1-6584-41AE-8437-52D2CF599A00}"/>
    <cellStyle name="Normal 3 5 6 4" xfId="11602" xr:uid="{C568DA6A-49B5-4B62-9ADF-79D393639A64}"/>
    <cellStyle name="Normal 3 5 7" xfId="7004" xr:uid="{00000000-0005-0000-0000-000076130000}"/>
    <cellStyle name="Normal 3 5 7 2" xfId="9672" xr:uid="{77EA4552-3184-4A00-93D7-AABCA4232BB5}"/>
    <cellStyle name="Normal 3 5 7 2 2" xfId="15062" xr:uid="{B89693E6-D0A0-46D3-9C80-922C2C671F31}"/>
    <cellStyle name="Normal 3 5 7 3" xfId="12309" xr:uid="{FC8AF955-5E75-48F2-A46E-764F846ED66C}"/>
    <cellStyle name="Normal 3 5 8" xfId="8341" xr:uid="{81879DBB-2E5B-4569-A6BB-A308DA3EEECD}"/>
    <cellStyle name="Normal 3 5 8 2" xfId="13700" xr:uid="{2F2CEEA7-F635-4A08-A294-DE81FF8D101D}"/>
    <cellStyle name="Normal 3 5 9" xfId="10978" xr:uid="{3F092F22-072A-4F8F-BAEC-8A2863EF08CC}"/>
    <cellStyle name="Normal 3 6" xfId="3841" xr:uid="{00000000-0005-0000-0000-000077130000}"/>
    <cellStyle name="Normal 3 6 2" xfId="3842" xr:uid="{00000000-0005-0000-0000-000078130000}"/>
    <cellStyle name="Normal 3 6 2 2" xfId="3843" xr:uid="{00000000-0005-0000-0000-000079130000}"/>
    <cellStyle name="Normal 3 6 2 2 2" xfId="4469" xr:uid="{00000000-0005-0000-0000-00007A130000}"/>
    <cellStyle name="Normal 3 6 2 2 2 2" xfId="7637" xr:uid="{00000000-0005-0000-0000-00007B130000}"/>
    <cellStyle name="Normal 3 6 2 2 2 2 2" xfId="10305" xr:uid="{10310D23-B39E-4506-9F01-27DE2E43E232}"/>
    <cellStyle name="Normal 3 6 2 2 2 2 2 2" xfId="15695" xr:uid="{A066BF29-A9A2-4B5C-B5A1-D053B6DC69EC}"/>
    <cellStyle name="Normal 3 6 2 2 2 2 3" xfId="12942" xr:uid="{A214F3F0-6461-40F9-BD4B-831C8DFA83C9}"/>
    <cellStyle name="Normal 3 6 2 2 2 3" xfId="8974" xr:uid="{C097EC78-66A7-4D3D-BF21-65AEEA862C02}"/>
    <cellStyle name="Normal 3 6 2 2 2 3 2" xfId="14333" xr:uid="{6467FDF0-20DA-42C7-AF5F-6CD43A315E92}"/>
    <cellStyle name="Normal 3 6 2 2 2 4" xfId="11611" xr:uid="{365E6F4A-892E-4E09-B9FD-DD27E85BD2C2}"/>
    <cellStyle name="Normal 3 6 2 2 3" xfId="7013" xr:uid="{00000000-0005-0000-0000-00007C130000}"/>
    <cellStyle name="Normal 3 6 2 2 3 2" xfId="9681" xr:uid="{CE73DCD8-5F63-4366-BE16-90DAD6628427}"/>
    <cellStyle name="Normal 3 6 2 2 3 2 2" xfId="15071" xr:uid="{17BCCC30-06BF-4373-9E22-EC9317C674E8}"/>
    <cellStyle name="Normal 3 6 2 2 3 3" xfId="12318" xr:uid="{CF04C4BA-DE2E-453F-934A-5AB4014E1CA0}"/>
    <cellStyle name="Normal 3 6 2 2 4" xfId="8350" xr:uid="{1D254CB2-BEEA-4925-8079-81F70FAE7591}"/>
    <cellStyle name="Normal 3 6 2 2 4 2" xfId="13709" xr:uid="{885928CD-60B3-4C38-9629-5BE329F25230}"/>
    <cellStyle name="Normal 3 6 2 2 5" xfId="10987" xr:uid="{3E050BEF-7603-4697-8FBF-09840DABA808}"/>
    <cellStyle name="Normal 3 6 2 3" xfId="3844" xr:uid="{00000000-0005-0000-0000-00007D130000}"/>
    <cellStyle name="Normal 3 6 2 3 2" xfId="4470" xr:uid="{00000000-0005-0000-0000-00007E130000}"/>
    <cellStyle name="Normal 3 6 2 3 2 2" xfId="7638" xr:uid="{00000000-0005-0000-0000-00007F130000}"/>
    <cellStyle name="Normal 3 6 2 3 2 2 2" xfId="10306" xr:uid="{AAD277C3-83F7-4381-AEC6-545B5146F157}"/>
    <cellStyle name="Normal 3 6 2 3 2 2 2 2" xfId="15696" xr:uid="{9A6EEB61-FD98-4125-B927-7D2B0D569D6E}"/>
    <cellStyle name="Normal 3 6 2 3 2 2 3" xfId="12943" xr:uid="{4CDF68B6-BB9D-4376-9344-70AF0B9C326F}"/>
    <cellStyle name="Normal 3 6 2 3 2 3" xfId="8975" xr:uid="{469EE229-EF35-4767-8350-DFF1AA0094AB}"/>
    <cellStyle name="Normal 3 6 2 3 2 3 2" xfId="14334" xr:uid="{7858EC3E-C0E3-4433-9686-F39350EE8D59}"/>
    <cellStyle name="Normal 3 6 2 3 2 4" xfId="11612" xr:uid="{28750E5B-5D95-4B00-AF06-E240DB9833EB}"/>
    <cellStyle name="Normal 3 6 2 3 3" xfId="7014" xr:uid="{00000000-0005-0000-0000-000080130000}"/>
    <cellStyle name="Normal 3 6 2 3 3 2" xfId="9682" xr:uid="{86F48409-ADC6-458D-968C-4FCDF986391E}"/>
    <cellStyle name="Normal 3 6 2 3 3 2 2" xfId="15072" xr:uid="{EE8A2F9C-348F-402D-8634-C2CF0996D859}"/>
    <cellStyle name="Normal 3 6 2 3 3 3" xfId="12319" xr:uid="{A2866F31-1175-4C2E-B2F3-70E45A006556}"/>
    <cellStyle name="Normal 3 6 2 3 4" xfId="8351" xr:uid="{1737B127-D233-4CB7-933B-B0D0C5FF2935}"/>
    <cellStyle name="Normal 3 6 2 3 4 2" xfId="13710" xr:uid="{9D7F152C-3F64-40B1-9D03-242D0291ECFF}"/>
    <cellStyle name="Normal 3 6 2 3 5" xfId="10988" xr:uid="{64816AF2-19D4-4F1E-9CF9-2BF1942AAC98}"/>
    <cellStyle name="Normal 3 6 2 4" xfId="4468" xr:uid="{00000000-0005-0000-0000-000081130000}"/>
    <cellStyle name="Normal 3 6 2 4 2" xfId="7636" xr:uid="{00000000-0005-0000-0000-000082130000}"/>
    <cellStyle name="Normal 3 6 2 4 2 2" xfId="10304" xr:uid="{DB0E0613-2E26-4807-BADB-E17DB7A9A5E7}"/>
    <cellStyle name="Normal 3 6 2 4 2 2 2" xfId="15694" xr:uid="{7BF7F65B-CC11-49EE-9360-271CBD813086}"/>
    <cellStyle name="Normal 3 6 2 4 2 3" xfId="12941" xr:uid="{F282867A-C19A-4FDE-BBB4-E25490D8DCFF}"/>
    <cellStyle name="Normal 3 6 2 4 3" xfId="8973" xr:uid="{9AFFDD7E-DE42-4CD8-B87A-B407FE70CCB4}"/>
    <cellStyle name="Normal 3 6 2 4 3 2" xfId="14332" xr:uid="{2B161D92-B3FA-4560-B1AF-D4F11DA7C90A}"/>
    <cellStyle name="Normal 3 6 2 4 4" xfId="11610" xr:uid="{CFDA497F-0C69-4455-9888-490A31C4171E}"/>
    <cellStyle name="Normal 3 6 2 5" xfId="7012" xr:uid="{00000000-0005-0000-0000-000083130000}"/>
    <cellStyle name="Normal 3 6 2 5 2" xfId="9680" xr:uid="{61C7E4D9-0B7F-42F5-A2ED-E39E94FF362D}"/>
    <cellStyle name="Normal 3 6 2 5 2 2" xfId="15070" xr:uid="{6C90DD58-8203-499D-A784-BF25E239BD15}"/>
    <cellStyle name="Normal 3 6 2 5 3" xfId="12317" xr:uid="{3F837FE2-BE64-452A-8E76-36A71F58D789}"/>
    <cellStyle name="Normal 3 6 2 6" xfId="8349" xr:uid="{A78C9737-0F7B-4F0B-A5D5-9492BD8D0570}"/>
    <cellStyle name="Normal 3 6 2 6 2" xfId="13708" xr:uid="{59DCBD61-E64C-4D1A-951C-C117444AFDC9}"/>
    <cellStyle name="Normal 3 6 2 7" xfId="10986" xr:uid="{D9462855-2B7E-4B1D-A068-B360BD771F76}"/>
    <cellStyle name="Normal 3 6 3" xfId="3845" xr:uid="{00000000-0005-0000-0000-000084130000}"/>
    <cellStyle name="Normal 3 6 3 2" xfId="4471" xr:uid="{00000000-0005-0000-0000-000085130000}"/>
    <cellStyle name="Normal 3 6 3 2 2" xfId="7639" xr:uid="{00000000-0005-0000-0000-000086130000}"/>
    <cellStyle name="Normal 3 6 3 2 2 2" xfId="10307" xr:uid="{00133FE0-3D20-49A0-8C19-003370256CD3}"/>
    <cellStyle name="Normal 3 6 3 2 2 2 2" xfId="15697" xr:uid="{910B58BA-394C-4835-8B48-18520D89239E}"/>
    <cellStyle name="Normal 3 6 3 2 2 3" xfId="12944" xr:uid="{297796FA-8973-4EE6-979C-98DB4CA4A8B4}"/>
    <cellStyle name="Normal 3 6 3 2 3" xfId="8976" xr:uid="{A948391E-9872-417B-B43B-5846FB50DC2D}"/>
    <cellStyle name="Normal 3 6 3 2 3 2" xfId="14335" xr:uid="{5D3C8DF5-A4F8-45EA-A579-9037A076F3FD}"/>
    <cellStyle name="Normal 3 6 3 2 4" xfId="11613" xr:uid="{F99297AF-3804-49BD-9141-8B7C011290B5}"/>
    <cellStyle name="Normal 3 6 3 3" xfId="7015" xr:uid="{00000000-0005-0000-0000-000087130000}"/>
    <cellStyle name="Normal 3 6 3 3 2" xfId="9683" xr:uid="{6F97C82D-10D2-455D-B5D3-6C7FA4464573}"/>
    <cellStyle name="Normal 3 6 3 3 2 2" xfId="15073" xr:uid="{AA98258A-17D3-4D65-8606-2E210B0F6C3D}"/>
    <cellStyle name="Normal 3 6 3 3 3" xfId="12320" xr:uid="{280778CC-17FF-4A0A-ABC9-2162B6AF6561}"/>
    <cellStyle name="Normal 3 6 3 4" xfId="8352" xr:uid="{BFCF5436-03DD-4EA0-B3B7-D0A5D4BAE35E}"/>
    <cellStyle name="Normal 3 6 3 4 2" xfId="13711" xr:uid="{B7ACBA14-F1F2-4FD3-8332-69033AF5DEB4}"/>
    <cellStyle name="Normal 3 6 3 5" xfId="10989" xr:uid="{92E11681-E092-4FEC-A43B-8E6E4FDE8BFB}"/>
    <cellStyle name="Normal 3 6 4" xfId="3846" xr:uid="{00000000-0005-0000-0000-000088130000}"/>
    <cellStyle name="Normal 3 6 4 2" xfId="4472" xr:uid="{00000000-0005-0000-0000-000089130000}"/>
    <cellStyle name="Normal 3 6 4 2 2" xfId="7640" xr:uid="{00000000-0005-0000-0000-00008A130000}"/>
    <cellStyle name="Normal 3 6 4 2 2 2" xfId="10308" xr:uid="{13FB1067-A01E-430F-87FD-62EB50BCEC4A}"/>
    <cellStyle name="Normal 3 6 4 2 2 2 2" xfId="15698" xr:uid="{EB4DA235-FA5F-4E9E-B407-678E2A00025A}"/>
    <cellStyle name="Normal 3 6 4 2 2 3" xfId="12945" xr:uid="{C04CBAF1-EF8B-4099-A737-CBA0CEF8DF65}"/>
    <cellStyle name="Normal 3 6 4 2 3" xfId="8977" xr:uid="{AFDD99C9-877C-4D49-83B9-FE9F0B10F818}"/>
    <cellStyle name="Normal 3 6 4 2 3 2" xfId="14336" xr:uid="{EE273450-08E1-44ED-B0B7-F2D45A70FC44}"/>
    <cellStyle name="Normal 3 6 4 2 4" xfId="11614" xr:uid="{1FA87B9E-699C-461C-8F53-2E1AC814DE9F}"/>
    <cellStyle name="Normal 3 6 4 3" xfId="7016" xr:uid="{00000000-0005-0000-0000-00008B130000}"/>
    <cellStyle name="Normal 3 6 4 3 2" xfId="9684" xr:uid="{5B8D7FAC-D24F-402B-82CE-E99DD5E4BA27}"/>
    <cellStyle name="Normal 3 6 4 3 2 2" xfId="15074" xr:uid="{901C798F-4787-46AC-A2CC-5B6360FF51EF}"/>
    <cellStyle name="Normal 3 6 4 3 3" xfId="12321" xr:uid="{AF70F229-032F-4E9F-B01F-2D489DFA014F}"/>
    <cellStyle name="Normal 3 6 4 4" xfId="8353" xr:uid="{B6505B0E-CBD9-4DC6-A8DB-A4D9531B84E2}"/>
    <cellStyle name="Normal 3 6 4 4 2" xfId="13712" xr:uid="{5775D129-01FC-418A-83B0-AC80E905F0C2}"/>
    <cellStyle name="Normal 3 6 4 5" xfId="10990" xr:uid="{8B655AB5-FD5B-45FC-9D73-525C5BFA0E25}"/>
    <cellStyle name="Normal 3 6 5" xfId="3847" xr:uid="{00000000-0005-0000-0000-00008C130000}"/>
    <cellStyle name="Normal 3 6 5 2" xfId="4473" xr:uid="{00000000-0005-0000-0000-00008D130000}"/>
    <cellStyle name="Normal 3 6 5 2 2" xfId="7641" xr:uid="{00000000-0005-0000-0000-00008E130000}"/>
    <cellStyle name="Normal 3 6 5 2 2 2" xfId="10309" xr:uid="{974674F0-171C-4CC0-8A61-5AC988EE689B}"/>
    <cellStyle name="Normal 3 6 5 2 2 2 2" xfId="15699" xr:uid="{F86019AF-E818-404D-8A57-A6C329496804}"/>
    <cellStyle name="Normal 3 6 5 2 2 3" xfId="12946" xr:uid="{437959FF-4E91-49E4-B6E0-EF91E2226FBA}"/>
    <cellStyle name="Normal 3 6 5 2 3" xfId="8978" xr:uid="{453750B8-3905-4A83-BD69-6144468F494E}"/>
    <cellStyle name="Normal 3 6 5 2 3 2" xfId="14337" xr:uid="{E4AB4907-ED37-4D98-A9E7-06D3B55A41F0}"/>
    <cellStyle name="Normal 3 6 5 2 4" xfId="11615" xr:uid="{418FE8C8-134B-4DF0-9870-2D0D7F3585C6}"/>
    <cellStyle name="Normal 3 6 5 3" xfId="7017" xr:uid="{00000000-0005-0000-0000-00008F130000}"/>
    <cellStyle name="Normal 3 6 5 3 2" xfId="9685" xr:uid="{31F7ABFF-0747-483E-B7DE-594A44E9C409}"/>
    <cellStyle name="Normal 3 6 5 3 2 2" xfId="15075" xr:uid="{1FBB0D70-9909-4FAC-82F3-B3281A6E85F8}"/>
    <cellStyle name="Normal 3 6 5 3 3" xfId="12322" xr:uid="{EC1C898D-9D11-4FC9-B643-DF10CBEABAFF}"/>
    <cellStyle name="Normal 3 6 5 4" xfId="8354" xr:uid="{1439836E-1A1F-4363-9049-CD204DE91CCF}"/>
    <cellStyle name="Normal 3 6 5 4 2" xfId="13713" xr:uid="{EFEB43FF-2B6E-46FC-BDA2-ADCB3BBF188B}"/>
    <cellStyle name="Normal 3 6 5 5" xfId="10991" xr:uid="{CC79177D-BEC6-4A4A-A547-B8C7680E486B}"/>
    <cellStyle name="Normal 3 6 6" xfId="4467" xr:uid="{00000000-0005-0000-0000-000090130000}"/>
    <cellStyle name="Normal 3 6 6 2" xfId="7635" xr:uid="{00000000-0005-0000-0000-000091130000}"/>
    <cellStyle name="Normal 3 6 6 2 2" xfId="10303" xr:uid="{907ECC9E-675B-4CDB-8189-0AAC17DB2A3B}"/>
    <cellStyle name="Normal 3 6 6 2 2 2" xfId="15693" xr:uid="{E5C50446-95F1-4672-8F05-E407CDCDFE07}"/>
    <cellStyle name="Normal 3 6 6 2 3" xfId="12940" xr:uid="{3CCA1601-6697-4D9E-87C5-68F4EF9F931B}"/>
    <cellStyle name="Normal 3 6 6 3" xfId="8972" xr:uid="{463FB43E-2F60-46C0-B5FD-ADCADF76D8DF}"/>
    <cellStyle name="Normal 3 6 6 3 2" xfId="14331" xr:uid="{C062C572-4BA6-409F-AF8A-E29403973F82}"/>
    <cellStyle name="Normal 3 6 6 4" xfId="11609" xr:uid="{93F7AC23-AE9F-4E04-A31A-0D9FE7E38254}"/>
    <cellStyle name="Normal 3 6 7" xfId="7011" xr:uid="{00000000-0005-0000-0000-000092130000}"/>
    <cellStyle name="Normal 3 6 7 2" xfId="9679" xr:uid="{776A3B55-6DD0-4516-B358-6C4FF114FC7A}"/>
    <cellStyle name="Normal 3 6 7 2 2" xfId="15069" xr:uid="{74FA5F70-2F53-4AB9-9B4A-C5F3A2CB0768}"/>
    <cellStyle name="Normal 3 6 7 3" xfId="12316" xr:uid="{DDB7E59C-152A-44A3-9878-F79EDD7A8BBF}"/>
    <cellStyle name="Normal 3 6 8" xfId="8348" xr:uid="{A1B55CBE-2185-43AA-AA86-EFB2202172FE}"/>
    <cellStyle name="Normal 3 6 8 2" xfId="13707" xr:uid="{704B147C-4C35-467B-B7D8-AD37A397767E}"/>
    <cellStyle name="Normal 3 6 9" xfId="10985" xr:uid="{07C85B88-952F-459A-AFFB-20DAD8E661E2}"/>
    <cellStyle name="Normal 3 7" xfId="3848" xr:uid="{00000000-0005-0000-0000-000093130000}"/>
    <cellStyle name="Normal 3 7 2" xfId="3849" xr:uid="{00000000-0005-0000-0000-000094130000}"/>
    <cellStyle name="Normal 3 7 2 2" xfId="3850" xr:uid="{00000000-0005-0000-0000-000095130000}"/>
    <cellStyle name="Normal 3 7 2 2 2" xfId="4476" xr:uid="{00000000-0005-0000-0000-000096130000}"/>
    <cellStyle name="Normal 3 7 2 2 2 2" xfId="7644" xr:uid="{00000000-0005-0000-0000-000097130000}"/>
    <cellStyle name="Normal 3 7 2 2 2 2 2" xfId="10312" xr:uid="{0EA7C6B3-7C70-4A13-BE82-2CDAAB3BE55C}"/>
    <cellStyle name="Normal 3 7 2 2 2 2 2 2" xfId="15702" xr:uid="{2D07CA6E-2864-4D48-9A25-DD1FEFFF9286}"/>
    <cellStyle name="Normal 3 7 2 2 2 2 3" xfId="12949" xr:uid="{F2FFC512-BDC3-4E80-B5CD-6C35C24F7A3C}"/>
    <cellStyle name="Normal 3 7 2 2 2 3" xfId="8981" xr:uid="{329E8C09-1A4D-4F1C-BE34-B2712C356A2E}"/>
    <cellStyle name="Normal 3 7 2 2 2 3 2" xfId="14340" xr:uid="{C73D7B79-79D3-4780-B656-3DC9C49E50D9}"/>
    <cellStyle name="Normal 3 7 2 2 2 4" xfId="11618" xr:uid="{8A453327-B7F2-426C-8CB1-E7F574A813B0}"/>
    <cellStyle name="Normal 3 7 2 2 3" xfId="7020" xr:uid="{00000000-0005-0000-0000-000098130000}"/>
    <cellStyle name="Normal 3 7 2 2 3 2" xfId="9688" xr:uid="{58540279-A465-4ED5-8EC4-234066B829FA}"/>
    <cellStyle name="Normal 3 7 2 2 3 2 2" xfId="15078" xr:uid="{680D2986-C40B-45EB-9B07-3D35B5E675DE}"/>
    <cellStyle name="Normal 3 7 2 2 3 3" xfId="12325" xr:uid="{20BD6267-34E8-4246-B3CB-27832A0FE774}"/>
    <cellStyle name="Normal 3 7 2 2 4" xfId="8357" xr:uid="{4B89CEFA-267F-4A9D-87BE-E20F7EC67353}"/>
    <cellStyle name="Normal 3 7 2 2 4 2" xfId="13716" xr:uid="{773DC2BF-436D-4EEE-947D-1EC76FF8266A}"/>
    <cellStyle name="Normal 3 7 2 2 5" xfId="10994" xr:uid="{2B12B04C-B6F0-489A-8908-D35A5FE31A60}"/>
    <cellStyle name="Normal 3 7 2 3" xfId="3851" xr:uid="{00000000-0005-0000-0000-000099130000}"/>
    <cellStyle name="Normal 3 7 2 3 2" xfId="4477" xr:uid="{00000000-0005-0000-0000-00009A130000}"/>
    <cellStyle name="Normal 3 7 2 3 2 2" xfId="7645" xr:uid="{00000000-0005-0000-0000-00009B130000}"/>
    <cellStyle name="Normal 3 7 2 3 2 2 2" xfId="10313" xr:uid="{CDA6058C-D21B-4B2D-ADF3-C45F40E20E61}"/>
    <cellStyle name="Normal 3 7 2 3 2 2 2 2" xfId="15703" xr:uid="{03BC790B-C7BE-4C98-A31F-30F26AD96FC1}"/>
    <cellStyle name="Normal 3 7 2 3 2 2 3" xfId="12950" xr:uid="{C9EDFDCC-407F-4F9B-B88C-D1E23B4C6B83}"/>
    <cellStyle name="Normal 3 7 2 3 2 3" xfId="8982" xr:uid="{4F94BF40-3AB6-4D7E-9FD4-0DA5B62CE7F6}"/>
    <cellStyle name="Normal 3 7 2 3 2 3 2" xfId="14341" xr:uid="{4BDC4983-40C7-4F63-9954-60F56C80FFA4}"/>
    <cellStyle name="Normal 3 7 2 3 2 4" xfId="11619" xr:uid="{82BBF3E6-8E6B-4FE2-9FE9-719BF4B8286F}"/>
    <cellStyle name="Normal 3 7 2 3 3" xfId="7021" xr:uid="{00000000-0005-0000-0000-00009C130000}"/>
    <cellStyle name="Normal 3 7 2 3 3 2" xfId="9689" xr:uid="{528C8626-DEE9-42FA-ABC6-601755362CE2}"/>
    <cellStyle name="Normal 3 7 2 3 3 2 2" xfId="15079" xr:uid="{5EA6599A-F3A6-4114-831B-CFC278B59992}"/>
    <cellStyle name="Normal 3 7 2 3 3 3" xfId="12326" xr:uid="{2167D824-D7C0-41CE-B31F-07BA41B41051}"/>
    <cellStyle name="Normal 3 7 2 3 4" xfId="8358" xr:uid="{2981DF20-6D77-4825-801A-10682C6AF5E8}"/>
    <cellStyle name="Normal 3 7 2 3 4 2" xfId="13717" xr:uid="{190F62EE-C085-48C5-ACC5-D2D7873816FE}"/>
    <cellStyle name="Normal 3 7 2 3 5" xfId="10995" xr:uid="{5020CAA9-B5D5-4B4D-8B22-C5557C8A533A}"/>
    <cellStyle name="Normal 3 7 2 4" xfId="4475" xr:uid="{00000000-0005-0000-0000-00009D130000}"/>
    <cellStyle name="Normal 3 7 2 4 2" xfId="7643" xr:uid="{00000000-0005-0000-0000-00009E130000}"/>
    <cellStyle name="Normal 3 7 2 4 2 2" xfId="10311" xr:uid="{BC7B6CF5-D813-4080-9A75-4CF26D13DDFD}"/>
    <cellStyle name="Normal 3 7 2 4 2 2 2" xfId="15701" xr:uid="{626AF5C7-3F38-4E33-B6FE-F2D41664734B}"/>
    <cellStyle name="Normal 3 7 2 4 2 3" xfId="12948" xr:uid="{C3B45D1B-F749-4FCE-B7F9-5A3D59192798}"/>
    <cellStyle name="Normal 3 7 2 4 3" xfId="8980" xr:uid="{106A2803-2B84-41FB-AE14-46FE7C1530B0}"/>
    <cellStyle name="Normal 3 7 2 4 3 2" xfId="14339" xr:uid="{A971D5F2-48BC-4447-9E17-BC02CE5CB072}"/>
    <cellStyle name="Normal 3 7 2 4 4" xfId="11617" xr:uid="{4663EC5E-85A5-4B63-8D92-4204F31EFFB8}"/>
    <cellStyle name="Normal 3 7 2 5" xfId="7019" xr:uid="{00000000-0005-0000-0000-00009F130000}"/>
    <cellStyle name="Normal 3 7 2 5 2" xfId="9687" xr:uid="{3E6D5131-B2DB-4FBD-8086-843EF086DC6D}"/>
    <cellStyle name="Normal 3 7 2 5 2 2" xfId="15077" xr:uid="{06DE15C9-927A-4674-884C-310A87D78B1E}"/>
    <cellStyle name="Normal 3 7 2 5 3" xfId="12324" xr:uid="{A0E4C044-45D4-4F7B-AF51-F87E3A4AE0D4}"/>
    <cellStyle name="Normal 3 7 2 6" xfId="8356" xr:uid="{101B7B9F-6713-4460-ADF9-3BEB23D73603}"/>
    <cellStyle name="Normal 3 7 2 6 2" xfId="13715" xr:uid="{D5D3C0B7-0148-45A0-AA6F-E2FCD4897E27}"/>
    <cellStyle name="Normal 3 7 2 7" xfId="10993" xr:uid="{41945D11-E687-473F-AF50-8B7C99DBF8A5}"/>
    <cellStyle name="Normal 3 7 3" xfId="3852" xr:uid="{00000000-0005-0000-0000-0000A0130000}"/>
    <cellStyle name="Normal 3 7 3 2" xfId="4478" xr:uid="{00000000-0005-0000-0000-0000A1130000}"/>
    <cellStyle name="Normal 3 7 3 2 2" xfId="7646" xr:uid="{00000000-0005-0000-0000-0000A2130000}"/>
    <cellStyle name="Normal 3 7 3 2 2 2" xfId="10314" xr:uid="{F8647529-AF96-427D-B0CB-4BE1F4102D6F}"/>
    <cellStyle name="Normal 3 7 3 2 2 2 2" xfId="15704" xr:uid="{14609603-4BE0-4161-8C87-F838A96EF176}"/>
    <cellStyle name="Normal 3 7 3 2 2 3" xfId="12951" xr:uid="{4537C346-1B4A-451E-A194-D08FF21CA0E7}"/>
    <cellStyle name="Normal 3 7 3 2 3" xfId="8983" xr:uid="{DEFEE6D3-B1D5-4B24-9EB0-B94AE8724AC6}"/>
    <cellStyle name="Normal 3 7 3 2 3 2" xfId="14342" xr:uid="{8AA45314-CDC5-44D0-83BF-757980CCF9C5}"/>
    <cellStyle name="Normal 3 7 3 2 4" xfId="11620" xr:uid="{AE1DEF27-CFF0-4791-9EB4-DA1EA0D1E449}"/>
    <cellStyle name="Normal 3 7 3 3" xfId="7022" xr:uid="{00000000-0005-0000-0000-0000A3130000}"/>
    <cellStyle name="Normal 3 7 3 3 2" xfId="9690" xr:uid="{15731193-CACE-46AB-A87B-50B916CD7AC4}"/>
    <cellStyle name="Normal 3 7 3 3 2 2" xfId="15080" xr:uid="{4C95C82E-296F-4FB2-90C6-0E8152258DDB}"/>
    <cellStyle name="Normal 3 7 3 3 3" xfId="12327" xr:uid="{28BCBE17-80D4-4409-A4DF-CE69750EEE3D}"/>
    <cellStyle name="Normal 3 7 3 4" xfId="8359" xr:uid="{F103B88C-C369-41DC-BF67-D2045F99B7BE}"/>
    <cellStyle name="Normal 3 7 3 4 2" xfId="13718" xr:uid="{927554FA-DAAB-4B32-B608-D7FAB2BBB49F}"/>
    <cellStyle name="Normal 3 7 3 5" xfId="10996" xr:uid="{DD7A1F95-54FA-4308-8861-77E5ADE27882}"/>
    <cellStyle name="Normal 3 7 4" xfId="3853" xr:uid="{00000000-0005-0000-0000-0000A4130000}"/>
    <cellStyle name="Normal 3 7 4 2" xfId="4479" xr:uid="{00000000-0005-0000-0000-0000A5130000}"/>
    <cellStyle name="Normal 3 7 4 2 2" xfId="7647" xr:uid="{00000000-0005-0000-0000-0000A6130000}"/>
    <cellStyle name="Normal 3 7 4 2 2 2" xfId="10315" xr:uid="{2142EAC8-A3F0-4A38-BE55-05E5E08AE4AA}"/>
    <cellStyle name="Normal 3 7 4 2 2 2 2" xfId="15705" xr:uid="{33580EFF-4C6F-41D2-AE64-082DDE503DCE}"/>
    <cellStyle name="Normal 3 7 4 2 2 3" xfId="12952" xr:uid="{209F4AB7-996F-4983-8148-35F93DFB7A0D}"/>
    <cellStyle name="Normal 3 7 4 2 3" xfId="8984" xr:uid="{D6D20C25-8705-4B69-84E2-04D130E9ECC8}"/>
    <cellStyle name="Normal 3 7 4 2 3 2" xfId="14343" xr:uid="{CF890AAC-96D3-4D7C-BB5B-64F7A9BB190E}"/>
    <cellStyle name="Normal 3 7 4 2 4" xfId="11621" xr:uid="{60A834D6-4CD8-4FDA-BF1F-5F65504AF33B}"/>
    <cellStyle name="Normal 3 7 4 3" xfId="7023" xr:uid="{00000000-0005-0000-0000-0000A7130000}"/>
    <cellStyle name="Normal 3 7 4 3 2" xfId="9691" xr:uid="{447F5EA7-33DF-4E89-8683-2E14F7126F43}"/>
    <cellStyle name="Normal 3 7 4 3 2 2" xfId="15081" xr:uid="{D614E9C3-8C31-4C8E-BC72-E56BAD364E89}"/>
    <cellStyle name="Normal 3 7 4 3 3" xfId="12328" xr:uid="{8EF60D14-FB16-4FC3-9A3A-5497D70C4FD0}"/>
    <cellStyle name="Normal 3 7 4 4" xfId="8360" xr:uid="{38775DCE-99E5-4265-A305-626FF03B0F55}"/>
    <cellStyle name="Normal 3 7 4 4 2" xfId="13719" xr:uid="{5700A4E0-6ACA-4DD5-AC0E-4D2D35A174A8}"/>
    <cellStyle name="Normal 3 7 4 5" xfId="10997" xr:uid="{B21E8AFD-9AC9-4938-8AD2-EAF65BB80281}"/>
    <cellStyle name="Normal 3 7 5" xfId="3854" xr:uid="{00000000-0005-0000-0000-0000A8130000}"/>
    <cellStyle name="Normal 3 7 5 2" xfId="4480" xr:uid="{00000000-0005-0000-0000-0000A9130000}"/>
    <cellStyle name="Normal 3 7 5 2 2" xfId="7648" xr:uid="{00000000-0005-0000-0000-0000AA130000}"/>
    <cellStyle name="Normal 3 7 5 2 2 2" xfId="10316" xr:uid="{2F3716AD-F0BE-4816-ABDF-9B41EC6EABD5}"/>
    <cellStyle name="Normal 3 7 5 2 2 2 2" xfId="15706" xr:uid="{77776ED3-7F2A-4440-81A4-E90641334507}"/>
    <cellStyle name="Normal 3 7 5 2 2 3" xfId="12953" xr:uid="{F282CDAE-672F-4779-8055-C6037EC262A2}"/>
    <cellStyle name="Normal 3 7 5 2 3" xfId="8985" xr:uid="{83741705-C3F8-4FC9-BE34-5505B04FCA18}"/>
    <cellStyle name="Normal 3 7 5 2 3 2" xfId="14344" xr:uid="{1A13AB17-023B-490F-A734-CD86F0A7DA92}"/>
    <cellStyle name="Normal 3 7 5 2 4" xfId="11622" xr:uid="{6FDE1985-F9BA-4D4B-93C8-1383B6A27333}"/>
    <cellStyle name="Normal 3 7 5 3" xfId="7024" xr:uid="{00000000-0005-0000-0000-0000AB130000}"/>
    <cellStyle name="Normal 3 7 5 3 2" xfId="9692" xr:uid="{53F97489-090A-4CF3-89AF-65ED5AB19EBC}"/>
    <cellStyle name="Normal 3 7 5 3 2 2" xfId="15082" xr:uid="{86530AC9-FA31-4F4F-A427-BBB9453B9B3E}"/>
    <cellStyle name="Normal 3 7 5 3 3" xfId="12329" xr:uid="{44F4526D-A7AB-4F7C-94A9-341CB8F6350F}"/>
    <cellStyle name="Normal 3 7 5 4" xfId="8361" xr:uid="{D302C165-96A2-4E9E-A34C-94728D80931A}"/>
    <cellStyle name="Normal 3 7 5 4 2" xfId="13720" xr:uid="{11BCFCC3-BD3D-4FC7-9FD3-AB4A63D286A2}"/>
    <cellStyle name="Normal 3 7 5 5" xfId="10998" xr:uid="{615F986D-6815-401E-8985-6CABD7A7F22D}"/>
    <cellStyle name="Normal 3 7 6" xfId="4474" xr:uid="{00000000-0005-0000-0000-0000AC130000}"/>
    <cellStyle name="Normal 3 7 6 2" xfId="7642" xr:uid="{00000000-0005-0000-0000-0000AD130000}"/>
    <cellStyle name="Normal 3 7 6 2 2" xfId="10310" xr:uid="{F41687D1-B448-45D8-BF30-3CF334792470}"/>
    <cellStyle name="Normal 3 7 6 2 2 2" xfId="15700" xr:uid="{FF678544-10F8-438A-B639-949EAF0BD3AA}"/>
    <cellStyle name="Normal 3 7 6 2 3" xfId="12947" xr:uid="{24336E3A-E573-423F-A218-C5A7D2DF303F}"/>
    <cellStyle name="Normal 3 7 6 3" xfId="8979" xr:uid="{C3829EC0-F876-4419-9E5F-8C530491EAB0}"/>
    <cellStyle name="Normal 3 7 6 3 2" xfId="14338" xr:uid="{1252C671-54A5-4734-94C2-9B084372F995}"/>
    <cellStyle name="Normal 3 7 6 4" xfId="11616" xr:uid="{3EE7413C-4BE8-41ED-AF57-FC43BF369D06}"/>
    <cellStyle name="Normal 3 7 7" xfId="7018" xr:uid="{00000000-0005-0000-0000-0000AE130000}"/>
    <cellStyle name="Normal 3 7 7 2" xfId="9686" xr:uid="{67960A1F-069C-456B-81D2-6EB44ED4D557}"/>
    <cellStyle name="Normal 3 7 7 2 2" xfId="15076" xr:uid="{DE86082F-0D3D-444C-950B-800B5E1C6927}"/>
    <cellStyle name="Normal 3 7 7 3" xfId="12323" xr:uid="{B4A72BF6-6416-41D2-B90F-F00124C7697F}"/>
    <cellStyle name="Normal 3 7 8" xfId="8355" xr:uid="{F6303376-1DCD-437B-9735-607F9CD5A595}"/>
    <cellStyle name="Normal 3 7 8 2" xfId="13714" xr:uid="{5B78B326-D26E-416D-8881-38FAB0A05AA2}"/>
    <cellStyle name="Normal 3 7 9" xfId="10992" xr:uid="{6E0A75D4-1256-4AA9-8AE1-1EFF3A2DC818}"/>
    <cellStyle name="Normal 3 8" xfId="3855" xr:uid="{00000000-0005-0000-0000-0000AF130000}"/>
    <cellStyle name="Normal 3 8 2" xfId="3856" xr:uid="{00000000-0005-0000-0000-0000B0130000}"/>
    <cellStyle name="Normal 3 8 2 2" xfId="3857" xr:uid="{00000000-0005-0000-0000-0000B1130000}"/>
    <cellStyle name="Normal 3 8 2 2 2" xfId="4483" xr:uid="{00000000-0005-0000-0000-0000B2130000}"/>
    <cellStyle name="Normal 3 8 2 2 2 2" xfId="7651" xr:uid="{00000000-0005-0000-0000-0000B3130000}"/>
    <cellStyle name="Normal 3 8 2 2 2 2 2" xfId="10319" xr:uid="{96448C34-1AE7-47F9-B018-259A95273E37}"/>
    <cellStyle name="Normal 3 8 2 2 2 2 2 2" xfId="15709" xr:uid="{73265B59-663D-4E43-ABA5-84635DE268BC}"/>
    <cellStyle name="Normal 3 8 2 2 2 2 3" xfId="12956" xr:uid="{41D0B4A9-4E60-415E-8CE1-AF4C8B04663D}"/>
    <cellStyle name="Normal 3 8 2 2 2 3" xfId="8988" xr:uid="{E0DBB0AB-1E52-4BD4-A5F8-0656C7ACDE86}"/>
    <cellStyle name="Normal 3 8 2 2 2 3 2" xfId="14347" xr:uid="{2A733A24-DBE4-467F-94D5-8B10AD80BA83}"/>
    <cellStyle name="Normal 3 8 2 2 2 4" xfId="11625" xr:uid="{3CBD2352-9EA0-4DF1-BEB2-7F5EE831C112}"/>
    <cellStyle name="Normal 3 8 2 2 3" xfId="7027" xr:uid="{00000000-0005-0000-0000-0000B4130000}"/>
    <cellStyle name="Normal 3 8 2 2 3 2" xfId="9695" xr:uid="{D0085F78-471B-45F3-B413-712910D7BCBA}"/>
    <cellStyle name="Normal 3 8 2 2 3 2 2" xfId="15085" xr:uid="{83E79AA6-851C-4597-A80C-0A52778A1658}"/>
    <cellStyle name="Normal 3 8 2 2 3 3" xfId="12332" xr:uid="{FA111F59-BD43-41DA-8DFC-61D214DEEDD8}"/>
    <cellStyle name="Normal 3 8 2 2 4" xfId="8364" xr:uid="{B2447C90-599E-46B1-B72C-1225B938EFB2}"/>
    <cellStyle name="Normal 3 8 2 2 4 2" xfId="13723" xr:uid="{FAE58B0B-E782-4909-9DF7-73A6BBF2FD82}"/>
    <cellStyle name="Normal 3 8 2 2 5" xfId="11001" xr:uid="{D5C59C61-0947-491E-9BDE-E8851C382155}"/>
    <cellStyle name="Normal 3 8 2 3" xfId="3858" xr:uid="{00000000-0005-0000-0000-0000B5130000}"/>
    <cellStyle name="Normal 3 8 2 3 2" xfId="4484" xr:uid="{00000000-0005-0000-0000-0000B6130000}"/>
    <cellStyle name="Normal 3 8 2 3 2 2" xfId="7652" xr:uid="{00000000-0005-0000-0000-0000B7130000}"/>
    <cellStyle name="Normal 3 8 2 3 2 2 2" xfId="10320" xr:uid="{95BDACF7-C345-4713-B795-B42E4F4B5A3D}"/>
    <cellStyle name="Normal 3 8 2 3 2 2 2 2" xfId="15710" xr:uid="{352D8C20-8333-405F-B9CB-DC1F9C861906}"/>
    <cellStyle name="Normal 3 8 2 3 2 2 3" xfId="12957" xr:uid="{B98EB80D-C56C-42BB-A5B3-6DD1F24684E3}"/>
    <cellStyle name="Normal 3 8 2 3 2 3" xfId="8989" xr:uid="{444627E5-99F8-426F-ADBD-74D9F8A580F7}"/>
    <cellStyle name="Normal 3 8 2 3 2 3 2" xfId="14348" xr:uid="{5D8C4E3A-87C3-4FC5-A003-E7A514F040DA}"/>
    <cellStyle name="Normal 3 8 2 3 2 4" xfId="11626" xr:uid="{39DAAB79-A649-4A46-8BC3-789694B02F37}"/>
    <cellStyle name="Normal 3 8 2 3 3" xfId="7028" xr:uid="{00000000-0005-0000-0000-0000B8130000}"/>
    <cellStyle name="Normal 3 8 2 3 3 2" xfId="9696" xr:uid="{DA200114-0CCB-4310-AE9F-3EE32B51D8B2}"/>
    <cellStyle name="Normal 3 8 2 3 3 2 2" xfId="15086" xr:uid="{59AC4EAB-5277-483A-AE25-7A7C4BBC7D22}"/>
    <cellStyle name="Normal 3 8 2 3 3 3" xfId="12333" xr:uid="{D2AEE9D1-D357-4036-913E-3EEAF0FDED64}"/>
    <cellStyle name="Normal 3 8 2 3 4" xfId="8365" xr:uid="{9D18104D-DDFF-45D1-B771-A99035E6F037}"/>
    <cellStyle name="Normal 3 8 2 3 4 2" xfId="13724" xr:uid="{238F78BB-3EC3-4E7A-B5E1-E279191C24C8}"/>
    <cellStyle name="Normal 3 8 2 3 5" xfId="11002" xr:uid="{36FBAB60-F144-4949-B1DD-C162D4009482}"/>
    <cellStyle name="Normal 3 8 2 4" xfId="4482" xr:uid="{00000000-0005-0000-0000-0000B9130000}"/>
    <cellStyle name="Normal 3 8 2 4 2" xfId="7650" xr:uid="{00000000-0005-0000-0000-0000BA130000}"/>
    <cellStyle name="Normal 3 8 2 4 2 2" xfId="10318" xr:uid="{A3907B3A-4907-4F0F-8EA6-6C05EC3B8A14}"/>
    <cellStyle name="Normal 3 8 2 4 2 2 2" xfId="15708" xr:uid="{6D9D63C6-4D09-49AE-9A80-72D235382381}"/>
    <cellStyle name="Normal 3 8 2 4 2 3" xfId="12955" xr:uid="{3BCCA13B-FE48-40F0-9B4C-F610E07402EE}"/>
    <cellStyle name="Normal 3 8 2 4 3" xfId="8987" xr:uid="{11489284-9B35-4B8E-86B3-B7B796772EE7}"/>
    <cellStyle name="Normal 3 8 2 4 3 2" xfId="14346" xr:uid="{98612E8F-8191-44F2-B710-436D5C09D6F5}"/>
    <cellStyle name="Normal 3 8 2 4 4" xfId="11624" xr:uid="{DADCBCFC-908A-4044-9AEE-40EF679A00C2}"/>
    <cellStyle name="Normal 3 8 2 5" xfId="7026" xr:uid="{00000000-0005-0000-0000-0000BB130000}"/>
    <cellStyle name="Normal 3 8 2 5 2" xfId="9694" xr:uid="{34D30427-4115-4D61-BE8D-EAC2540EAC03}"/>
    <cellStyle name="Normal 3 8 2 5 2 2" xfId="15084" xr:uid="{8EE2AF1E-4AB9-4068-B9F0-3AE2F083A31D}"/>
    <cellStyle name="Normal 3 8 2 5 3" xfId="12331" xr:uid="{2095DA62-D22A-4E24-A12A-AC69206182BA}"/>
    <cellStyle name="Normal 3 8 2 6" xfId="8363" xr:uid="{29F1660F-8D8D-4B21-BD66-A35F14AEDAD7}"/>
    <cellStyle name="Normal 3 8 2 6 2" xfId="13722" xr:uid="{27816BB7-266B-4FED-9F4A-E2E479FEF047}"/>
    <cellStyle name="Normal 3 8 2 7" xfId="11000" xr:uid="{7D4788AB-96B6-4753-829E-A916E65B18B1}"/>
    <cellStyle name="Normal 3 8 3" xfId="3859" xr:uid="{00000000-0005-0000-0000-0000BC130000}"/>
    <cellStyle name="Normal 3 8 3 2" xfId="4485" xr:uid="{00000000-0005-0000-0000-0000BD130000}"/>
    <cellStyle name="Normal 3 8 3 2 2" xfId="7653" xr:uid="{00000000-0005-0000-0000-0000BE130000}"/>
    <cellStyle name="Normal 3 8 3 2 2 2" xfId="10321" xr:uid="{EF729026-855B-4E7B-9FEE-90619CC523BA}"/>
    <cellStyle name="Normal 3 8 3 2 2 2 2" xfId="15711" xr:uid="{A5ACCC1E-6F89-4560-BD8F-F49AFA8C8C47}"/>
    <cellStyle name="Normal 3 8 3 2 2 3" xfId="12958" xr:uid="{6885C132-BCF1-425D-9A5A-C1A4BFE0DC61}"/>
    <cellStyle name="Normal 3 8 3 2 3" xfId="8990" xr:uid="{07D5D263-01A1-4336-B30F-E83D6AB3B6A1}"/>
    <cellStyle name="Normal 3 8 3 2 3 2" xfId="14349" xr:uid="{180F35D0-1FA0-40A8-B573-2D86C92A2FE5}"/>
    <cellStyle name="Normal 3 8 3 2 4" xfId="11627" xr:uid="{23C706E7-B72B-4A2D-A3FD-4C6DA33012A6}"/>
    <cellStyle name="Normal 3 8 3 3" xfId="7029" xr:uid="{00000000-0005-0000-0000-0000BF130000}"/>
    <cellStyle name="Normal 3 8 3 3 2" xfId="9697" xr:uid="{279139B2-341F-43AA-ABDB-B1CCDDE2C66D}"/>
    <cellStyle name="Normal 3 8 3 3 2 2" xfId="15087" xr:uid="{042C707C-4C25-40F2-9506-4AF023D79808}"/>
    <cellStyle name="Normal 3 8 3 3 3" xfId="12334" xr:uid="{9BA4B55C-4AEE-4D1C-AAB9-40476B76A0E8}"/>
    <cellStyle name="Normal 3 8 3 4" xfId="8366" xr:uid="{A4EFA6A9-58E9-473D-99D2-CEE8FEB1C5E3}"/>
    <cellStyle name="Normal 3 8 3 4 2" xfId="13725" xr:uid="{5CC19EA5-16D3-4EC8-BC1B-32EABCC00367}"/>
    <cellStyle name="Normal 3 8 3 5" xfId="11003" xr:uid="{2E08E045-257A-4C79-B53B-1E60C28BBD4A}"/>
    <cellStyle name="Normal 3 8 4" xfId="3860" xr:uid="{00000000-0005-0000-0000-0000C0130000}"/>
    <cellStyle name="Normal 3 8 4 2" xfId="4486" xr:uid="{00000000-0005-0000-0000-0000C1130000}"/>
    <cellStyle name="Normal 3 8 4 2 2" xfId="7654" xr:uid="{00000000-0005-0000-0000-0000C2130000}"/>
    <cellStyle name="Normal 3 8 4 2 2 2" xfId="10322" xr:uid="{BF2D21D9-8B4A-4A6A-A6C6-7E555512B2FF}"/>
    <cellStyle name="Normal 3 8 4 2 2 2 2" xfId="15712" xr:uid="{9F0337FB-CD14-4BC5-AC69-DC72C92FDDF4}"/>
    <cellStyle name="Normal 3 8 4 2 2 3" xfId="12959" xr:uid="{155B93B5-DC1F-40B7-9B74-571275A7A269}"/>
    <cellStyle name="Normal 3 8 4 2 3" xfId="8991" xr:uid="{64EB1F54-951D-47EF-BAD9-7C5F379300E5}"/>
    <cellStyle name="Normal 3 8 4 2 3 2" xfId="14350" xr:uid="{F807B0FC-3392-4A00-AEC1-ABDB1BB5F5ED}"/>
    <cellStyle name="Normal 3 8 4 2 4" xfId="11628" xr:uid="{B19D7CCF-A099-4C1E-8431-07081F72E8D2}"/>
    <cellStyle name="Normal 3 8 4 3" xfId="7030" xr:uid="{00000000-0005-0000-0000-0000C3130000}"/>
    <cellStyle name="Normal 3 8 4 3 2" xfId="9698" xr:uid="{ABF8D382-0B8A-4E4C-9163-FA9FD9EA6F79}"/>
    <cellStyle name="Normal 3 8 4 3 2 2" xfId="15088" xr:uid="{915F9D11-AA39-4E6B-AD5A-D1DC5222EAB6}"/>
    <cellStyle name="Normal 3 8 4 3 3" xfId="12335" xr:uid="{981BE5F7-8519-41E0-A553-EE69E1FCED3C}"/>
    <cellStyle name="Normal 3 8 4 4" xfId="8367" xr:uid="{E4A18059-BC19-4A58-8AF9-DED0A821AD21}"/>
    <cellStyle name="Normal 3 8 4 4 2" xfId="13726" xr:uid="{D2611E0A-4D04-42C3-8169-6B8E4DF97331}"/>
    <cellStyle name="Normal 3 8 4 5" xfId="11004" xr:uid="{4B667BBA-3ED2-43EC-A065-5869817E405D}"/>
    <cellStyle name="Normal 3 8 5" xfId="3861" xr:uid="{00000000-0005-0000-0000-0000C4130000}"/>
    <cellStyle name="Normal 3 8 5 2" xfId="4487" xr:uid="{00000000-0005-0000-0000-0000C5130000}"/>
    <cellStyle name="Normal 3 8 5 2 2" xfId="7655" xr:uid="{00000000-0005-0000-0000-0000C6130000}"/>
    <cellStyle name="Normal 3 8 5 2 2 2" xfId="10323" xr:uid="{B04349D8-6938-4BA2-B752-0CC0B1EE3A3F}"/>
    <cellStyle name="Normal 3 8 5 2 2 2 2" xfId="15713" xr:uid="{279A08F9-516E-414C-BBE5-F2C308E0E76C}"/>
    <cellStyle name="Normal 3 8 5 2 2 3" xfId="12960" xr:uid="{A0F0FB62-1405-4A6E-9DF6-613455A6FF0A}"/>
    <cellStyle name="Normal 3 8 5 2 3" xfId="8992" xr:uid="{9E581AEC-B4D5-4C2F-8F03-FB26071A4A11}"/>
    <cellStyle name="Normal 3 8 5 2 3 2" xfId="14351" xr:uid="{9E35F4B0-DDF0-42D0-AA59-EFF950D4077B}"/>
    <cellStyle name="Normal 3 8 5 2 4" xfId="11629" xr:uid="{D3079DE8-0DD2-407D-A386-C7935D351E72}"/>
    <cellStyle name="Normal 3 8 5 3" xfId="7031" xr:uid="{00000000-0005-0000-0000-0000C7130000}"/>
    <cellStyle name="Normal 3 8 5 3 2" xfId="9699" xr:uid="{A4868109-77AD-4ACA-86A2-0EE3E70248F4}"/>
    <cellStyle name="Normal 3 8 5 3 2 2" xfId="15089" xr:uid="{A049F2CB-2F98-4B42-8129-1B2CD47048FC}"/>
    <cellStyle name="Normal 3 8 5 3 3" xfId="12336" xr:uid="{811AC537-C4F3-4E1F-B4BD-CCDA03F567D1}"/>
    <cellStyle name="Normal 3 8 5 4" xfId="8368" xr:uid="{67811D4A-49F7-49C8-9A90-3515470D8A6C}"/>
    <cellStyle name="Normal 3 8 5 4 2" xfId="13727" xr:uid="{EF2F1062-9E9B-4DF4-B114-BD297D16B1AE}"/>
    <cellStyle name="Normal 3 8 5 5" xfId="11005" xr:uid="{8557B334-482A-4BBA-8E91-41EDB7929107}"/>
    <cellStyle name="Normal 3 8 6" xfId="4481" xr:uid="{00000000-0005-0000-0000-0000C8130000}"/>
    <cellStyle name="Normal 3 8 6 2" xfId="7649" xr:uid="{00000000-0005-0000-0000-0000C9130000}"/>
    <cellStyle name="Normal 3 8 6 2 2" xfId="10317" xr:uid="{76A23B5D-CCDE-426F-BFD8-6106B0875FD4}"/>
    <cellStyle name="Normal 3 8 6 2 2 2" xfId="15707" xr:uid="{B3800BC6-EB1F-4D87-8A34-C687CCD02BE3}"/>
    <cellStyle name="Normal 3 8 6 2 3" xfId="12954" xr:uid="{3E3CECCD-5E5E-4C65-9D4F-970E24B5BBCF}"/>
    <cellStyle name="Normal 3 8 6 3" xfId="8986" xr:uid="{241E3809-4F79-4585-956F-7A94688D5223}"/>
    <cellStyle name="Normal 3 8 6 3 2" xfId="14345" xr:uid="{847F60DA-D902-46E7-A419-F7B92A9C67A2}"/>
    <cellStyle name="Normal 3 8 6 4" xfId="11623" xr:uid="{880160B8-46F7-4996-AFF1-765CAF54E2E2}"/>
    <cellStyle name="Normal 3 8 7" xfId="7025" xr:uid="{00000000-0005-0000-0000-0000CA130000}"/>
    <cellStyle name="Normal 3 8 7 2" xfId="9693" xr:uid="{25ECDFBC-16D8-4E3A-AEC7-44B31DFEBEF0}"/>
    <cellStyle name="Normal 3 8 7 2 2" xfId="15083" xr:uid="{DAAF23D3-0271-4A3D-808F-6C3977A591D5}"/>
    <cellStyle name="Normal 3 8 7 3" xfId="12330" xr:uid="{C0CFF837-752E-4E00-960A-BAF158626EAD}"/>
    <cellStyle name="Normal 3 8 8" xfId="8362" xr:uid="{7782B965-034A-48A2-A70A-BD4A4E5D1BD6}"/>
    <cellStyle name="Normal 3 8 8 2" xfId="13721" xr:uid="{03443540-20CA-4515-8D9C-F7BC734569CD}"/>
    <cellStyle name="Normal 3 8 9" xfId="10999" xr:uid="{E0D961BB-AE0D-47FF-B245-FD9FB947DE15}"/>
    <cellStyle name="Normal 3 9" xfId="3862" xr:uid="{00000000-0005-0000-0000-0000CB130000}"/>
    <cellStyle name="Normal 3 9 2" xfId="3863" xr:uid="{00000000-0005-0000-0000-0000CC130000}"/>
    <cellStyle name="Normal 3 9 2 2" xfId="4489" xr:uid="{00000000-0005-0000-0000-0000CD130000}"/>
    <cellStyle name="Normal 3 9 2 2 2" xfId="7657" xr:uid="{00000000-0005-0000-0000-0000CE130000}"/>
    <cellStyle name="Normal 3 9 2 2 2 2" xfId="10325" xr:uid="{F399CA77-9C3A-469C-A919-5222931F1072}"/>
    <cellStyle name="Normal 3 9 2 2 2 2 2" xfId="15715" xr:uid="{884B09CD-8942-4149-8335-87FB50210DB7}"/>
    <cellStyle name="Normal 3 9 2 2 2 3" xfId="12962" xr:uid="{058DF0E4-35C1-4836-BBC7-8622D90B2F83}"/>
    <cellStyle name="Normal 3 9 2 2 3" xfId="8994" xr:uid="{CCAD8C0C-8BC2-4D32-B949-70034DF4E4B6}"/>
    <cellStyle name="Normal 3 9 2 2 3 2" xfId="14353" xr:uid="{1634D351-018F-4538-91C9-F99617966C4A}"/>
    <cellStyle name="Normal 3 9 2 2 4" xfId="11631" xr:uid="{655E1B4A-A04C-4323-9EF7-D2CB9E291753}"/>
    <cellStyle name="Normal 3 9 2 3" xfId="7033" xr:uid="{00000000-0005-0000-0000-0000CF130000}"/>
    <cellStyle name="Normal 3 9 2 3 2" xfId="9701" xr:uid="{BD3D71C4-608B-4D3E-A548-092C9DD19935}"/>
    <cellStyle name="Normal 3 9 2 3 2 2" xfId="15091" xr:uid="{E1D956C7-24B8-4B80-89B4-D3FFE1A5D659}"/>
    <cellStyle name="Normal 3 9 2 3 3" xfId="12338" xr:uid="{47A17BE3-1928-414D-9C4A-CE73BA5744BC}"/>
    <cellStyle name="Normal 3 9 2 4" xfId="8370" xr:uid="{2C9DA5C2-AA00-4747-892A-BCD489295A82}"/>
    <cellStyle name="Normal 3 9 2 4 2" xfId="13729" xr:uid="{A3C0B938-2B1F-4896-8028-E4C1F1EE6A0D}"/>
    <cellStyle name="Normal 3 9 2 5" xfId="11007" xr:uid="{8DD89007-BB43-454D-86E3-FCF50CAAA7A2}"/>
    <cellStyle name="Normal 3 9 3" xfId="3864" xr:uid="{00000000-0005-0000-0000-0000D0130000}"/>
    <cellStyle name="Normal 3 9 3 2" xfId="4490" xr:uid="{00000000-0005-0000-0000-0000D1130000}"/>
    <cellStyle name="Normal 3 9 3 2 2" xfId="7658" xr:uid="{00000000-0005-0000-0000-0000D2130000}"/>
    <cellStyle name="Normal 3 9 3 2 2 2" xfId="10326" xr:uid="{D023C899-4A5D-4F9B-B818-AFFE97DF2167}"/>
    <cellStyle name="Normal 3 9 3 2 2 2 2" xfId="15716" xr:uid="{1F7269BB-95B7-4FD1-8F6A-ECB552E011C0}"/>
    <cellStyle name="Normal 3 9 3 2 2 3" xfId="12963" xr:uid="{CB1F254A-99B2-48FB-AAB1-A173F4E60F8F}"/>
    <cellStyle name="Normal 3 9 3 2 3" xfId="8995" xr:uid="{4A0A166F-D767-4C56-9152-BBDC139917BC}"/>
    <cellStyle name="Normal 3 9 3 2 3 2" xfId="14354" xr:uid="{22095E2A-3436-4D35-9174-1AA43473ACD3}"/>
    <cellStyle name="Normal 3 9 3 2 4" xfId="11632" xr:uid="{547D389D-5EB1-4595-B80B-550C52BC4D78}"/>
    <cellStyle name="Normal 3 9 3 3" xfId="7034" xr:uid="{00000000-0005-0000-0000-0000D3130000}"/>
    <cellStyle name="Normal 3 9 3 3 2" xfId="9702" xr:uid="{AA5BD8BA-D48F-4683-B506-F1CB21DA37C1}"/>
    <cellStyle name="Normal 3 9 3 3 2 2" xfId="15092" xr:uid="{6B236B3C-484D-4253-95A4-A03B94992C6E}"/>
    <cellStyle name="Normal 3 9 3 3 3" xfId="12339" xr:uid="{381E4274-0284-4952-9F29-D57882CC7718}"/>
    <cellStyle name="Normal 3 9 3 4" xfId="8371" xr:uid="{CC1A411C-52A5-46F9-9036-460F9245CE16}"/>
    <cellStyle name="Normal 3 9 3 4 2" xfId="13730" xr:uid="{BB609AF9-1BB8-4102-8548-A03D8F466E04}"/>
    <cellStyle name="Normal 3 9 3 5" xfId="11008" xr:uid="{645BF0B6-1B92-4C87-8905-D13AEF1908C6}"/>
    <cellStyle name="Normal 3 9 4" xfId="4488" xr:uid="{00000000-0005-0000-0000-0000D4130000}"/>
    <cellStyle name="Normal 3 9 4 2" xfId="7656" xr:uid="{00000000-0005-0000-0000-0000D5130000}"/>
    <cellStyle name="Normal 3 9 4 2 2" xfId="10324" xr:uid="{FB35FC71-007B-4A71-99FE-2BE0C008BA92}"/>
    <cellStyle name="Normal 3 9 4 2 2 2" xfId="15714" xr:uid="{ACB24996-BA91-40BF-BAB3-A946672AC092}"/>
    <cellStyle name="Normal 3 9 4 2 3" xfId="12961" xr:uid="{C54E3E20-757E-41A2-A017-CCC2D693942B}"/>
    <cellStyle name="Normal 3 9 4 3" xfId="8993" xr:uid="{51492F7D-E8F3-4E49-9266-0770DDB14F35}"/>
    <cellStyle name="Normal 3 9 4 3 2" xfId="14352" xr:uid="{9ED51065-E641-4AB2-BBB1-9FB77B8A2C30}"/>
    <cellStyle name="Normal 3 9 4 4" xfId="11630" xr:uid="{BA993E42-CD8F-439E-B07A-B159E826FB12}"/>
    <cellStyle name="Normal 3 9 5" xfId="7032" xr:uid="{00000000-0005-0000-0000-0000D6130000}"/>
    <cellStyle name="Normal 3 9 5 2" xfId="9700" xr:uid="{35D86C65-73AD-4E54-AEB7-09745E1AF00C}"/>
    <cellStyle name="Normal 3 9 5 2 2" xfId="15090" xr:uid="{3004765E-4621-4F20-B812-A93E74D0F064}"/>
    <cellStyle name="Normal 3 9 5 3" xfId="12337" xr:uid="{CDEB3D54-2E13-462A-AF4F-034431B47AA6}"/>
    <cellStyle name="Normal 3 9 6" xfId="8369" xr:uid="{6FE07AA1-436E-41D4-84C1-D06B28C86658}"/>
    <cellStyle name="Normal 3 9 6 2" xfId="13728" xr:uid="{C5A52243-6745-4F6C-8462-7631367B8F5C}"/>
    <cellStyle name="Normal 3 9 7" xfId="11006" xr:uid="{8C23126D-CAC4-4126-90ED-D36E72DF88B3}"/>
    <cellStyle name="Normal 30" xfId="4736" xr:uid="{00000000-0005-0000-0000-0000D7130000}"/>
    <cellStyle name="Normal 31" xfId="4737" xr:uid="{00000000-0005-0000-0000-0000D8130000}"/>
    <cellStyle name="Normal 32" xfId="4738" xr:uid="{00000000-0005-0000-0000-0000D9130000}"/>
    <cellStyle name="Normal 33" xfId="3371" xr:uid="{00000000-0005-0000-0000-0000DA130000}"/>
    <cellStyle name="Normal 34" xfId="4739" xr:uid="{00000000-0005-0000-0000-0000DB130000}"/>
    <cellStyle name="Normal 34 2" xfId="9233" xr:uid="{F23376BD-68BB-4C3B-95E3-A637B72808F4}"/>
    <cellStyle name="Normal 34 2 2" xfId="14593" xr:uid="{C05CF45C-9502-45B5-973E-24571ABE87E8}"/>
    <cellStyle name="Normal 34 3" xfId="11870" xr:uid="{8A19374D-48C8-4321-9881-E7D9F54945C6}"/>
    <cellStyle name="Normal 35" xfId="15960" xr:uid="{BBB7EBED-EBD4-471F-87FC-3F0B100A4154}"/>
    <cellStyle name="Normal 35 2" xfId="15995" xr:uid="{39D0EC5E-1DE0-4E00-A127-243CAD1B42CE}"/>
    <cellStyle name="Normal 4" xfId="986" xr:uid="{00000000-0005-0000-0000-0000DC130000}"/>
    <cellStyle name="Normal 4 2" xfId="987" xr:uid="{00000000-0005-0000-0000-0000DD130000}"/>
    <cellStyle name="Normal 4 2 2" xfId="2618" xr:uid="{00000000-0005-0000-0000-0000DE130000}"/>
    <cellStyle name="Normal 4 2 3" xfId="3448" xr:uid="{00000000-0005-0000-0000-0000DF130000}"/>
    <cellStyle name="Normal 4 3" xfId="3460" xr:uid="{00000000-0005-0000-0000-0000E0130000}"/>
    <cellStyle name="Normal 4 3 2" xfId="3476" xr:uid="{00000000-0005-0000-0000-0000E1130000}"/>
    <cellStyle name="Normal 4 3 2 2" xfId="4127" xr:uid="{00000000-0005-0000-0000-0000E2130000}"/>
    <cellStyle name="Normal 4 3 2 2 2" xfId="7295" xr:uid="{00000000-0005-0000-0000-0000E3130000}"/>
    <cellStyle name="Normal 4 3 2 2 2 2" xfId="9963" xr:uid="{7A56159F-F7D2-48AF-9210-9A26039AB4DD}"/>
    <cellStyle name="Normal 4 3 2 2 2 2 2" xfId="15353" xr:uid="{3CA58947-6F0D-4919-888F-8C58A9217A54}"/>
    <cellStyle name="Normal 4 3 2 2 2 3" xfId="12600" xr:uid="{FDF1F502-540F-428A-8EA0-A032307A8D96}"/>
    <cellStyle name="Normal 4 3 2 2 3" xfId="8632" xr:uid="{BCA1DA20-CB58-4553-B300-8B3306D84E49}"/>
    <cellStyle name="Normal 4 3 2 2 3 2" xfId="13991" xr:uid="{E640768D-3CC9-426C-8217-69AF04D9131F}"/>
    <cellStyle name="Normal 4 3 2 2 4" xfId="11269" xr:uid="{A536D710-733D-4467-A101-4F4692A2AED1}"/>
    <cellStyle name="Normal 4 3 2 3" xfId="6684" xr:uid="{00000000-0005-0000-0000-0000E4130000}"/>
    <cellStyle name="Normal 4 3 2 3 2" xfId="9352" xr:uid="{B650A59A-195F-441B-92F1-ED92F9C02217}"/>
    <cellStyle name="Normal 4 3 2 3 2 2" xfId="14742" xr:uid="{33ACACD2-6D4E-4094-82FD-9E88CFD9E6B3}"/>
    <cellStyle name="Normal 4 3 2 3 3" xfId="11989" xr:uid="{6B58181E-4081-4E59-A41A-5334DDA81E89}"/>
    <cellStyle name="Normal 4 3 2 4" xfId="8016" xr:uid="{9D7B85D6-9B02-4224-B2EB-80ADC82A1E6A}"/>
    <cellStyle name="Normal 4 3 2 4 2" xfId="13375" xr:uid="{76CE093E-0A3B-4D03-9FF2-77D733570206}"/>
    <cellStyle name="Normal 4 3 2 5" xfId="10658" xr:uid="{5214538C-8422-4C7B-A95C-57E8CB04A349}"/>
    <cellStyle name="Normal 4 3 3" xfId="3492" xr:uid="{00000000-0005-0000-0000-0000E5130000}"/>
    <cellStyle name="Normal 4 3 3 2" xfId="4143" xr:uid="{00000000-0005-0000-0000-0000E6130000}"/>
    <cellStyle name="Normal 4 3 3 2 2" xfId="7311" xr:uid="{00000000-0005-0000-0000-0000E7130000}"/>
    <cellStyle name="Normal 4 3 3 2 2 2" xfId="9979" xr:uid="{E9D96CCA-5C4F-40E7-B3C7-6E532AA807C6}"/>
    <cellStyle name="Normal 4 3 3 2 2 2 2" xfId="15369" xr:uid="{CB59FF44-3FCE-4A4D-913C-3AA60EB5948F}"/>
    <cellStyle name="Normal 4 3 3 2 2 3" xfId="12616" xr:uid="{C6F485FE-B253-48DC-A373-457AF35FFFDA}"/>
    <cellStyle name="Normal 4 3 3 2 3" xfId="8648" xr:uid="{FF9F9319-9C7E-4901-B44F-16E9BE2186A6}"/>
    <cellStyle name="Normal 4 3 3 2 3 2" xfId="14007" xr:uid="{F7CE5373-58BA-47FE-937B-E59F94639FD3}"/>
    <cellStyle name="Normal 4 3 3 2 4" xfId="11285" xr:uid="{BE96BC11-3EBA-4054-911B-BD6DC4A3AB32}"/>
    <cellStyle name="Normal 4 3 3 3" xfId="6700" xr:uid="{00000000-0005-0000-0000-0000E8130000}"/>
    <cellStyle name="Normal 4 3 3 3 2" xfId="9368" xr:uid="{C3623FAD-3881-4C5A-8E12-D1A55DB3CAEA}"/>
    <cellStyle name="Normal 4 3 3 3 2 2" xfId="14758" xr:uid="{7A5C23EF-A503-49D7-B745-031F9DB0FF45}"/>
    <cellStyle name="Normal 4 3 3 3 3" xfId="12005" xr:uid="{30BB6409-1199-4E25-A05E-E91D6519FCBD}"/>
    <cellStyle name="Normal 4 3 3 4" xfId="8032" xr:uid="{79A62804-0748-4969-9A2F-1E272624E0A3}"/>
    <cellStyle name="Normal 4 3 3 4 2" xfId="13391" xr:uid="{5B7ED9E1-B7AD-4A38-AA0A-A3F39A39628E}"/>
    <cellStyle name="Normal 4 3 3 5" xfId="10674" xr:uid="{17C95701-8809-4342-8844-5010BF1DC83E}"/>
    <cellStyle name="Normal 4 3 4" xfId="3518" xr:uid="{00000000-0005-0000-0000-0000E9130000}"/>
    <cellStyle name="Normal 4 3 5" xfId="4111" xr:uid="{00000000-0005-0000-0000-0000EA130000}"/>
    <cellStyle name="Normal 4 3 5 2" xfId="7279" xr:uid="{00000000-0005-0000-0000-0000EB130000}"/>
    <cellStyle name="Normal 4 3 5 2 2" xfId="9947" xr:uid="{418D73BD-22FC-4C2E-B794-7DDFFC69E2A1}"/>
    <cellStyle name="Normal 4 3 5 2 2 2" xfId="15337" xr:uid="{DE2A2E67-72CC-4E23-A723-877DB993DF2E}"/>
    <cellStyle name="Normal 4 3 5 2 3" xfId="12584" xr:uid="{16753CC9-099D-4A08-A598-045C4D018464}"/>
    <cellStyle name="Normal 4 3 5 3" xfId="8616" xr:uid="{93AD1A0A-D2F0-4F61-B345-BD9DBF0B7B31}"/>
    <cellStyle name="Normal 4 3 5 3 2" xfId="13975" xr:uid="{DA40B6F1-191F-44FB-A057-0EC8B3A3726B}"/>
    <cellStyle name="Normal 4 3 5 4" xfId="11253" xr:uid="{94989605-FC9E-4155-8300-92AB5E1DCFDD}"/>
    <cellStyle name="Normal 4 3 6" xfId="5301" xr:uid="{00000000-0005-0000-0000-0000EC130000}"/>
    <cellStyle name="Normal 4 3 7" xfId="6668" xr:uid="{00000000-0005-0000-0000-0000ED130000}"/>
    <cellStyle name="Normal 4 3 7 2" xfId="9336" xr:uid="{6EA7F021-8D98-4DD7-8BCB-F8C93F573026}"/>
    <cellStyle name="Normal 4 3 7 2 2" xfId="14726" xr:uid="{7DA2FE8D-0C06-4B38-A537-37036AE0EC85}"/>
    <cellStyle name="Normal 4 3 7 3" xfId="11973" xr:uid="{28D03C2C-DD4C-478F-A69B-F8D3FF14E72C}"/>
    <cellStyle name="Normal 4 3 8" xfId="8000" xr:uid="{F0A8333A-8626-4D5E-A7C3-2D1EE3C0D395}"/>
    <cellStyle name="Normal 4 3 8 2" xfId="13359" xr:uid="{66D5F0D9-BA5C-496A-BBBD-216212D42E9F}"/>
    <cellStyle name="Normal 4 3 9" xfId="10642" xr:uid="{AF38711C-05F4-401C-AA98-CD052197D9B8}"/>
    <cellStyle name="Normal 4 4" xfId="3468" xr:uid="{00000000-0005-0000-0000-0000EE130000}"/>
    <cellStyle name="Normal 4 4 2" xfId="4119" xr:uid="{00000000-0005-0000-0000-0000EF130000}"/>
    <cellStyle name="Normal 4 4 2 2" xfId="7287" xr:uid="{00000000-0005-0000-0000-0000F0130000}"/>
    <cellStyle name="Normal 4 4 2 2 2" xfId="9955" xr:uid="{3B0EE74C-85DB-49B1-B36A-8304A9AE237F}"/>
    <cellStyle name="Normal 4 4 2 2 2 2" xfId="15345" xr:uid="{B9564BBE-C6EC-4EC3-981F-1F4A57BD9C63}"/>
    <cellStyle name="Normal 4 4 2 2 3" xfId="12592" xr:uid="{50BE50A4-E8A5-465C-8609-41592A3872A2}"/>
    <cellStyle name="Normal 4 4 2 3" xfId="8624" xr:uid="{E011263B-F528-4833-A79E-226E9701F831}"/>
    <cellStyle name="Normal 4 4 2 3 2" xfId="13983" xr:uid="{D4017FB8-C5D1-4B12-ADAB-DA2B91EC215E}"/>
    <cellStyle name="Normal 4 4 2 4" xfId="11261" xr:uid="{97902F33-E490-4F0B-BC9A-68BCDF774630}"/>
    <cellStyle name="Normal 4 4 3" xfId="6676" xr:uid="{00000000-0005-0000-0000-0000F1130000}"/>
    <cellStyle name="Normal 4 4 3 2" xfId="9344" xr:uid="{4F7BAECA-5891-4513-BFEC-A37448143855}"/>
    <cellStyle name="Normal 4 4 3 2 2" xfId="14734" xr:uid="{BCD52F1A-8EF5-49B6-BFF2-E24CAEEF5D05}"/>
    <cellStyle name="Normal 4 4 3 3" xfId="11981" xr:uid="{40C4B930-79AD-46FF-8878-1026B1DBAA7A}"/>
    <cellStyle name="Normal 4 4 4" xfId="8008" xr:uid="{4D9831EE-404C-4EE9-83E0-3A4CA5474044}"/>
    <cellStyle name="Normal 4 4 4 2" xfId="13367" xr:uid="{3E5E3FCA-2C4B-4E95-A754-B083CD08B549}"/>
    <cellStyle name="Normal 4 4 5" xfId="10650" xr:uid="{63E1F98F-58DC-41B6-B183-E6B0A06F4B67}"/>
    <cellStyle name="Normal 4 5" xfId="3484" xr:uid="{00000000-0005-0000-0000-0000F2130000}"/>
    <cellStyle name="Normal 4 5 2" xfId="4135" xr:uid="{00000000-0005-0000-0000-0000F3130000}"/>
    <cellStyle name="Normal 4 5 2 2" xfId="7303" xr:uid="{00000000-0005-0000-0000-0000F4130000}"/>
    <cellStyle name="Normal 4 5 2 2 2" xfId="9971" xr:uid="{0104B34C-BAF4-4A6B-BDB1-B66E7C6A24F3}"/>
    <cellStyle name="Normal 4 5 2 2 2 2" xfId="15361" xr:uid="{D6AB50EA-58FB-40BE-8CBC-8AC081C2365C}"/>
    <cellStyle name="Normal 4 5 2 2 3" xfId="12608" xr:uid="{34F6652F-213A-48B5-85F5-E9225E00F0A4}"/>
    <cellStyle name="Normal 4 5 2 3" xfId="8640" xr:uid="{D322B484-85BB-42EE-84A4-03DCE01A8FE6}"/>
    <cellStyle name="Normal 4 5 2 3 2" xfId="13999" xr:uid="{5D79F6EE-6291-43E2-980A-9B71C1CDFD46}"/>
    <cellStyle name="Normal 4 5 2 4" xfId="11277" xr:uid="{C9FD443A-8500-42BA-940A-249E2F0D24D7}"/>
    <cellStyle name="Normal 4 5 3" xfId="6692" xr:uid="{00000000-0005-0000-0000-0000F5130000}"/>
    <cellStyle name="Normal 4 5 3 2" xfId="9360" xr:uid="{783A509B-BB53-4E4F-9F9F-59D96FAE62BD}"/>
    <cellStyle name="Normal 4 5 3 2 2" xfId="14750" xr:uid="{5E29A3C7-CBF6-4ADE-B40F-59D1CA0B44CE}"/>
    <cellStyle name="Normal 4 5 3 3" xfId="11997" xr:uid="{50C6BECB-12DC-4916-9F9A-902FA55F3D17}"/>
    <cellStyle name="Normal 4 5 4" xfId="8024" xr:uid="{5B2CC67A-6FAB-4935-90D6-A5CC5981AA1E}"/>
    <cellStyle name="Normal 4 5 4 2" xfId="13383" xr:uid="{1E99167A-409B-45A7-9714-06D857EACE1A}"/>
    <cellStyle name="Normal 4 5 5" xfId="10666" xr:uid="{5957B5D3-BC89-432A-BB08-2F2146E55C1B}"/>
    <cellStyle name="Normal 4 6" xfId="3510" xr:uid="{00000000-0005-0000-0000-0000F6130000}"/>
    <cellStyle name="Normal 4 7" xfId="4103" xr:uid="{00000000-0005-0000-0000-0000F7130000}"/>
    <cellStyle name="Normal 4 7 2" xfId="7271" xr:uid="{00000000-0005-0000-0000-0000F8130000}"/>
    <cellStyle name="Normal 4 7 2 2" xfId="9939" xr:uid="{5EA9B944-573D-4003-8F1B-14291CFC8C23}"/>
    <cellStyle name="Normal 4 7 2 2 2" xfId="15329" xr:uid="{8B88DC96-23B4-45F1-B4D5-061ED622A7F9}"/>
    <cellStyle name="Normal 4 7 2 3" xfId="12576" xr:uid="{0F420023-D7FD-4696-86C5-C57800682D3A}"/>
    <cellStyle name="Normal 4 7 3" xfId="8608" xr:uid="{3E09833B-59B6-412F-864B-4D3EB4E9B1C0}"/>
    <cellStyle name="Normal 4 7 3 2" xfId="13967" xr:uid="{7E14822A-6758-47C7-8E6E-FA65B28C80B6}"/>
    <cellStyle name="Normal 4 7 4" xfId="11245" xr:uid="{DBC73FB1-648D-44F1-B73F-4BC20E78BF46}"/>
    <cellStyle name="Normal 4 8" xfId="3384" xr:uid="{00000000-0005-0000-0000-0000F9130000}"/>
    <cellStyle name="Normal 4 8 2" xfId="6652" xr:uid="{00000000-0005-0000-0000-0000FA130000}"/>
    <cellStyle name="Normal 4 8 2 2" xfId="9328" xr:uid="{7DE6316C-3014-4958-B34A-7175D0F9CE4D}"/>
    <cellStyle name="Normal 4 8 2 2 2" xfId="14718" xr:uid="{38DFFED8-06D4-43F1-BB05-099F004ED169}"/>
    <cellStyle name="Normal 4 8 2 3" xfId="11965" xr:uid="{54C8024C-A266-4273-8D52-F502FBA08468}"/>
    <cellStyle name="Normal 4 8 3" xfId="7988" xr:uid="{745AC093-D500-4C88-86DD-4F565480B529}"/>
    <cellStyle name="Normal 4 8 3 2" xfId="13348" xr:uid="{EC80B365-40B9-4A9B-A068-11C6781E1944}"/>
    <cellStyle name="Normal 4 8 4" xfId="10634" xr:uid="{5C910E29-B8AB-41C1-BB30-526F368024E6}"/>
    <cellStyle name="Normal 5" xfId="988" xr:uid="{00000000-0005-0000-0000-0000FB130000}"/>
    <cellStyle name="Normal 5 10" xfId="3866" xr:uid="{00000000-0005-0000-0000-0000FC130000}"/>
    <cellStyle name="Normal 5 10 2" xfId="4492" xr:uid="{00000000-0005-0000-0000-0000FD130000}"/>
    <cellStyle name="Normal 5 10 2 2" xfId="7660" xr:uid="{00000000-0005-0000-0000-0000FE130000}"/>
    <cellStyle name="Normal 5 10 2 2 2" xfId="10328" xr:uid="{AC4B0AFD-6C71-497B-B5AB-5E98FDF78A44}"/>
    <cellStyle name="Normal 5 10 2 2 2 2" xfId="15718" xr:uid="{35B40A9F-CCB3-42CC-8493-37D53CB24B6A}"/>
    <cellStyle name="Normal 5 10 2 2 3" xfId="12965" xr:uid="{B6B5815C-C61A-4475-BDE9-8735373054B3}"/>
    <cellStyle name="Normal 5 10 2 3" xfId="8997" xr:uid="{42076BE2-32DF-41A1-B9DE-3C572C7430BB}"/>
    <cellStyle name="Normal 5 10 2 3 2" xfId="14356" xr:uid="{A9D67527-FCDD-450A-A1D9-F36215E4B14E}"/>
    <cellStyle name="Normal 5 10 2 4" xfId="11634" xr:uid="{1CF45336-133D-4604-98A3-55339314BAB7}"/>
    <cellStyle name="Normal 5 10 3" xfId="7036" xr:uid="{00000000-0005-0000-0000-0000FF130000}"/>
    <cellStyle name="Normal 5 10 3 2" xfId="9704" xr:uid="{E83F9D42-9E99-4D3C-BC98-B24988D452B9}"/>
    <cellStyle name="Normal 5 10 3 2 2" xfId="15094" xr:uid="{A220FC25-9847-490C-A5E7-F2018A3E9189}"/>
    <cellStyle name="Normal 5 10 3 3" xfId="12341" xr:uid="{20DEA9C7-CF80-4A57-A111-14AC94462E33}"/>
    <cellStyle name="Normal 5 10 4" xfId="8373" xr:uid="{39F50C0C-BE0A-4093-A249-06C52E401E3E}"/>
    <cellStyle name="Normal 5 10 4 2" xfId="13732" xr:uid="{A2F9B0A0-1047-4F6C-A4B7-5C70DA79EDA2}"/>
    <cellStyle name="Normal 5 10 5" xfId="11010" xr:uid="{B3DBE8D7-8EC6-4B4B-B065-072240B6D342}"/>
    <cellStyle name="Normal 5 11" xfId="3867" xr:uid="{00000000-0005-0000-0000-000000140000}"/>
    <cellStyle name="Normal 5 11 2" xfId="4493" xr:uid="{00000000-0005-0000-0000-000001140000}"/>
    <cellStyle name="Normal 5 11 2 2" xfId="7661" xr:uid="{00000000-0005-0000-0000-000002140000}"/>
    <cellStyle name="Normal 5 11 2 2 2" xfId="10329" xr:uid="{7C9B895C-9EFA-4984-9A63-F48C319FC3B0}"/>
    <cellStyle name="Normal 5 11 2 2 2 2" xfId="15719" xr:uid="{5DE751E7-D58C-43B5-9D2E-1789EFFD1696}"/>
    <cellStyle name="Normal 5 11 2 2 3" xfId="12966" xr:uid="{AB2DE132-FFB4-4423-B1E9-68673BBCF003}"/>
    <cellStyle name="Normal 5 11 2 3" xfId="8998" xr:uid="{3FF049C4-F4C6-49D5-BA9D-71C0AED8C1EA}"/>
    <cellStyle name="Normal 5 11 2 3 2" xfId="14357" xr:uid="{DF183059-FF09-44F1-8269-4BC0DB1F723D}"/>
    <cellStyle name="Normal 5 11 2 4" xfId="11635" xr:uid="{C98523AC-DBA7-4AC5-BB44-585876287486}"/>
    <cellStyle name="Normal 5 11 3" xfId="7037" xr:uid="{00000000-0005-0000-0000-000003140000}"/>
    <cellStyle name="Normal 5 11 3 2" xfId="9705" xr:uid="{7A37A3DC-6864-4523-8D7D-BB84E4515141}"/>
    <cellStyle name="Normal 5 11 3 2 2" xfId="15095" xr:uid="{E6EF126B-2895-4A83-82E2-4687419CAF72}"/>
    <cellStyle name="Normal 5 11 3 3" xfId="12342" xr:uid="{559225FB-2C2F-4083-8CAC-D8DD7C4D60CE}"/>
    <cellStyle name="Normal 5 11 4" xfId="8374" xr:uid="{57F9EF71-AC38-4860-B194-008C367FFC32}"/>
    <cellStyle name="Normal 5 11 4 2" xfId="13733" xr:uid="{6111BBFC-0DEA-4A0A-A3A5-BF1AF54882F5}"/>
    <cellStyle name="Normal 5 11 5" xfId="11011" xr:uid="{82188FA2-2C3D-4037-AB83-A19067330753}"/>
    <cellStyle name="Normal 5 12" xfId="3868" xr:uid="{00000000-0005-0000-0000-000004140000}"/>
    <cellStyle name="Normal 5 12 2" xfId="4494" xr:uid="{00000000-0005-0000-0000-000005140000}"/>
    <cellStyle name="Normal 5 12 2 2" xfId="7662" xr:uid="{00000000-0005-0000-0000-000006140000}"/>
    <cellStyle name="Normal 5 12 2 2 2" xfId="10330" xr:uid="{E90AEE9C-117E-4B66-9F68-A81252BF89FE}"/>
    <cellStyle name="Normal 5 12 2 2 2 2" xfId="15720" xr:uid="{BE0BFC07-B6F8-41BA-AC96-C2B1747DE8B9}"/>
    <cellStyle name="Normal 5 12 2 2 3" xfId="12967" xr:uid="{069E881D-1F08-491F-97DC-370D2CF37104}"/>
    <cellStyle name="Normal 5 12 2 3" xfId="8999" xr:uid="{D412643E-5DBD-4A6E-8A22-AF1EE4DBC601}"/>
    <cellStyle name="Normal 5 12 2 3 2" xfId="14358" xr:uid="{0B0BBCCB-7511-47E3-8276-1A3FD9DEA24D}"/>
    <cellStyle name="Normal 5 12 2 4" xfId="11636" xr:uid="{AB92C4C0-F13E-4FC4-A371-09619DF10A37}"/>
    <cellStyle name="Normal 5 12 3" xfId="7038" xr:uid="{00000000-0005-0000-0000-000007140000}"/>
    <cellStyle name="Normal 5 12 3 2" xfId="9706" xr:uid="{F2BBE211-9475-4279-98FA-560FA05991EB}"/>
    <cellStyle name="Normal 5 12 3 2 2" xfId="15096" xr:uid="{41EB23DC-E863-4040-B536-AE1F3088C606}"/>
    <cellStyle name="Normal 5 12 3 3" xfId="12343" xr:uid="{A0061EE7-AE67-4025-A746-0C50F7016857}"/>
    <cellStyle name="Normal 5 12 4" xfId="8375" xr:uid="{D7CBA6D7-CE41-48D8-B3BA-860621039057}"/>
    <cellStyle name="Normal 5 12 4 2" xfId="13734" xr:uid="{33336830-7996-483E-9AF2-96EFF4A2B532}"/>
    <cellStyle name="Normal 5 12 5" xfId="11012" xr:uid="{6664BBBF-052A-4E42-98A4-BEB40180FDEF}"/>
    <cellStyle name="Normal 5 13" xfId="3865" xr:uid="{00000000-0005-0000-0000-000008140000}"/>
    <cellStyle name="Normal 5 13 2" xfId="4491" xr:uid="{00000000-0005-0000-0000-000009140000}"/>
    <cellStyle name="Normal 5 13 2 2" xfId="7659" xr:uid="{00000000-0005-0000-0000-00000A140000}"/>
    <cellStyle name="Normal 5 13 2 2 2" xfId="10327" xr:uid="{6BF91757-7C8D-4A77-80AE-353800779360}"/>
    <cellStyle name="Normal 5 13 2 2 2 2" xfId="15717" xr:uid="{74149526-A4AC-4F51-BC76-1B91865F5CDA}"/>
    <cellStyle name="Normal 5 13 2 2 3" xfId="12964" xr:uid="{C8B946AA-F71C-4FAF-A039-83AD36C7983D}"/>
    <cellStyle name="Normal 5 13 2 3" xfId="8996" xr:uid="{F34EB490-551C-4CFD-83F8-39442C563C87}"/>
    <cellStyle name="Normal 5 13 2 3 2" xfId="14355" xr:uid="{6F3BBD7D-E5F4-4787-99CD-4C910404F9C6}"/>
    <cellStyle name="Normal 5 13 2 4" xfId="11633" xr:uid="{E017CE88-BDF2-41F8-8CAE-17578A2D43B0}"/>
    <cellStyle name="Normal 5 13 3" xfId="7035" xr:uid="{00000000-0005-0000-0000-00000B140000}"/>
    <cellStyle name="Normal 5 13 3 2" xfId="9703" xr:uid="{57ADB443-525E-41E3-8BE5-2A093846DD24}"/>
    <cellStyle name="Normal 5 13 3 2 2" xfId="15093" xr:uid="{2137FB57-B66A-462B-9051-51E58410C4ED}"/>
    <cellStyle name="Normal 5 13 3 3" xfId="12340" xr:uid="{244AFB84-3D12-4154-8917-B098C29B1992}"/>
    <cellStyle name="Normal 5 13 4" xfId="8372" xr:uid="{873979F1-A6D6-48E7-9A91-679128E9752D}"/>
    <cellStyle name="Normal 5 13 4 2" xfId="13731" xr:uid="{06232485-EA53-45C9-B9B2-753CD5C2DA4E}"/>
    <cellStyle name="Normal 5 13 5" xfId="11009" xr:uid="{D783E21D-86E3-4976-9886-AD7880A3C82D}"/>
    <cellStyle name="Normal 5 14" xfId="3502" xr:uid="{00000000-0005-0000-0000-00000C140000}"/>
    <cellStyle name="Normal 5 15" xfId="3449" xr:uid="{00000000-0005-0000-0000-00000D140000}"/>
    <cellStyle name="Normal 5 2" xfId="2070" xr:uid="{00000000-0005-0000-0000-00000E140000}"/>
    <cellStyle name="Normal 5 2 2" xfId="2071" xr:uid="{00000000-0005-0000-0000-00000F140000}"/>
    <cellStyle name="Normal 5 2 2 2" xfId="2072" xr:uid="{00000000-0005-0000-0000-000010140000}"/>
    <cellStyle name="Normal 5 2 2 2 2" xfId="4497" xr:uid="{00000000-0005-0000-0000-000011140000}"/>
    <cellStyle name="Normal 5 2 2 2 2 2" xfId="7665" xr:uid="{00000000-0005-0000-0000-000012140000}"/>
    <cellStyle name="Normal 5 2 2 2 2 2 2" xfId="10333" xr:uid="{6067218F-A0F7-47B8-B66B-D1F035DAC07E}"/>
    <cellStyle name="Normal 5 2 2 2 2 2 2 2" xfId="15723" xr:uid="{1ED5F435-EBF5-4430-B3E6-5A027EDEC5B5}"/>
    <cellStyle name="Normal 5 2 2 2 2 2 3" xfId="12970" xr:uid="{17902B93-75E2-417D-830D-931A10142469}"/>
    <cellStyle name="Normal 5 2 2 2 2 3" xfId="9002" xr:uid="{63D1D0F7-F4DC-439A-BB5B-3EF5362DF0AF}"/>
    <cellStyle name="Normal 5 2 2 2 2 3 2" xfId="14361" xr:uid="{E93DDEA3-4398-4723-9357-37203366B7E6}"/>
    <cellStyle name="Normal 5 2 2 2 2 4" xfId="11639" xr:uid="{295D6C33-3263-41C0-B4E7-69D8DB82CFBE}"/>
    <cellStyle name="Normal 5 2 2 2 3" xfId="3871" xr:uid="{00000000-0005-0000-0000-000013140000}"/>
    <cellStyle name="Normal 5 2 2 2 3 2" xfId="7041" xr:uid="{00000000-0005-0000-0000-000014140000}"/>
    <cellStyle name="Normal 5 2 2 2 3 2 2" xfId="9709" xr:uid="{3E39D6A1-F764-44E1-9552-568AB4AAC3A3}"/>
    <cellStyle name="Normal 5 2 2 2 3 2 2 2" xfId="15099" xr:uid="{58B74D6A-A772-43C9-BB3A-944A9A90234F}"/>
    <cellStyle name="Normal 5 2 2 2 3 2 3" xfId="12346" xr:uid="{106214EC-472B-4D14-B334-04ED0EBE488F}"/>
    <cellStyle name="Normal 5 2 2 2 3 3" xfId="8378" xr:uid="{3A82B5CA-24A8-4A5F-AF4C-9C95C2171898}"/>
    <cellStyle name="Normal 5 2 2 2 3 3 2" xfId="13737" xr:uid="{5216BF18-018A-4786-ADA2-3474130D31F9}"/>
    <cellStyle name="Normal 5 2 2 2 3 4" xfId="11015" xr:uid="{A67D900D-BE4A-49F5-A947-040CCA9F0776}"/>
    <cellStyle name="Normal 5 2 2 3" xfId="3872" xr:uid="{00000000-0005-0000-0000-000015140000}"/>
    <cellStyle name="Normal 5 2 2 3 2" xfId="4498" xr:uid="{00000000-0005-0000-0000-000016140000}"/>
    <cellStyle name="Normal 5 2 2 3 2 2" xfId="7666" xr:uid="{00000000-0005-0000-0000-000017140000}"/>
    <cellStyle name="Normal 5 2 2 3 2 2 2" xfId="10334" xr:uid="{BC88E6DC-618E-42BB-9086-8B80B617C417}"/>
    <cellStyle name="Normal 5 2 2 3 2 2 2 2" xfId="15724" xr:uid="{4C296F84-B98B-4B1A-831C-BB575F52F82D}"/>
    <cellStyle name="Normal 5 2 2 3 2 2 3" xfId="12971" xr:uid="{0479C1F0-5AFB-48B2-BE72-C0E02F884B5D}"/>
    <cellStyle name="Normal 5 2 2 3 2 3" xfId="9003" xr:uid="{7D9F34DA-A85E-4FA5-9856-08652796C870}"/>
    <cellStyle name="Normal 5 2 2 3 2 3 2" xfId="14362" xr:uid="{755392FC-AB19-4D8A-83D7-CB811C36884E}"/>
    <cellStyle name="Normal 5 2 2 3 2 4" xfId="11640" xr:uid="{91DB970C-2C5F-420D-8F1C-298B33F81776}"/>
    <cellStyle name="Normal 5 2 2 3 3" xfId="7042" xr:uid="{00000000-0005-0000-0000-000018140000}"/>
    <cellStyle name="Normal 5 2 2 3 3 2" xfId="9710" xr:uid="{8227A204-3E88-41E3-A4B4-D81BD44A1EBB}"/>
    <cellStyle name="Normal 5 2 2 3 3 2 2" xfId="15100" xr:uid="{2AE8F505-7242-4187-B379-860217576DD9}"/>
    <cellStyle name="Normal 5 2 2 3 3 3" xfId="12347" xr:uid="{24296A54-F5BA-4335-A688-B20BEFB075F5}"/>
    <cellStyle name="Normal 5 2 2 3 4" xfId="8379" xr:uid="{A1CC4B7E-3E10-4F47-9376-65E32B78B6BD}"/>
    <cellStyle name="Normal 5 2 2 3 4 2" xfId="13738" xr:uid="{0E9C43B6-945C-4A7E-B046-1B04893C47E1}"/>
    <cellStyle name="Normal 5 2 2 3 5" xfId="11016" xr:uid="{746F4429-7EF2-4BDF-A037-5152FC6A352E}"/>
    <cellStyle name="Normal 5 2 2 4" xfId="4496" xr:uid="{00000000-0005-0000-0000-000019140000}"/>
    <cellStyle name="Normal 5 2 2 4 2" xfId="7664" xr:uid="{00000000-0005-0000-0000-00001A140000}"/>
    <cellStyle name="Normal 5 2 2 4 2 2" xfId="10332" xr:uid="{6F5C1EE3-96D5-4BAF-8F68-416D0EC8B685}"/>
    <cellStyle name="Normal 5 2 2 4 2 2 2" xfId="15722" xr:uid="{F4F3B0B9-94C2-4397-827C-14D011D0FA88}"/>
    <cellStyle name="Normal 5 2 2 4 2 3" xfId="12969" xr:uid="{6084B42A-2A17-4C58-A76E-72C25BD1841D}"/>
    <cellStyle name="Normal 5 2 2 4 3" xfId="9001" xr:uid="{881E108C-0CE4-4896-A8B0-625869D162E1}"/>
    <cellStyle name="Normal 5 2 2 4 3 2" xfId="14360" xr:uid="{615EB04B-24AF-4EAD-A4D3-0A1628591B1E}"/>
    <cellStyle name="Normal 5 2 2 4 4" xfId="11638" xr:uid="{DB0B2888-3C36-4498-A3D3-8FDEA9645229}"/>
    <cellStyle name="Normal 5 2 2 5" xfId="3870" xr:uid="{00000000-0005-0000-0000-00001B140000}"/>
    <cellStyle name="Normal 5 2 2 5 2" xfId="7040" xr:uid="{00000000-0005-0000-0000-00001C140000}"/>
    <cellStyle name="Normal 5 2 2 5 2 2" xfId="9708" xr:uid="{D25724FE-3F86-4423-A4AA-82E07C8524D4}"/>
    <cellStyle name="Normal 5 2 2 5 2 2 2" xfId="15098" xr:uid="{E3343CC9-019B-4CB0-8101-C7478D6B7449}"/>
    <cellStyle name="Normal 5 2 2 5 2 3" xfId="12345" xr:uid="{04ED81ED-FA9F-4AC8-87E4-3B7DF432F295}"/>
    <cellStyle name="Normal 5 2 2 5 3" xfId="8377" xr:uid="{95D1C29D-0DEA-43C6-A83C-305C99203AD4}"/>
    <cellStyle name="Normal 5 2 2 5 3 2" xfId="13736" xr:uid="{DA1F4A35-E450-4EF0-A967-95006873A11B}"/>
    <cellStyle name="Normal 5 2 2 5 4" xfId="11014" xr:uid="{D35609E9-E2E6-422A-A574-239D0C5F2A2C}"/>
    <cellStyle name="Normal 5 2 3" xfId="3873" xr:uid="{00000000-0005-0000-0000-00001D140000}"/>
    <cellStyle name="Normal 5 2 3 2" xfId="4499" xr:uid="{00000000-0005-0000-0000-00001E140000}"/>
    <cellStyle name="Normal 5 2 3 2 2" xfId="7667" xr:uid="{00000000-0005-0000-0000-00001F140000}"/>
    <cellStyle name="Normal 5 2 3 2 2 2" xfId="10335" xr:uid="{F6AE1309-2C18-4C88-A59F-63E428C4F7D1}"/>
    <cellStyle name="Normal 5 2 3 2 2 2 2" xfId="15725" xr:uid="{88F7A8F3-2351-4390-B43F-26A9612D3598}"/>
    <cellStyle name="Normal 5 2 3 2 2 3" xfId="12972" xr:uid="{FA6B6DDB-C746-4433-A2A9-DBD94831322A}"/>
    <cellStyle name="Normal 5 2 3 2 3" xfId="9004" xr:uid="{DDD6A234-3569-41E7-97DD-0AA5ADDA6E59}"/>
    <cellStyle name="Normal 5 2 3 2 3 2" xfId="14363" xr:uid="{12D1B27E-2F8F-4B09-822D-66F512624C20}"/>
    <cellStyle name="Normal 5 2 3 2 4" xfId="11641" xr:uid="{D447D94C-CA68-4939-9CBC-B3B0B35B135D}"/>
    <cellStyle name="Normal 5 2 3 3" xfId="7043" xr:uid="{00000000-0005-0000-0000-000020140000}"/>
    <cellStyle name="Normal 5 2 3 3 2" xfId="9711" xr:uid="{62E9022D-3833-4B91-9404-E20576D9B112}"/>
    <cellStyle name="Normal 5 2 3 3 2 2" xfId="15101" xr:uid="{CBEED07B-4803-4475-BDD7-8A450CE6BC05}"/>
    <cellStyle name="Normal 5 2 3 3 3" xfId="12348" xr:uid="{41A411E7-09D3-4DCD-BFA2-A90F17E9686B}"/>
    <cellStyle name="Normal 5 2 3 4" xfId="8380" xr:uid="{CF16556C-AAE4-454B-8214-92717C4982E6}"/>
    <cellStyle name="Normal 5 2 3 4 2" xfId="13739" xr:uid="{78AC7DF5-9140-4A11-A1EA-F1E7B789302F}"/>
    <cellStyle name="Normal 5 2 3 5" xfId="11017" xr:uid="{B4241221-35BB-4F6A-BF37-E8AC4ED14C40}"/>
    <cellStyle name="Normal 5 2 4" xfId="3874" xr:uid="{00000000-0005-0000-0000-000021140000}"/>
    <cellStyle name="Normal 5 2 4 2" xfId="4500" xr:uid="{00000000-0005-0000-0000-000022140000}"/>
    <cellStyle name="Normal 5 2 4 2 2" xfId="7668" xr:uid="{00000000-0005-0000-0000-000023140000}"/>
    <cellStyle name="Normal 5 2 4 2 2 2" xfId="10336" xr:uid="{1E857561-368D-495E-B484-C2EF20F2AF34}"/>
    <cellStyle name="Normal 5 2 4 2 2 2 2" xfId="15726" xr:uid="{2826FF98-0CD0-4E39-B797-30E67C45D1D9}"/>
    <cellStyle name="Normal 5 2 4 2 2 3" xfId="12973" xr:uid="{BFA0BFC1-CD22-4758-B116-C9E2F40F18C9}"/>
    <cellStyle name="Normal 5 2 4 2 3" xfId="9005" xr:uid="{58372FCC-923D-4B70-8775-9A55C4825AB8}"/>
    <cellStyle name="Normal 5 2 4 2 3 2" xfId="14364" xr:uid="{D67D2A41-D083-4CD4-B264-810B351C218A}"/>
    <cellStyle name="Normal 5 2 4 2 4" xfId="11642" xr:uid="{90438960-6FDE-414E-9C73-07F1B4D3DB57}"/>
    <cellStyle name="Normal 5 2 4 3" xfId="7044" xr:uid="{00000000-0005-0000-0000-000024140000}"/>
    <cellStyle name="Normal 5 2 4 3 2" xfId="9712" xr:uid="{F0830731-EE90-4410-BC52-4A1E4D668382}"/>
    <cellStyle name="Normal 5 2 4 3 2 2" xfId="15102" xr:uid="{4A2A542A-F661-4268-BE1F-B581A4B0B846}"/>
    <cellStyle name="Normal 5 2 4 3 3" xfId="12349" xr:uid="{F6EF262A-095D-4329-B276-936DE69BA846}"/>
    <cellStyle name="Normal 5 2 4 4" xfId="8381" xr:uid="{B116DEB9-C42C-445D-A66B-1D0A0448E481}"/>
    <cellStyle name="Normal 5 2 4 4 2" xfId="13740" xr:uid="{6ED3E9B5-9451-4639-8854-99FF4C031604}"/>
    <cellStyle name="Normal 5 2 4 5" xfId="11018" xr:uid="{B28E8073-D6F4-4007-8594-95F515531D30}"/>
    <cellStyle name="Normal 5 2 5" xfId="3875" xr:uid="{00000000-0005-0000-0000-000025140000}"/>
    <cellStyle name="Normal 5 2 5 2" xfId="4501" xr:uid="{00000000-0005-0000-0000-000026140000}"/>
    <cellStyle name="Normal 5 2 5 2 2" xfId="7669" xr:uid="{00000000-0005-0000-0000-000027140000}"/>
    <cellStyle name="Normal 5 2 5 2 2 2" xfId="10337" xr:uid="{D733217D-6D32-40BD-B0B6-708F1822EB14}"/>
    <cellStyle name="Normal 5 2 5 2 2 2 2" xfId="15727" xr:uid="{1B87FFBD-D630-4A89-833E-505D76A1D384}"/>
    <cellStyle name="Normal 5 2 5 2 2 3" xfId="12974" xr:uid="{C2EF432E-1878-47FF-BA41-C44D1AEBFFF9}"/>
    <cellStyle name="Normal 5 2 5 2 3" xfId="9006" xr:uid="{E37AD9F8-3B0F-4777-A765-5A9D255C3F6A}"/>
    <cellStyle name="Normal 5 2 5 2 3 2" xfId="14365" xr:uid="{F05ED956-DF22-4920-A7BA-EA59DE3D59B6}"/>
    <cellStyle name="Normal 5 2 5 2 4" xfId="11643" xr:uid="{E9C67A38-45AE-4166-9708-98E0C766E60C}"/>
    <cellStyle name="Normal 5 2 5 3" xfId="7045" xr:uid="{00000000-0005-0000-0000-000028140000}"/>
    <cellStyle name="Normal 5 2 5 3 2" xfId="9713" xr:uid="{990C39E9-CB07-4304-AC37-4D55DED1AF9B}"/>
    <cellStyle name="Normal 5 2 5 3 2 2" xfId="15103" xr:uid="{915FA13F-8EF4-4CE3-A0E7-8D6A051E78B5}"/>
    <cellStyle name="Normal 5 2 5 3 3" xfId="12350" xr:uid="{0957B570-5A93-46E0-B76C-C104D700561F}"/>
    <cellStyle name="Normal 5 2 5 4" xfId="8382" xr:uid="{99BFEACC-90B9-46ED-BF31-D3F9FBF501D1}"/>
    <cellStyle name="Normal 5 2 5 4 2" xfId="13741" xr:uid="{9A5281F8-C063-4A23-92EC-38E19AF90E1A}"/>
    <cellStyle name="Normal 5 2 5 5" xfId="11019" xr:uid="{02B0CB0D-29DD-42F2-BF93-9C9649DED90E}"/>
    <cellStyle name="Normal 5 2 6" xfId="3876" xr:uid="{00000000-0005-0000-0000-000029140000}"/>
    <cellStyle name="Normal 5 2 6 2" xfId="4502" xr:uid="{00000000-0005-0000-0000-00002A140000}"/>
    <cellStyle name="Normal 5 2 6 2 2" xfId="7670" xr:uid="{00000000-0005-0000-0000-00002B140000}"/>
    <cellStyle name="Normal 5 2 6 2 2 2" xfId="10338" xr:uid="{18EBCB3F-AF70-4A40-99D0-D80E286C4084}"/>
    <cellStyle name="Normal 5 2 6 2 2 2 2" xfId="15728" xr:uid="{3B3C4FB7-C082-48D2-B525-E247DFE4DEAE}"/>
    <cellStyle name="Normal 5 2 6 2 2 3" xfId="12975" xr:uid="{9F40677E-BEFE-4FF6-8CA1-D44D542AE18D}"/>
    <cellStyle name="Normal 5 2 6 2 3" xfId="9007" xr:uid="{FFC73F81-1DF8-415A-A0BF-AE0AFE926EFE}"/>
    <cellStyle name="Normal 5 2 6 2 3 2" xfId="14366" xr:uid="{C0B2C77C-A283-4041-B055-CD608103D70D}"/>
    <cellStyle name="Normal 5 2 6 2 4" xfId="11644" xr:uid="{44CEC379-791A-45BE-84DE-08D6CA43AB98}"/>
    <cellStyle name="Normal 5 2 6 3" xfId="7046" xr:uid="{00000000-0005-0000-0000-00002C140000}"/>
    <cellStyle name="Normal 5 2 6 3 2" xfId="9714" xr:uid="{0A038B62-662A-40D7-B520-64E5B67B2744}"/>
    <cellStyle name="Normal 5 2 6 3 2 2" xfId="15104" xr:uid="{B64BD41D-7AE7-4AEA-BB5C-8DAFE92B5F83}"/>
    <cellStyle name="Normal 5 2 6 3 3" xfId="12351" xr:uid="{8B53C84D-2FCC-4205-A54C-C3F1F926207E}"/>
    <cellStyle name="Normal 5 2 6 4" xfId="8383" xr:uid="{5C14CB55-BD13-45F0-B069-FDA59B3FBBF2}"/>
    <cellStyle name="Normal 5 2 6 4 2" xfId="13742" xr:uid="{7D80343E-1475-49D5-81D8-F358FEC9868A}"/>
    <cellStyle name="Normal 5 2 6 5" xfId="11020" xr:uid="{525CB0DB-D6CA-47B6-9732-78586DF5F7AA}"/>
    <cellStyle name="Normal 5 2 7" xfId="3869" xr:uid="{00000000-0005-0000-0000-00002D140000}"/>
    <cellStyle name="Normal 5 2 7 2" xfId="4495" xr:uid="{00000000-0005-0000-0000-00002E140000}"/>
    <cellStyle name="Normal 5 2 7 2 2" xfId="7663" xr:uid="{00000000-0005-0000-0000-00002F140000}"/>
    <cellStyle name="Normal 5 2 7 2 2 2" xfId="10331" xr:uid="{FA0C87B4-7235-4958-B2EF-859C7D184AF1}"/>
    <cellStyle name="Normal 5 2 7 2 2 2 2" xfId="15721" xr:uid="{F728ED3D-F906-4C15-A1CB-B6E2D4EC355E}"/>
    <cellStyle name="Normal 5 2 7 2 2 3" xfId="12968" xr:uid="{D5FC671A-0292-46B4-A5EC-EB473E2724DB}"/>
    <cellStyle name="Normal 5 2 7 2 3" xfId="9000" xr:uid="{E0B58CC2-71D1-4BD8-8512-5F022A44A4EA}"/>
    <cellStyle name="Normal 5 2 7 2 3 2" xfId="14359" xr:uid="{1BD5B71E-06E4-40C3-A567-925236A13928}"/>
    <cellStyle name="Normal 5 2 7 2 4" xfId="11637" xr:uid="{0F0E1373-2093-4C3F-8C06-FDE8067CE0AC}"/>
    <cellStyle name="Normal 5 2 7 3" xfId="7039" xr:uid="{00000000-0005-0000-0000-000030140000}"/>
    <cellStyle name="Normal 5 2 7 3 2" xfId="9707" xr:uid="{F8B7F755-8EB6-4901-B9C2-BA68DCD202BA}"/>
    <cellStyle name="Normal 5 2 7 3 2 2" xfId="15097" xr:uid="{E1C6B65E-A146-45D6-856E-2D1CBAFA23D2}"/>
    <cellStyle name="Normal 5 2 7 3 3" xfId="12344" xr:uid="{9DE24F9C-9582-4564-BE30-E715727626AD}"/>
    <cellStyle name="Normal 5 2 7 4" xfId="8376" xr:uid="{00F83027-2DCF-4714-8572-9BD5725B93F6}"/>
    <cellStyle name="Normal 5 2 7 4 2" xfId="13735" xr:uid="{F6090696-2538-41FE-A920-DF26C074D7E9}"/>
    <cellStyle name="Normal 5 2 7 5" xfId="11013" xr:uid="{4DE61B4E-E7F6-4BBB-8AEB-EB545AE37212}"/>
    <cellStyle name="Normal 5 2 8" xfId="3519" xr:uid="{00000000-0005-0000-0000-000031140000}"/>
    <cellStyle name="Normal 5 3" xfId="3877" xr:uid="{00000000-0005-0000-0000-000032140000}"/>
    <cellStyle name="Normal 5 3 10" xfId="11021" xr:uid="{9954368C-FAF3-4321-828C-464ABE6D3617}"/>
    <cellStyle name="Normal 5 3 2" xfId="3878" xr:uid="{00000000-0005-0000-0000-000033140000}"/>
    <cellStyle name="Normal 5 3 2 2" xfId="3879" xr:uid="{00000000-0005-0000-0000-000034140000}"/>
    <cellStyle name="Normal 5 3 2 2 2" xfId="4505" xr:uid="{00000000-0005-0000-0000-000035140000}"/>
    <cellStyle name="Normal 5 3 2 2 2 2" xfId="7673" xr:uid="{00000000-0005-0000-0000-000036140000}"/>
    <cellStyle name="Normal 5 3 2 2 2 2 2" xfId="10341" xr:uid="{AE5A07C5-55A5-4767-948B-F2FB6EF48279}"/>
    <cellStyle name="Normal 5 3 2 2 2 2 2 2" xfId="15731" xr:uid="{36195309-B3D2-4B6A-AA53-700567D43653}"/>
    <cellStyle name="Normal 5 3 2 2 2 2 3" xfId="12978" xr:uid="{E138153C-8BF3-4962-B1B4-27BB5BC32D1A}"/>
    <cellStyle name="Normal 5 3 2 2 2 3" xfId="9010" xr:uid="{C1B1E0ED-4052-40C7-8D8A-7E596CA93E28}"/>
    <cellStyle name="Normal 5 3 2 2 2 3 2" xfId="14369" xr:uid="{E654EEE7-49A4-4898-8CEA-673B05D2DDFD}"/>
    <cellStyle name="Normal 5 3 2 2 2 4" xfId="11647" xr:uid="{CCC976ED-6678-497C-AF37-D43587DDE53F}"/>
    <cellStyle name="Normal 5 3 2 2 3" xfId="7049" xr:uid="{00000000-0005-0000-0000-000037140000}"/>
    <cellStyle name="Normal 5 3 2 2 3 2" xfId="9717" xr:uid="{D7C479BD-83B2-43DF-80C7-3B47DF0F42F5}"/>
    <cellStyle name="Normal 5 3 2 2 3 2 2" xfId="15107" xr:uid="{0EDE8478-4483-473D-BB24-F84BD83E183C}"/>
    <cellStyle name="Normal 5 3 2 2 3 3" xfId="12354" xr:uid="{D1C43078-DA1F-4A87-AE16-76AAB295DFFC}"/>
    <cellStyle name="Normal 5 3 2 2 4" xfId="8386" xr:uid="{BAB803F0-D87B-4B4F-A39E-820B37BDC601}"/>
    <cellStyle name="Normal 5 3 2 2 4 2" xfId="13745" xr:uid="{9D796407-884E-4EFC-8734-163FA781FD84}"/>
    <cellStyle name="Normal 5 3 2 2 5" xfId="11023" xr:uid="{F41E9408-4A70-4AFC-BAA2-BC618D254236}"/>
    <cellStyle name="Normal 5 3 2 3" xfId="3880" xr:uid="{00000000-0005-0000-0000-000038140000}"/>
    <cellStyle name="Normal 5 3 2 3 2" xfId="4506" xr:uid="{00000000-0005-0000-0000-000039140000}"/>
    <cellStyle name="Normal 5 3 2 3 2 2" xfId="7674" xr:uid="{00000000-0005-0000-0000-00003A140000}"/>
    <cellStyle name="Normal 5 3 2 3 2 2 2" xfId="10342" xr:uid="{075ED8C7-4A0D-4F4B-AF7B-A43CCEA2E38B}"/>
    <cellStyle name="Normal 5 3 2 3 2 2 2 2" xfId="15732" xr:uid="{9BBDAD1A-8F52-4D79-9818-4499AFAB5658}"/>
    <cellStyle name="Normal 5 3 2 3 2 2 3" xfId="12979" xr:uid="{A50E4C0E-5926-486F-B393-8F35D78494CD}"/>
    <cellStyle name="Normal 5 3 2 3 2 3" xfId="9011" xr:uid="{848E351B-61D3-4685-9293-623C01B03E3F}"/>
    <cellStyle name="Normal 5 3 2 3 2 3 2" xfId="14370" xr:uid="{552992D3-CF08-4FC3-ACC9-2FF58841C5B0}"/>
    <cellStyle name="Normal 5 3 2 3 2 4" xfId="11648" xr:uid="{66A14375-7552-45ED-92E4-D5C9A08AC020}"/>
    <cellStyle name="Normal 5 3 2 3 3" xfId="7050" xr:uid="{00000000-0005-0000-0000-00003B140000}"/>
    <cellStyle name="Normal 5 3 2 3 3 2" xfId="9718" xr:uid="{2437AA5C-7FA7-4C4C-9ED6-604A8D3C9EC6}"/>
    <cellStyle name="Normal 5 3 2 3 3 2 2" xfId="15108" xr:uid="{713C5BEA-7D93-44A5-ACFA-5C81EA5CE3BC}"/>
    <cellStyle name="Normal 5 3 2 3 3 3" xfId="12355" xr:uid="{FE45DBD5-4470-49B1-9073-7BB17D11345D}"/>
    <cellStyle name="Normal 5 3 2 3 4" xfId="8387" xr:uid="{7F08E2CD-7FAA-435C-AC49-A351A1325E2F}"/>
    <cellStyle name="Normal 5 3 2 3 4 2" xfId="13746" xr:uid="{F43311A4-FDF7-4D81-9FD3-DA830BA9EC5B}"/>
    <cellStyle name="Normal 5 3 2 3 5" xfId="11024" xr:uid="{CAAC2663-5232-4FB2-AF5E-87EB7451A0E5}"/>
    <cellStyle name="Normal 5 3 2 4" xfId="4504" xr:uid="{00000000-0005-0000-0000-00003C140000}"/>
    <cellStyle name="Normal 5 3 2 4 2" xfId="7672" xr:uid="{00000000-0005-0000-0000-00003D140000}"/>
    <cellStyle name="Normal 5 3 2 4 2 2" xfId="10340" xr:uid="{E1E40921-A4C0-4052-B18A-B5EF2B7F58D5}"/>
    <cellStyle name="Normal 5 3 2 4 2 2 2" xfId="15730" xr:uid="{6C1BDC66-9A96-4F28-83B8-C3DE19384B90}"/>
    <cellStyle name="Normal 5 3 2 4 2 3" xfId="12977" xr:uid="{955290FD-250A-4262-8110-0FCF9A64AE83}"/>
    <cellStyle name="Normal 5 3 2 4 3" xfId="9009" xr:uid="{936020A7-EC09-4907-A29C-329AF7CF1A63}"/>
    <cellStyle name="Normal 5 3 2 4 3 2" xfId="14368" xr:uid="{12F77A45-B9C7-4209-9376-F845D1E510ED}"/>
    <cellStyle name="Normal 5 3 2 4 4" xfId="11646" xr:uid="{B5875AFB-5BF5-4E7E-9942-16BA383B513D}"/>
    <cellStyle name="Normal 5 3 2 5" xfId="7048" xr:uid="{00000000-0005-0000-0000-00003E140000}"/>
    <cellStyle name="Normal 5 3 2 5 2" xfId="9716" xr:uid="{C2CAF99B-7D85-4E19-BC7F-805E20094E1D}"/>
    <cellStyle name="Normal 5 3 2 5 2 2" xfId="15106" xr:uid="{87638019-EE36-4C64-A595-10CFAF479B10}"/>
    <cellStyle name="Normal 5 3 2 5 3" xfId="12353" xr:uid="{A3CF9CD4-506A-48E1-8D53-67519B3AE9DD}"/>
    <cellStyle name="Normal 5 3 2 6" xfId="8385" xr:uid="{18468226-28DA-43DE-A5EA-6A81CC552D45}"/>
    <cellStyle name="Normal 5 3 2 6 2" xfId="13744" xr:uid="{4018B31D-4A57-4F4C-AF06-A6781A46C908}"/>
    <cellStyle name="Normal 5 3 2 7" xfId="11022" xr:uid="{0ED3C8D7-3D04-4CCC-B9C1-3DD3CA5B5D54}"/>
    <cellStyle name="Normal 5 3 3" xfId="3881" xr:uid="{00000000-0005-0000-0000-00003F140000}"/>
    <cellStyle name="Normal 5 3 3 2" xfId="4507" xr:uid="{00000000-0005-0000-0000-000040140000}"/>
    <cellStyle name="Normal 5 3 3 2 2" xfId="7675" xr:uid="{00000000-0005-0000-0000-000041140000}"/>
    <cellStyle name="Normal 5 3 3 2 2 2" xfId="10343" xr:uid="{19CA5228-9FE5-460D-8B4D-F5305D1B9A93}"/>
    <cellStyle name="Normal 5 3 3 2 2 2 2" xfId="15733" xr:uid="{6CB64E46-6EC7-45D6-820B-C318342C3D55}"/>
    <cellStyle name="Normal 5 3 3 2 2 3" xfId="12980" xr:uid="{391CDCD8-9E89-4F12-BA9F-EAA71FDF73BA}"/>
    <cellStyle name="Normal 5 3 3 2 3" xfId="9012" xr:uid="{38189DF2-7DE3-433C-88A3-BDBFE1656C73}"/>
    <cellStyle name="Normal 5 3 3 2 3 2" xfId="14371" xr:uid="{D0A7FF1B-B9ED-47A3-A836-08489D689150}"/>
    <cellStyle name="Normal 5 3 3 2 4" xfId="11649" xr:uid="{EEFCC526-E1E5-49C3-AB2D-26A18595CF2A}"/>
    <cellStyle name="Normal 5 3 3 3" xfId="7051" xr:uid="{00000000-0005-0000-0000-000042140000}"/>
    <cellStyle name="Normal 5 3 3 3 2" xfId="9719" xr:uid="{A94EE400-8C25-4032-BA23-BC57DF9F1300}"/>
    <cellStyle name="Normal 5 3 3 3 2 2" xfId="15109" xr:uid="{0F9C7EAA-B1CB-4447-92F7-7B341DBC0132}"/>
    <cellStyle name="Normal 5 3 3 3 3" xfId="12356" xr:uid="{729F4E10-4629-40A2-A8E4-E684E7ABFD7B}"/>
    <cellStyle name="Normal 5 3 3 4" xfId="8388" xr:uid="{AF555021-2940-4E33-BED8-0CBC0EE4A97F}"/>
    <cellStyle name="Normal 5 3 3 4 2" xfId="13747" xr:uid="{993866C6-8F69-43B2-81CB-7E2FCA996079}"/>
    <cellStyle name="Normal 5 3 3 5" xfId="11025" xr:uid="{CBAC6C98-2CD0-4151-B1F8-B43389EFF512}"/>
    <cellStyle name="Normal 5 3 4" xfId="3882" xr:uid="{00000000-0005-0000-0000-000043140000}"/>
    <cellStyle name="Normal 5 3 4 2" xfId="4508" xr:uid="{00000000-0005-0000-0000-000044140000}"/>
    <cellStyle name="Normal 5 3 4 2 2" xfId="7676" xr:uid="{00000000-0005-0000-0000-000045140000}"/>
    <cellStyle name="Normal 5 3 4 2 2 2" xfId="10344" xr:uid="{93E67BED-C5D8-4FB1-A7B8-B6B280A86DBF}"/>
    <cellStyle name="Normal 5 3 4 2 2 2 2" xfId="15734" xr:uid="{6260C9AF-2B50-48F0-A104-C072A855177F}"/>
    <cellStyle name="Normal 5 3 4 2 2 3" xfId="12981" xr:uid="{9B695CE0-CDF7-437E-B9B5-CE619D21DE8F}"/>
    <cellStyle name="Normal 5 3 4 2 3" xfId="9013" xr:uid="{D6D47745-7D8F-4A98-AE70-D8CF3342DB8A}"/>
    <cellStyle name="Normal 5 3 4 2 3 2" xfId="14372" xr:uid="{52CC7536-95B0-44D2-ABF8-F8A6BA81BBA4}"/>
    <cellStyle name="Normal 5 3 4 2 4" xfId="11650" xr:uid="{56EFA45C-10A4-457F-9944-3AD0BE194054}"/>
    <cellStyle name="Normal 5 3 4 3" xfId="7052" xr:uid="{00000000-0005-0000-0000-000046140000}"/>
    <cellStyle name="Normal 5 3 4 3 2" xfId="9720" xr:uid="{B031D654-7316-4A39-AA08-66E7835D2EA0}"/>
    <cellStyle name="Normal 5 3 4 3 2 2" xfId="15110" xr:uid="{93342DD6-A091-4065-8D97-BD55956C4726}"/>
    <cellStyle name="Normal 5 3 4 3 3" xfId="12357" xr:uid="{004F8216-C46B-44A9-8555-92AFEBC60762}"/>
    <cellStyle name="Normal 5 3 4 4" xfId="8389" xr:uid="{5DF49156-9D17-45CF-8E34-C38AC366DC1D}"/>
    <cellStyle name="Normal 5 3 4 4 2" xfId="13748" xr:uid="{EB8EBF17-3A9F-4EF1-A37E-4FB45771DE75}"/>
    <cellStyle name="Normal 5 3 4 5" xfId="11026" xr:uid="{BDFEA586-D209-4B8F-94E5-AC2133EAF7E0}"/>
    <cellStyle name="Normal 5 3 5" xfId="3883" xr:uid="{00000000-0005-0000-0000-000047140000}"/>
    <cellStyle name="Normal 5 3 5 2" xfId="4509" xr:uid="{00000000-0005-0000-0000-000048140000}"/>
    <cellStyle name="Normal 5 3 5 2 2" xfId="7677" xr:uid="{00000000-0005-0000-0000-000049140000}"/>
    <cellStyle name="Normal 5 3 5 2 2 2" xfId="10345" xr:uid="{01DA18AD-C33A-48FB-8195-07390AEE91F6}"/>
    <cellStyle name="Normal 5 3 5 2 2 2 2" xfId="15735" xr:uid="{8813B3A0-2FB2-48B2-ACC6-1CFA4B522D83}"/>
    <cellStyle name="Normal 5 3 5 2 2 3" xfId="12982" xr:uid="{FFCDCE24-F242-482B-849A-2812ABC44D1F}"/>
    <cellStyle name="Normal 5 3 5 2 3" xfId="9014" xr:uid="{79706074-A137-471B-8789-FCA438E22905}"/>
    <cellStyle name="Normal 5 3 5 2 3 2" xfId="14373" xr:uid="{C7A69AD4-E666-42FC-9F9F-E1C87A8CE639}"/>
    <cellStyle name="Normal 5 3 5 2 4" xfId="11651" xr:uid="{9CD5963E-C4AB-4AEB-A3DB-E4FC91741811}"/>
    <cellStyle name="Normal 5 3 5 3" xfId="7053" xr:uid="{00000000-0005-0000-0000-00004A140000}"/>
    <cellStyle name="Normal 5 3 5 3 2" xfId="9721" xr:uid="{445E238A-4716-4A35-98BC-56E0A1F5567A}"/>
    <cellStyle name="Normal 5 3 5 3 2 2" xfId="15111" xr:uid="{9B55E880-A276-4CF4-8EB5-BF80EBAC7E79}"/>
    <cellStyle name="Normal 5 3 5 3 3" xfId="12358" xr:uid="{9ACA045A-EEED-45D1-897C-150B4E499990}"/>
    <cellStyle name="Normal 5 3 5 4" xfId="8390" xr:uid="{B59BD130-16D1-41F8-A8E8-87FE2AFDF5CB}"/>
    <cellStyle name="Normal 5 3 5 4 2" xfId="13749" xr:uid="{35EE4F75-78CF-4A0A-9572-0B8A4A39A36D}"/>
    <cellStyle name="Normal 5 3 5 5" xfId="11027" xr:uid="{F1903828-5C48-4D9F-B183-67DE8A241767}"/>
    <cellStyle name="Normal 5 3 6" xfId="3884" xr:uid="{00000000-0005-0000-0000-00004B140000}"/>
    <cellStyle name="Normal 5 3 6 2" xfId="4510" xr:uid="{00000000-0005-0000-0000-00004C140000}"/>
    <cellStyle name="Normal 5 3 6 2 2" xfId="7678" xr:uid="{00000000-0005-0000-0000-00004D140000}"/>
    <cellStyle name="Normal 5 3 6 2 2 2" xfId="10346" xr:uid="{D4D570FC-CBF0-45AB-B61D-6EE7C0DABBEA}"/>
    <cellStyle name="Normal 5 3 6 2 2 2 2" xfId="15736" xr:uid="{D9B96E43-67A3-4408-8A3E-1ABE58193C5C}"/>
    <cellStyle name="Normal 5 3 6 2 2 3" xfId="12983" xr:uid="{AD77C87A-3EE5-48E8-B704-1078E936B544}"/>
    <cellStyle name="Normal 5 3 6 2 3" xfId="9015" xr:uid="{47A54E4E-100B-4778-879F-5B66E70CA5E4}"/>
    <cellStyle name="Normal 5 3 6 2 3 2" xfId="14374" xr:uid="{B7F17325-9709-462B-9AF7-BB7CA4A89700}"/>
    <cellStyle name="Normal 5 3 6 2 4" xfId="11652" xr:uid="{5463DD2D-1438-4FCB-841D-60ECA8822AC9}"/>
    <cellStyle name="Normal 5 3 6 3" xfId="7054" xr:uid="{00000000-0005-0000-0000-00004E140000}"/>
    <cellStyle name="Normal 5 3 6 3 2" xfId="9722" xr:uid="{B5F6927D-99D0-4604-ABEB-D6E9465A78A4}"/>
    <cellStyle name="Normal 5 3 6 3 2 2" xfId="15112" xr:uid="{4AB38DF9-46A4-49A9-B2A1-D43246ACE14C}"/>
    <cellStyle name="Normal 5 3 6 3 3" xfId="12359" xr:uid="{48E51DA5-6B95-4108-A90B-952C4E9C4888}"/>
    <cellStyle name="Normal 5 3 6 4" xfId="8391" xr:uid="{177CFF33-612F-4C42-8893-98ACE37ABE53}"/>
    <cellStyle name="Normal 5 3 6 4 2" xfId="13750" xr:uid="{4AE0C2EB-950A-4CEB-A4F0-B3963E025946}"/>
    <cellStyle name="Normal 5 3 6 5" xfId="11028" xr:uid="{4EB83DDE-5029-457C-B0CC-0A4CFBD9172F}"/>
    <cellStyle name="Normal 5 3 7" xfId="4503" xr:uid="{00000000-0005-0000-0000-00004F140000}"/>
    <cellStyle name="Normal 5 3 7 2" xfId="7671" xr:uid="{00000000-0005-0000-0000-000050140000}"/>
    <cellStyle name="Normal 5 3 7 2 2" xfId="10339" xr:uid="{1B01A515-C238-4604-9D32-0C617FB913D2}"/>
    <cellStyle name="Normal 5 3 7 2 2 2" xfId="15729" xr:uid="{3A830039-145A-4520-A223-FAE28F45984A}"/>
    <cellStyle name="Normal 5 3 7 2 3" xfId="12976" xr:uid="{3326F543-BE91-44C8-88B5-6212DD12403C}"/>
    <cellStyle name="Normal 5 3 7 3" xfId="9008" xr:uid="{0B6B874A-2525-429C-BB3B-EBB8F0401006}"/>
    <cellStyle name="Normal 5 3 7 3 2" xfId="14367" xr:uid="{06B7F70E-7BC9-4182-B519-57C389A7FC07}"/>
    <cellStyle name="Normal 5 3 7 4" xfId="11645" xr:uid="{CFBDBF78-9227-45CF-BA47-44DDF523C458}"/>
    <cellStyle name="Normal 5 3 8" xfId="7047" xr:uid="{00000000-0005-0000-0000-000051140000}"/>
    <cellStyle name="Normal 5 3 8 2" xfId="9715" xr:uid="{F965CBC0-4977-45BA-8BEE-66148C325026}"/>
    <cellStyle name="Normal 5 3 8 2 2" xfId="15105" xr:uid="{93E13710-74D4-4D61-90E5-2FDB11A09051}"/>
    <cellStyle name="Normal 5 3 8 3" xfId="12352" xr:uid="{212C1A2A-F698-404D-B66D-9AEA6E9C2B97}"/>
    <cellStyle name="Normal 5 3 9" xfId="8384" xr:uid="{0B2950F2-1E9A-46A1-88DB-508809F9C808}"/>
    <cellStyle name="Normal 5 3 9 2" xfId="13743" xr:uid="{36075A4C-EE16-49F9-B68E-DAE71D973FF2}"/>
    <cellStyle name="Normal 5 4" xfId="3885" xr:uid="{00000000-0005-0000-0000-000052140000}"/>
    <cellStyle name="Normal 5 4 2" xfId="3886" xr:uid="{00000000-0005-0000-0000-000053140000}"/>
    <cellStyle name="Normal 5 4 2 2" xfId="3887" xr:uid="{00000000-0005-0000-0000-000054140000}"/>
    <cellStyle name="Normal 5 4 2 2 2" xfId="4513" xr:uid="{00000000-0005-0000-0000-000055140000}"/>
    <cellStyle name="Normal 5 4 2 2 2 2" xfId="7681" xr:uid="{00000000-0005-0000-0000-000056140000}"/>
    <cellStyle name="Normal 5 4 2 2 2 2 2" xfId="10349" xr:uid="{2EB03C0F-9717-4B08-9070-FC9642067D9D}"/>
    <cellStyle name="Normal 5 4 2 2 2 2 2 2" xfId="15739" xr:uid="{48AA8C5E-3626-47DA-9A6A-2B16EE8DBB62}"/>
    <cellStyle name="Normal 5 4 2 2 2 2 3" xfId="12986" xr:uid="{83137678-815A-4CC7-A7CD-8BE0E2D1CA6E}"/>
    <cellStyle name="Normal 5 4 2 2 2 3" xfId="9018" xr:uid="{96476DF0-126D-4189-B2DA-6B2E355EED7D}"/>
    <cellStyle name="Normal 5 4 2 2 2 3 2" xfId="14377" xr:uid="{13082553-3E3A-40BB-AA22-3F07DDE02872}"/>
    <cellStyle name="Normal 5 4 2 2 2 4" xfId="11655" xr:uid="{A9F3D8FF-3F95-41B5-BFA2-330A9B526C76}"/>
    <cellStyle name="Normal 5 4 2 2 3" xfId="7057" xr:uid="{00000000-0005-0000-0000-000057140000}"/>
    <cellStyle name="Normal 5 4 2 2 3 2" xfId="9725" xr:uid="{BAB80F16-A1B3-4F5E-BB66-3BEC1B54FD09}"/>
    <cellStyle name="Normal 5 4 2 2 3 2 2" xfId="15115" xr:uid="{150FF44E-6B80-43D1-82E3-1DD0DA07BDD4}"/>
    <cellStyle name="Normal 5 4 2 2 3 3" xfId="12362" xr:uid="{BE0C0F82-3445-4F33-B704-C24BB9F4BF3C}"/>
    <cellStyle name="Normal 5 4 2 2 4" xfId="8394" xr:uid="{0EEDC5D4-B5BB-4AC9-9FA2-62646A0B491C}"/>
    <cellStyle name="Normal 5 4 2 2 4 2" xfId="13753" xr:uid="{FA57E971-EC49-489A-B809-6BDFE753B089}"/>
    <cellStyle name="Normal 5 4 2 2 5" xfId="11031" xr:uid="{566B9934-CD75-4203-BAF5-2F9E12C7BFC0}"/>
    <cellStyle name="Normal 5 4 2 3" xfId="3888" xr:uid="{00000000-0005-0000-0000-000058140000}"/>
    <cellStyle name="Normal 5 4 2 3 2" xfId="4514" xr:uid="{00000000-0005-0000-0000-000059140000}"/>
    <cellStyle name="Normal 5 4 2 3 2 2" xfId="7682" xr:uid="{00000000-0005-0000-0000-00005A140000}"/>
    <cellStyle name="Normal 5 4 2 3 2 2 2" xfId="10350" xr:uid="{C479B711-E727-4EEE-94CC-54F88A33F03A}"/>
    <cellStyle name="Normal 5 4 2 3 2 2 2 2" xfId="15740" xr:uid="{81FAF45C-3F3D-49E9-A08E-D1072ACDC7B9}"/>
    <cellStyle name="Normal 5 4 2 3 2 2 3" xfId="12987" xr:uid="{5A082743-0F6D-4526-86E0-84FCB1ADA9AD}"/>
    <cellStyle name="Normal 5 4 2 3 2 3" xfId="9019" xr:uid="{13FBCE88-82B4-4097-8945-4A07EEC2D5AB}"/>
    <cellStyle name="Normal 5 4 2 3 2 3 2" xfId="14378" xr:uid="{36D54596-948B-466D-BC59-B8AD7CBA12A5}"/>
    <cellStyle name="Normal 5 4 2 3 2 4" xfId="11656" xr:uid="{9F38B420-DA86-4482-AD31-E0E1DE3F781D}"/>
    <cellStyle name="Normal 5 4 2 3 3" xfId="7058" xr:uid="{00000000-0005-0000-0000-00005B140000}"/>
    <cellStyle name="Normal 5 4 2 3 3 2" xfId="9726" xr:uid="{8028D970-0955-4B57-AFFD-90EDCB586648}"/>
    <cellStyle name="Normal 5 4 2 3 3 2 2" xfId="15116" xr:uid="{1225F77E-33E1-473B-8AC8-E99809483CD6}"/>
    <cellStyle name="Normal 5 4 2 3 3 3" xfId="12363" xr:uid="{C3901AD5-A36F-4B10-8ED1-ADE3408CEC66}"/>
    <cellStyle name="Normal 5 4 2 3 4" xfId="8395" xr:uid="{14B3D664-9D24-4497-A95B-567607558FA9}"/>
    <cellStyle name="Normal 5 4 2 3 4 2" xfId="13754" xr:uid="{03C5E804-E370-4653-964D-E99CDA115FDD}"/>
    <cellStyle name="Normal 5 4 2 3 5" xfId="11032" xr:uid="{52B5E19B-3D80-4DD6-89D7-2940D62594C4}"/>
    <cellStyle name="Normal 5 4 2 4" xfId="4512" xr:uid="{00000000-0005-0000-0000-00005C140000}"/>
    <cellStyle name="Normal 5 4 2 4 2" xfId="7680" xr:uid="{00000000-0005-0000-0000-00005D140000}"/>
    <cellStyle name="Normal 5 4 2 4 2 2" xfId="10348" xr:uid="{DD809ACC-96AD-4EC5-A2AF-4031C8A9BC72}"/>
    <cellStyle name="Normal 5 4 2 4 2 2 2" xfId="15738" xr:uid="{8C9D0DF8-6EB1-440E-B102-BD63AE4ECB3E}"/>
    <cellStyle name="Normal 5 4 2 4 2 3" xfId="12985" xr:uid="{7BD3F913-BC99-46E8-B51F-7044CD27D98C}"/>
    <cellStyle name="Normal 5 4 2 4 3" xfId="9017" xr:uid="{5A341138-99B6-40A1-842B-AC2DB62B92C1}"/>
    <cellStyle name="Normal 5 4 2 4 3 2" xfId="14376" xr:uid="{BA379AA1-F2C9-42A2-8813-A84F19363207}"/>
    <cellStyle name="Normal 5 4 2 4 4" xfId="11654" xr:uid="{291ED084-F263-4C52-9A70-225421312FC5}"/>
    <cellStyle name="Normal 5 4 2 5" xfId="7056" xr:uid="{00000000-0005-0000-0000-00005E140000}"/>
    <cellStyle name="Normal 5 4 2 5 2" xfId="9724" xr:uid="{750D5F33-95E4-47F6-AEB5-7A6A571BE6D3}"/>
    <cellStyle name="Normal 5 4 2 5 2 2" xfId="15114" xr:uid="{CAF0F796-5E74-423B-9EA4-C864AD7E41F7}"/>
    <cellStyle name="Normal 5 4 2 5 3" xfId="12361" xr:uid="{A7B2300B-2518-40E6-9069-757BEA842E6C}"/>
    <cellStyle name="Normal 5 4 2 6" xfId="8393" xr:uid="{981D68AB-FBD4-49D4-A029-10CBB814E57A}"/>
    <cellStyle name="Normal 5 4 2 6 2" xfId="13752" xr:uid="{3455043C-D02F-42F2-A9C2-DA69839E5F10}"/>
    <cellStyle name="Normal 5 4 2 7" xfId="11030" xr:uid="{C9963548-DEFC-438D-8B33-BED19334FD1A}"/>
    <cellStyle name="Normal 5 4 3" xfId="3889" xr:uid="{00000000-0005-0000-0000-00005F140000}"/>
    <cellStyle name="Normal 5 4 3 2" xfId="4515" xr:uid="{00000000-0005-0000-0000-000060140000}"/>
    <cellStyle name="Normal 5 4 3 2 2" xfId="7683" xr:uid="{00000000-0005-0000-0000-000061140000}"/>
    <cellStyle name="Normal 5 4 3 2 2 2" xfId="10351" xr:uid="{0CCE3EC4-ED68-4B2E-8AE6-F8C70219A134}"/>
    <cellStyle name="Normal 5 4 3 2 2 2 2" xfId="15741" xr:uid="{B8352105-CE33-46DB-B7BB-8E618CE8E0B9}"/>
    <cellStyle name="Normal 5 4 3 2 2 3" xfId="12988" xr:uid="{EB40D081-636B-4FB7-BC84-7D26F381DCA3}"/>
    <cellStyle name="Normal 5 4 3 2 3" xfId="9020" xr:uid="{73BA0B41-AA25-41A9-A231-8DF7990A1479}"/>
    <cellStyle name="Normal 5 4 3 2 3 2" xfId="14379" xr:uid="{0A376093-0537-45DF-BC44-539215E76CA7}"/>
    <cellStyle name="Normal 5 4 3 2 4" xfId="11657" xr:uid="{89D88FBF-68C3-4907-B1C8-172CA2595809}"/>
    <cellStyle name="Normal 5 4 3 3" xfId="7059" xr:uid="{00000000-0005-0000-0000-000062140000}"/>
    <cellStyle name="Normal 5 4 3 3 2" xfId="9727" xr:uid="{8CF83089-093E-4645-9274-D31E7CB52131}"/>
    <cellStyle name="Normal 5 4 3 3 2 2" xfId="15117" xr:uid="{F71631FA-BE38-4804-9606-D1676E15A0DF}"/>
    <cellStyle name="Normal 5 4 3 3 3" xfId="12364" xr:uid="{474FF9FA-E385-4E5A-A553-271C8B68DBE4}"/>
    <cellStyle name="Normal 5 4 3 4" xfId="8396" xr:uid="{FDF0F30A-2A3F-4644-BF21-74B6E590164A}"/>
    <cellStyle name="Normal 5 4 3 4 2" xfId="13755" xr:uid="{DAD4C6EC-B95D-40B9-8D59-FB8F3529047C}"/>
    <cellStyle name="Normal 5 4 3 5" xfId="11033" xr:uid="{BF593763-7081-4CCA-AE89-C8A3E58D4F49}"/>
    <cellStyle name="Normal 5 4 4" xfId="3890" xr:uid="{00000000-0005-0000-0000-000063140000}"/>
    <cellStyle name="Normal 5 4 4 2" xfId="4516" xr:uid="{00000000-0005-0000-0000-000064140000}"/>
    <cellStyle name="Normal 5 4 4 2 2" xfId="7684" xr:uid="{00000000-0005-0000-0000-000065140000}"/>
    <cellStyle name="Normal 5 4 4 2 2 2" xfId="10352" xr:uid="{AE15B632-8116-4F29-933F-E605ABB2596D}"/>
    <cellStyle name="Normal 5 4 4 2 2 2 2" xfId="15742" xr:uid="{D4D1E2BD-1333-4EE0-9F49-324BFC6E70B6}"/>
    <cellStyle name="Normal 5 4 4 2 2 3" xfId="12989" xr:uid="{298D76BC-C993-4490-9AA6-336D725C8ED6}"/>
    <cellStyle name="Normal 5 4 4 2 3" xfId="9021" xr:uid="{3E0133B9-C45C-48FB-BAEF-1C3C279961C5}"/>
    <cellStyle name="Normal 5 4 4 2 3 2" xfId="14380" xr:uid="{D716321D-6264-4624-937A-35FE1D8DC1D1}"/>
    <cellStyle name="Normal 5 4 4 2 4" xfId="11658" xr:uid="{DBC74390-AB21-4081-9D60-4412889379F8}"/>
    <cellStyle name="Normal 5 4 4 3" xfId="7060" xr:uid="{00000000-0005-0000-0000-000066140000}"/>
    <cellStyle name="Normal 5 4 4 3 2" xfId="9728" xr:uid="{106FE7EE-F8AC-491A-846A-0D48B25A7E4A}"/>
    <cellStyle name="Normal 5 4 4 3 2 2" xfId="15118" xr:uid="{48C05238-816B-4EFC-AD00-3B00A6CDC0A9}"/>
    <cellStyle name="Normal 5 4 4 3 3" xfId="12365" xr:uid="{60239899-756E-48D7-A3AC-87FAC80C2DBC}"/>
    <cellStyle name="Normal 5 4 4 4" xfId="8397" xr:uid="{31F0DB32-5A2A-49F7-880C-A7DCEB4F4B5C}"/>
    <cellStyle name="Normal 5 4 4 4 2" xfId="13756" xr:uid="{CB24CABF-5C8E-4F03-AB36-87D9933FCA30}"/>
    <cellStyle name="Normal 5 4 4 5" xfId="11034" xr:uid="{211ABEC4-7D22-4DDE-B718-3A2D60875C5A}"/>
    <cellStyle name="Normal 5 4 5" xfId="3891" xr:uid="{00000000-0005-0000-0000-000067140000}"/>
    <cellStyle name="Normal 5 4 5 2" xfId="4517" xr:uid="{00000000-0005-0000-0000-000068140000}"/>
    <cellStyle name="Normal 5 4 5 2 2" xfId="7685" xr:uid="{00000000-0005-0000-0000-000069140000}"/>
    <cellStyle name="Normal 5 4 5 2 2 2" xfId="10353" xr:uid="{5909A46B-3C5C-4EB9-A879-E8B2D8EFC655}"/>
    <cellStyle name="Normal 5 4 5 2 2 2 2" xfId="15743" xr:uid="{80E37458-FD7E-468E-949C-458B5BA14314}"/>
    <cellStyle name="Normal 5 4 5 2 2 3" xfId="12990" xr:uid="{9675C282-8FA8-469F-A7B5-2CDBCC80A9A4}"/>
    <cellStyle name="Normal 5 4 5 2 3" xfId="9022" xr:uid="{D398BC8D-E745-4E37-AC30-7B15854704D1}"/>
    <cellStyle name="Normal 5 4 5 2 3 2" xfId="14381" xr:uid="{D61FFBA2-2D47-489C-9DE2-E4AFDBCAA0C4}"/>
    <cellStyle name="Normal 5 4 5 2 4" xfId="11659" xr:uid="{C2B802C3-0054-42E4-8544-06B8159D93CB}"/>
    <cellStyle name="Normal 5 4 5 3" xfId="7061" xr:uid="{00000000-0005-0000-0000-00006A140000}"/>
    <cellStyle name="Normal 5 4 5 3 2" xfId="9729" xr:uid="{11A9C3D8-28BF-4157-8821-A76F3A4DC2EC}"/>
    <cellStyle name="Normal 5 4 5 3 2 2" xfId="15119" xr:uid="{812A6052-A874-439C-85FD-D90E8EADF123}"/>
    <cellStyle name="Normal 5 4 5 3 3" xfId="12366" xr:uid="{A9623698-9242-44C2-9D50-F0E964397D57}"/>
    <cellStyle name="Normal 5 4 5 4" xfId="8398" xr:uid="{871FDC13-F500-4E04-A12B-77E5A03B1F88}"/>
    <cellStyle name="Normal 5 4 5 4 2" xfId="13757" xr:uid="{1B83B90C-5EF5-4853-B808-742C1420E9FE}"/>
    <cellStyle name="Normal 5 4 5 5" xfId="11035" xr:uid="{9F99AC2A-8F96-4BA7-BCAC-23FD30DB2591}"/>
    <cellStyle name="Normal 5 4 6" xfId="4511" xr:uid="{00000000-0005-0000-0000-00006B140000}"/>
    <cellStyle name="Normal 5 4 6 2" xfId="7679" xr:uid="{00000000-0005-0000-0000-00006C140000}"/>
    <cellStyle name="Normal 5 4 6 2 2" xfId="10347" xr:uid="{5CCBECB1-EDF6-4D09-96FC-8D9EA5BCB97A}"/>
    <cellStyle name="Normal 5 4 6 2 2 2" xfId="15737" xr:uid="{5FD483D4-6363-49E4-8C65-8EC3D287BC51}"/>
    <cellStyle name="Normal 5 4 6 2 3" xfId="12984" xr:uid="{38EC8246-AF17-44C8-B133-D3175FEB749B}"/>
    <cellStyle name="Normal 5 4 6 3" xfId="9016" xr:uid="{F94A60D4-0A3D-4150-B625-853DDECDC049}"/>
    <cellStyle name="Normal 5 4 6 3 2" xfId="14375" xr:uid="{A88ECC60-B668-4696-9F17-F5192CFC3A71}"/>
    <cellStyle name="Normal 5 4 6 4" xfId="11653" xr:uid="{B9275EC1-F04B-41BB-BB44-4953DDB0DF82}"/>
    <cellStyle name="Normal 5 4 7" xfId="7055" xr:uid="{00000000-0005-0000-0000-00006D140000}"/>
    <cellStyle name="Normal 5 4 7 2" xfId="9723" xr:uid="{8E1C94F1-C8A8-426A-B35A-2B8574412672}"/>
    <cellStyle name="Normal 5 4 7 2 2" xfId="15113" xr:uid="{5DEC6485-4D64-4E8A-920A-B4D8882B985A}"/>
    <cellStyle name="Normal 5 4 7 3" xfId="12360" xr:uid="{5C4E7DF4-8CCD-413C-AE2D-4E6621399EBA}"/>
    <cellStyle name="Normal 5 4 8" xfId="8392" xr:uid="{29DC6A58-301C-4484-9DAF-AD42170843ED}"/>
    <cellStyle name="Normal 5 4 8 2" xfId="13751" xr:uid="{A0C86D85-820E-4A8B-862F-E5604DCF2149}"/>
    <cellStyle name="Normal 5 4 9" xfId="11029" xr:uid="{427B6926-FE02-4A50-BE38-4FD5E0AD4A07}"/>
    <cellStyle name="Normal 5 5" xfId="3892" xr:uid="{00000000-0005-0000-0000-00006E140000}"/>
    <cellStyle name="Normal 5 5 2" xfId="3893" xr:uid="{00000000-0005-0000-0000-00006F140000}"/>
    <cellStyle name="Normal 5 5 2 2" xfId="3894" xr:uid="{00000000-0005-0000-0000-000070140000}"/>
    <cellStyle name="Normal 5 5 2 2 2" xfId="4520" xr:uid="{00000000-0005-0000-0000-000071140000}"/>
    <cellStyle name="Normal 5 5 2 2 2 2" xfId="7688" xr:uid="{00000000-0005-0000-0000-000072140000}"/>
    <cellStyle name="Normal 5 5 2 2 2 2 2" xfId="10356" xr:uid="{C2A87241-524A-4458-AD38-4AA36F7C16F7}"/>
    <cellStyle name="Normal 5 5 2 2 2 2 2 2" xfId="15746" xr:uid="{1A5CB2BB-D881-4013-8777-00D51D67B534}"/>
    <cellStyle name="Normal 5 5 2 2 2 2 3" xfId="12993" xr:uid="{D1C83290-BB1A-43AF-8531-CDA73F1D2986}"/>
    <cellStyle name="Normal 5 5 2 2 2 3" xfId="9025" xr:uid="{2163DD90-0CA6-4641-A8AB-E0CB8482E71B}"/>
    <cellStyle name="Normal 5 5 2 2 2 3 2" xfId="14384" xr:uid="{6203EE2C-8D3D-4F9C-BD92-5F0C1D210F5B}"/>
    <cellStyle name="Normal 5 5 2 2 2 4" xfId="11662" xr:uid="{BA342E90-95EF-4BF8-8EC0-C5AAC0542462}"/>
    <cellStyle name="Normal 5 5 2 2 3" xfId="7064" xr:uid="{00000000-0005-0000-0000-000073140000}"/>
    <cellStyle name="Normal 5 5 2 2 3 2" xfId="9732" xr:uid="{00A1857E-069D-430E-86F1-3363209A5D30}"/>
    <cellStyle name="Normal 5 5 2 2 3 2 2" xfId="15122" xr:uid="{9B472EA7-C66D-4570-AB81-01DD9DAA1D34}"/>
    <cellStyle name="Normal 5 5 2 2 3 3" xfId="12369" xr:uid="{D027AEAA-6820-41D4-A131-34B110E0570A}"/>
    <cellStyle name="Normal 5 5 2 2 4" xfId="8401" xr:uid="{708F6F2E-5815-41B8-ACBE-6A68330C6532}"/>
    <cellStyle name="Normal 5 5 2 2 4 2" xfId="13760" xr:uid="{DFDA029D-6929-42A4-AEF9-44696971ACEF}"/>
    <cellStyle name="Normal 5 5 2 2 5" xfId="11038" xr:uid="{A0CCF395-FA10-4AAB-967F-83BFACC26127}"/>
    <cellStyle name="Normal 5 5 2 3" xfId="3895" xr:uid="{00000000-0005-0000-0000-000074140000}"/>
    <cellStyle name="Normal 5 5 2 3 2" xfId="4521" xr:uid="{00000000-0005-0000-0000-000075140000}"/>
    <cellStyle name="Normal 5 5 2 3 2 2" xfId="7689" xr:uid="{00000000-0005-0000-0000-000076140000}"/>
    <cellStyle name="Normal 5 5 2 3 2 2 2" xfId="10357" xr:uid="{E97A3808-60C5-4C01-A899-0BC174C116FE}"/>
    <cellStyle name="Normal 5 5 2 3 2 2 2 2" xfId="15747" xr:uid="{5C136652-55FC-4AB2-B034-C70BC7C45069}"/>
    <cellStyle name="Normal 5 5 2 3 2 2 3" xfId="12994" xr:uid="{330FF249-C96E-4808-99CD-0943B4A29B67}"/>
    <cellStyle name="Normal 5 5 2 3 2 3" xfId="9026" xr:uid="{FE91AFC8-254F-47A8-96DD-5177E5112B9C}"/>
    <cellStyle name="Normal 5 5 2 3 2 3 2" xfId="14385" xr:uid="{5CC5F426-A6CA-4CC0-9FE6-30D4E663A514}"/>
    <cellStyle name="Normal 5 5 2 3 2 4" xfId="11663" xr:uid="{D763E33D-5B43-484E-BA3E-2541A783DE1A}"/>
    <cellStyle name="Normal 5 5 2 3 3" xfId="7065" xr:uid="{00000000-0005-0000-0000-000077140000}"/>
    <cellStyle name="Normal 5 5 2 3 3 2" xfId="9733" xr:uid="{3D565C38-6394-489D-91AD-B613C8B67BD1}"/>
    <cellStyle name="Normal 5 5 2 3 3 2 2" xfId="15123" xr:uid="{8B1450CF-9EC7-4875-A693-8C37E4DA32E3}"/>
    <cellStyle name="Normal 5 5 2 3 3 3" xfId="12370" xr:uid="{AAAE6014-A756-4B97-B4E4-3448EECF705B}"/>
    <cellStyle name="Normal 5 5 2 3 4" xfId="8402" xr:uid="{C25E46CF-A737-4A38-BCFE-0079A1FA0BD3}"/>
    <cellStyle name="Normal 5 5 2 3 4 2" xfId="13761" xr:uid="{15276CD3-41C2-4FC7-B931-227E1D9A8321}"/>
    <cellStyle name="Normal 5 5 2 3 5" xfId="11039" xr:uid="{A92B1B96-222D-4DBB-AC75-56BFBE74C5DC}"/>
    <cellStyle name="Normal 5 5 2 4" xfId="4519" xr:uid="{00000000-0005-0000-0000-000078140000}"/>
    <cellStyle name="Normal 5 5 2 4 2" xfId="7687" xr:uid="{00000000-0005-0000-0000-000079140000}"/>
    <cellStyle name="Normal 5 5 2 4 2 2" xfId="10355" xr:uid="{BF975857-07C2-4C9E-B420-182B59BC1BF8}"/>
    <cellStyle name="Normal 5 5 2 4 2 2 2" xfId="15745" xr:uid="{005570E9-D968-484C-9AFB-26248F7FCAF8}"/>
    <cellStyle name="Normal 5 5 2 4 2 3" xfId="12992" xr:uid="{B23F6294-6418-4B99-BB24-E7D2651C0AFC}"/>
    <cellStyle name="Normal 5 5 2 4 3" xfId="9024" xr:uid="{38EE8C5B-0313-4115-820E-6F72B78E06FA}"/>
    <cellStyle name="Normal 5 5 2 4 3 2" xfId="14383" xr:uid="{C055D563-5618-436C-B6EA-D1CAA793FF87}"/>
    <cellStyle name="Normal 5 5 2 4 4" xfId="11661" xr:uid="{FAECAF51-DFD9-417D-806B-1D1D5B941CAD}"/>
    <cellStyle name="Normal 5 5 2 5" xfId="7063" xr:uid="{00000000-0005-0000-0000-00007A140000}"/>
    <cellStyle name="Normal 5 5 2 5 2" xfId="9731" xr:uid="{716A0D46-8BAA-46AD-8936-53181E335ECC}"/>
    <cellStyle name="Normal 5 5 2 5 2 2" xfId="15121" xr:uid="{F2E4F60F-EFEE-4538-993E-941F847A2C5B}"/>
    <cellStyle name="Normal 5 5 2 5 3" xfId="12368" xr:uid="{1A651563-F564-4F30-97E1-6EA75FB531B0}"/>
    <cellStyle name="Normal 5 5 2 6" xfId="8400" xr:uid="{7697F26C-8148-40E6-8D7C-29FE83DF566C}"/>
    <cellStyle name="Normal 5 5 2 6 2" xfId="13759" xr:uid="{673FB786-9606-4DBB-84C0-3B2BD7D34DE5}"/>
    <cellStyle name="Normal 5 5 2 7" xfId="11037" xr:uid="{F442C7EF-4B31-4F2D-974C-37A5B9571CA1}"/>
    <cellStyle name="Normal 5 5 3" xfId="3896" xr:uid="{00000000-0005-0000-0000-00007B140000}"/>
    <cellStyle name="Normal 5 5 3 2" xfId="4522" xr:uid="{00000000-0005-0000-0000-00007C140000}"/>
    <cellStyle name="Normal 5 5 3 2 2" xfId="7690" xr:uid="{00000000-0005-0000-0000-00007D140000}"/>
    <cellStyle name="Normal 5 5 3 2 2 2" xfId="10358" xr:uid="{B7D8CC4F-445F-4438-B240-9B437A4D9B2B}"/>
    <cellStyle name="Normal 5 5 3 2 2 2 2" xfId="15748" xr:uid="{B93F9442-5951-4CB3-81EA-AFDFA75C0E1D}"/>
    <cellStyle name="Normal 5 5 3 2 2 3" xfId="12995" xr:uid="{52DF2EF8-1CC6-4D58-8AA8-8DDBA01EF02E}"/>
    <cellStyle name="Normal 5 5 3 2 3" xfId="9027" xr:uid="{0754692A-EB02-4F63-A699-A5FAF461A1C5}"/>
    <cellStyle name="Normal 5 5 3 2 3 2" xfId="14386" xr:uid="{25A3F068-3F2E-4BF6-98C0-84DD519C3A4A}"/>
    <cellStyle name="Normal 5 5 3 2 4" xfId="11664" xr:uid="{D1DBA64A-1041-433B-8CD5-CBF070010F0B}"/>
    <cellStyle name="Normal 5 5 3 3" xfId="7066" xr:uid="{00000000-0005-0000-0000-00007E140000}"/>
    <cellStyle name="Normal 5 5 3 3 2" xfId="9734" xr:uid="{79076549-46FD-4D72-820F-9F0F56A2C66C}"/>
    <cellStyle name="Normal 5 5 3 3 2 2" xfId="15124" xr:uid="{63D0560F-B5FF-4327-80C3-F216DE2EBE1E}"/>
    <cellStyle name="Normal 5 5 3 3 3" xfId="12371" xr:uid="{246AF67A-40E8-41A0-A609-C93532566A0D}"/>
    <cellStyle name="Normal 5 5 3 4" xfId="8403" xr:uid="{67420F5C-3128-420B-8555-F7E41BC204FE}"/>
    <cellStyle name="Normal 5 5 3 4 2" xfId="13762" xr:uid="{4C1B3E5F-99F4-4010-8830-F3209B179A95}"/>
    <cellStyle name="Normal 5 5 3 5" xfId="11040" xr:uid="{DA692449-8E95-467D-A1BD-2004BCF80E34}"/>
    <cellStyle name="Normal 5 5 4" xfId="3897" xr:uid="{00000000-0005-0000-0000-00007F140000}"/>
    <cellStyle name="Normal 5 5 4 2" xfId="4523" xr:uid="{00000000-0005-0000-0000-000080140000}"/>
    <cellStyle name="Normal 5 5 4 2 2" xfId="7691" xr:uid="{00000000-0005-0000-0000-000081140000}"/>
    <cellStyle name="Normal 5 5 4 2 2 2" xfId="10359" xr:uid="{C2B87F10-830C-402E-B695-CCA61BC679D4}"/>
    <cellStyle name="Normal 5 5 4 2 2 2 2" xfId="15749" xr:uid="{3B8A943B-883C-4818-9E1E-A246C933E237}"/>
    <cellStyle name="Normal 5 5 4 2 2 3" xfId="12996" xr:uid="{3702B24A-3B6B-4147-A8F3-10E9A02D9BD5}"/>
    <cellStyle name="Normal 5 5 4 2 3" xfId="9028" xr:uid="{F7A63263-4957-4D39-8744-6BC52377F658}"/>
    <cellStyle name="Normal 5 5 4 2 3 2" xfId="14387" xr:uid="{7DAFC4E9-A5FF-4267-A9B9-FDE7E7F356BB}"/>
    <cellStyle name="Normal 5 5 4 2 4" xfId="11665" xr:uid="{E14763C7-B1A2-4D51-A655-958F1C6E1769}"/>
    <cellStyle name="Normal 5 5 4 3" xfId="7067" xr:uid="{00000000-0005-0000-0000-000082140000}"/>
    <cellStyle name="Normal 5 5 4 3 2" xfId="9735" xr:uid="{1FBED06A-D94C-456E-8DAA-0862E1996E67}"/>
    <cellStyle name="Normal 5 5 4 3 2 2" xfId="15125" xr:uid="{FA44638F-7925-4D68-A314-BDEBD7B9AF81}"/>
    <cellStyle name="Normal 5 5 4 3 3" xfId="12372" xr:uid="{D10BB353-401B-4781-B6F4-AAD97FD0E4B9}"/>
    <cellStyle name="Normal 5 5 4 4" xfId="8404" xr:uid="{E96F7357-ADC7-4996-9CF9-D58F30A87CF1}"/>
    <cellStyle name="Normal 5 5 4 4 2" xfId="13763" xr:uid="{DE67FBBF-9B63-43B3-9AE0-FC16EFEB770B}"/>
    <cellStyle name="Normal 5 5 4 5" xfId="11041" xr:uid="{16CED2C4-3EED-477D-BF51-C9770B6BD04C}"/>
    <cellStyle name="Normal 5 5 5" xfId="3898" xr:uid="{00000000-0005-0000-0000-000083140000}"/>
    <cellStyle name="Normal 5 5 5 2" xfId="4524" xr:uid="{00000000-0005-0000-0000-000084140000}"/>
    <cellStyle name="Normal 5 5 5 2 2" xfId="7692" xr:uid="{00000000-0005-0000-0000-000085140000}"/>
    <cellStyle name="Normal 5 5 5 2 2 2" xfId="10360" xr:uid="{9AE173D2-C92F-4033-81F1-B8AD1D9D583C}"/>
    <cellStyle name="Normal 5 5 5 2 2 2 2" xfId="15750" xr:uid="{FACF811F-21C7-4B40-9226-E1597EE82668}"/>
    <cellStyle name="Normal 5 5 5 2 2 3" xfId="12997" xr:uid="{4BB7CC33-D57F-4AF9-B971-E76211B902C7}"/>
    <cellStyle name="Normal 5 5 5 2 3" xfId="9029" xr:uid="{F948716C-C520-4601-A2CA-BABA8B512294}"/>
    <cellStyle name="Normal 5 5 5 2 3 2" xfId="14388" xr:uid="{A093F8B0-36CA-4866-8123-424B120C40AE}"/>
    <cellStyle name="Normal 5 5 5 2 4" xfId="11666" xr:uid="{8658DB32-5D52-481B-8A83-C91C7AC9DC73}"/>
    <cellStyle name="Normal 5 5 5 3" xfId="7068" xr:uid="{00000000-0005-0000-0000-000086140000}"/>
    <cellStyle name="Normal 5 5 5 3 2" xfId="9736" xr:uid="{E7975E73-2989-4BA2-884F-B6FBE2923340}"/>
    <cellStyle name="Normal 5 5 5 3 2 2" xfId="15126" xr:uid="{56D9FE5F-0BB1-4EA2-9D39-6210FB6AC8C1}"/>
    <cellStyle name="Normal 5 5 5 3 3" xfId="12373" xr:uid="{86AE6368-BFA5-4F9E-BD78-5E17B638C6B2}"/>
    <cellStyle name="Normal 5 5 5 4" xfId="8405" xr:uid="{5DDA3C17-A75F-40C5-8517-34A30500BA89}"/>
    <cellStyle name="Normal 5 5 5 4 2" xfId="13764" xr:uid="{A9923669-5E45-4FE3-A832-97F816512E3F}"/>
    <cellStyle name="Normal 5 5 5 5" xfId="11042" xr:uid="{FFD12F62-45EC-4FC2-8592-CAE737D19D1C}"/>
    <cellStyle name="Normal 5 5 6" xfId="4518" xr:uid="{00000000-0005-0000-0000-000087140000}"/>
    <cellStyle name="Normal 5 5 6 2" xfId="7686" xr:uid="{00000000-0005-0000-0000-000088140000}"/>
    <cellStyle name="Normal 5 5 6 2 2" xfId="10354" xr:uid="{4A07FB0E-2786-4F50-943C-938DF138ACBD}"/>
    <cellStyle name="Normal 5 5 6 2 2 2" xfId="15744" xr:uid="{D7833A96-EE01-4C17-99B1-FCC352274F2D}"/>
    <cellStyle name="Normal 5 5 6 2 3" xfId="12991" xr:uid="{821445D1-85ED-444F-8FFF-A690D0970755}"/>
    <cellStyle name="Normal 5 5 6 3" xfId="9023" xr:uid="{BABFEC41-3F5F-4D04-9305-B24B6C535549}"/>
    <cellStyle name="Normal 5 5 6 3 2" xfId="14382" xr:uid="{95526372-A644-4A4F-ACF0-D92A42D1D703}"/>
    <cellStyle name="Normal 5 5 6 4" xfId="11660" xr:uid="{7617FFE2-1E80-4770-B39A-33C4840FC366}"/>
    <cellStyle name="Normal 5 5 7" xfId="7062" xr:uid="{00000000-0005-0000-0000-000089140000}"/>
    <cellStyle name="Normal 5 5 7 2" xfId="9730" xr:uid="{702EBF1C-2B0C-4E97-8B25-1D5B41A0E456}"/>
    <cellStyle name="Normal 5 5 7 2 2" xfId="15120" xr:uid="{7A632B8B-C443-4AF1-8B5A-63B6952392A8}"/>
    <cellStyle name="Normal 5 5 7 3" xfId="12367" xr:uid="{5C114464-B854-4393-9803-6C43FD54C786}"/>
    <cellStyle name="Normal 5 5 8" xfId="8399" xr:uid="{ECBC48E6-03CD-45EB-B919-77D009FCEA0A}"/>
    <cellStyle name="Normal 5 5 8 2" xfId="13758" xr:uid="{5C702FD5-DA4E-42C2-8867-7CE46E44B4CF}"/>
    <cellStyle name="Normal 5 5 9" xfId="11036" xr:uid="{79E04927-4C62-409A-A810-8EB0ECA47924}"/>
    <cellStyle name="Normal 5 6" xfId="3899" xr:uid="{00000000-0005-0000-0000-00008A140000}"/>
    <cellStyle name="Normal 5 6 2" xfId="3900" xr:uid="{00000000-0005-0000-0000-00008B140000}"/>
    <cellStyle name="Normal 5 6 2 2" xfId="3901" xr:uid="{00000000-0005-0000-0000-00008C140000}"/>
    <cellStyle name="Normal 5 6 2 2 2" xfId="4527" xr:uid="{00000000-0005-0000-0000-00008D140000}"/>
    <cellStyle name="Normal 5 6 2 2 2 2" xfId="7695" xr:uid="{00000000-0005-0000-0000-00008E140000}"/>
    <cellStyle name="Normal 5 6 2 2 2 2 2" xfId="10363" xr:uid="{39B6FF92-6BB1-4BA5-9F23-F07F555FC4BC}"/>
    <cellStyle name="Normal 5 6 2 2 2 2 2 2" xfId="15753" xr:uid="{9A2941A6-3343-4490-AC20-5B159E2111E3}"/>
    <cellStyle name="Normal 5 6 2 2 2 2 3" xfId="13000" xr:uid="{29ECF723-B5A5-492A-A666-0945B93BE50B}"/>
    <cellStyle name="Normal 5 6 2 2 2 3" xfId="9032" xr:uid="{C715A465-F851-4944-A5E7-ADCE77F2F570}"/>
    <cellStyle name="Normal 5 6 2 2 2 3 2" xfId="14391" xr:uid="{D4354E04-9A72-4896-8F19-E431D120BA25}"/>
    <cellStyle name="Normal 5 6 2 2 2 4" xfId="11669" xr:uid="{3D0E25A1-2D10-45B3-8E6F-1C1CEDEEF8F8}"/>
    <cellStyle name="Normal 5 6 2 2 3" xfId="7071" xr:uid="{00000000-0005-0000-0000-00008F140000}"/>
    <cellStyle name="Normal 5 6 2 2 3 2" xfId="9739" xr:uid="{E15043A8-5372-4AE5-8659-FAC6A3CA613B}"/>
    <cellStyle name="Normal 5 6 2 2 3 2 2" xfId="15129" xr:uid="{3C8E0770-881B-46CB-861E-F58ED2284D43}"/>
    <cellStyle name="Normal 5 6 2 2 3 3" xfId="12376" xr:uid="{1B415AAB-65DA-49B9-99AB-0629AF02AFCD}"/>
    <cellStyle name="Normal 5 6 2 2 4" xfId="8408" xr:uid="{CAD90E13-9B15-4799-BE10-434FB8F08CAC}"/>
    <cellStyle name="Normal 5 6 2 2 4 2" xfId="13767" xr:uid="{6F4BC16A-C54F-47F8-89E1-A192488C1CB5}"/>
    <cellStyle name="Normal 5 6 2 2 5" xfId="11045" xr:uid="{4C1762CA-710F-43B0-B819-82FEB3058B72}"/>
    <cellStyle name="Normal 5 6 2 3" xfId="3902" xr:uid="{00000000-0005-0000-0000-000090140000}"/>
    <cellStyle name="Normal 5 6 2 3 2" xfId="4528" xr:uid="{00000000-0005-0000-0000-000091140000}"/>
    <cellStyle name="Normal 5 6 2 3 2 2" xfId="7696" xr:uid="{00000000-0005-0000-0000-000092140000}"/>
    <cellStyle name="Normal 5 6 2 3 2 2 2" xfId="10364" xr:uid="{B6496904-17A5-48A3-8D94-469615DB8D1F}"/>
    <cellStyle name="Normal 5 6 2 3 2 2 2 2" xfId="15754" xr:uid="{D461D77D-386A-4B85-A195-EC36B317810A}"/>
    <cellStyle name="Normal 5 6 2 3 2 2 3" xfId="13001" xr:uid="{91D0E471-29C7-4F06-A596-B0B67A67AE14}"/>
    <cellStyle name="Normal 5 6 2 3 2 3" xfId="9033" xr:uid="{CFCA8A24-A04E-4E87-9A48-7F2B73D5DACC}"/>
    <cellStyle name="Normal 5 6 2 3 2 3 2" xfId="14392" xr:uid="{256C5ECD-7560-40C3-B462-A41A5053B8A7}"/>
    <cellStyle name="Normal 5 6 2 3 2 4" xfId="11670" xr:uid="{EC7A3F6B-7115-4C3F-936E-C7F24FEB337A}"/>
    <cellStyle name="Normal 5 6 2 3 3" xfId="7072" xr:uid="{00000000-0005-0000-0000-000093140000}"/>
    <cellStyle name="Normal 5 6 2 3 3 2" xfId="9740" xr:uid="{640BEFEE-5981-4B6B-A6A4-D778A4E2017B}"/>
    <cellStyle name="Normal 5 6 2 3 3 2 2" xfId="15130" xr:uid="{742D6C99-1BA0-4E8A-828B-5883075972F5}"/>
    <cellStyle name="Normal 5 6 2 3 3 3" xfId="12377" xr:uid="{E354226C-56B4-4EB9-BBCA-3CB9A205C222}"/>
    <cellStyle name="Normal 5 6 2 3 4" xfId="8409" xr:uid="{07988A5C-653C-404A-B9AC-CA4DF9078149}"/>
    <cellStyle name="Normal 5 6 2 3 4 2" xfId="13768" xr:uid="{CEA5A0A3-F6FA-4B09-8275-B3E34944F3EF}"/>
    <cellStyle name="Normal 5 6 2 3 5" xfId="11046" xr:uid="{E53F93D2-24EB-4AB7-B342-F738B21E2A90}"/>
    <cellStyle name="Normal 5 6 2 4" xfId="4526" xr:uid="{00000000-0005-0000-0000-000094140000}"/>
    <cellStyle name="Normal 5 6 2 4 2" xfId="7694" xr:uid="{00000000-0005-0000-0000-000095140000}"/>
    <cellStyle name="Normal 5 6 2 4 2 2" xfId="10362" xr:uid="{E37B9AAA-64AD-4A07-ABEE-86FDE5A781A6}"/>
    <cellStyle name="Normal 5 6 2 4 2 2 2" xfId="15752" xr:uid="{DF39799C-5DDD-4553-8DFE-DCCD7274C415}"/>
    <cellStyle name="Normal 5 6 2 4 2 3" xfId="12999" xr:uid="{258F9991-6E2C-498C-AEC5-CCD5F2F4AFDD}"/>
    <cellStyle name="Normal 5 6 2 4 3" xfId="9031" xr:uid="{33CEAF23-00BF-4C44-AF67-5D27080D4FB8}"/>
    <cellStyle name="Normal 5 6 2 4 3 2" xfId="14390" xr:uid="{7806DE9C-46D0-491A-B0E8-E69B6BDD4DBF}"/>
    <cellStyle name="Normal 5 6 2 4 4" xfId="11668" xr:uid="{A2364A87-40C7-4653-B2E6-8E33508FC9EE}"/>
    <cellStyle name="Normal 5 6 2 5" xfId="7070" xr:uid="{00000000-0005-0000-0000-000096140000}"/>
    <cellStyle name="Normal 5 6 2 5 2" xfId="9738" xr:uid="{68A5F3A2-43A1-4708-85D2-5950B8974499}"/>
    <cellStyle name="Normal 5 6 2 5 2 2" xfId="15128" xr:uid="{B5C7AB80-AA84-4A19-AC99-D689B5698FEC}"/>
    <cellStyle name="Normal 5 6 2 5 3" xfId="12375" xr:uid="{111E8B28-DDF2-4878-83FC-DA1A48A0696A}"/>
    <cellStyle name="Normal 5 6 2 6" xfId="8407" xr:uid="{C565A862-D82C-4DB3-ADEC-AD5E734AFBBB}"/>
    <cellStyle name="Normal 5 6 2 6 2" xfId="13766" xr:uid="{13349117-FDE2-420D-9D30-2064F9FADBEF}"/>
    <cellStyle name="Normal 5 6 2 7" xfId="11044" xr:uid="{80CFE4DF-B3A8-433A-B845-3348474697DF}"/>
    <cellStyle name="Normal 5 6 3" xfId="3903" xr:uid="{00000000-0005-0000-0000-000097140000}"/>
    <cellStyle name="Normal 5 6 3 2" xfId="4529" xr:uid="{00000000-0005-0000-0000-000098140000}"/>
    <cellStyle name="Normal 5 6 3 2 2" xfId="7697" xr:uid="{00000000-0005-0000-0000-000099140000}"/>
    <cellStyle name="Normal 5 6 3 2 2 2" xfId="10365" xr:uid="{C6B5D264-4C85-4095-8B14-A45EDA7684EF}"/>
    <cellStyle name="Normal 5 6 3 2 2 2 2" xfId="15755" xr:uid="{B4C9C765-C391-4D56-97C6-6DC7FC2CFE24}"/>
    <cellStyle name="Normal 5 6 3 2 2 3" xfId="13002" xr:uid="{8E6B57D9-12EF-4569-86B6-8FB9043C1E6F}"/>
    <cellStyle name="Normal 5 6 3 2 3" xfId="9034" xr:uid="{F70AE40D-69C2-4BFA-9116-BB3F37A70666}"/>
    <cellStyle name="Normal 5 6 3 2 3 2" xfId="14393" xr:uid="{BA00AAF5-87BF-47D3-AB87-2C20A190A402}"/>
    <cellStyle name="Normal 5 6 3 2 4" xfId="11671" xr:uid="{FFC3E79D-984E-499D-B15D-9614819349DD}"/>
    <cellStyle name="Normal 5 6 3 3" xfId="7073" xr:uid="{00000000-0005-0000-0000-00009A140000}"/>
    <cellStyle name="Normal 5 6 3 3 2" xfId="9741" xr:uid="{DDCEB847-0DD4-4233-BABB-6802FF103261}"/>
    <cellStyle name="Normal 5 6 3 3 2 2" xfId="15131" xr:uid="{31F46A77-AC93-4924-A7A4-9B61861F4C2F}"/>
    <cellStyle name="Normal 5 6 3 3 3" xfId="12378" xr:uid="{A1B839F4-818D-4FA5-844F-C598C9F871A3}"/>
    <cellStyle name="Normal 5 6 3 4" xfId="8410" xr:uid="{AD46FF62-CF09-4BA4-A8AE-AB8289A47427}"/>
    <cellStyle name="Normal 5 6 3 4 2" xfId="13769" xr:uid="{7EBBE0CA-73A6-4996-B454-896F070455CA}"/>
    <cellStyle name="Normal 5 6 3 5" xfId="11047" xr:uid="{09C44921-F2D0-4CE2-B6AA-3CAEC590F086}"/>
    <cellStyle name="Normal 5 6 4" xfId="3904" xr:uid="{00000000-0005-0000-0000-00009B140000}"/>
    <cellStyle name="Normal 5 6 4 2" xfId="4530" xr:uid="{00000000-0005-0000-0000-00009C140000}"/>
    <cellStyle name="Normal 5 6 4 2 2" xfId="7698" xr:uid="{00000000-0005-0000-0000-00009D140000}"/>
    <cellStyle name="Normal 5 6 4 2 2 2" xfId="10366" xr:uid="{EA130CE4-E452-46F4-A46C-4DC685AA7E06}"/>
    <cellStyle name="Normal 5 6 4 2 2 2 2" xfId="15756" xr:uid="{C9F6105E-57F5-4F8B-99A9-7444B6B50690}"/>
    <cellStyle name="Normal 5 6 4 2 2 3" xfId="13003" xr:uid="{DF83E999-8EB5-4EBB-9EFA-B8874CBA35A8}"/>
    <cellStyle name="Normal 5 6 4 2 3" xfId="9035" xr:uid="{04165269-7569-47BD-9121-BEBA57DCAA44}"/>
    <cellStyle name="Normal 5 6 4 2 3 2" xfId="14394" xr:uid="{4CDB5E73-2027-48C3-9A9B-B3C6DE65572F}"/>
    <cellStyle name="Normal 5 6 4 2 4" xfId="11672" xr:uid="{CDF8E051-2127-4077-A631-6500CFA6EA99}"/>
    <cellStyle name="Normal 5 6 4 3" xfId="7074" xr:uid="{00000000-0005-0000-0000-00009E140000}"/>
    <cellStyle name="Normal 5 6 4 3 2" xfId="9742" xr:uid="{D5188681-1A70-4680-A8A8-0EE91347AF66}"/>
    <cellStyle name="Normal 5 6 4 3 2 2" xfId="15132" xr:uid="{D0557A46-D24E-4917-AF87-FF0F320532EC}"/>
    <cellStyle name="Normal 5 6 4 3 3" xfId="12379" xr:uid="{87BE4388-FCD7-4DD5-B33A-8DF83C22AC31}"/>
    <cellStyle name="Normal 5 6 4 4" xfId="8411" xr:uid="{2B3B3006-6AB4-437E-B8E7-CA96CBEC65A1}"/>
    <cellStyle name="Normal 5 6 4 4 2" xfId="13770" xr:uid="{72B757E6-673B-43B9-A071-B5ACA9BC32AA}"/>
    <cellStyle name="Normal 5 6 4 5" xfId="11048" xr:uid="{C7B25E36-055A-4DC5-8B80-BAF60983CFA4}"/>
    <cellStyle name="Normal 5 6 5" xfId="3905" xr:uid="{00000000-0005-0000-0000-00009F140000}"/>
    <cellStyle name="Normal 5 6 5 2" xfId="4531" xr:uid="{00000000-0005-0000-0000-0000A0140000}"/>
    <cellStyle name="Normal 5 6 5 2 2" xfId="7699" xr:uid="{00000000-0005-0000-0000-0000A1140000}"/>
    <cellStyle name="Normal 5 6 5 2 2 2" xfId="10367" xr:uid="{45351123-E9B6-4261-8867-899B367826B1}"/>
    <cellStyle name="Normal 5 6 5 2 2 2 2" xfId="15757" xr:uid="{D517DCD9-D28E-476F-A655-A1DCAC610A4A}"/>
    <cellStyle name="Normal 5 6 5 2 2 3" xfId="13004" xr:uid="{A78774BD-E2FE-432E-92B5-0481599A366D}"/>
    <cellStyle name="Normal 5 6 5 2 3" xfId="9036" xr:uid="{5741AC2F-5601-40DF-849C-D56BCB9DD33A}"/>
    <cellStyle name="Normal 5 6 5 2 3 2" xfId="14395" xr:uid="{2CE8ADCA-93FD-440D-8C7D-1511C6262B52}"/>
    <cellStyle name="Normal 5 6 5 2 4" xfId="11673" xr:uid="{9940718E-C635-44C6-8BB5-2816A9560F0C}"/>
    <cellStyle name="Normal 5 6 5 3" xfId="7075" xr:uid="{00000000-0005-0000-0000-0000A2140000}"/>
    <cellStyle name="Normal 5 6 5 3 2" xfId="9743" xr:uid="{E50AC339-9295-4FD1-B6EB-4E318278297E}"/>
    <cellStyle name="Normal 5 6 5 3 2 2" xfId="15133" xr:uid="{12EDD9B0-E94A-4B6F-933E-DD446CC217E4}"/>
    <cellStyle name="Normal 5 6 5 3 3" xfId="12380" xr:uid="{4299A175-1DC0-4BC6-9C26-D7331BFF7F53}"/>
    <cellStyle name="Normal 5 6 5 4" xfId="8412" xr:uid="{1C8F63F1-01E1-4D56-9F95-1033EA08DA9F}"/>
    <cellStyle name="Normal 5 6 5 4 2" xfId="13771" xr:uid="{2BFA6D0D-A5B4-425A-B352-3154A4F810B3}"/>
    <cellStyle name="Normal 5 6 5 5" xfId="11049" xr:uid="{494D8447-F8C2-4EB0-A196-0ECA7352F8CC}"/>
    <cellStyle name="Normal 5 6 6" xfId="4525" xr:uid="{00000000-0005-0000-0000-0000A3140000}"/>
    <cellStyle name="Normal 5 6 6 2" xfId="7693" xr:uid="{00000000-0005-0000-0000-0000A4140000}"/>
    <cellStyle name="Normal 5 6 6 2 2" xfId="10361" xr:uid="{3D1C65F3-5E9A-4688-B5C5-FCD15FDE8A65}"/>
    <cellStyle name="Normal 5 6 6 2 2 2" xfId="15751" xr:uid="{A8A633C5-D48B-42BB-8780-63C0ACE16096}"/>
    <cellStyle name="Normal 5 6 6 2 3" xfId="12998" xr:uid="{C212A8F5-5CD0-4748-B4F2-8534C6556270}"/>
    <cellStyle name="Normal 5 6 6 3" xfId="9030" xr:uid="{FEB8E804-4B94-40D6-B5C8-C67E23A0477A}"/>
    <cellStyle name="Normal 5 6 6 3 2" xfId="14389" xr:uid="{29421E6A-0851-455B-9D46-D22678BA56FF}"/>
    <cellStyle name="Normal 5 6 6 4" xfId="11667" xr:uid="{D9FE12D6-90CD-407C-A3A6-1B8024750D0F}"/>
    <cellStyle name="Normal 5 6 7" xfId="7069" xr:uid="{00000000-0005-0000-0000-0000A5140000}"/>
    <cellStyle name="Normal 5 6 7 2" xfId="9737" xr:uid="{1DAF5D07-49C9-4D24-AC0E-2AD6C02FD57A}"/>
    <cellStyle name="Normal 5 6 7 2 2" xfId="15127" xr:uid="{D76918EC-1E5E-421B-9C8A-A12C8DD9236F}"/>
    <cellStyle name="Normal 5 6 7 3" xfId="12374" xr:uid="{33F11CB7-8227-48EE-8800-B327362C0C0F}"/>
    <cellStyle name="Normal 5 6 8" xfId="8406" xr:uid="{5B261329-ACD5-4676-A71C-7DC41A8B9D8A}"/>
    <cellStyle name="Normal 5 6 8 2" xfId="13765" xr:uid="{F9D9631F-A131-47D7-83CF-C78D5AC10115}"/>
    <cellStyle name="Normal 5 6 9" xfId="11043" xr:uid="{11E50AAF-7F46-469D-930E-2363B5CB1727}"/>
    <cellStyle name="Normal 5 7" xfId="3906" xr:uid="{00000000-0005-0000-0000-0000A6140000}"/>
    <cellStyle name="Normal 5 7 2" xfId="3907" xr:uid="{00000000-0005-0000-0000-0000A7140000}"/>
    <cellStyle name="Normal 5 7 2 2" xfId="3908" xr:uid="{00000000-0005-0000-0000-0000A8140000}"/>
    <cellStyle name="Normal 5 7 2 2 2" xfId="4534" xr:uid="{00000000-0005-0000-0000-0000A9140000}"/>
    <cellStyle name="Normal 5 7 2 2 2 2" xfId="7702" xr:uid="{00000000-0005-0000-0000-0000AA140000}"/>
    <cellStyle name="Normal 5 7 2 2 2 2 2" xfId="10370" xr:uid="{FF5C526C-3FE5-4968-A6F4-458840CA075B}"/>
    <cellStyle name="Normal 5 7 2 2 2 2 2 2" xfId="15760" xr:uid="{881A5B44-5279-4497-BC19-4BCF978AD321}"/>
    <cellStyle name="Normal 5 7 2 2 2 2 3" xfId="13007" xr:uid="{408253EA-4691-4FE6-ABE8-3566020EDA8A}"/>
    <cellStyle name="Normal 5 7 2 2 2 3" xfId="9039" xr:uid="{3FD64EE1-A442-4F49-90CA-6B47EBFD739A}"/>
    <cellStyle name="Normal 5 7 2 2 2 3 2" xfId="14398" xr:uid="{D9ECD814-7ACB-414D-8DA0-A1ABDFFBD392}"/>
    <cellStyle name="Normal 5 7 2 2 2 4" xfId="11676" xr:uid="{28D5209F-FFF5-4144-9606-087F905AE7A4}"/>
    <cellStyle name="Normal 5 7 2 2 3" xfId="7078" xr:uid="{00000000-0005-0000-0000-0000AB140000}"/>
    <cellStyle name="Normal 5 7 2 2 3 2" xfId="9746" xr:uid="{B35E193C-3FD8-41D6-BE85-50F7B3B30EAC}"/>
    <cellStyle name="Normal 5 7 2 2 3 2 2" xfId="15136" xr:uid="{F4C8B546-0521-47C2-B264-EE10B9D6691E}"/>
    <cellStyle name="Normal 5 7 2 2 3 3" xfId="12383" xr:uid="{AE63B0CE-2E09-4820-89F5-43F7B4A04F31}"/>
    <cellStyle name="Normal 5 7 2 2 4" xfId="8415" xr:uid="{7EB0C2A8-DC0F-4EE3-87BA-BB69195F0C03}"/>
    <cellStyle name="Normal 5 7 2 2 4 2" xfId="13774" xr:uid="{678B8D1D-0AE7-4B45-AD10-A9830B3F2EB5}"/>
    <cellStyle name="Normal 5 7 2 2 5" xfId="11052" xr:uid="{13FBE791-7D55-439D-87CF-2A75547FC9CB}"/>
    <cellStyle name="Normal 5 7 2 3" xfId="3909" xr:uid="{00000000-0005-0000-0000-0000AC140000}"/>
    <cellStyle name="Normal 5 7 2 3 2" xfId="4535" xr:uid="{00000000-0005-0000-0000-0000AD140000}"/>
    <cellStyle name="Normal 5 7 2 3 2 2" xfId="7703" xr:uid="{00000000-0005-0000-0000-0000AE140000}"/>
    <cellStyle name="Normal 5 7 2 3 2 2 2" xfId="10371" xr:uid="{2312DDD4-0158-44B7-A07C-F4000CE54382}"/>
    <cellStyle name="Normal 5 7 2 3 2 2 2 2" xfId="15761" xr:uid="{DA54A5DA-BCEA-47CA-81A2-10FE3AFCAA8B}"/>
    <cellStyle name="Normal 5 7 2 3 2 2 3" xfId="13008" xr:uid="{49C6C273-EC15-495C-BE8B-A09CE3AF596B}"/>
    <cellStyle name="Normal 5 7 2 3 2 3" xfId="9040" xr:uid="{E7AE5E08-8833-41D5-83CC-1B0D1E64C743}"/>
    <cellStyle name="Normal 5 7 2 3 2 3 2" xfId="14399" xr:uid="{F8D7AD4B-F3C8-4151-AAF5-3027924A386B}"/>
    <cellStyle name="Normal 5 7 2 3 2 4" xfId="11677" xr:uid="{8BA1EFE2-49AB-4AD0-95C7-608584569C80}"/>
    <cellStyle name="Normal 5 7 2 3 3" xfId="7079" xr:uid="{00000000-0005-0000-0000-0000AF140000}"/>
    <cellStyle name="Normal 5 7 2 3 3 2" xfId="9747" xr:uid="{E7784416-4B42-4DDF-8DB0-AFFA2D113F72}"/>
    <cellStyle name="Normal 5 7 2 3 3 2 2" xfId="15137" xr:uid="{72D617E4-427B-47F8-8E89-ADE796288A49}"/>
    <cellStyle name="Normal 5 7 2 3 3 3" xfId="12384" xr:uid="{BA83C2DB-F69B-47F4-8BB1-76C9945BB178}"/>
    <cellStyle name="Normal 5 7 2 3 4" xfId="8416" xr:uid="{5F394420-59D5-4AEB-8630-C4A6E85E3D8D}"/>
    <cellStyle name="Normal 5 7 2 3 4 2" xfId="13775" xr:uid="{0E173518-0BAE-4910-A3F6-A11A904FCF81}"/>
    <cellStyle name="Normal 5 7 2 3 5" xfId="11053" xr:uid="{0DAED9B1-FEE4-4338-93B2-A6196D45F3CD}"/>
    <cellStyle name="Normal 5 7 2 4" xfId="4533" xr:uid="{00000000-0005-0000-0000-0000B0140000}"/>
    <cellStyle name="Normal 5 7 2 4 2" xfId="7701" xr:uid="{00000000-0005-0000-0000-0000B1140000}"/>
    <cellStyle name="Normal 5 7 2 4 2 2" xfId="10369" xr:uid="{2FEE02FF-BD11-4881-BC99-799E43E21276}"/>
    <cellStyle name="Normal 5 7 2 4 2 2 2" xfId="15759" xr:uid="{E782347B-3FE5-420E-B856-B2F2CD171809}"/>
    <cellStyle name="Normal 5 7 2 4 2 3" xfId="13006" xr:uid="{6743A681-13EF-4B79-9167-D5C8EAB13099}"/>
    <cellStyle name="Normal 5 7 2 4 3" xfId="9038" xr:uid="{DB5F4E83-57FB-4E78-9235-8E7801F3F8D7}"/>
    <cellStyle name="Normal 5 7 2 4 3 2" xfId="14397" xr:uid="{C9AC8E03-AC3F-455D-93FE-26E4046A941E}"/>
    <cellStyle name="Normal 5 7 2 4 4" xfId="11675" xr:uid="{03576C7E-0D46-4C39-8581-EC08F9B12E8E}"/>
    <cellStyle name="Normal 5 7 2 5" xfId="7077" xr:uid="{00000000-0005-0000-0000-0000B2140000}"/>
    <cellStyle name="Normal 5 7 2 5 2" xfId="9745" xr:uid="{59BB948B-729A-4F1B-BAF0-7A2E40CB478B}"/>
    <cellStyle name="Normal 5 7 2 5 2 2" xfId="15135" xr:uid="{8C835C7A-BF3A-41E3-A70F-65976C028EDE}"/>
    <cellStyle name="Normal 5 7 2 5 3" xfId="12382" xr:uid="{445BE3B5-ED65-4D9A-B092-273EB8720D4D}"/>
    <cellStyle name="Normal 5 7 2 6" xfId="8414" xr:uid="{EBAC4BED-1219-4A97-B429-7B0ECF98ACC0}"/>
    <cellStyle name="Normal 5 7 2 6 2" xfId="13773" xr:uid="{2D2AB817-153B-4D8A-AC57-E19537E49609}"/>
    <cellStyle name="Normal 5 7 2 7" xfId="11051" xr:uid="{F424BE92-EA51-4CD5-9FC5-53B354531D0D}"/>
    <cellStyle name="Normal 5 7 3" xfId="3910" xr:uid="{00000000-0005-0000-0000-0000B3140000}"/>
    <cellStyle name="Normal 5 7 3 2" xfId="4536" xr:uid="{00000000-0005-0000-0000-0000B4140000}"/>
    <cellStyle name="Normal 5 7 3 2 2" xfId="7704" xr:uid="{00000000-0005-0000-0000-0000B5140000}"/>
    <cellStyle name="Normal 5 7 3 2 2 2" xfId="10372" xr:uid="{66580F9A-C607-4864-8B34-DDD44273CBDE}"/>
    <cellStyle name="Normal 5 7 3 2 2 2 2" xfId="15762" xr:uid="{27A1C619-66E1-42BC-803C-BA9737858A14}"/>
    <cellStyle name="Normal 5 7 3 2 2 3" xfId="13009" xr:uid="{F7C7040F-FB60-4CA0-9DE3-40F25327CCD7}"/>
    <cellStyle name="Normal 5 7 3 2 3" xfId="9041" xr:uid="{15D44DC6-2389-40CB-ABB7-67AE651E644C}"/>
    <cellStyle name="Normal 5 7 3 2 3 2" xfId="14400" xr:uid="{B581432B-2EBE-48DA-AF7B-B05E9CB423A8}"/>
    <cellStyle name="Normal 5 7 3 2 4" xfId="11678" xr:uid="{077BDC19-4D38-442F-ACDD-F624DCA29833}"/>
    <cellStyle name="Normal 5 7 3 3" xfId="7080" xr:uid="{00000000-0005-0000-0000-0000B6140000}"/>
    <cellStyle name="Normal 5 7 3 3 2" xfId="9748" xr:uid="{5FA8E480-C51C-4687-A7E1-38F78C81FBDD}"/>
    <cellStyle name="Normal 5 7 3 3 2 2" xfId="15138" xr:uid="{C1E72AB3-D6A5-4FEB-9DA8-A697714D9867}"/>
    <cellStyle name="Normal 5 7 3 3 3" xfId="12385" xr:uid="{919D2836-6DC7-4BD3-ABF7-60CB2F6098D9}"/>
    <cellStyle name="Normal 5 7 3 4" xfId="8417" xr:uid="{162356D2-BE6C-4A54-B0AE-4093BEB162F1}"/>
    <cellStyle name="Normal 5 7 3 4 2" xfId="13776" xr:uid="{7FC934FA-F101-4C17-8E02-4E7704AB1BB8}"/>
    <cellStyle name="Normal 5 7 3 5" xfId="11054" xr:uid="{80FA9E8E-06A5-4989-B33E-403229057E74}"/>
    <cellStyle name="Normal 5 7 4" xfId="3911" xr:uid="{00000000-0005-0000-0000-0000B7140000}"/>
    <cellStyle name="Normal 5 7 4 2" xfId="4537" xr:uid="{00000000-0005-0000-0000-0000B8140000}"/>
    <cellStyle name="Normal 5 7 4 2 2" xfId="7705" xr:uid="{00000000-0005-0000-0000-0000B9140000}"/>
    <cellStyle name="Normal 5 7 4 2 2 2" xfId="10373" xr:uid="{15648E67-65FB-4958-A5B1-E0290895A367}"/>
    <cellStyle name="Normal 5 7 4 2 2 2 2" xfId="15763" xr:uid="{FFFA3D31-6835-4A02-A76B-36377705DCFD}"/>
    <cellStyle name="Normal 5 7 4 2 2 3" xfId="13010" xr:uid="{7C5DCBB5-1721-4C19-8B46-9ECAE97C4FA8}"/>
    <cellStyle name="Normal 5 7 4 2 3" xfId="9042" xr:uid="{47808FF9-2475-47E6-9FC6-5E0B4EFFA20C}"/>
    <cellStyle name="Normal 5 7 4 2 3 2" xfId="14401" xr:uid="{EB79155F-FAAD-4CAD-8022-FC655773316B}"/>
    <cellStyle name="Normal 5 7 4 2 4" xfId="11679" xr:uid="{41FE9755-D61D-4802-BDB2-1CBFAA97DA88}"/>
    <cellStyle name="Normal 5 7 4 3" xfId="7081" xr:uid="{00000000-0005-0000-0000-0000BA140000}"/>
    <cellStyle name="Normal 5 7 4 3 2" xfId="9749" xr:uid="{5CFF1CD4-A8A6-427B-BDD3-2AD32FC15A07}"/>
    <cellStyle name="Normal 5 7 4 3 2 2" xfId="15139" xr:uid="{71B6BEDD-4F08-44E3-A179-84288412D20E}"/>
    <cellStyle name="Normal 5 7 4 3 3" xfId="12386" xr:uid="{BF6D6D70-7B5A-4E03-904F-9E7899DB9612}"/>
    <cellStyle name="Normal 5 7 4 4" xfId="8418" xr:uid="{106DBC36-0CA1-4E12-B5CE-0A64534DA728}"/>
    <cellStyle name="Normal 5 7 4 4 2" xfId="13777" xr:uid="{6828C5B9-F758-42A2-A612-027CF44E59B7}"/>
    <cellStyle name="Normal 5 7 4 5" xfId="11055" xr:uid="{D8CF0C34-43E3-4BBF-AB17-B6C23698D47C}"/>
    <cellStyle name="Normal 5 7 5" xfId="3912" xr:uid="{00000000-0005-0000-0000-0000BB140000}"/>
    <cellStyle name="Normal 5 7 5 2" xfId="4538" xr:uid="{00000000-0005-0000-0000-0000BC140000}"/>
    <cellStyle name="Normal 5 7 5 2 2" xfId="7706" xr:uid="{00000000-0005-0000-0000-0000BD140000}"/>
    <cellStyle name="Normal 5 7 5 2 2 2" xfId="10374" xr:uid="{1B58CD27-4FCA-40DC-A168-C031D87F44AE}"/>
    <cellStyle name="Normal 5 7 5 2 2 2 2" xfId="15764" xr:uid="{98100BF7-C0AD-4662-A0CE-A90B514E2F13}"/>
    <cellStyle name="Normal 5 7 5 2 2 3" xfId="13011" xr:uid="{B2763257-FA22-43A3-B4C8-57E33B88F245}"/>
    <cellStyle name="Normal 5 7 5 2 3" xfId="9043" xr:uid="{DC3947A8-E987-46C8-89DA-BF00CF5E03DE}"/>
    <cellStyle name="Normal 5 7 5 2 3 2" xfId="14402" xr:uid="{27FD21E6-34B1-4109-B976-B1FE77560887}"/>
    <cellStyle name="Normal 5 7 5 2 4" xfId="11680" xr:uid="{6F23B3E5-5740-490D-B7FB-E97023C06C24}"/>
    <cellStyle name="Normal 5 7 5 3" xfId="7082" xr:uid="{00000000-0005-0000-0000-0000BE140000}"/>
    <cellStyle name="Normal 5 7 5 3 2" xfId="9750" xr:uid="{5D80CE26-CF82-4E91-8492-15ABA7DD51F3}"/>
    <cellStyle name="Normal 5 7 5 3 2 2" xfId="15140" xr:uid="{0069D210-BF1D-4AF2-9FB8-3CAF8C1A4377}"/>
    <cellStyle name="Normal 5 7 5 3 3" xfId="12387" xr:uid="{F7622613-47B2-479F-A5C4-32A13BEBBEB2}"/>
    <cellStyle name="Normal 5 7 5 4" xfId="8419" xr:uid="{829DC270-35A7-415F-B126-63A272E4FF82}"/>
    <cellStyle name="Normal 5 7 5 4 2" xfId="13778" xr:uid="{9E1458B3-BAA0-4BAC-98E7-E6BA1A1D3533}"/>
    <cellStyle name="Normal 5 7 5 5" xfId="11056" xr:uid="{C26436FA-8D78-4D16-9A23-8F1922710C48}"/>
    <cellStyle name="Normal 5 7 6" xfId="4532" xr:uid="{00000000-0005-0000-0000-0000BF140000}"/>
    <cellStyle name="Normal 5 7 6 2" xfId="7700" xr:uid="{00000000-0005-0000-0000-0000C0140000}"/>
    <cellStyle name="Normal 5 7 6 2 2" xfId="10368" xr:uid="{9B838F06-8830-473B-ABA8-C76EB5778141}"/>
    <cellStyle name="Normal 5 7 6 2 2 2" xfId="15758" xr:uid="{2C06C2E3-8D6C-40A0-8949-1AAAB8F58F86}"/>
    <cellStyle name="Normal 5 7 6 2 3" xfId="13005" xr:uid="{EEF90483-1DB1-4052-A849-43764D6E1A1C}"/>
    <cellStyle name="Normal 5 7 6 3" xfId="9037" xr:uid="{AAC914A6-64C7-4B40-9960-608D63D8AFD5}"/>
    <cellStyle name="Normal 5 7 6 3 2" xfId="14396" xr:uid="{F4685ECC-2659-4648-BD48-8787A7433055}"/>
    <cellStyle name="Normal 5 7 6 4" xfId="11674" xr:uid="{1C591A46-BB94-4044-9EAE-56704538993B}"/>
    <cellStyle name="Normal 5 7 7" xfId="7076" xr:uid="{00000000-0005-0000-0000-0000C1140000}"/>
    <cellStyle name="Normal 5 7 7 2" xfId="9744" xr:uid="{8CBE5C95-45B5-4597-AA1C-E7B0EA01F57F}"/>
    <cellStyle name="Normal 5 7 7 2 2" xfId="15134" xr:uid="{83AF6963-6B00-4EEC-92C8-4D649AC16BA1}"/>
    <cellStyle name="Normal 5 7 7 3" xfId="12381" xr:uid="{6F437645-81ED-40A6-A338-798F1C045C66}"/>
    <cellStyle name="Normal 5 7 8" xfId="8413" xr:uid="{1FA09E00-B230-4F44-802E-61854F052290}"/>
    <cellStyle name="Normal 5 7 8 2" xfId="13772" xr:uid="{4544C17D-B2C4-472F-9A86-03D7987378F2}"/>
    <cellStyle name="Normal 5 7 9" xfId="11050" xr:uid="{8604E055-B0BB-46F2-A2F4-A58B18FD8101}"/>
    <cellStyle name="Normal 5 8" xfId="3913" xr:uid="{00000000-0005-0000-0000-0000C2140000}"/>
    <cellStyle name="Normal 5 8 2" xfId="3914" xr:uid="{00000000-0005-0000-0000-0000C3140000}"/>
    <cellStyle name="Normal 5 8 2 2" xfId="4540" xr:uid="{00000000-0005-0000-0000-0000C4140000}"/>
    <cellStyle name="Normal 5 8 2 2 2" xfId="7708" xr:uid="{00000000-0005-0000-0000-0000C5140000}"/>
    <cellStyle name="Normal 5 8 2 2 2 2" xfId="10376" xr:uid="{E8D3FAD3-4475-43C0-AC4C-1ABEEA01341C}"/>
    <cellStyle name="Normal 5 8 2 2 2 2 2" xfId="15766" xr:uid="{20D27F65-7CE3-44A6-BC1E-F6C070A870EC}"/>
    <cellStyle name="Normal 5 8 2 2 2 3" xfId="13013" xr:uid="{E84C1DD8-3EED-427A-AB36-88BE3C95151E}"/>
    <cellStyle name="Normal 5 8 2 2 3" xfId="9045" xr:uid="{AB04196C-ADE5-48CC-89AF-A18A317271D6}"/>
    <cellStyle name="Normal 5 8 2 2 3 2" xfId="14404" xr:uid="{D3F348B9-7D6C-4B6D-B2F4-148B7727DE8D}"/>
    <cellStyle name="Normal 5 8 2 2 4" xfId="11682" xr:uid="{90AB3B8C-21AB-4D4A-9E4F-76BF75429A44}"/>
    <cellStyle name="Normal 5 8 2 3" xfId="7084" xr:uid="{00000000-0005-0000-0000-0000C6140000}"/>
    <cellStyle name="Normal 5 8 2 3 2" xfId="9752" xr:uid="{54E72949-0C3D-4644-8F03-411AE6B4605D}"/>
    <cellStyle name="Normal 5 8 2 3 2 2" xfId="15142" xr:uid="{6F24179F-4C2A-41E6-84DC-B64EBADC758D}"/>
    <cellStyle name="Normal 5 8 2 3 3" xfId="12389" xr:uid="{7A259A7B-9621-4286-B749-45252272DE40}"/>
    <cellStyle name="Normal 5 8 2 4" xfId="8421" xr:uid="{62491A37-073E-4432-A27B-DB021DAE3259}"/>
    <cellStyle name="Normal 5 8 2 4 2" xfId="13780" xr:uid="{97C667D7-B22D-469C-A634-768D2E72F4BC}"/>
    <cellStyle name="Normal 5 8 2 5" xfId="11058" xr:uid="{97F2A9BE-FC2D-4290-BF91-8BEF1B57C1D2}"/>
    <cellStyle name="Normal 5 8 3" xfId="3915" xr:uid="{00000000-0005-0000-0000-0000C7140000}"/>
    <cellStyle name="Normal 5 8 3 2" xfId="4541" xr:uid="{00000000-0005-0000-0000-0000C8140000}"/>
    <cellStyle name="Normal 5 8 3 2 2" xfId="7709" xr:uid="{00000000-0005-0000-0000-0000C9140000}"/>
    <cellStyle name="Normal 5 8 3 2 2 2" xfId="10377" xr:uid="{3027AE81-34B7-4DAF-9494-73E9E4E97756}"/>
    <cellStyle name="Normal 5 8 3 2 2 2 2" xfId="15767" xr:uid="{980A05C9-5956-4F5E-BF77-5A9CB073109E}"/>
    <cellStyle name="Normal 5 8 3 2 2 3" xfId="13014" xr:uid="{F574843F-8525-49BF-A177-7356AF428ADA}"/>
    <cellStyle name="Normal 5 8 3 2 3" xfId="9046" xr:uid="{0AACED36-F145-427B-88B9-114B057DA721}"/>
    <cellStyle name="Normal 5 8 3 2 3 2" xfId="14405" xr:uid="{E4FBE51C-B4FF-4A5B-8585-1535E00ACE49}"/>
    <cellStyle name="Normal 5 8 3 2 4" xfId="11683" xr:uid="{927ED4BE-9DE2-44C3-A47F-69EF8AE75AD9}"/>
    <cellStyle name="Normal 5 8 3 3" xfId="7085" xr:uid="{00000000-0005-0000-0000-0000CA140000}"/>
    <cellStyle name="Normal 5 8 3 3 2" xfId="9753" xr:uid="{5BAD6F34-4CEA-4C16-8068-8DE06A28CC01}"/>
    <cellStyle name="Normal 5 8 3 3 2 2" xfId="15143" xr:uid="{427B4902-17B4-4931-8CF2-8EB2B2B9CB36}"/>
    <cellStyle name="Normal 5 8 3 3 3" xfId="12390" xr:uid="{87A5C593-A71B-4D25-A000-DA479B5EFA6B}"/>
    <cellStyle name="Normal 5 8 3 4" xfId="8422" xr:uid="{1B64E5AC-4108-4250-AEF8-2A350B6B666E}"/>
    <cellStyle name="Normal 5 8 3 4 2" xfId="13781" xr:uid="{EC01AC92-181B-4C20-8EB7-48BEA6BF2BD9}"/>
    <cellStyle name="Normal 5 8 3 5" xfId="11059" xr:uid="{2AAE4626-2635-4DBE-9243-DA3221AF28AE}"/>
    <cellStyle name="Normal 5 8 4" xfId="4539" xr:uid="{00000000-0005-0000-0000-0000CB140000}"/>
    <cellStyle name="Normal 5 8 4 2" xfId="7707" xr:uid="{00000000-0005-0000-0000-0000CC140000}"/>
    <cellStyle name="Normal 5 8 4 2 2" xfId="10375" xr:uid="{1DF24BAA-07A7-44EF-9E26-99EE4756DB73}"/>
    <cellStyle name="Normal 5 8 4 2 2 2" xfId="15765" xr:uid="{A13C9580-9331-4D79-AE94-F38125F68DD1}"/>
    <cellStyle name="Normal 5 8 4 2 3" xfId="13012" xr:uid="{7318AB48-BC2D-455E-BFE0-DDE6359A5FFF}"/>
    <cellStyle name="Normal 5 8 4 3" xfId="9044" xr:uid="{C2F9539A-469B-474C-926D-C4DB99CC736F}"/>
    <cellStyle name="Normal 5 8 4 3 2" xfId="14403" xr:uid="{D35E557E-0B5E-40EA-BB59-3B41E41B4833}"/>
    <cellStyle name="Normal 5 8 4 4" xfId="11681" xr:uid="{F282DA82-35DE-412B-B959-98BCF1F8FCAB}"/>
    <cellStyle name="Normal 5 8 5" xfId="7083" xr:uid="{00000000-0005-0000-0000-0000CD140000}"/>
    <cellStyle name="Normal 5 8 5 2" xfId="9751" xr:uid="{B547DC95-C8A5-4071-922F-DC2260052EE3}"/>
    <cellStyle name="Normal 5 8 5 2 2" xfId="15141" xr:uid="{09D61D92-A22B-443D-84A7-793C160C8CBA}"/>
    <cellStyle name="Normal 5 8 5 3" xfId="12388" xr:uid="{5509A120-D0DC-4F75-BEDB-908734EDC010}"/>
    <cellStyle name="Normal 5 8 6" xfId="8420" xr:uid="{159CC3A0-EB47-4152-A325-660DF8821B47}"/>
    <cellStyle name="Normal 5 8 6 2" xfId="13779" xr:uid="{5FC44E64-D616-4DE2-A7F0-82307E5CC438}"/>
    <cellStyle name="Normal 5 8 7" xfId="11057" xr:uid="{EF57AFD4-A098-40D9-9D9A-C37F60A0A408}"/>
    <cellStyle name="Normal 5 9" xfId="3916" xr:uid="{00000000-0005-0000-0000-0000CE140000}"/>
    <cellStyle name="Normal 5 9 2" xfId="3917" xr:uid="{00000000-0005-0000-0000-0000CF140000}"/>
    <cellStyle name="Normal 5 9 2 2" xfId="4543" xr:uid="{00000000-0005-0000-0000-0000D0140000}"/>
    <cellStyle name="Normal 5 9 2 2 2" xfId="7711" xr:uid="{00000000-0005-0000-0000-0000D1140000}"/>
    <cellStyle name="Normal 5 9 2 2 2 2" xfId="10379" xr:uid="{3D103C94-A5F5-4729-89EB-A25FF66A9E12}"/>
    <cellStyle name="Normal 5 9 2 2 2 2 2" xfId="15769" xr:uid="{C7765B66-0636-4BF5-B790-B321F36DD5C1}"/>
    <cellStyle name="Normal 5 9 2 2 2 3" xfId="13016" xr:uid="{933214A1-1D2F-4696-9049-1D64002ED624}"/>
    <cellStyle name="Normal 5 9 2 2 3" xfId="9048" xr:uid="{6455D368-D0A3-46A2-99B7-67719239C32E}"/>
    <cellStyle name="Normal 5 9 2 2 3 2" xfId="14407" xr:uid="{AB2DB3E1-77FD-4422-9E02-184793F480A6}"/>
    <cellStyle name="Normal 5 9 2 2 4" xfId="11685" xr:uid="{4C3FD817-E736-4C2E-BDFC-C00856514D5F}"/>
    <cellStyle name="Normal 5 9 2 3" xfId="7087" xr:uid="{00000000-0005-0000-0000-0000D2140000}"/>
    <cellStyle name="Normal 5 9 2 3 2" xfId="9755" xr:uid="{F20C550E-F6B3-48C8-8213-16D60A375292}"/>
    <cellStyle name="Normal 5 9 2 3 2 2" xfId="15145" xr:uid="{2E8EEE7E-22DB-42B2-97E6-944A2941FD5F}"/>
    <cellStyle name="Normal 5 9 2 3 3" xfId="12392" xr:uid="{FBF6BC27-0365-4E46-B74A-8DB160AA03AF}"/>
    <cellStyle name="Normal 5 9 2 4" xfId="8424" xr:uid="{763B2BF5-9702-4928-A9A9-7875E07B9BDB}"/>
    <cellStyle name="Normal 5 9 2 4 2" xfId="13783" xr:uid="{7224E155-BB20-4619-9BD1-D41B1B693C18}"/>
    <cellStyle name="Normal 5 9 2 5" xfId="11061" xr:uid="{B5FFA873-A326-426A-BC9F-4A91BFFFE4D8}"/>
    <cellStyle name="Normal 5 9 3" xfId="4542" xr:uid="{00000000-0005-0000-0000-0000D3140000}"/>
    <cellStyle name="Normal 5 9 3 2" xfId="7710" xr:uid="{00000000-0005-0000-0000-0000D4140000}"/>
    <cellStyle name="Normal 5 9 3 2 2" xfId="10378" xr:uid="{CED0B99C-6D56-4505-9933-D51706761A4D}"/>
    <cellStyle name="Normal 5 9 3 2 2 2" xfId="15768" xr:uid="{9C24B804-85A6-46C2-9888-17305C2B672C}"/>
    <cellStyle name="Normal 5 9 3 2 3" xfId="13015" xr:uid="{BF4CDC1D-A1E8-4877-9EA9-02A3B7416774}"/>
    <cellStyle name="Normal 5 9 3 3" xfId="9047" xr:uid="{CC4B79C9-A26A-4D44-A645-0723DD7B426B}"/>
    <cellStyle name="Normal 5 9 3 3 2" xfId="14406" xr:uid="{4AEE4B0D-93BF-44BF-B0B0-B8125AD10559}"/>
    <cellStyle name="Normal 5 9 3 4" xfId="11684" xr:uid="{F1ED8B39-A36B-4255-936D-5ADF9FFFD740}"/>
    <cellStyle name="Normal 5 9 4" xfId="7086" xr:uid="{00000000-0005-0000-0000-0000D5140000}"/>
    <cellStyle name="Normal 5 9 4 2" xfId="9754" xr:uid="{DC3D4236-2E91-4018-B0D8-D37FC8293684}"/>
    <cellStyle name="Normal 5 9 4 2 2" xfId="15144" xr:uid="{CDAD6E29-AE90-4457-9B24-DDEA93DC362A}"/>
    <cellStyle name="Normal 5 9 4 3" xfId="12391" xr:uid="{834B2495-47F9-4459-ABD7-EBDEAFD40B84}"/>
    <cellStyle name="Normal 5 9 5" xfId="8423" xr:uid="{58C3A868-E78C-4AA4-BCF6-0A9BC88DDC87}"/>
    <cellStyle name="Normal 5 9 5 2" xfId="13782" xr:uid="{15F75908-B618-462C-A409-FA0978333306}"/>
    <cellStyle name="Normal 5 9 6" xfId="11060" xr:uid="{1FB2F0C3-1CCB-4ADB-9138-5FF866838FF1}"/>
    <cellStyle name="Normal 6" xfId="989" xr:uid="{00000000-0005-0000-0000-0000D6140000}"/>
    <cellStyle name="Normal 6 10" xfId="3919" xr:uid="{00000000-0005-0000-0000-0000D7140000}"/>
    <cellStyle name="Normal 6 10 2" xfId="4545" xr:uid="{00000000-0005-0000-0000-0000D8140000}"/>
    <cellStyle name="Normal 6 10 2 2" xfId="7713" xr:uid="{00000000-0005-0000-0000-0000D9140000}"/>
    <cellStyle name="Normal 6 10 2 2 2" xfId="10381" xr:uid="{7B753805-B239-4F21-8741-CCFE8EF37C0C}"/>
    <cellStyle name="Normal 6 10 2 2 2 2" xfId="15771" xr:uid="{4C24B1DD-2E28-49AD-9E80-31F283FA1A1A}"/>
    <cellStyle name="Normal 6 10 2 2 3" xfId="13018" xr:uid="{E003405F-DEEC-42C0-96B2-EA3FA3AABC41}"/>
    <cellStyle name="Normal 6 10 2 3" xfId="9050" xr:uid="{8809AEC2-866A-43E2-88C1-ED1CED1854DC}"/>
    <cellStyle name="Normal 6 10 2 3 2" xfId="14409" xr:uid="{3F3D8624-F19B-481A-947A-07E706A0E294}"/>
    <cellStyle name="Normal 6 10 2 4" xfId="11687" xr:uid="{B2BDC166-9CE2-4DA2-BA40-83C6DC5506C2}"/>
    <cellStyle name="Normal 6 10 3" xfId="7089" xr:uid="{00000000-0005-0000-0000-0000DA140000}"/>
    <cellStyle name="Normal 6 10 3 2" xfId="9757" xr:uid="{2BC53EB2-11F7-489A-BBF2-6658375502FE}"/>
    <cellStyle name="Normal 6 10 3 2 2" xfId="15147" xr:uid="{37F8C3E1-25B2-4125-A9D6-F8A2CEADEB65}"/>
    <cellStyle name="Normal 6 10 3 3" xfId="12394" xr:uid="{39555041-3D4E-41A9-B384-3841174C3978}"/>
    <cellStyle name="Normal 6 10 4" xfId="8426" xr:uid="{F3DD8A4D-0E91-4494-8D2A-6CBA854C2313}"/>
    <cellStyle name="Normal 6 10 4 2" xfId="13785" xr:uid="{B582E1CA-BEB0-4010-8D2B-B772682CC754}"/>
    <cellStyle name="Normal 6 10 5" xfId="11063" xr:uid="{D3B41C82-7DF4-4F45-8679-CD6EE497FA9E}"/>
    <cellStyle name="Normal 6 11" xfId="3920" xr:uid="{00000000-0005-0000-0000-0000DB140000}"/>
    <cellStyle name="Normal 6 11 2" xfId="4546" xr:uid="{00000000-0005-0000-0000-0000DC140000}"/>
    <cellStyle name="Normal 6 11 2 2" xfId="7714" xr:uid="{00000000-0005-0000-0000-0000DD140000}"/>
    <cellStyle name="Normal 6 11 2 2 2" xfId="10382" xr:uid="{0AAB4963-A817-4957-92B2-B73E970F3F51}"/>
    <cellStyle name="Normal 6 11 2 2 2 2" xfId="15772" xr:uid="{A5FF9A36-185A-4E51-95FF-9358D885D8C1}"/>
    <cellStyle name="Normal 6 11 2 2 3" xfId="13019" xr:uid="{08A4598E-6D2A-406F-AA32-0DE156170C37}"/>
    <cellStyle name="Normal 6 11 2 3" xfId="9051" xr:uid="{9E3B16A9-F9CE-4127-881E-6D3FF03B546C}"/>
    <cellStyle name="Normal 6 11 2 3 2" xfId="14410" xr:uid="{DC766FE6-FCF9-4A0C-BE85-883F5B6B3532}"/>
    <cellStyle name="Normal 6 11 2 4" xfId="11688" xr:uid="{ACD07F3D-9984-4D5E-9188-F401CC8C09F6}"/>
    <cellStyle name="Normal 6 11 3" xfId="7090" xr:uid="{00000000-0005-0000-0000-0000DE140000}"/>
    <cellStyle name="Normal 6 11 3 2" xfId="9758" xr:uid="{2DB5AF4A-E3A3-47DE-86CA-2445387A3FE2}"/>
    <cellStyle name="Normal 6 11 3 2 2" xfId="15148" xr:uid="{58260A3C-3FEB-4EDE-A294-54BD21FDA7EE}"/>
    <cellStyle name="Normal 6 11 3 3" xfId="12395" xr:uid="{B9FF501E-BC3D-4AFB-B4D8-D25A2B2C458F}"/>
    <cellStyle name="Normal 6 11 4" xfId="8427" xr:uid="{E2DA5EA3-01EF-4430-BB14-1CD2A2CDEC6F}"/>
    <cellStyle name="Normal 6 11 4 2" xfId="13786" xr:uid="{096670E9-98D2-45A5-BB3A-5CBE01B0FC6D}"/>
    <cellStyle name="Normal 6 11 5" xfId="11064" xr:uid="{32EBC1F0-0E84-40EE-9048-E0D09487CA0D}"/>
    <cellStyle name="Normal 6 12" xfId="3921" xr:uid="{00000000-0005-0000-0000-0000DF140000}"/>
    <cellStyle name="Normal 6 12 2" xfId="4547" xr:uid="{00000000-0005-0000-0000-0000E0140000}"/>
    <cellStyle name="Normal 6 12 2 2" xfId="7715" xr:uid="{00000000-0005-0000-0000-0000E1140000}"/>
    <cellStyle name="Normal 6 12 2 2 2" xfId="10383" xr:uid="{CCD5C2FC-144F-47C2-A3EF-A4E2023274D6}"/>
    <cellStyle name="Normal 6 12 2 2 2 2" xfId="15773" xr:uid="{E2EECADE-6D7E-41D9-94D0-8FC50016BB77}"/>
    <cellStyle name="Normal 6 12 2 2 3" xfId="13020" xr:uid="{EB82F07A-B6A5-44E5-A372-2CE1062EF60A}"/>
    <cellStyle name="Normal 6 12 2 3" xfId="9052" xr:uid="{1E52B330-89C9-4BFB-B112-4121821736B6}"/>
    <cellStyle name="Normal 6 12 2 3 2" xfId="14411" xr:uid="{FDD94C75-B8ED-4F40-927D-2C7EB77111C6}"/>
    <cellStyle name="Normal 6 12 2 4" xfId="11689" xr:uid="{AA1E5506-B485-4500-BFBD-371BFBC07AE4}"/>
    <cellStyle name="Normal 6 12 3" xfId="7091" xr:uid="{00000000-0005-0000-0000-0000E2140000}"/>
    <cellStyle name="Normal 6 12 3 2" xfId="9759" xr:uid="{19C545D4-222F-4633-9167-1D5E37E0FFDB}"/>
    <cellStyle name="Normal 6 12 3 2 2" xfId="15149" xr:uid="{3609250F-05C1-4249-B00F-E2EC1C3BF0D5}"/>
    <cellStyle name="Normal 6 12 3 3" xfId="12396" xr:uid="{9A625E4E-26CF-4552-A082-7DAF63FD4064}"/>
    <cellStyle name="Normal 6 12 4" xfId="8428" xr:uid="{9A2637D2-DDF7-4FED-9C28-1501DF07354D}"/>
    <cellStyle name="Normal 6 12 4 2" xfId="13787" xr:uid="{A4B2A2CE-A5D0-42F9-80D2-34D5CF06324F}"/>
    <cellStyle name="Normal 6 12 5" xfId="11065" xr:uid="{752FFB8E-09D2-4AFD-86D6-11F21FA6745C}"/>
    <cellStyle name="Normal 6 13" xfId="3918" xr:uid="{00000000-0005-0000-0000-0000E3140000}"/>
    <cellStyle name="Normal 6 13 2" xfId="4544" xr:uid="{00000000-0005-0000-0000-0000E4140000}"/>
    <cellStyle name="Normal 6 13 2 2" xfId="7712" xr:uid="{00000000-0005-0000-0000-0000E5140000}"/>
    <cellStyle name="Normal 6 13 2 2 2" xfId="10380" xr:uid="{1B9B4EFE-9206-49D9-9C94-45488D04B91C}"/>
    <cellStyle name="Normal 6 13 2 2 2 2" xfId="15770" xr:uid="{52E9F0EB-041C-43F2-8846-1B5C67F4DDC4}"/>
    <cellStyle name="Normal 6 13 2 2 3" xfId="13017" xr:uid="{C94CAFAE-4633-4621-AA6B-DB87B7112E18}"/>
    <cellStyle name="Normal 6 13 2 3" xfId="9049" xr:uid="{8AA883BB-3C08-4037-A9EB-70C5FBD9C424}"/>
    <cellStyle name="Normal 6 13 2 3 2" xfId="14408" xr:uid="{938DB3E2-2CBB-4A11-BE8E-54D858CA7A09}"/>
    <cellStyle name="Normal 6 13 2 4" xfId="11686" xr:uid="{F8BF5C32-DD16-4835-B7ED-6F92EE1FE985}"/>
    <cellStyle name="Normal 6 13 3" xfId="7088" xr:uid="{00000000-0005-0000-0000-0000E6140000}"/>
    <cellStyle name="Normal 6 13 3 2" xfId="9756" xr:uid="{4F3101EA-11CA-48F2-8322-B502B2FD5BB7}"/>
    <cellStyle name="Normal 6 13 3 2 2" xfId="15146" xr:uid="{C0EA7543-D3C0-4F22-A724-2244E2E94D24}"/>
    <cellStyle name="Normal 6 13 3 3" xfId="12393" xr:uid="{2CFEF9CB-2E1D-49E2-9DEA-A0343081771F}"/>
    <cellStyle name="Normal 6 13 4" xfId="8425" xr:uid="{D64B1160-A1DE-4310-A43D-638A71370F5B}"/>
    <cellStyle name="Normal 6 13 4 2" xfId="13784" xr:uid="{B59E88FA-0128-4E7A-8B47-CFCE720BA8AC}"/>
    <cellStyle name="Normal 6 13 5" xfId="11062" xr:uid="{C00FED63-705A-4117-96BB-10000DF386DA}"/>
    <cellStyle name="Normal 6 14" xfId="4104" xr:uid="{00000000-0005-0000-0000-0000E7140000}"/>
    <cellStyle name="Normal 6 14 2" xfId="7272" xr:uid="{00000000-0005-0000-0000-0000E8140000}"/>
    <cellStyle name="Normal 6 14 2 2" xfId="9940" xr:uid="{330B16BB-9FCC-4E87-8E6E-DD1BF38A4BBA}"/>
    <cellStyle name="Normal 6 14 2 2 2" xfId="15330" xr:uid="{0F01B3E2-762D-4D27-A406-D4A24F15E5EA}"/>
    <cellStyle name="Normal 6 14 2 3" xfId="12577" xr:uid="{965EBC15-238B-420E-9338-5DFD63B066C6}"/>
    <cellStyle name="Normal 6 14 3" xfId="8609" xr:uid="{02B57AE5-A79B-417F-B606-B5D5C6FA44DB}"/>
    <cellStyle name="Normal 6 14 3 2" xfId="13968" xr:uid="{0D2C262E-86BD-4528-8B0C-7579639844AD}"/>
    <cellStyle name="Normal 6 14 4" xfId="11246" xr:uid="{E86CA0CB-BA22-4A30-9B8C-60E0E0392812}"/>
    <cellStyle name="Normal 6 15" xfId="3385" xr:uid="{00000000-0005-0000-0000-0000E9140000}"/>
    <cellStyle name="Normal 6 15 2" xfId="6653" xr:uid="{00000000-0005-0000-0000-0000EA140000}"/>
    <cellStyle name="Normal 6 15 2 2" xfId="9329" xr:uid="{3439FF6D-DD5D-4BD5-B4C9-96DA3AAEA0AB}"/>
    <cellStyle name="Normal 6 15 2 2 2" xfId="14719" xr:uid="{2DA5F7F7-6FFC-4449-BADA-B987AD0CC9F7}"/>
    <cellStyle name="Normal 6 15 2 3" xfId="11966" xr:uid="{1962793E-3FCB-4CB3-ABE8-5F7FD1C72AD8}"/>
    <cellStyle name="Normal 6 15 3" xfId="7989" xr:uid="{3A0AD826-C3D0-4A0D-BCC7-9B4CAC1397E8}"/>
    <cellStyle name="Normal 6 15 3 2" xfId="13349" xr:uid="{F46EC1CD-F8A0-47F9-A7DF-9AEC58EB342A}"/>
    <cellStyle name="Normal 6 15 4" xfId="10635" xr:uid="{124055AB-6F48-476D-A370-8B3CE6222EED}"/>
    <cellStyle name="Normal 6 16" xfId="6226" xr:uid="{00000000-0005-0000-0000-0000EB140000}"/>
    <cellStyle name="Normal 6 16 2" xfId="9263" xr:uid="{9C324706-CFFB-4152-B65C-1CE3D2593148}"/>
    <cellStyle name="Normal 6 16 2 2" xfId="14645" xr:uid="{E79627B5-09F7-4211-80C0-D7D866B3774B}"/>
    <cellStyle name="Normal 6 16 3" xfId="11900" xr:uid="{DE77AF15-1A40-4B9E-B439-A7BD01561E34}"/>
    <cellStyle name="Normal 6 17" xfId="7905" xr:uid="{9036E396-A852-4DF9-9542-203335135779}"/>
    <cellStyle name="Normal 6 17 2" xfId="13222" xr:uid="{A40F8C2E-785F-415D-A24B-FC510F5F65EA}"/>
    <cellStyle name="Normal 6 18" xfId="10569" xr:uid="{9EC0C0CA-E8DD-45CF-9958-6F6C4DC3B985}"/>
    <cellStyle name="Normal 6 2" xfId="990" xr:uid="{00000000-0005-0000-0000-0000EC140000}"/>
    <cellStyle name="Normal 6 2 2" xfId="2620" xr:uid="{00000000-0005-0000-0000-0000ED140000}"/>
    <cellStyle name="Normal 6 2 2 2" xfId="3924" xr:uid="{00000000-0005-0000-0000-0000EE140000}"/>
    <cellStyle name="Normal 6 2 2 2 2" xfId="4550" xr:uid="{00000000-0005-0000-0000-0000EF140000}"/>
    <cellStyle name="Normal 6 2 2 2 2 2" xfId="7718" xr:uid="{00000000-0005-0000-0000-0000F0140000}"/>
    <cellStyle name="Normal 6 2 2 2 2 2 2" xfId="10386" xr:uid="{76986256-524B-4C45-A188-F38209464FB7}"/>
    <cellStyle name="Normal 6 2 2 2 2 2 2 2" xfId="15776" xr:uid="{CD9A8900-64CF-4725-A3DD-598BB39D43E8}"/>
    <cellStyle name="Normal 6 2 2 2 2 2 3" xfId="13023" xr:uid="{EF786443-BB89-4CE8-B631-0DAC25FD1840}"/>
    <cellStyle name="Normal 6 2 2 2 2 3" xfId="9055" xr:uid="{D1FD007F-D2B4-4D6E-8150-D25A6AB4FFB0}"/>
    <cellStyle name="Normal 6 2 2 2 2 3 2" xfId="14414" xr:uid="{0A060D0E-E18D-4CE0-8F8D-4150405DAB83}"/>
    <cellStyle name="Normal 6 2 2 2 2 4" xfId="11692" xr:uid="{4731B8A7-D7E9-4254-A36A-B2CADD93F098}"/>
    <cellStyle name="Normal 6 2 2 2 3" xfId="7094" xr:uid="{00000000-0005-0000-0000-0000F1140000}"/>
    <cellStyle name="Normal 6 2 2 2 3 2" xfId="9762" xr:uid="{40DF64A0-B169-401E-A9E3-42F111F2252C}"/>
    <cellStyle name="Normal 6 2 2 2 3 2 2" xfId="15152" xr:uid="{4B362F49-4B69-4954-85AB-85253EF16663}"/>
    <cellStyle name="Normal 6 2 2 2 3 3" xfId="12399" xr:uid="{A4D087AA-12D3-4FA6-A6D2-304E44011A67}"/>
    <cellStyle name="Normal 6 2 2 2 4" xfId="8431" xr:uid="{B4C682F3-2129-4B34-9FE0-469AF5B193E9}"/>
    <cellStyle name="Normal 6 2 2 2 4 2" xfId="13790" xr:uid="{4598053D-13A0-4839-AC37-9C3FCB80C6D7}"/>
    <cellStyle name="Normal 6 2 2 2 5" xfId="11068" xr:uid="{9DC7502E-F530-45C7-9363-1942234FDA8C}"/>
    <cellStyle name="Normal 6 2 2 3" xfId="3925" xr:uid="{00000000-0005-0000-0000-0000F2140000}"/>
    <cellStyle name="Normal 6 2 2 3 2" xfId="4551" xr:uid="{00000000-0005-0000-0000-0000F3140000}"/>
    <cellStyle name="Normal 6 2 2 3 2 2" xfId="7719" xr:uid="{00000000-0005-0000-0000-0000F4140000}"/>
    <cellStyle name="Normal 6 2 2 3 2 2 2" xfId="10387" xr:uid="{9C1C5533-719B-47D1-8969-0C43450DD730}"/>
    <cellStyle name="Normal 6 2 2 3 2 2 2 2" xfId="15777" xr:uid="{22BE557D-E4FB-4487-A733-040F6DF2C39F}"/>
    <cellStyle name="Normal 6 2 2 3 2 2 3" xfId="13024" xr:uid="{3B1A4F9B-40F2-4D37-ACE8-41309379D21B}"/>
    <cellStyle name="Normal 6 2 2 3 2 3" xfId="9056" xr:uid="{0A0872DE-DE35-45C3-989E-33EE7EA9C004}"/>
    <cellStyle name="Normal 6 2 2 3 2 3 2" xfId="14415" xr:uid="{6DFFC8DF-9DE6-4D2E-BEF0-7916930D99DA}"/>
    <cellStyle name="Normal 6 2 2 3 2 4" xfId="11693" xr:uid="{0A5B918A-1F26-4DD0-96CA-15223F04E7AB}"/>
    <cellStyle name="Normal 6 2 2 3 3" xfId="7095" xr:uid="{00000000-0005-0000-0000-0000F5140000}"/>
    <cellStyle name="Normal 6 2 2 3 3 2" xfId="9763" xr:uid="{B97314C6-32D2-434D-8A5B-17629E9CA77F}"/>
    <cellStyle name="Normal 6 2 2 3 3 2 2" xfId="15153" xr:uid="{810AAEC2-0C29-4ABF-B572-230650277605}"/>
    <cellStyle name="Normal 6 2 2 3 3 3" xfId="12400" xr:uid="{78C27B73-D310-43CC-B48F-6AC602E6A5A3}"/>
    <cellStyle name="Normal 6 2 2 3 4" xfId="8432" xr:uid="{782EBA6E-573F-4E57-BB8B-E635FF76892A}"/>
    <cellStyle name="Normal 6 2 2 3 4 2" xfId="13791" xr:uid="{9DD42463-FF3D-4E5E-BC02-2B6A819974D6}"/>
    <cellStyle name="Normal 6 2 2 3 5" xfId="11069" xr:uid="{8EA0278D-4F37-4D5F-B4C0-23FCC5E645BE}"/>
    <cellStyle name="Normal 6 2 2 4" xfId="3923" xr:uid="{00000000-0005-0000-0000-0000F6140000}"/>
    <cellStyle name="Normal 6 2 2 4 2" xfId="4549" xr:uid="{00000000-0005-0000-0000-0000F7140000}"/>
    <cellStyle name="Normal 6 2 2 4 2 2" xfId="7717" xr:uid="{00000000-0005-0000-0000-0000F8140000}"/>
    <cellStyle name="Normal 6 2 2 4 2 2 2" xfId="10385" xr:uid="{25CAB3BA-A540-470F-BACC-AF7DCC2C2C5D}"/>
    <cellStyle name="Normal 6 2 2 4 2 2 2 2" xfId="15775" xr:uid="{012D415C-3C14-4ABC-8B3F-C78E72131A6E}"/>
    <cellStyle name="Normal 6 2 2 4 2 2 3" xfId="13022" xr:uid="{0A3804F5-7647-4103-A13B-B1F97171CBAE}"/>
    <cellStyle name="Normal 6 2 2 4 2 3" xfId="9054" xr:uid="{E3DA7A5C-ABDA-4C26-9322-1B2ECA4AAA35}"/>
    <cellStyle name="Normal 6 2 2 4 2 3 2" xfId="14413" xr:uid="{8DBF5326-1044-475A-83F4-AE8550A50D94}"/>
    <cellStyle name="Normal 6 2 2 4 2 4" xfId="11691" xr:uid="{930BE20E-962B-4666-9528-EABFDF33CDA1}"/>
    <cellStyle name="Normal 6 2 2 4 3" xfId="7093" xr:uid="{00000000-0005-0000-0000-0000F9140000}"/>
    <cellStyle name="Normal 6 2 2 4 3 2" xfId="9761" xr:uid="{F5E334C2-37E8-4D38-A5DE-EA71E76B29A4}"/>
    <cellStyle name="Normal 6 2 2 4 3 2 2" xfId="15151" xr:uid="{F6812C9B-F384-4D09-B80C-3AC9A94F6331}"/>
    <cellStyle name="Normal 6 2 2 4 3 3" xfId="12398" xr:uid="{71F5B2A7-3BB1-4ECE-8385-3D3C1FCDB7F6}"/>
    <cellStyle name="Normal 6 2 2 4 4" xfId="8430" xr:uid="{63CB93BD-BFE4-402C-BE57-B6BD72651FB2}"/>
    <cellStyle name="Normal 6 2 2 4 4 2" xfId="13789" xr:uid="{B41CF818-69BE-4645-8A9B-B90166747641}"/>
    <cellStyle name="Normal 6 2 2 4 5" xfId="11067" xr:uid="{91EF9457-87CC-49B4-A60A-CDE6D820DD09}"/>
    <cellStyle name="Normal 6 2 2 5" xfId="4128" xr:uid="{00000000-0005-0000-0000-0000FA140000}"/>
    <cellStyle name="Normal 6 2 2 5 2" xfId="7296" xr:uid="{00000000-0005-0000-0000-0000FB140000}"/>
    <cellStyle name="Normal 6 2 2 5 2 2" xfId="9964" xr:uid="{A85683E5-9CCC-44D6-A96B-AD7E9748B29B}"/>
    <cellStyle name="Normal 6 2 2 5 2 2 2" xfId="15354" xr:uid="{3B085AC7-D861-4A34-8135-29A168AC9C8D}"/>
    <cellStyle name="Normal 6 2 2 5 2 3" xfId="12601" xr:uid="{F59003CE-D456-45EC-B0D1-9E8A9F5367DF}"/>
    <cellStyle name="Normal 6 2 2 5 3" xfId="8633" xr:uid="{307CFE2C-785B-4348-8889-4536BD13F360}"/>
    <cellStyle name="Normal 6 2 2 5 3 2" xfId="13992" xr:uid="{9560A526-2069-45B5-A3C6-3AFF5BC9C654}"/>
    <cellStyle name="Normal 6 2 2 5 4" xfId="11270" xr:uid="{AB18BE23-2A02-42EF-9A3D-1E0655349FE6}"/>
    <cellStyle name="Normal 6 2 2 6" xfId="3477" xr:uid="{00000000-0005-0000-0000-0000FC140000}"/>
    <cellStyle name="Normal 6 2 2 6 2" xfId="6685" xr:uid="{00000000-0005-0000-0000-0000FD140000}"/>
    <cellStyle name="Normal 6 2 2 6 2 2" xfId="9353" xr:uid="{71FB35F8-FF01-4A56-B5C1-A80A491287EF}"/>
    <cellStyle name="Normal 6 2 2 6 2 2 2" xfId="14743" xr:uid="{D9FA27BF-7893-4063-B81C-839136147926}"/>
    <cellStyle name="Normal 6 2 2 6 2 3" xfId="11990" xr:uid="{95460F05-2B5A-4CEB-B287-038839AD341F}"/>
    <cellStyle name="Normal 6 2 2 6 3" xfId="8017" xr:uid="{174A6912-B5E1-4F0D-9AE8-2077275794A4}"/>
    <cellStyle name="Normal 6 2 2 6 3 2" xfId="13376" xr:uid="{1BC3FBDD-6923-4D2E-B4DB-F4282093EBE2}"/>
    <cellStyle name="Normal 6 2 2 6 4" xfId="10659" xr:uid="{238B5399-CA7A-43D9-BD82-7F3E7B424FA8}"/>
    <cellStyle name="Normal 6 2 3" xfId="3329" xr:uid="{00000000-0005-0000-0000-0000FE140000}"/>
    <cellStyle name="Normal 6 2 3 2" xfId="3926" xr:uid="{00000000-0005-0000-0000-0000FF140000}"/>
    <cellStyle name="Normal 6 2 3 2 2" xfId="4552" xr:uid="{00000000-0005-0000-0000-000000150000}"/>
    <cellStyle name="Normal 6 2 3 2 2 2" xfId="7720" xr:uid="{00000000-0005-0000-0000-000001150000}"/>
    <cellStyle name="Normal 6 2 3 2 2 2 2" xfId="10388" xr:uid="{F2E835E6-1184-4DBB-A82D-7DCE7BBDDE38}"/>
    <cellStyle name="Normal 6 2 3 2 2 2 2 2" xfId="15778" xr:uid="{F17AB643-4A18-41EB-BD84-64E4D38903EC}"/>
    <cellStyle name="Normal 6 2 3 2 2 2 3" xfId="13025" xr:uid="{8177430B-852A-43CC-855A-42E74D81D162}"/>
    <cellStyle name="Normal 6 2 3 2 2 3" xfId="9057" xr:uid="{1AC505B4-D976-4F4D-902D-09CF6793C15E}"/>
    <cellStyle name="Normal 6 2 3 2 2 3 2" xfId="14416" xr:uid="{C6C42702-4E94-456B-B410-0364070F871F}"/>
    <cellStyle name="Normal 6 2 3 2 2 4" xfId="11694" xr:uid="{046AEE6F-E537-4BBA-9262-A06EA67E7B0D}"/>
    <cellStyle name="Normal 6 2 3 2 3" xfId="7096" xr:uid="{00000000-0005-0000-0000-000002150000}"/>
    <cellStyle name="Normal 6 2 3 2 3 2" xfId="9764" xr:uid="{B3D6CF9F-86E9-46E5-81FC-B9769CE74FFE}"/>
    <cellStyle name="Normal 6 2 3 2 3 2 2" xfId="15154" xr:uid="{EDD0B8A8-39E8-4520-A436-A2082064904E}"/>
    <cellStyle name="Normal 6 2 3 2 3 3" xfId="12401" xr:uid="{0AAEA634-5AB5-4D7C-B33A-ED6EA5B0DDD3}"/>
    <cellStyle name="Normal 6 2 3 2 4" xfId="8433" xr:uid="{CF4B5411-7761-4437-9C72-78C2EEF343F2}"/>
    <cellStyle name="Normal 6 2 3 2 4 2" xfId="13792" xr:uid="{E193627F-48E6-4122-8653-F29DEC98050B}"/>
    <cellStyle name="Normal 6 2 3 2 5" xfId="11070" xr:uid="{D81A4FF2-C5EF-4AF3-9FA3-53F6DCF3DD2A}"/>
    <cellStyle name="Normal 6 2 3 3" xfId="4144" xr:uid="{00000000-0005-0000-0000-000003150000}"/>
    <cellStyle name="Normal 6 2 3 3 2" xfId="7312" xr:uid="{00000000-0005-0000-0000-000004150000}"/>
    <cellStyle name="Normal 6 2 3 3 2 2" xfId="9980" xr:uid="{232428B6-1D26-4C60-9997-DE672B8FE3CC}"/>
    <cellStyle name="Normal 6 2 3 3 2 2 2" xfId="15370" xr:uid="{4862B7AD-20B4-462D-9AD7-F2A748AFE30E}"/>
    <cellStyle name="Normal 6 2 3 3 2 3" xfId="12617" xr:uid="{6C661173-971A-4B2A-AEE1-F4C9BCBA7C0F}"/>
    <cellStyle name="Normal 6 2 3 3 3" xfId="8649" xr:uid="{E0DB506B-ABCC-4946-83FF-43164AF64637}"/>
    <cellStyle name="Normal 6 2 3 3 3 2" xfId="14008" xr:uid="{14A698A6-D3BD-43F0-BEAE-7BC051650225}"/>
    <cellStyle name="Normal 6 2 3 3 4" xfId="11286" xr:uid="{AA79E7BF-23FA-4501-93DD-EF49A828BE85}"/>
    <cellStyle name="Normal 6 2 3 4" xfId="3493" xr:uid="{00000000-0005-0000-0000-000005150000}"/>
    <cellStyle name="Normal 6 2 3 4 2" xfId="6701" xr:uid="{00000000-0005-0000-0000-000006150000}"/>
    <cellStyle name="Normal 6 2 3 4 2 2" xfId="9369" xr:uid="{A6DA0EE7-A309-4864-9AE6-D6591AF63469}"/>
    <cellStyle name="Normal 6 2 3 4 2 2 2" xfId="14759" xr:uid="{1BEAAFC0-8DEC-4511-B97F-2D9443E94E79}"/>
    <cellStyle name="Normal 6 2 3 4 2 3" xfId="12006" xr:uid="{91EF22B4-24C4-4883-AC8C-D1D847E0605E}"/>
    <cellStyle name="Normal 6 2 3 4 3" xfId="8033" xr:uid="{4D6CE7BF-0E30-4414-B41B-C3153459091F}"/>
    <cellStyle name="Normal 6 2 3 4 3 2" xfId="13392" xr:uid="{E2650977-93A0-41D0-BD69-03FFE2027695}"/>
    <cellStyle name="Normal 6 2 3 4 4" xfId="10675" xr:uid="{5905757B-6A93-4E9D-AC15-F80B9CC12118}"/>
    <cellStyle name="Normal 6 2 3 5" xfId="6633" xr:uid="{00000000-0005-0000-0000-000007150000}"/>
    <cellStyle name="Normal 6 2 3 5 2" xfId="9310" xr:uid="{07E8BE3C-F36F-41F6-914D-4FECFD5AC957}"/>
    <cellStyle name="Normal 6 2 3 5 2 2" xfId="14700" xr:uid="{2E8BB9DF-5907-4D9D-B375-9E575FE4BE72}"/>
    <cellStyle name="Normal 6 2 3 5 3" xfId="11947" xr:uid="{A2757707-E758-4588-8618-CD6402DEAB7D}"/>
    <cellStyle name="Normal 6 2 3 6" xfId="7970" xr:uid="{8EB0438A-1EAB-47A3-AA3D-C22AF2980126}"/>
    <cellStyle name="Normal 6 2 3 6 2" xfId="13330" xr:uid="{5325C3D6-D5E4-4B12-B859-0C9EADD0965F}"/>
    <cellStyle name="Normal 6 2 3 7" xfId="10616" xr:uid="{93E84162-41A9-4A09-B0E8-FC7BD7197C70}"/>
    <cellStyle name="Normal 6 2 4" xfId="3927" xr:uid="{00000000-0005-0000-0000-000008150000}"/>
    <cellStyle name="Normal 6 2 4 2" xfId="4553" xr:uid="{00000000-0005-0000-0000-000009150000}"/>
    <cellStyle name="Normal 6 2 4 2 2" xfId="7721" xr:uid="{00000000-0005-0000-0000-00000A150000}"/>
    <cellStyle name="Normal 6 2 4 2 2 2" xfId="10389" xr:uid="{6B3F5115-964B-4323-9456-C5894917C4DC}"/>
    <cellStyle name="Normal 6 2 4 2 2 2 2" xfId="15779" xr:uid="{39158571-D79A-4092-A8CA-3330A504D2C5}"/>
    <cellStyle name="Normal 6 2 4 2 2 3" xfId="13026" xr:uid="{E7938596-3208-46C2-8341-70703F3EA04B}"/>
    <cellStyle name="Normal 6 2 4 2 3" xfId="9058" xr:uid="{D384805C-4B97-42EB-BDB4-A4722D655951}"/>
    <cellStyle name="Normal 6 2 4 2 3 2" xfId="14417" xr:uid="{6BF8A560-7456-467A-891E-542B4F1658FE}"/>
    <cellStyle name="Normal 6 2 4 2 4" xfId="11695" xr:uid="{EEEB3AED-932D-4A1C-AFF1-5407FBF217F8}"/>
    <cellStyle name="Normal 6 2 4 3" xfId="7097" xr:uid="{00000000-0005-0000-0000-00000B150000}"/>
    <cellStyle name="Normal 6 2 4 3 2" xfId="9765" xr:uid="{5A705D10-6053-4BBA-AA11-380200A6016A}"/>
    <cellStyle name="Normal 6 2 4 3 2 2" xfId="15155" xr:uid="{C266A52A-62CC-46A4-9DCB-8B3264BE0DF5}"/>
    <cellStyle name="Normal 6 2 4 3 3" xfId="12402" xr:uid="{293EF754-02C3-4069-AEAF-EF6918D224CB}"/>
    <cellStyle name="Normal 6 2 4 4" xfId="8434" xr:uid="{C330A81C-87CB-4EDE-849F-037221B9171F}"/>
    <cellStyle name="Normal 6 2 4 4 2" xfId="13793" xr:uid="{D7314834-770D-4259-9C2E-B692B1D53064}"/>
    <cellStyle name="Normal 6 2 4 5" xfId="11071" xr:uid="{5D422E75-4634-48DF-AC0A-88F569C0FC6D}"/>
    <cellStyle name="Normal 6 2 5" xfId="3928" xr:uid="{00000000-0005-0000-0000-00000C150000}"/>
    <cellStyle name="Normal 6 2 5 2" xfId="4554" xr:uid="{00000000-0005-0000-0000-00000D150000}"/>
    <cellStyle name="Normal 6 2 5 2 2" xfId="7722" xr:uid="{00000000-0005-0000-0000-00000E150000}"/>
    <cellStyle name="Normal 6 2 5 2 2 2" xfId="10390" xr:uid="{690DA881-3407-46E6-8221-A118EAA662E7}"/>
    <cellStyle name="Normal 6 2 5 2 2 2 2" xfId="15780" xr:uid="{BC4FD3A9-EFE7-49EA-9A49-2EBEAAA85494}"/>
    <cellStyle name="Normal 6 2 5 2 2 3" xfId="13027" xr:uid="{3F711ED8-3958-4C80-BFB0-58025A1B34FE}"/>
    <cellStyle name="Normal 6 2 5 2 3" xfId="9059" xr:uid="{0DBB10A4-8C83-4832-9C22-99210A43B98C}"/>
    <cellStyle name="Normal 6 2 5 2 3 2" xfId="14418" xr:uid="{9184C3B7-F18C-49E2-BC42-F71445533689}"/>
    <cellStyle name="Normal 6 2 5 2 4" xfId="11696" xr:uid="{A9379557-4391-4B04-9E70-3B67539C0DD9}"/>
    <cellStyle name="Normal 6 2 5 3" xfId="7098" xr:uid="{00000000-0005-0000-0000-00000F150000}"/>
    <cellStyle name="Normal 6 2 5 3 2" xfId="9766" xr:uid="{6BC54BF5-3C1F-42DE-9C35-B53612CF2D66}"/>
    <cellStyle name="Normal 6 2 5 3 2 2" xfId="15156" xr:uid="{DC695283-AD58-45BA-8797-614EE8081848}"/>
    <cellStyle name="Normal 6 2 5 3 3" xfId="12403" xr:uid="{8BBCF6C6-43DE-4291-94C9-6AD42BB60D6E}"/>
    <cellStyle name="Normal 6 2 5 4" xfId="8435" xr:uid="{C05B0415-9998-4F8D-9273-B619292F263B}"/>
    <cellStyle name="Normal 6 2 5 4 2" xfId="13794" xr:uid="{1D00307B-C1E0-4B92-B6F0-BD38BF8E8EE4}"/>
    <cellStyle name="Normal 6 2 5 5" xfId="11072" xr:uid="{BC0558A2-AF47-4523-9EC9-457372A82770}"/>
    <cellStyle name="Normal 6 2 6" xfId="3929" xr:uid="{00000000-0005-0000-0000-000010150000}"/>
    <cellStyle name="Normal 6 2 6 2" xfId="4555" xr:uid="{00000000-0005-0000-0000-000011150000}"/>
    <cellStyle name="Normal 6 2 6 2 2" xfId="7723" xr:uid="{00000000-0005-0000-0000-000012150000}"/>
    <cellStyle name="Normal 6 2 6 2 2 2" xfId="10391" xr:uid="{3CE720B8-83FE-4077-8A9F-5B4FC3911DFD}"/>
    <cellStyle name="Normal 6 2 6 2 2 2 2" xfId="15781" xr:uid="{181E9D3A-E60C-41BC-A5EA-A2D3FD8FA85D}"/>
    <cellStyle name="Normal 6 2 6 2 2 3" xfId="13028" xr:uid="{606B47CF-B67B-4AFB-BABA-5970806B330D}"/>
    <cellStyle name="Normal 6 2 6 2 3" xfId="9060" xr:uid="{0A813588-45C7-4A52-9806-5FFD6B4F458C}"/>
    <cellStyle name="Normal 6 2 6 2 3 2" xfId="14419" xr:uid="{B79254CB-8EF5-486D-B2E0-AB79919852B8}"/>
    <cellStyle name="Normal 6 2 6 2 4" xfId="11697" xr:uid="{14345A18-6322-4B3C-A04B-16D06A62735B}"/>
    <cellStyle name="Normal 6 2 6 3" xfId="7099" xr:uid="{00000000-0005-0000-0000-000013150000}"/>
    <cellStyle name="Normal 6 2 6 3 2" xfId="9767" xr:uid="{2D23081B-3E1A-4CCB-9703-D3E3AA10DDD9}"/>
    <cellStyle name="Normal 6 2 6 3 2 2" xfId="15157" xr:uid="{3CF5D36E-E0F4-43F2-B5F0-D837EC54925C}"/>
    <cellStyle name="Normal 6 2 6 3 3" xfId="12404" xr:uid="{00BC0AE6-F916-4A46-B9CF-2089CFB21018}"/>
    <cellStyle name="Normal 6 2 6 4" xfId="8436" xr:uid="{8707505F-346E-4CF3-B1FC-A8A0029BC02D}"/>
    <cellStyle name="Normal 6 2 6 4 2" xfId="13795" xr:uid="{57EB0674-B213-4F2D-91CA-7F98B3D62337}"/>
    <cellStyle name="Normal 6 2 6 5" xfId="11073" xr:uid="{4C79DEF8-C0F7-4AD6-A0D7-75C0366D18F2}"/>
    <cellStyle name="Normal 6 2 7" xfId="3922" xr:uid="{00000000-0005-0000-0000-000014150000}"/>
    <cellStyle name="Normal 6 2 7 2" xfId="4548" xr:uid="{00000000-0005-0000-0000-000015150000}"/>
    <cellStyle name="Normal 6 2 7 2 2" xfId="7716" xr:uid="{00000000-0005-0000-0000-000016150000}"/>
    <cellStyle name="Normal 6 2 7 2 2 2" xfId="10384" xr:uid="{0F4D7152-65D7-4E56-A98D-6A8B02BB47A6}"/>
    <cellStyle name="Normal 6 2 7 2 2 2 2" xfId="15774" xr:uid="{2568CF53-9AE9-4D57-85BD-9F18619B90DE}"/>
    <cellStyle name="Normal 6 2 7 2 2 3" xfId="13021" xr:uid="{520952EB-E002-4211-977E-6404109A0D0C}"/>
    <cellStyle name="Normal 6 2 7 2 3" xfId="9053" xr:uid="{DF34C955-195E-401A-A974-D527D589AFF8}"/>
    <cellStyle name="Normal 6 2 7 2 3 2" xfId="14412" xr:uid="{3157BD34-4E05-4C47-A6C8-606AC808C279}"/>
    <cellStyle name="Normal 6 2 7 2 4" xfId="11690" xr:uid="{0E8D5F2A-EB51-40CB-9D04-642DB1990DFB}"/>
    <cellStyle name="Normal 6 2 7 3" xfId="7092" xr:uid="{00000000-0005-0000-0000-000017150000}"/>
    <cellStyle name="Normal 6 2 7 3 2" xfId="9760" xr:uid="{8ABE040D-098B-4F57-B903-D7A34317DB91}"/>
    <cellStyle name="Normal 6 2 7 3 2 2" xfId="15150" xr:uid="{06EC63C5-0DAD-43F3-A3C9-4A33A2D3BEEF}"/>
    <cellStyle name="Normal 6 2 7 3 3" xfId="12397" xr:uid="{F35FF6C3-F1F6-4FFC-8868-DDFB7865950B}"/>
    <cellStyle name="Normal 6 2 7 4" xfId="8429" xr:uid="{9F6685D6-F297-4426-9546-28E21C861E30}"/>
    <cellStyle name="Normal 6 2 7 4 2" xfId="13788" xr:uid="{472BD073-19AA-4675-8DA9-9E283D446AAD}"/>
    <cellStyle name="Normal 6 2 7 5" xfId="11066" xr:uid="{93FF0C7F-3E82-41BE-ACDE-8B420973C28C}"/>
    <cellStyle name="Normal 6 2 8" xfId="4112" xr:uid="{00000000-0005-0000-0000-000018150000}"/>
    <cellStyle name="Normal 6 2 8 2" xfId="7280" xr:uid="{00000000-0005-0000-0000-000019150000}"/>
    <cellStyle name="Normal 6 2 8 2 2" xfId="9948" xr:uid="{AB786B67-D9F0-436F-8F96-97D3B6F19EB0}"/>
    <cellStyle name="Normal 6 2 8 2 2 2" xfId="15338" xr:uid="{C0E5BE60-079A-497C-AE68-53CD307E105E}"/>
    <cellStyle name="Normal 6 2 8 2 3" xfId="12585" xr:uid="{12F3DF16-8ACB-4BAC-81F2-D779DB79CE1C}"/>
    <cellStyle name="Normal 6 2 8 3" xfId="8617" xr:uid="{8C4CDF7C-2244-4D1E-AEC8-BF86983FE0DB}"/>
    <cellStyle name="Normal 6 2 8 3 2" xfId="13976" xr:uid="{8DB0CB71-9370-4101-9B40-DB380C4C3662}"/>
    <cellStyle name="Normal 6 2 8 4" xfId="11254" xr:uid="{4DBF577B-8CC5-4033-B332-BE074732BB85}"/>
    <cellStyle name="Normal 6 2 9" xfId="3461" xr:uid="{00000000-0005-0000-0000-00001A150000}"/>
    <cellStyle name="Normal 6 2 9 2" xfId="6669" xr:uid="{00000000-0005-0000-0000-00001B150000}"/>
    <cellStyle name="Normal 6 2 9 2 2" xfId="9337" xr:uid="{1DCEFB49-CBAE-4DB9-B4C1-E3375A347BC6}"/>
    <cellStyle name="Normal 6 2 9 2 2 2" xfId="14727" xr:uid="{8CC198C7-6D00-4CE5-A8EF-7F743C288D9B}"/>
    <cellStyle name="Normal 6 2 9 2 3" xfId="11974" xr:uid="{A26BD8E8-489B-4F83-AFC9-CFCD09464EC8}"/>
    <cellStyle name="Normal 6 2 9 3" xfId="8001" xr:uid="{88016E53-00DD-49FA-8CB6-C1542EFFBDA4}"/>
    <cellStyle name="Normal 6 2 9 3 2" xfId="13360" xr:uid="{6E8E9C02-58F0-4B0A-8CDE-49F21001BA9E}"/>
    <cellStyle name="Normal 6 2 9 4" xfId="10643" xr:uid="{48051E38-4C75-4A0F-996F-CF500BE362E4}"/>
    <cellStyle name="Normal 6 3" xfId="2619" xr:uid="{00000000-0005-0000-0000-00001C150000}"/>
    <cellStyle name="Normal 6 3 10" xfId="5673" xr:uid="{00000000-0005-0000-0000-00001D150000}"/>
    <cellStyle name="Normal 6 3 10 2" xfId="9253" xr:uid="{91CDFAF8-AF0B-4651-AAC6-06097846B39A}"/>
    <cellStyle name="Normal 6 3 10 2 2" xfId="14626" xr:uid="{E38B75B4-D2C6-41B0-A4B5-39704288FA2E}"/>
    <cellStyle name="Normal 6 3 10 3" xfId="11890" xr:uid="{2F73B3A2-A719-4D4D-A7FA-5EE78A911104}"/>
    <cellStyle name="Normal 6 3 11" xfId="6595" xr:uid="{00000000-0005-0000-0000-00001E150000}"/>
    <cellStyle name="Normal 6 3 11 2" xfId="9273" xr:uid="{C2F5D6B1-3B68-4FC0-A2EF-3F3989F1180F}"/>
    <cellStyle name="Normal 6 3 11 2 2" xfId="14662" xr:uid="{14650EEB-F8D0-41FE-9FC7-24B61C9F4D02}"/>
    <cellStyle name="Normal 6 3 11 3" xfId="11910" xr:uid="{91663FE3-4920-42FB-9562-6D5A7B36B583}"/>
    <cellStyle name="Normal 6 3 12" xfId="7928" xr:uid="{C3AB968A-9E87-4EC8-A456-7A28FB316670}"/>
    <cellStyle name="Normal 6 3 12 2" xfId="13275" xr:uid="{2904F661-B1C9-4AA1-BEEC-E065927D2A00}"/>
    <cellStyle name="Normal 6 3 13" xfId="10579" xr:uid="{34C5A7C1-117E-4441-863F-E01492EACB75}"/>
    <cellStyle name="Normal 6 3 2" xfId="3307" xr:uid="{00000000-0005-0000-0000-00001F150000}"/>
    <cellStyle name="Normal 6 3 2 2" xfId="3932" xr:uid="{00000000-0005-0000-0000-000020150000}"/>
    <cellStyle name="Normal 6 3 2 2 2" xfId="4558" xr:uid="{00000000-0005-0000-0000-000021150000}"/>
    <cellStyle name="Normal 6 3 2 2 2 2" xfId="7726" xr:uid="{00000000-0005-0000-0000-000022150000}"/>
    <cellStyle name="Normal 6 3 2 2 2 2 2" xfId="10394" xr:uid="{C27372C5-32F7-4AAE-A6D1-B61D5D1D7506}"/>
    <cellStyle name="Normal 6 3 2 2 2 2 2 2" xfId="15784" xr:uid="{7A2BC9D1-93CD-4D7D-B1A0-C1588E47EA9A}"/>
    <cellStyle name="Normal 6 3 2 2 2 2 3" xfId="13031" xr:uid="{D631A3AE-06F9-4E08-8D1D-EEAC3221D9B8}"/>
    <cellStyle name="Normal 6 3 2 2 2 3" xfId="9063" xr:uid="{70903F34-A6B6-47DD-BF0C-AECA58351AE5}"/>
    <cellStyle name="Normal 6 3 2 2 2 3 2" xfId="14422" xr:uid="{3C023515-C49C-4858-975C-3D9F03EF6F7A}"/>
    <cellStyle name="Normal 6 3 2 2 2 4" xfId="11700" xr:uid="{A7ECFE4D-6960-4679-AB18-4F990472611A}"/>
    <cellStyle name="Normal 6 3 2 2 3" xfId="7102" xr:uid="{00000000-0005-0000-0000-000023150000}"/>
    <cellStyle name="Normal 6 3 2 2 3 2" xfId="9770" xr:uid="{5B490565-8423-4327-9CB8-37D02E9CA010}"/>
    <cellStyle name="Normal 6 3 2 2 3 2 2" xfId="15160" xr:uid="{BEBF5377-8BBB-40C7-989E-19497A9BC68C}"/>
    <cellStyle name="Normal 6 3 2 2 3 3" xfId="12407" xr:uid="{F8431418-7AE2-4CA9-8513-FE81E8A21AF1}"/>
    <cellStyle name="Normal 6 3 2 2 4" xfId="8439" xr:uid="{2E31DAAE-9C20-4D1D-B95E-A86095218C7B}"/>
    <cellStyle name="Normal 6 3 2 2 4 2" xfId="13798" xr:uid="{86D4FAE9-83D9-43C5-AC8F-F00BD7DA6608}"/>
    <cellStyle name="Normal 6 3 2 2 5" xfId="11076" xr:uid="{6072A949-75E4-471A-8CE1-0A711A35AECB}"/>
    <cellStyle name="Normal 6 3 2 3" xfId="3933" xr:uid="{00000000-0005-0000-0000-000024150000}"/>
    <cellStyle name="Normal 6 3 2 3 2" xfId="4559" xr:uid="{00000000-0005-0000-0000-000025150000}"/>
    <cellStyle name="Normal 6 3 2 3 2 2" xfId="7727" xr:uid="{00000000-0005-0000-0000-000026150000}"/>
    <cellStyle name="Normal 6 3 2 3 2 2 2" xfId="10395" xr:uid="{A3FA5398-AAB4-43BA-AD73-D0E672B8589D}"/>
    <cellStyle name="Normal 6 3 2 3 2 2 2 2" xfId="15785" xr:uid="{51F54596-2EC0-4521-A6A0-ACE4C1D1BDD8}"/>
    <cellStyle name="Normal 6 3 2 3 2 2 3" xfId="13032" xr:uid="{C180FB62-BFBA-441E-B03B-C5BC54527A7D}"/>
    <cellStyle name="Normal 6 3 2 3 2 3" xfId="9064" xr:uid="{05F78C77-FDC7-488A-A45A-8515C910EF77}"/>
    <cellStyle name="Normal 6 3 2 3 2 3 2" xfId="14423" xr:uid="{40D2D4B6-04CE-40B7-8DED-3673C4BB8A0B}"/>
    <cellStyle name="Normal 6 3 2 3 2 4" xfId="11701" xr:uid="{2A681CBE-736D-4BA2-806A-EBC685A3A801}"/>
    <cellStyle name="Normal 6 3 2 3 3" xfId="7103" xr:uid="{00000000-0005-0000-0000-000027150000}"/>
    <cellStyle name="Normal 6 3 2 3 3 2" xfId="9771" xr:uid="{AFFF6D67-CE3F-48F1-AB93-2A4D26151B44}"/>
    <cellStyle name="Normal 6 3 2 3 3 2 2" xfId="15161" xr:uid="{AAFDEB39-39A6-4765-9677-E79375CEDCB6}"/>
    <cellStyle name="Normal 6 3 2 3 3 3" xfId="12408" xr:uid="{DE4D05C7-6A6E-4ECB-A120-AFB03DD59260}"/>
    <cellStyle name="Normal 6 3 2 3 4" xfId="8440" xr:uid="{7FAD952B-0DD1-431C-8D92-2447212A13F6}"/>
    <cellStyle name="Normal 6 3 2 3 4 2" xfId="13799" xr:uid="{B5A4BCFE-0B0E-40F8-B685-276CAD4FBE41}"/>
    <cellStyle name="Normal 6 3 2 3 5" xfId="11077" xr:uid="{A37B94EF-45E5-45E1-9CDF-BF3EEB3D7A60}"/>
    <cellStyle name="Normal 6 3 2 4" xfId="4557" xr:uid="{00000000-0005-0000-0000-000028150000}"/>
    <cellStyle name="Normal 6 3 2 4 2" xfId="7725" xr:uid="{00000000-0005-0000-0000-000029150000}"/>
    <cellStyle name="Normal 6 3 2 4 2 2" xfId="10393" xr:uid="{F14517B3-1F6D-4D23-833C-C3D9B84DBB85}"/>
    <cellStyle name="Normal 6 3 2 4 2 2 2" xfId="15783" xr:uid="{70EDA53C-D2B4-46C4-9FB6-509358CDDBE6}"/>
    <cellStyle name="Normal 6 3 2 4 2 3" xfId="13030" xr:uid="{A4B0CBA2-FDD3-4A0D-A414-25B2662D4C36}"/>
    <cellStyle name="Normal 6 3 2 4 3" xfId="9062" xr:uid="{9F409D6B-A58D-4ABB-8C84-FB8D3108A5E3}"/>
    <cellStyle name="Normal 6 3 2 4 3 2" xfId="14421" xr:uid="{537B6139-1A45-4E70-AA1D-D959C7891AB4}"/>
    <cellStyle name="Normal 6 3 2 4 4" xfId="11699" xr:uid="{FDB7DFE2-7F2B-430F-97DD-142551B2FCC8}"/>
    <cellStyle name="Normal 6 3 2 5" xfId="3931" xr:uid="{00000000-0005-0000-0000-00002A150000}"/>
    <cellStyle name="Normal 6 3 2 5 2" xfId="7101" xr:uid="{00000000-0005-0000-0000-00002B150000}"/>
    <cellStyle name="Normal 6 3 2 5 2 2" xfId="9769" xr:uid="{5A8651AC-AF90-47CF-9488-38BA2F63D705}"/>
    <cellStyle name="Normal 6 3 2 5 2 2 2" xfId="15159" xr:uid="{3118B6C9-CF85-4B06-BA1F-87D0D868AA5C}"/>
    <cellStyle name="Normal 6 3 2 5 2 3" xfId="12406" xr:uid="{B2B9FB20-6F33-42AE-B21A-4C2EEDDADE13}"/>
    <cellStyle name="Normal 6 3 2 5 3" xfId="8438" xr:uid="{201B0FFB-DC3E-4DB5-A287-F5D6AB0363E4}"/>
    <cellStyle name="Normal 6 3 2 5 3 2" xfId="13797" xr:uid="{5157CBDF-C76F-4013-96B4-277304D2BEF6}"/>
    <cellStyle name="Normal 6 3 2 5 4" xfId="11075" xr:uid="{86E386BE-07FB-4DFC-A223-B9180C9105E2}"/>
    <cellStyle name="Normal 6 3 2 6" xfId="6616" xr:uid="{00000000-0005-0000-0000-00002C150000}"/>
    <cellStyle name="Normal 6 3 2 6 2" xfId="9293" xr:uid="{073FAADA-22D0-4098-921F-A5FDE553320A}"/>
    <cellStyle name="Normal 6 3 2 6 2 2" xfId="14683" xr:uid="{B5422575-AC15-465E-BC10-851558BCA750}"/>
    <cellStyle name="Normal 6 3 2 6 3" xfId="11930" xr:uid="{542873CA-D076-473E-86A3-79ECC664AA09}"/>
    <cellStyle name="Normal 6 3 2 7" xfId="7953" xr:uid="{8F0A0671-4E03-4DD0-B726-B676F103CE11}"/>
    <cellStyle name="Normal 6 3 2 7 2" xfId="13313" xr:uid="{0BA1C19E-4ED2-4F0E-A995-81DADED14294}"/>
    <cellStyle name="Normal 6 3 2 8" xfId="10599" xr:uid="{F5494BB4-322D-4834-8947-54B78CF03302}"/>
    <cellStyle name="Normal 6 3 3" xfId="3934" xr:uid="{00000000-0005-0000-0000-00002D150000}"/>
    <cellStyle name="Normal 6 3 3 2" xfId="4560" xr:uid="{00000000-0005-0000-0000-00002E150000}"/>
    <cellStyle name="Normal 6 3 3 2 2" xfId="7728" xr:uid="{00000000-0005-0000-0000-00002F150000}"/>
    <cellStyle name="Normal 6 3 3 2 2 2" xfId="10396" xr:uid="{0CE27487-171C-44B6-A68F-7CBE85B7A4DE}"/>
    <cellStyle name="Normal 6 3 3 2 2 2 2" xfId="15786" xr:uid="{DBE0943F-C5AC-4EB6-A8F8-ACEAB75733BC}"/>
    <cellStyle name="Normal 6 3 3 2 2 3" xfId="13033" xr:uid="{91D53735-8465-4D32-937D-6C19CCFB865A}"/>
    <cellStyle name="Normal 6 3 3 2 3" xfId="9065" xr:uid="{22CBCEAB-D170-47F9-9A77-D18894C23D1C}"/>
    <cellStyle name="Normal 6 3 3 2 3 2" xfId="14424" xr:uid="{D32870F3-21F3-40D8-A10B-25F5BC6FF679}"/>
    <cellStyle name="Normal 6 3 3 2 4" xfId="11702" xr:uid="{1D9F8257-E20F-43DA-B0F8-3C203D83D310}"/>
    <cellStyle name="Normal 6 3 3 3" xfId="7104" xr:uid="{00000000-0005-0000-0000-000030150000}"/>
    <cellStyle name="Normal 6 3 3 3 2" xfId="9772" xr:uid="{C6D01F30-1365-44E8-A1D6-EEFDC15026DF}"/>
    <cellStyle name="Normal 6 3 3 3 2 2" xfId="15162" xr:uid="{5089E2A3-74C6-4129-A276-5B5138BB0FF5}"/>
    <cellStyle name="Normal 6 3 3 3 3" xfId="12409" xr:uid="{BDB5D233-5F23-4B68-B277-E71F5BFE3B20}"/>
    <cellStyle name="Normal 6 3 3 4" xfId="8441" xr:uid="{44894466-5133-4D23-941C-CEDEC17DBD86}"/>
    <cellStyle name="Normal 6 3 3 4 2" xfId="13800" xr:uid="{3179EBB9-B1B9-4D2E-A77D-20DE720C5CD3}"/>
    <cellStyle name="Normal 6 3 3 5" xfId="11078" xr:uid="{EB34369F-F7F6-452E-8029-39383BA6EDAB}"/>
    <cellStyle name="Normal 6 3 4" xfId="3935" xr:uid="{00000000-0005-0000-0000-000031150000}"/>
    <cellStyle name="Normal 6 3 4 2" xfId="4561" xr:uid="{00000000-0005-0000-0000-000032150000}"/>
    <cellStyle name="Normal 6 3 4 2 2" xfId="7729" xr:uid="{00000000-0005-0000-0000-000033150000}"/>
    <cellStyle name="Normal 6 3 4 2 2 2" xfId="10397" xr:uid="{26EECB0A-E480-4ECE-A2B5-06A377989BB8}"/>
    <cellStyle name="Normal 6 3 4 2 2 2 2" xfId="15787" xr:uid="{5FAA7F27-F4C1-40C0-874B-1C91E1B690B9}"/>
    <cellStyle name="Normal 6 3 4 2 2 3" xfId="13034" xr:uid="{8F681FEE-9AFF-4F9F-AF30-31291058F538}"/>
    <cellStyle name="Normal 6 3 4 2 3" xfId="9066" xr:uid="{CCEE77F6-98BB-4AA4-918C-DC3E9210B045}"/>
    <cellStyle name="Normal 6 3 4 2 3 2" xfId="14425" xr:uid="{3C714A5C-A026-4E21-8543-3D78FEB1A3E4}"/>
    <cellStyle name="Normal 6 3 4 2 4" xfId="11703" xr:uid="{FF84C9D3-ACCF-4C31-851D-1A14145EEE49}"/>
    <cellStyle name="Normal 6 3 4 3" xfId="7105" xr:uid="{00000000-0005-0000-0000-000034150000}"/>
    <cellStyle name="Normal 6 3 4 3 2" xfId="9773" xr:uid="{FBC614DD-15FE-496C-AC1B-E0AE8EC0FAB0}"/>
    <cellStyle name="Normal 6 3 4 3 2 2" xfId="15163" xr:uid="{5D94D127-F341-4C1C-B2C2-16EF04837342}"/>
    <cellStyle name="Normal 6 3 4 3 3" xfId="12410" xr:uid="{5B7518F9-E746-4785-8CCD-8ACEA13E3744}"/>
    <cellStyle name="Normal 6 3 4 4" xfId="8442" xr:uid="{18B3066B-3F7A-47C8-896D-EA170AA2533E}"/>
    <cellStyle name="Normal 6 3 4 4 2" xfId="13801" xr:uid="{04F0707C-76BA-4745-8B24-847EE0ADA063}"/>
    <cellStyle name="Normal 6 3 4 5" xfId="11079" xr:uid="{A5B27932-F3FF-4BD0-A5A1-27CC58077A23}"/>
    <cellStyle name="Normal 6 3 5" xfId="3936" xr:uid="{00000000-0005-0000-0000-000035150000}"/>
    <cellStyle name="Normal 6 3 5 2" xfId="4562" xr:uid="{00000000-0005-0000-0000-000036150000}"/>
    <cellStyle name="Normal 6 3 5 2 2" xfId="7730" xr:uid="{00000000-0005-0000-0000-000037150000}"/>
    <cellStyle name="Normal 6 3 5 2 2 2" xfId="10398" xr:uid="{1319D370-A937-46EC-8EC6-526E5295411A}"/>
    <cellStyle name="Normal 6 3 5 2 2 2 2" xfId="15788" xr:uid="{B90DB59B-919A-43AB-B017-32A2CFA67073}"/>
    <cellStyle name="Normal 6 3 5 2 2 3" xfId="13035" xr:uid="{D9139FE3-CB2D-472B-AF03-655ADD54CD81}"/>
    <cellStyle name="Normal 6 3 5 2 3" xfId="9067" xr:uid="{57A50B75-EC87-4825-8F47-3E9C002D75D1}"/>
    <cellStyle name="Normal 6 3 5 2 3 2" xfId="14426" xr:uid="{656E1690-BA82-456B-9FB4-6E43DDD96AC7}"/>
    <cellStyle name="Normal 6 3 5 2 4" xfId="11704" xr:uid="{F23C322C-2C21-4FBA-A493-E1386F8CEC1F}"/>
    <cellStyle name="Normal 6 3 5 3" xfId="7106" xr:uid="{00000000-0005-0000-0000-000038150000}"/>
    <cellStyle name="Normal 6 3 5 3 2" xfId="9774" xr:uid="{ECF521BB-F6FE-45E9-A885-EA0624BEB715}"/>
    <cellStyle name="Normal 6 3 5 3 2 2" xfId="15164" xr:uid="{82C8E580-FA6A-48D9-8549-65462064A8A1}"/>
    <cellStyle name="Normal 6 3 5 3 3" xfId="12411" xr:uid="{379EFE64-495F-4F2F-A698-4C24ADF9484A}"/>
    <cellStyle name="Normal 6 3 5 4" xfId="8443" xr:uid="{AB847F6E-459B-447E-B722-3E676EF0EBE7}"/>
    <cellStyle name="Normal 6 3 5 4 2" xfId="13802" xr:uid="{5BBD9AA1-4740-4BED-8A33-099A354A6531}"/>
    <cellStyle name="Normal 6 3 5 5" xfId="11080" xr:uid="{7EF1AFC3-1C8E-4E87-B546-0247E94EC461}"/>
    <cellStyle name="Normal 6 3 6" xfId="3937" xr:uid="{00000000-0005-0000-0000-000039150000}"/>
    <cellStyle name="Normal 6 3 6 2" xfId="4563" xr:uid="{00000000-0005-0000-0000-00003A150000}"/>
    <cellStyle name="Normal 6 3 6 2 2" xfId="7731" xr:uid="{00000000-0005-0000-0000-00003B150000}"/>
    <cellStyle name="Normal 6 3 6 2 2 2" xfId="10399" xr:uid="{CAC7AF6B-D5B5-4094-97AD-B7D87A97E348}"/>
    <cellStyle name="Normal 6 3 6 2 2 2 2" xfId="15789" xr:uid="{E71A8510-B1EC-4823-AB67-E1EDDF114422}"/>
    <cellStyle name="Normal 6 3 6 2 2 3" xfId="13036" xr:uid="{7A984EF6-5B47-4F03-AEE3-1A8CA3030533}"/>
    <cellStyle name="Normal 6 3 6 2 3" xfId="9068" xr:uid="{9C16C54B-6D36-4FDD-9702-9D3B3EB55818}"/>
    <cellStyle name="Normal 6 3 6 2 3 2" xfId="14427" xr:uid="{1922E31E-6168-4CA8-94B3-9966A78903D5}"/>
    <cellStyle name="Normal 6 3 6 2 4" xfId="11705" xr:uid="{EF5F84F8-A3BE-495C-9F0D-2C01FF047119}"/>
    <cellStyle name="Normal 6 3 6 3" xfId="7107" xr:uid="{00000000-0005-0000-0000-00003C150000}"/>
    <cellStyle name="Normal 6 3 6 3 2" xfId="9775" xr:uid="{EDBF71C6-90BC-423E-B305-60CDBD51D2B5}"/>
    <cellStyle name="Normal 6 3 6 3 2 2" xfId="15165" xr:uid="{C5AFC2E3-D753-481B-9350-3C0BF5265C42}"/>
    <cellStyle name="Normal 6 3 6 3 3" xfId="12412" xr:uid="{BB6DD171-C158-4DD3-A3D2-B8CFFA616231}"/>
    <cellStyle name="Normal 6 3 6 4" xfId="8444" xr:uid="{34F37151-52E5-4B5D-9842-FB1A3E951FD0}"/>
    <cellStyle name="Normal 6 3 6 4 2" xfId="13803" xr:uid="{23A61EBE-E7F6-4CC4-9C08-D6912F213C9D}"/>
    <cellStyle name="Normal 6 3 6 5" xfId="11081" xr:uid="{6593F0A8-99DF-4579-BB44-BFFF8813C363}"/>
    <cellStyle name="Normal 6 3 7" xfId="3930" xr:uid="{00000000-0005-0000-0000-00003D150000}"/>
    <cellStyle name="Normal 6 3 7 2" xfId="4556" xr:uid="{00000000-0005-0000-0000-00003E150000}"/>
    <cellStyle name="Normal 6 3 7 2 2" xfId="7724" xr:uid="{00000000-0005-0000-0000-00003F150000}"/>
    <cellStyle name="Normal 6 3 7 2 2 2" xfId="10392" xr:uid="{BDA70B61-3AB3-4292-A962-714832999D4F}"/>
    <cellStyle name="Normal 6 3 7 2 2 2 2" xfId="15782" xr:uid="{838A6D6A-557E-45CF-9230-146E95E710DC}"/>
    <cellStyle name="Normal 6 3 7 2 2 3" xfId="13029" xr:uid="{A3CB2300-ADA2-40B4-AF5C-7DED71F2557C}"/>
    <cellStyle name="Normal 6 3 7 2 3" xfId="9061" xr:uid="{8256126D-5991-4613-9E47-9AB7628FEA1D}"/>
    <cellStyle name="Normal 6 3 7 2 3 2" xfId="14420" xr:uid="{E3D80CF9-7290-47B4-B13D-B0ED27EC63E6}"/>
    <cellStyle name="Normal 6 3 7 2 4" xfId="11698" xr:uid="{E510FD76-7309-4EA7-AA7E-64805903AD79}"/>
    <cellStyle name="Normal 6 3 7 3" xfId="7100" xr:uid="{00000000-0005-0000-0000-000040150000}"/>
    <cellStyle name="Normal 6 3 7 3 2" xfId="9768" xr:uid="{4D74AFEE-A9D0-468E-A1F6-9798F5E86739}"/>
    <cellStyle name="Normal 6 3 7 3 2 2" xfId="15158" xr:uid="{82196138-4EBB-4A0A-997E-71D9573B0C6E}"/>
    <cellStyle name="Normal 6 3 7 3 3" xfId="12405" xr:uid="{0EB212E5-BDB3-4E6E-8327-1E8813AF4AC3}"/>
    <cellStyle name="Normal 6 3 7 4" xfId="8437" xr:uid="{C8C626C9-F412-4C68-8465-DF42436BFE77}"/>
    <cellStyle name="Normal 6 3 7 4 2" xfId="13796" xr:uid="{8799059F-2FE3-40C6-976C-FF30BE2B5B3F}"/>
    <cellStyle name="Normal 6 3 7 5" xfId="11074" xr:uid="{1F95A3AB-09E2-4514-9F85-D3C97248B82D}"/>
    <cellStyle name="Normal 6 3 8" xfId="4120" xr:uid="{00000000-0005-0000-0000-000041150000}"/>
    <cellStyle name="Normal 6 3 8 2" xfId="7288" xr:uid="{00000000-0005-0000-0000-000042150000}"/>
    <cellStyle name="Normal 6 3 8 2 2" xfId="9956" xr:uid="{2305D0ED-37C2-40A0-BEF3-B14A6AA07241}"/>
    <cellStyle name="Normal 6 3 8 2 2 2" xfId="15346" xr:uid="{C194574F-5CBE-44DB-B0A0-DAE0CBD68007}"/>
    <cellStyle name="Normal 6 3 8 2 3" xfId="12593" xr:uid="{F9D93382-A7CC-47BB-8A66-B71FD606F4F9}"/>
    <cellStyle name="Normal 6 3 8 3" xfId="8625" xr:uid="{315F9232-1CC8-4259-89F1-8D94F11B6BE9}"/>
    <cellStyle name="Normal 6 3 8 3 2" xfId="13984" xr:uid="{CB320ACD-3A28-4A92-9DE6-5F8F609CBDC8}"/>
    <cellStyle name="Normal 6 3 8 4" xfId="11262" xr:uid="{2BFB0C4C-0778-4B62-9535-86CDBF1399B0}"/>
    <cellStyle name="Normal 6 3 9" xfId="3469" xr:uid="{00000000-0005-0000-0000-000043150000}"/>
    <cellStyle name="Normal 6 3 9 2" xfId="6677" xr:uid="{00000000-0005-0000-0000-000044150000}"/>
    <cellStyle name="Normal 6 3 9 2 2" xfId="9345" xr:uid="{43F43E79-7684-400B-8D5A-07FCA8182CB1}"/>
    <cellStyle name="Normal 6 3 9 2 2 2" xfId="14735" xr:uid="{7D72B282-C26D-4F88-B306-0DB2CA86FF71}"/>
    <cellStyle name="Normal 6 3 9 2 3" xfId="11982" xr:uid="{D85BAFE8-851D-4B35-84B4-A6277E69E6E7}"/>
    <cellStyle name="Normal 6 3 9 3" xfId="8009" xr:uid="{B49E751A-B707-46BC-B3F2-38A4FE7A1A57}"/>
    <cellStyle name="Normal 6 3 9 3 2" xfId="13368" xr:uid="{6E6EFA7C-0937-4D92-A284-45116397AB38}"/>
    <cellStyle name="Normal 6 3 9 4" xfId="10651" xr:uid="{CA54C83B-41A1-4062-A3AA-B147B6757F7E}"/>
    <cellStyle name="Normal 6 4" xfId="3322" xr:uid="{00000000-0005-0000-0000-000045150000}"/>
    <cellStyle name="Normal 6 4 10" xfId="6629" xr:uid="{00000000-0005-0000-0000-000046150000}"/>
    <cellStyle name="Normal 6 4 10 2" xfId="9306" xr:uid="{DE4F80E2-3A1E-4798-9F26-5E39ECE5DAAE}"/>
    <cellStyle name="Normal 6 4 10 2 2" xfId="14696" xr:uid="{2754B1B7-454D-4F1E-9587-5EB4D66014EE}"/>
    <cellStyle name="Normal 6 4 10 3" xfId="11943" xr:uid="{FB19A147-809B-4D3B-A258-55F005F7D147}"/>
    <cellStyle name="Normal 6 4 11" xfId="7966" xr:uid="{B92D11A1-E044-498A-BFC8-33EA11260CE0}"/>
    <cellStyle name="Normal 6 4 11 2" xfId="13326" xr:uid="{205F554F-AA46-4B04-9A08-9A68369D0183}"/>
    <cellStyle name="Normal 6 4 12" xfId="10612" xr:uid="{7BD34076-FDC6-4655-B61F-992C05DF4846}"/>
    <cellStyle name="Normal 6 4 2" xfId="3939" xr:uid="{00000000-0005-0000-0000-000047150000}"/>
    <cellStyle name="Normal 6 4 2 2" xfId="3940" xr:uid="{00000000-0005-0000-0000-000048150000}"/>
    <cellStyle name="Normal 6 4 2 2 2" xfId="4566" xr:uid="{00000000-0005-0000-0000-000049150000}"/>
    <cellStyle name="Normal 6 4 2 2 2 2" xfId="7734" xr:uid="{00000000-0005-0000-0000-00004A150000}"/>
    <cellStyle name="Normal 6 4 2 2 2 2 2" xfId="10402" xr:uid="{D146298C-DFC6-44D5-ADBF-71E29066E66F}"/>
    <cellStyle name="Normal 6 4 2 2 2 2 2 2" xfId="15792" xr:uid="{CE05E808-F65E-45E0-84DF-AF77D3110633}"/>
    <cellStyle name="Normal 6 4 2 2 2 2 3" xfId="13039" xr:uid="{CF8DEEC1-BAE4-4CDC-87A8-34E6FB2612E2}"/>
    <cellStyle name="Normal 6 4 2 2 2 3" xfId="9071" xr:uid="{9026CEFE-1497-46CD-9F22-A0C59270CC35}"/>
    <cellStyle name="Normal 6 4 2 2 2 3 2" xfId="14430" xr:uid="{1987E3DA-3D3A-496A-9E4B-A41FB3838B8A}"/>
    <cellStyle name="Normal 6 4 2 2 2 4" xfId="11708" xr:uid="{97F1568A-D091-4146-A2BC-D3740A1C7228}"/>
    <cellStyle name="Normal 6 4 2 2 3" xfId="7110" xr:uid="{00000000-0005-0000-0000-00004B150000}"/>
    <cellStyle name="Normal 6 4 2 2 3 2" xfId="9778" xr:uid="{D0DBAFD6-9D3E-4373-8B08-8C26CF0090E5}"/>
    <cellStyle name="Normal 6 4 2 2 3 2 2" xfId="15168" xr:uid="{BC7E4B6D-7E9E-4205-9F69-EB5FD6FB5B07}"/>
    <cellStyle name="Normal 6 4 2 2 3 3" xfId="12415" xr:uid="{E8D99C4C-FE83-4BB4-B67B-DF553831513B}"/>
    <cellStyle name="Normal 6 4 2 2 4" xfId="8447" xr:uid="{53F306CA-CEA5-4B94-9F20-EF5BA11AC7E5}"/>
    <cellStyle name="Normal 6 4 2 2 4 2" xfId="13806" xr:uid="{FF817F67-F40D-42D2-9D37-56F4EFC39625}"/>
    <cellStyle name="Normal 6 4 2 2 5" xfId="11084" xr:uid="{7CAB141C-5511-4471-83AD-A17925096560}"/>
    <cellStyle name="Normal 6 4 2 3" xfId="3941" xr:uid="{00000000-0005-0000-0000-00004C150000}"/>
    <cellStyle name="Normal 6 4 2 3 2" xfId="4567" xr:uid="{00000000-0005-0000-0000-00004D150000}"/>
    <cellStyle name="Normal 6 4 2 3 2 2" xfId="7735" xr:uid="{00000000-0005-0000-0000-00004E150000}"/>
    <cellStyle name="Normal 6 4 2 3 2 2 2" xfId="10403" xr:uid="{4FD551B0-14D6-4F47-8877-ABEDEEAED090}"/>
    <cellStyle name="Normal 6 4 2 3 2 2 2 2" xfId="15793" xr:uid="{A090A5CC-AC1A-4538-8B8C-3B271D2F321C}"/>
    <cellStyle name="Normal 6 4 2 3 2 2 3" xfId="13040" xr:uid="{8FB433E4-1ADC-4C23-879A-1A8DD18741C5}"/>
    <cellStyle name="Normal 6 4 2 3 2 3" xfId="9072" xr:uid="{85B9146F-2AD2-4244-9E94-359F6AABBD62}"/>
    <cellStyle name="Normal 6 4 2 3 2 3 2" xfId="14431" xr:uid="{2F5A4BBA-8B6F-4DD3-B3EA-67BFCDD59E70}"/>
    <cellStyle name="Normal 6 4 2 3 2 4" xfId="11709" xr:uid="{8488C8A2-0485-4725-86E4-91877D8FFDF0}"/>
    <cellStyle name="Normal 6 4 2 3 3" xfId="7111" xr:uid="{00000000-0005-0000-0000-00004F150000}"/>
    <cellStyle name="Normal 6 4 2 3 3 2" xfId="9779" xr:uid="{B18C65B1-86AA-47EA-93E6-8D87FCD61C7E}"/>
    <cellStyle name="Normal 6 4 2 3 3 2 2" xfId="15169" xr:uid="{1194834A-F9D6-41F3-A2C1-EB411C2659FE}"/>
    <cellStyle name="Normal 6 4 2 3 3 3" xfId="12416" xr:uid="{7B8684E5-9BFF-4B44-98D5-0CB553A8BF0B}"/>
    <cellStyle name="Normal 6 4 2 3 4" xfId="8448" xr:uid="{E437587A-F9D6-49B7-8D84-838BB9E412E2}"/>
    <cellStyle name="Normal 6 4 2 3 4 2" xfId="13807" xr:uid="{67D74822-5628-4DFC-9721-A7969BCD4F30}"/>
    <cellStyle name="Normal 6 4 2 3 5" xfId="11085" xr:uid="{218191AF-17F4-4055-A083-C4D527F61A55}"/>
    <cellStyle name="Normal 6 4 2 4" xfId="4565" xr:uid="{00000000-0005-0000-0000-000050150000}"/>
    <cellStyle name="Normal 6 4 2 4 2" xfId="7733" xr:uid="{00000000-0005-0000-0000-000051150000}"/>
    <cellStyle name="Normal 6 4 2 4 2 2" xfId="10401" xr:uid="{23B68829-F06E-4FF4-8774-0BC1B0C92933}"/>
    <cellStyle name="Normal 6 4 2 4 2 2 2" xfId="15791" xr:uid="{36BCC248-876F-4492-8C1F-BAE4B5B2294D}"/>
    <cellStyle name="Normal 6 4 2 4 2 3" xfId="13038" xr:uid="{11782B93-E170-47D6-B3A1-E2FA003BB862}"/>
    <cellStyle name="Normal 6 4 2 4 3" xfId="9070" xr:uid="{8C652817-74EA-426C-923F-BEE18B6B2E9D}"/>
    <cellStyle name="Normal 6 4 2 4 3 2" xfId="14429" xr:uid="{4E3507B0-9E48-4E06-9370-9CEFE8FE3436}"/>
    <cellStyle name="Normal 6 4 2 4 4" xfId="11707" xr:uid="{ADE1A782-F48E-4004-BF2F-E75E17214280}"/>
    <cellStyle name="Normal 6 4 2 5" xfId="7109" xr:uid="{00000000-0005-0000-0000-000052150000}"/>
    <cellStyle name="Normal 6 4 2 5 2" xfId="9777" xr:uid="{21554085-21DF-4059-8563-FCEA91D00305}"/>
    <cellStyle name="Normal 6 4 2 5 2 2" xfId="15167" xr:uid="{8BD13A5C-43D6-4D90-8860-13E21BE505AC}"/>
    <cellStyle name="Normal 6 4 2 5 3" xfId="12414" xr:uid="{81E990BE-258D-4EA6-BAF4-DA42FC641960}"/>
    <cellStyle name="Normal 6 4 2 6" xfId="8446" xr:uid="{4C61DBF0-DAB9-44BA-AA4C-7CCB5177716C}"/>
    <cellStyle name="Normal 6 4 2 6 2" xfId="13805" xr:uid="{7DAF93ED-EE6C-4C45-B564-0C6F2A5A1E2D}"/>
    <cellStyle name="Normal 6 4 2 7" xfId="11083" xr:uid="{D54030E1-1926-4302-8F8B-1E6191259F9F}"/>
    <cellStyle name="Normal 6 4 3" xfId="3942" xr:uid="{00000000-0005-0000-0000-000053150000}"/>
    <cellStyle name="Normal 6 4 3 2" xfId="4568" xr:uid="{00000000-0005-0000-0000-000054150000}"/>
    <cellStyle name="Normal 6 4 3 2 2" xfId="7736" xr:uid="{00000000-0005-0000-0000-000055150000}"/>
    <cellStyle name="Normal 6 4 3 2 2 2" xfId="10404" xr:uid="{87B09145-032E-494C-B7D2-58C4FC03CA82}"/>
    <cellStyle name="Normal 6 4 3 2 2 2 2" xfId="15794" xr:uid="{B4D599D7-12D4-45BB-99F9-D7D553D88C24}"/>
    <cellStyle name="Normal 6 4 3 2 2 3" xfId="13041" xr:uid="{36396552-F8D0-45A4-BD45-4C4130F9C32D}"/>
    <cellStyle name="Normal 6 4 3 2 3" xfId="9073" xr:uid="{3D8EA8AE-9208-42E9-A00F-848F50D728D8}"/>
    <cellStyle name="Normal 6 4 3 2 3 2" xfId="14432" xr:uid="{504AE9FE-8F87-40ED-8AAE-ACDECD4D400F}"/>
    <cellStyle name="Normal 6 4 3 2 4" xfId="11710" xr:uid="{C7DDB991-8AE9-4E0A-B37F-9DFFE41CA007}"/>
    <cellStyle name="Normal 6 4 3 3" xfId="7112" xr:uid="{00000000-0005-0000-0000-000056150000}"/>
    <cellStyle name="Normal 6 4 3 3 2" xfId="9780" xr:uid="{EE7A704F-4757-4F54-A5AD-F2FC731082A3}"/>
    <cellStyle name="Normal 6 4 3 3 2 2" xfId="15170" xr:uid="{07B81111-0720-4B2E-89E0-AE7B58CCED27}"/>
    <cellStyle name="Normal 6 4 3 3 3" xfId="12417" xr:uid="{3071CFD3-5E29-4ADA-BDA8-5CCC989A6DEB}"/>
    <cellStyle name="Normal 6 4 3 4" xfId="8449" xr:uid="{E6348BEE-58C5-4B5F-92EA-06FD42920B03}"/>
    <cellStyle name="Normal 6 4 3 4 2" xfId="13808" xr:uid="{ECC83D03-E546-4C4E-AFA5-B3B06837F1E2}"/>
    <cellStyle name="Normal 6 4 3 5" xfId="11086" xr:uid="{1DD90A4F-379D-4ACB-A5E5-23729362503F}"/>
    <cellStyle name="Normal 6 4 4" xfId="3943" xr:uid="{00000000-0005-0000-0000-000057150000}"/>
    <cellStyle name="Normal 6 4 4 2" xfId="4569" xr:uid="{00000000-0005-0000-0000-000058150000}"/>
    <cellStyle name="Normal 6 4 4 2 2" xfId="7737" xr:uid="{00000000-0005-0000-0000-000059150000}"/>
    <cellStyle name="Normal 6 4 4 2 2 2" xfId="10405" xr:uid="{61CE99D7-8850-42EE-93EA-7CB800A4AB4E}"/>
    <cellStyle name="Normal 6 4 4 2 2 2 2" xfId="15795" xr:uid="{18913C5D-7082-4845-8AA8-A047EFD0FB5A}"/>
    <cellStyle name="Normal 6 4 4 2 2 3" xfId="13042" xr:uid="{67AFCB39-6766-463F-9632-7383D7A76773}"/>
    <cellStyle name="Normal 6 4 4 2 3" xfId="9074" xr:uid="{3287AC60-0570-4E03-8851-8964579DDE20}"/>
    <cellStyle name="Normal 6 4 4 2 3 2" xfId="14433" xr:uid="{E673292C-C69A-4EC4-BE96-CB8947D215F1}"/>
    <cellStyle name="Normal 6 4 4 2 4" xfId="11711" xr:uid="{6838ACB3-F6CD-4DC2-AB3A-5AE9B7827400}"/>
    <cellStyle name="Normal 6 4 4 3" xfId="7113" xr:uid="{00000000-0005-0000-0000-00005A150000}"/>
    <cellStyle name="Normal 6 4 4 3 2" xfId="9781" xr:uid="{B67EEC58-913F-4292-98DF-E49029CBDB74}"/>
    <cellStyle name="Normal 6 4 4 3 2 2" xfId="15171" xr:uid="{54A2C80C-6CD6-4C20-8C6D-B9E8727CB4FA}"/>
    <cellStyle name="Normal 6 4 4 3 3" xfId="12418" xr:uid="{052CA206-6447-49BE-9CBE-FB628C7C37FE}"/>
    <cellStyle name="Normal 6 4 4 4" xfId="8450" xr:uid="{940E8AEF-0470-47FB-AC1E-778C359FA3FF}"/>
    <cellStyle name="Normal 6 4 4 4 2" xfId="13809" xr:uid="{36672FEF-B675-4304-B93A-0124E10557A4}"/>
    <cellStyle name="Normal 6 4 4 5" xfId="11087" xr:uid="{5379662C-8709-4C12-8867-E337FD4BFF38}"/>
    <cellStyle name="Normal 6 4 5" xfId="3944" xr:uid="{00000000-0005-0000-0000-00005B150000}"/>
    <cellStyle name="Normal 6 4 5 2" xfId="4570" xr:uid="{00000000-0005-0000-0000-00005C150000}"/>
    <cellStyle name="Normal 6 4 5 2 2" xfId="7738" xr:uid="{00000000-0005-0000-0000-00005D150000}"/>
    <cellStyle name="Normal 6 4 5 2 2 2" xfId="10406" xr:uid="{A6524FD9-817D-4AA1-9994-510B283B5645}"/>
    <cellStyle name="Normal 6 4 5 2 2 2 2" xfId="15796" xr:uid="{94C8A399-12D4-4D61-95F4-9BAB86D81230}"/>
    <cellStyle name="Normal 6 4 5 2 2 3" xfId="13043" xr:uid="{979FB665-69B5-495A-B233-AB2BFD6AFC25}"/>
    <cellStyle name="Normal 6 4 5 2 3" xfId="9075" xr:uid="{F7A1CD47-192B-4318-A90D-0C7D9575B38D}"/>
    <cellStyle name="Normal 6 4 5 2 3 2" xfId="14434" xr:uid="{6E1EF96F-67FA-4719-BDC6-F912CA5F32D8}"/>
    <cellStyle name="Normal 6 4 5 2 4" xfId="11712" xr:uid="{11EA1931-5AD4-47B0-8ECB-028DA7B6F955}"/>
    <cellStyle name="Normal 6 4 5 3" xfId="7114" xr:uid="{00000000-0005-0000-0000-00005E150000}"/>
    <cellStyle name="Normal 6 4 5 3 2" xfId="9782" xr:uid="{6EFB3F38-CBD2-48FD-BA67-35730AB5DA88}"/>
    <cellStyle name="Normal 6 4 5 3 2 2" xfId="15172" xr:uid="{A2CC9F48-020C-43E2-A905-4E32A7B95422}"/>
    <cellStyle name="Normal 6 4 5 3 3" xfId="12419" xr:uid="{2FE7003E-DED2-43C8-B30E-86DF82A3A121}"/>
    <cellStyle name="Normal 6 4 5 4" xfId="8451" xr:uid="{8FE6638A-0A50-4981-B1FF-63A212294552}"/>
    <cellStyle name="Normal 6 4 5 4 2" xfId="13810" xr:uid="{00CE7325-FCE0-4914-A1BC-4C15872F5A0E}"/>
    <cellStyle name="Normal 6 4 5 5" xfId="11088" xr:uid="{45F4D966-E11B-42F4-970C-AF95A4E3655E}"/>
    <cellStyle name="Normal 6 4 6" xfId="3938" xr:uid="{00000000-0005-0000-0000-00005F150000}"/>
    <cellStyle name="Normal 6 4 6 2" xfId="4564" xr:uid="{00000000-0005-0000-0000-000060150000}"/>
    <cellStyle name="Normal 6 4 6 2 2" xfId="7732" xr:uid="{00000000-0005-0000-0000-000061150000}"/>
    <cellStyle name="Normal 6 4 6 2 2 2" xfId="10400" xr:uid="{89876655-3333-471E-80E2-40FAFFEA78D2}"/>
    <cellStyle name="Normal 6 4 6 2 2 2 2" xfId="15790" xr:uid="{0BC815F0-726F-4E7B-B3B7-9D509533F155}"/>
    <cellStyle name="Normal 6 4 6 2 2 3" xfId="13037" xr:uid="{C626F76B-C5C4-4A48-8DC9-F825F61E145B}"/>
    <cellStyle name="Normal 6 4 6 2 3" xfId="9069" xr:uid="{AB3554AB-8976-4313-A826-12CD919F8EA0}"/>
    <cellStyle name="Normal 6 4 6 2 3 2" xfId="14428" xr:uid="{C73A5E23-BFD5-4D64-BCFA-273D180FB6C0}"/>
    <cellStyle name="Normal 6 4 6 2 4" xfId="11706" xr:uid="{3AC61B95-A096-4009-87C0-D29FA4B3F3AF}"/>
    <cellStyle name="Normal 6 4 6 3" xfId="7108" xr:uid="{00000000-0005-0000-0000-000062150000}"/>
    <cellStyle name="Normal 6 4 6 3 2" xfId="9776" xr:uid="{78DA1E7B-8D80-4416-8AB3-E511F2763FCA}"/>
    <cellStyle name="Normal 6 4 6 3 2 2" xfId="15166" xr:uid="{F69EB3C3-E6BA-4728-B0DB-A5BDFB86997A}"/>
    <cellStyle name="Normal 6 4 6 3 3" xfId="12413" xr:uid="{31FA6E0C-DBEE-489E-B331-7B001D564DA9}"/>
    <cellStyle name="Normal 6 4 6 4" xfId="8445" xr:uid="{5E328278-36AE-4C7B-BEA1-E7FD226678E9}"/>
    <cellStyle name="Normal 6 4 6 4 2" xfId="13804" xr:uid="{1DDE7902-8A3B-4538-9D94-A9DD191D62AD}"/>
    <cellStyle name="Normal 6 4 6 5" xfId="11082" xr:uid="{9D549EA7-7B68-4147-80EC-FE050728997D}"/>
    <cellStyle name="Normal 6 4 7" xfId="4136" xr:uid="{00000000-0005-0000-0000-000063150000}"/>
    <cellStyle name="Normal 6 4 7 2" xfId="7304" xr:uid="{00000000-0005-0000-0000-000064150000}"/>
    <cellStyle name="Normal 6 4 7 2 2" xfId="9972" xr:uid="{1E53F395-18C3-43B7-B118-EE7B25E8F22D}"/>
    <cellStyle name="Normal 6 4 7 2 2 2" xfId="15362" xr:uid="{4A5E5D89-A414-45D4-904C-586849E1C021}"/>
    <cellStyle name="Normal 6 4 7 2 3" xfId="12609" xr:uid="{0E0368C3-1848-4545-8F55-6DC9397EFCC1}"/>
    <cellStyle name="Normal 6 4 7 3" xfId="8641" xr:uid="{D0ACDACC-8AC3-4C1A-A867-ECEB404C024D}"/>
    <cellStyle name="Normal 6 4 7 3 2" xfId="14000" xr:uid="{B043E66D-7E06-478D-B144-808E017EF524}"/>
    <cellStyle name="Normal 6 4 7 4" xfId="11278" xr:uid="{B16B3119-3517-4382-86CE-1B5B55680C09}"/>
    <cellStyle name="Normal 6 4 8" xfId="3485" xr:uid="{00000000-0005-0000-0000-000065150000}"/>
    <cellStyle name="Normal 6 4 8 2" xfId="6693" xr:uid="{00000000-0005-0000-0000-000066150000}"/>
    <cellStyle name="Normal 6 4 8 2 2" xfId="9361" xr:uid="{3304A626-7E7B-443F-A2D3-EA9AE169D846}"/>
    <cellStyle name="Normal 6 4 8 2 2 2" xfId="14751" xr:uid="{FB01CBAD-6122-414D-9E04-FD3FA290AD05}"/>
    <cellStyle name="Normal 6 4 8 2 3" xfId="11998" xr:uid="{5309A914-BA12-4309-88CE-DD5E08553BB9}"/>
    <cellStyle name="Normal 6 4 8 3" xfId="8025" xr:uid="{4ABBF3F5-E252-4573-9795-4A08441928DF}"/>
    <cellStyle name="Normal 6 4 8 3 2" xfId="13384" xr:uid="{D188E142-0908-40DE-AC74-46C4BE9AD1F8}"/>
    <cellStyle name="Normal 6 4 8 4" xfId="10667" xr:uid="{209F8198-4C63-4BF5-AE48-228605A60B97}"/>
    <cellStyle name="Normal 6 4 9" xfId="5302" xr:uid="{00000000-0005-0000-0000-000067150000}"/>
    <cellStyle name="Normal 6 4 9 2" xfId="9243" xr:uid="{AE91926D-C485-4D26-B274-E68D477E03C0}"/>
    <cellStyle name="Normal 6 4 9 2 2" xfId="14612" xr:uid="{2614EE80-7F47-449E-8AB1-6647E80E56DA}"/>
    <cellStyle name="Normal 6 4 9 3" xfId="11880" xr:uid="{59EC5D66-38E6-4E1B-8758-F8F3B9FB5513}"/>
    <cellStyle name="Normal 6 5" xfId="3288" xr:uid="{00000000-0005-0000-0000-000068150000}"/>
    <cellStyle name="Normal 6 5 10" xfId="10589" xr:uid="{1B428EF3-FF02-45EB-8048-088E4E330FDF}"/>
    <cellStyle name="Normal 6 5 2" xfId="3946" xr:uid="{00000000-0005-0000-0000-000069150000}"/>
    <cellStyle name="Normal 6 5 2 2" xfId="3947" xr:uid="{00000000-0005-0000-0000-00006A150000}"/>
    <cellStyle name="Normal 6 5 2 2 2" xfId="4573" xr:uid="{00000000-0005-0000-0000-00006B150000}"/>
    <cellStyle name="Normal 6 5 2 2 2 2" xfId="7741" xr:uid="{00000000-0005-0000-0000-00006C150000}"/>
    <cellStyle name="Normal 6 5 2 2 2 2 2" xfId="10409" xr:uid="{655753B4-CD70-4FC7-9731-94B16610DDEF}"/>
    <cellStyle name="Normal 6 5 2 2 2 2 2 2" xfId="15799" xr:uid="{77AD725E-F20F-4CC1-AF50-B24DDF42B20E}"/>
    <cellStyle name="Normal 6 5 2 2 2 2 3" xfId="13046" xr:uid="{4C35AE64-371E-44C5-BEAB-587DFAE3E470}"/>
    <cellStyle name="Normal 6 5 2 2 2 3" xfId="9078" xr:uid="{E6AA9A94-0610-4CCF-B003-48D00B58EC7F}"/>
    <cellStyle name="Normal 6 5 2 2 2 3 2" xfId="14437" xr:uid="{90F53AFF-A74B-4B4C-AA89-36ED228B0D60}"/>
    <cellStyle name="Normal 6 5 2 2 2 4" xfId="11715" xr:uid="{5AC59CD9-3CB2-4A25-A506-A3304A633E8C}"/>
    <cellStyle name="Normal 6 5 2 2 3" xfId="7117" xr:uid="{00000000-0005-0000-0000-00006D150000}"/>
    <cellStyle name="Normal 6 5 2 2 3 2" xfId="9785" xr:uid="{CD99B22A-10E5-4059-9841-1AAEFE7D6926}"/>
    <cellStyle name="Normal 6 5 2 2 3 2 2" xfId="15175" xr:uid="{4003A515-5F20-4CDE-B73E-D9F7AFACB212}"/>
    <cellStyle name="Normal 6 5 2 2 3 3" xfId="12422" xr:uid="{97B93B95-D461-46FD-888B-CBD3A6FE614A}"/>
    <cellStyle name="Normal 6 5 2 2 4" xfId="8454" xr:uid="{D608777C-55C2-4B91-A922-B77045C0321B}"/>
    <cellStyle name="Normal 6 5 2 2 4 2" xfId="13813" xr:uid="{895BBB7F-EC89-48D7-BC27-91F22BCC448D}"/>
    <cellStyle name="Normal 6 5 2 2 5" xfId="11091" xr:uid="{B7295ECF-5604-4D3F-B21F-20689BC98B7E}"/>
    <cellStyle name="Normal 6 5 2 3" xfId="3948" xr:uid="{00000000-0005-0000-0000-00006E150000}"/>
    <cellStyle name="Normal 6 5 2 3 2" xfId="4574" xr:uid="{00000000-0005-0000-0000-00006F150000}"/>
    <cellStyle name="Normal 6 5 2 3 2 2" xfId="7742" xr:uid="{00000000-0005-0000-0000-000070150000}"/>
    <cellStyle name="Normal 6 5 2 3 2 2 2" xfId="10410" xr:uid="{E459143C-8492-48E6-88EC-E3E7B68FCDC6}"/>
    <cellStyle name="Normal 6 5 2 3 2 2 2 2" xfId="15800" xr:uid="{BE545C16-EB27-4629-BDA7-9291E16B5CAC}"/>
    <cellStyle name="Normal 6 5 2 3 2 2 3" xfId="13047" xr:uid="{57B5B3DD-AECF-4DAA-8DD5-738753DA05A0}"/>
    <cellStyle name="Normal 6 5 2 3 2 3" xfId="9079" xr:uid="{2E737256-0C51-4B4E-B5EF-BBED8F023ADC}"/>
    <cellStyle name="Normal 6 5 2 3 2 3 2" xfId="14438" xr:uid="{24404CAC-6E4D-4941-9568-FB26F5D4AC28}"/>
    <cellStyle name="Normal 6 5 2 3 2 4" xfId="11716" xr:uid="{9D36A8BA-0B31-496F-8875-D0AF0EE84897}"/>
    <cellStyle name="Normal 6 5 2 3 3" xfId="7118" xr:uid="{00000000-0005-0000-0000-000071150000}"/>
    <cellStyle name="Normal 6 5 2 3 3 2" xfId="9786" xr:uid="{B51FE208-683B-4A38-BBAD-01469F072D6B}"/>
    <cellStyle name="Normal 6 5 2 3 3 2 2" xfId="15176" xr:uid="{C78C6AC5-1926-40D1-8609-1FF46326FF15}"/>
    <cellStyle name="Normal 6 5 2 3 3 3" xfId="12423" xr:uid="{EFD1CFDE-49D3-48CF-A89E-BF1313243C2B}"/>
    <cellStyle name="Normal 6 5 2 3 4" xfId="8455" xr:uid="{81DDA3DF-37A6-4386-90C9-35FFAB1FE1EF}"/>
    <cellStyle name="Normal 6 5 2 3 4 2" xfId="13814" xr:uid="{60669E0A-AC77-4456-B893-3F00D68883FD}"/>
    <cellStyle name="Normal 6 5 2 3 5" xfId="11092" xr:uid="{CFC5153F-3035-4637-81AB-A2E4B205C700}"/>
    <cellStyle name="Normal 6 5 2 4" xfId="4572" xr:uid="{00000000-0005-0000-0000-000072150000}"/>
    <cellStyle name="Normal 6 5 2 4 2" xfId="7740" xr:uid="{00000000-0005-0000-0000-000073150000}"/>
    <cellStyle name="Normal 6 5 2 4 2 2" xfId="10408" xr:uid="{AB95E430-9A16-4670-A95F-D54710B20890}"/>
    <cellStyle name="Normal 6 5 2 4 2 2 2" xfId="15798" xr:uid="{770E04B7-B1E0-4249-B57A-28CF57645EA0}"/>
    <cellStyle name="Normal 6 5 2 4 2 3" xfId="13045" xr:uid="{BE112B9A-3FFF-4252-B23C-B9F463FCA3A6}"/>
    <cellStyle name="Normal 6 5 2 4 3" xfId="9077" xr:uid="{D0965170-3533-40AD-B71C-72C746952E63}"/>
    <cellStyle name="Normal 6 5 2 4 3 2" xfId="14436" xr:uid="{062BA0C8-EBD4-411F-AD19-053E7C5F8BE3}"/>
    <cellStyle name="Normal 6 5 2 4 4" xfId="11714" xr:uid="{147FB87F-5022-4634-8BFF-C582629445A3}"/>
    <cellStyle name="Normal 6 5 2 5" xfId="7116" xr:uid="{00000000-0005-0000-0000-000074150000}"/>
    <cellStyle name="Normal 6 5 2 5 2" xfId="9784" xr:uid="{8B2B7CAF-98C5-4F5F-8FA6-4936818A2DD1}"/>
    <cellStyle name="Normal 6 5 2 5 2 2" xfId="15174" xr:uid="{D42DF3D6-2518-4A32-8473-3480D2745307}"/>
    <cellStyle name="Normal 6 5 2 5 3" xfId="12421" xr:uid="{7F9DDA14-0FDE-417C-94B9-A8780015AC57}"/>
    <cellStyle name="Normal 6 5 2 6" xfId="8453" xr:uid="{DA292079-1C1A-415A-AD6C-F618950AD6B1}"/>
    <cellStyle name="Normal 6 5 2 6 2" xfId="13812" xr:uid="{DA52A476-4587-4BB9-9DFE-6484816F8F6F}"/>
    <cellStyle name="Normal 6 5 2 7" xfId="11090" xr:uid="{38BEDC09-C59A-475C-9FBD-FFA925FB46E9}"/>
    <cellStyle name="Normal 6 5 3" xfId="3949" xr:uid="{00000000-0005-0000-0000-000075150000}"/>
    <cellStyle name="Normal 6 5 3 2" xfId="4575" xr:uid="{00000000-0005-0000-0000-000076150000}"/>
    <cellStyle name="Normal 6 5 3 2 2" xfId="7743" xr:uid="{00000000-0005-0000-0000-000077150000}"/>
    <cellStyle name="Normal 6 5 3 2 2 2" xfId="10411" xr:uid="{7F806601-C3DF-4F74-B648-60E1316E2FF4}"/>
    <cellStyle name="Normal 6 5 3 2 2 2 2" xfId="15801" xr:uid="{87B05F98-EB85-4C0F-8202-8527974E3BA3}"/>
    <cellStyle name="Normal 6 5 3 2 2 3" xfId="13048" xr:uid="{89CD6512-9672-4207-961C-A1CE3127BEC2}"/>
    <cellStyle name="Normal 6 5 3 2 3" xfId="9080" xr:uid="{3EBF83A0-2A68-4F16-B528-3DC004E22C60}"/>
    <cellStyle name="Normal 6 5 3 2 3 2" xfId="14439" xr:uid="{72A027B5-92BB-4AFF-96B4-2C600EE89241}"/>
    <cellStyle name="Normal 6 5 3 2 4" xfId="11717" xr:uid="{C525AA32-EFAC-4259-8535-E5EBDFE49BC9}"/>
    <cellStyle name="Normal 6 5 3 3" xfId="7119" xr:uid="{00000000-0005-0000-0000-000078150000}"/>
    <cellStyle name="Normal 6 5 3 3 2" xfId="9787" xr:uid="{DE44CAD8-B8BD-4CF1-B9FA-C3B7071CCA65}"/>
    <cellStyle name="Normal 6 5 3 3 2 2" xfId="15177" xr:uid="{72280EA9-B009-4ABC-90B4-E6A3D87A7DDE}"/>
    <cellStyle name="Normal 6 5 3 3 3" xfId="12424" xr:uid="{98C432E4-615C-48BB-942D-F858E21651F7}"/>
    <cellStyle name="Normal 6 5 3 4" xfId="8456" xr:uid="{C16389EB-85A0-4535-AF01-67607CB73330}"/>
    <cellStyle name="Normal 6 5 3 4 2" xfId="13815" xr:uid="{A264660F-902A-44F3-8746-97B3FF6B1D58}"/>
    <cellStyle name="Normal 6 5 3 5" xfId="11093" xr:uid="{9C42234B-108B-4717-BA23-15E7722245E8}"/>
    <cellStyle name="Normal 6 5 4" xfId="3950" xr:uid="{00000000-0005-0000-0000-000079150000}"/>
    <cellStyle name="Normal 6 5 4 2" xfId="4576" xr:uid="{00000000-0005-0000-0000-00007A150000}"/>
    <cellStyle name="Normal 6 5 4 2 2" xfId="7744" xr:uid="{00000000-0005-0000-0000-00007B150000}"/>
    <cellStyle name="Normal 6 5 4 2 2 2" xfId="10412" xr:uid="{BD0C5F6E-9A6E-435E-9855-4EBC4DF3E433}"/>
    <cellStyle name="Normal 6 5 4 2 2 2 2" xfId="15802" xr:uid="{53C70AA3-D7F9-465D-B316-F43E5CCFB218}"/>
    <cellStyle name="Normal 6 5 4 2 2 3" xfId="13049" xr:uid="{B91378F7-7227-49C5-A586-4C4AF1A586AD}"/>
    <cellStyle name="Normal 6 5 4 2 3" xfId="9081" xr:uid="{7FB21F58-7697-4EC6-8ED0-5FDC5849CE93}"/>
    <cellStyle name="Normal 6 5 4 2 3 2" xfId="14440" xr:uid="{ACFC69FF-22F5-47A9-ABBE-5E49ED37B611}"/>
    <cellStyle name="Normal 6 5 4 2 4" xfId="11718" xr:uid="{DE52DFC0-7053-4F45-A47D-4D5A1B89CEBD}"/>
    <cellStyle name="Normal 6 5 4 3" xfId="7120" xr:uid="{00000000-0005-0000-0000-00007C150000}"/>
    <cellStyle name="Normal 6 5 4 3 2" xfId="9788" xr:uid="{4313E2D9-7C8F-4632-A7AC-A578F9526E0A}"/>
    <cellStyle name="Normal 6 5 4 3 2 2" xfId="15178" xr:uid="{C902D839-0851-4157-B27E-4CDAC9306D27}"/>
    <cellStyle name="Normal 6 5 4 3 3" xfId="12425" xr:uid="{272E773F-4DB8-48B1-9071-2B0421085ABF}"/>
    <cellStyle name="Normal 6 5 4 4" xfId="8457" xr:uid="{0598BB11-4CE2-4453-B41E-0A8040B1D5E8}"/>
    <cellStyle name="Normal 6 5 4 4 2" xfId="13816" xr:uid="{9BE053A6-097B-4106-9ED7-9E9C950C049E}"/>
    <cellStyle name="Normal 6 5 4 5" xfId="11094" xr:uid="{13EEBD93-4E95-4F18-8117-8EA7043CCD5F}"/>
    <cellStyle name="Normal 6 5 5" xfId="3951" xr:uid="{00000000-0005-0000-0000-00007D150000}"/>
    <cellStyle name="Normal 6 5 5 2" xfId="4577" xr:uid="{00000000-0005-0000-0000-00007E150000}"/>
    <cellStyle name="Normal 6 5 5 2 2" xfId="7745" xr:uid="{00000000-0005-0000-0000-00007F150000}"/>
    <cellStyle name="Normal 6 5 5 2 2 2" xfId="10413" xr:uid="{9DF9E94D-79AD-4C5C-8EE8-7E0DABC08C75}"/>
    <cellStyle name="Normal 6 5 5 2 2 2 2" xfId="15803" xr:uid="{ABD8602A-10A4-4E28-9FFB-EEE9C39A4D3D}"/>
    <cellStyle name="Normal 6 5 5 2 2 3" xfId="13050" xr:uid="{990478B8-B885-4990-9F86-AE0B3D469C9D}"/>
    <cellStyle name="Normal 6 5 5 2 3" xfId="9082" xr:uid="{E4EAF585-4DC5-42D0-8BBA-BEFFEC8CB906}"/>
    <cellStyle name="Normal 6 5 5 2 3 2" xfId="14441" xr:uid="{64ECA372-CD74-483E-A7EB-760C78304F24}"/>
    <cellStyle name="Normal 6 5 5 2 4" xfId="11719" xr:uid="{2D3FEB71-7CAB-4819-AAA6-EF780222371C}"/>
    <cellStyle name="Normal 6 5 5 3" xfId="7121" xr:uid="{00000000-0005-0000-0000-000080150000}"/>
    <cellStyle name="Normal 6 5 5 3 2" xfId="9789" xr:uid="{77DA11FC-18C8-41D0-82A8-15BF2771796C}"/>
    <cellStyle name="Normal 6 5 5 3 2 2" xfId="15179" xr:uid="{EA4B00F3-8AA5-49E8-AC60-7C8A741DD07D}"/>
    <cellStyle name="Normal 6 5 5 3 3" xfId="12426" xr:uid="{7AA22A1F-F9AC-4BF5-9640-9672F752BB76}"/>
    <cellStyle name="Normal 6 5 5 4" xfId="8458" xr:uid="{B6D480FD-6EFA-4961-959C-6B82DA98A955}"/>
    <cellStyle name="Normal 6 5 5 4 2" xfId="13817" xr:uid="{A7F75BD4-5FF8-44EE-8A3C-AB9183B72CAB}"/>
    <cellStyle name="Normal 6 5 5 5" xfId="11095" xr:uid="{52639794-428C-4C31-AD2D-C1E3F7C89734}"/>
    <cellStyle name="Normal 6 5 6" xfId="4571" xr:uid="{00000000-0005-0000-0000-000081150000}"/>
    <cellStyle name="Normal 6 5 6 2" xfId="7739" xr:uid="{00000000-0005-0000-0000-000082150000}"/>
    <cellStyle name="Normal 6 5 6 2 2" xfId="10407" xr:uid="{AD68E54E-AF03-4DCB-8F94-FD1A3A9421BE}"/>
    <cellStyle name="Normal 6 5 6 2 2 2" xfId="15797" xr:uid="{3E82AC7D-0BAE-41C6-81F2-E4C89FD72DCB}"/>
    <cellStyle name="Normal 6 5 6 2 3" xfId="13044" xr:uid="{3861A6DD-9A9F-4C23-ABEF-C63E8629DD6C}"/>
    <cellStyle name="Normal 6 5 6 3" xfId="9076" xr:uid="{4EFCDC1C-37F3-49A2-81C2-BA87E030F78D}"/>
    <cellStyle name="Normal 6 5 6 3 2" xfId="14435" xr:uid="{414C9D70-B72C-471B-96E6-17FD903679D7}"/>
    <cellStyle name="Normal 6 5 6 4" xfId="11713" xr:uid="{55C923B6-7123-4E7A-B3E0-46F240963EC2}"/>
    <cellStyle name="Normal 6 5 7" xfId="3945" xr:uid="{00000000-0005-0000-0000-000083150000}"/>
    <cellStyle name="Normal 6 5 7 2" xfId="7115" xr:uid="{00000000-0005-0000-0000-000084150000}"/>
    <cellStyle name="Normal 6 5 7 2 2" xfId="9783" xr:uid="{EDC14345-9CE3-423D-AACC-6238913FA488}"/>
    <cellStyle name="Normal 6 5 7 2 2 2" xfId="15173" xr:uid="{33124E76-9003-4934-B285-868E78BCB98D}"/>
    <cellStyle name="Normal 6 5 7 2 3" xfId="12420" xr:uid="{91909C91-2E73-40CC-A24A-09BAFEAAD774}"/>
    <cellStyle name="Normal 6 5 7 3" xfId="8452" xr:uid="{D8F69FD5-329A-42CE-92E7-E13A2009A970}"/>
    <cellStyle name="Normal 6 5 7 3 2" xfId="13811" xr:uid="{C8EE9B21-FE47-4369-BD0E-29ABF6AF137E}"/>
    <cellStyle name="Normal 6 5 7 4" xfId="11089" xr:uid="{C20E99FF-8AFE-4003-B41A-32D5B481DB55}"/>
    <cellStyle name="Normal 6 5 8" xfId="6606" xr:uid="{00000000-0005-0000-0000-000085150000}"/>
    <cellStyle name="Normal 6 5 8 2" xfId="9283" xr:uid="{A1BFDDAC-4BC1-4B94-9541-A4D9FFBBA7C5}"/>
    <cellStyle name="Normal 6 5 8 2 2" xfId="14673" xr:uid="{426A206A-37BD-4175-9061-8794DDB29BE3}"/>
    <cellStyle name="Normal 6 5 8 3" xfId="11920" xr:uid="{D09D5BB3-3DF5-4AD2-87EF-90A52200DFA7}"/>
    <cellStyle name="Normal 6 5 9" xfId="7943" xr:uid="{B9DCAF64-75B3-4D5F-ACA0-BA95778F942D}"/>
    <cellStyle name="Normal 6 5 9 2" xfId="13303" xr:uid="{9BC7C5CA-742C-4A42-A00C-851CACC923A0}"/>
    <cellStyle name="Normal 6 6" xfId="3952" xr:uid="{00000000-0005-0000-0000-000086150000}"/>
    <cellStyle name="Normal 6 6 2" xfId="3953" xr:uid="{00000000-0005-0000-0000-000087150000}"/>
    <cellStyle name="Normal 6 6 2 2" xfId="3954" xr:uid="{00000000-0005-0000-0000-000088150000}"/>
    <cellStyle name="Normal 6 6 2 2 2" xfId="4580" xr:uid="{00000000-0005-0000-0000-000089150000}"/>
    <cellStyle name="Normal 6 6 2 2 2 2" xfId="7748" xr:uid="{00000000-0005-0000-0000-00008A150000}"/>
    <cellStyle name="Normal 6 6 2 2 2 2 2" xfId="10416" xr:uid="{4DF5F466-4C61-4513-B220-7027F426BE11}"/>
    <cellStyle name="Normal 6 6 2 2 2 2 2 2" xfId="15806" xr:uid="{8C607033-F036-4BBE-9976-AA0CC6F6B35F}"/>
    <cellStyle name="Normal 6 6 2 2 2 2 3" xfId="13053" xr:uid="{8AF34A6A-D0E5-4D10-B576-EFD925CCC76B}"/>
    <cellStyle name="Normal 6 6 2 2 2 3" xfId="9085" xr:uid="{8BCDAF4E-FBE2-4AE7-88E8-BFC91A9F91CF}"/>
    <cellStyle name="Normal 6 6 2 2 2 3 2" xfId="14444" xr:uid="{62EBEFEF-6707-42C4-8BCF-97F864382648}"/>
    <cellStyle name="Normal 6 6 2 2 2 4" xfId="11722" xr:uid="{D9940CF8-B7C8-47F0-87F8-87C709F9EA8E}"/>
    <cellStyle name="Normal 6 6 2 2 3" xfId="7124" xr:uid="{00000000-0005-0000-0000-00008B150000}"/>
    <cellStyle name="Normal 6 6 2 2 3 2" xfId="9792" xr:uid="{BD4064E6-CC2E-4B00-BD6B-A7F72491BF04}"/>
    <cellStyle name="Normal 6 6 2 2 3 2 2" xfId="15182" xr:uid="{B89AF427-2E9B-4614-BC0C-1852500B8437}"/>
    <cellStyle name="Normal 6 6 2 2 3 3" xfId="12429" xr:uid="{09DFD289-9C5B-46C4-90F4-33740F11AC89}"/>
    <cellStyle name="Normal 6 6 2 2 4" xfId="8461" xr:uid="{714EB69C-6CE9-486D-9BD6-C353DF21ED6A}"/>
    <cellStyle name="Normal 6 6 2 2 4 2" xfId="13820" xr:uid="{785FE977-FF82-457D-B0D5-6F8DB456D440}"/>
    <cellStyle name="Normal 6 6 2 2 5" xfId="11098" xr:uid="{2E05CDBC-237D-469C-96A2-EC48EFB43A5E}"/>
    <cellStyle name="Normal 6 6 2 3" xfId="3955" xr:uid="{00000000-0005-0000-0000-00008C150000}"/>
    <cellStyle name="Normal 6 6 2 3 2" xfId="4581" xr:uid="{00000000-0005-0000-0000-00008D150000}"/>
    <cellStyle name="Normal 6 6 2 3 2 2" xfId="7749" xr:uid="{00000000-0005-0000-0000-00008E150000}"/>
    <cellStyle name="Normal 6 6 2 3 2 2 2" xfId="10417" xr:uid="{1115DF30-D3AC-4412-B715-13161C8C2AFB}"/>
    <cellStyle name="Normal 6 6 2 3 2 2 2 2" xfId="15807" xr:uid="{592454FF-607A-4C71-8850-DE14B2664280}"/>
    <cellStyle name="Normal 6 6 2 3 2 2 3" xfId="13054" xr:uid="{441EE599-3029-4B10-A9D8-261DF3CCAC2A}"/>
    <cellStyle name="Normal 6 6 2 3 2 3" xfId="9086" xr:uid="{A649560B-924B-4B57-B501-B9E64A860939}"/>
    <cellStyle name="Normal 6 6 2 3 2 3 2" xfId="14445" xr:uid="{D42298B1-7707-46C9-97DD-154A7B84D5F7}"/>
    <cellStyle name="Normal 6 6 2 3 2 4" xfId="11723" xr:uid="{309D21B3-4EAE-4ABA-90F0-409F33FF4D99}"/>
    <cellStyle name="Normal 6 6 2 3 3" xfId="7125" xr:uid="{00000000-0005-0000-0000-00008F150000}"/>
    <cellStyle name="Normal 6 6 2 3 3 2" xfId="9793" xr:uid="{728CE56F-B09A-415F-AB9A-BF0EBA9AF2C6}"/>
    <cellStyle name="Normal 6 6 2 3 3 2 2" xfId="15183" xr:uid="{011D1CFC-B251-4A64-965C-2293693C45C0}"/>
    <cellStyle name="Normal 6 6 2 3 3 3" xfId="12430" xr:uid="{373D8B6F-2241-474E-80C2-8ED51527DBA8}"/>
    <cellStyle name="Normal 6 6 2 3 4" xfId="8462" xr:uid="{FE450B0A-8D9D-40EB-A952-281EC33BEBA2}"/>
    <cellStyle name="Normal 6 6 2 3 4 2" xfId="13821" xr:uid="{51097455-1871-4CB3-971B-D8BD07A8ECA5}"/>
    <cellStyle name="Normal 6 6 2 3 5" xfId="11099" xr:uid="{8232F297-8EFF-41DD-BCA1-82F27EC3DF1C}"/>
    <cellStyle name="Normal 6 6 2 4" xfId="4579" xr:uid="{00000000-0005-0000-0000-000090150000}"/>
    <cellStyle name="Normal 6 6 2 4 2" xfId="7747" xr:uid="{00000000-0005-0000-0000-000091150000}"/>
    <cellStyle name="Normal 6 6 2 4 2 2" xfId="10415" xr:uid="{2F88C478-9B1F-4049-BD75-40BEF62C1F95}"/>
    <cellStyle name="Normal 6 6 2 4 2 2 2" xfId="15805" xr:uid="{E63CE50F-BA19-460C-91D1-040942C8C001}"/>
    <cellStyle name="Normal 6 6 2 4 2 3" xfId="13052" xr:uid="{8EDD2B47-FA18-4945-9A9B-210E5154C323}"/>
    <cellStyle name="Normal 6 6 2 4 3" xfId="9084" xr:uid="{1E0397AB-0E13-4B55-A4AE-807E3EDCE37C}"/>
    <cellStyle name="Normal 6 6 2 4 3 2" xfId="14443" xr:uid="{4F4052AE-E26B-4556-9310-C6B9439D01CC}"/>
    <cellStyle name="Normal 6 6 2 4 4" xfId="11721" xr:uid="{81E7079A-70D4-4850-AE4A-42B8A8B3917A}"/>
    <cellStyle name="Normal 6 6 2 5" xfId="7123" xr:uid="{00000000-0005-0000-0000-000092150000}"/>
    <cellStyle name="Normal 6 6 2 5 2" xfId="9791" xr:uid="{B7F57EBE-5C11-42A1-891A-BE4D32069C72}"/>
    <cellStyle name="Normal 6 6 2 5 2 2" xfId="15181" xr:uid="{CA21A0F6-5CF3-49E8-89C9-9E4E2972BD16}"/>
    <cellStyle name="Normal 6 6 2 5 3" xfId="12428" xr:uid="{6E795FDD-F2A2-4267-9E2C-4B2F2EE4FA3E}"/>
    <cellStyle name="Normal 6 6 2 6" xfId="8460" xr:uid="{88684247-D233-4E01-819F-808E0CC7C7E3}"/>
    <cellStyle name="Normal 6 6 2 6 2" xfId="13819" xr:uid="{34A37328-4B99-4AD0-8C0D-0079BDF67165}"/>
    <cellStyle name="Normal 6 6 2 7" xfId="11097" xr:uid="{CB9C0C41-66ED-4A85-930A-3C068117A68A}"/>
    <cellStyle name="Normal 6 6 3" xfId="3956" xr:uid="{00000000-0005-0000-0000-000093150000}"/>
    <cellStyle name="Normal 6 6 3 2" xfId="4582" xr:uid="{00000000-0005-0000-0000-000094150000}"/>
    <cellStyle name="Normal 6 6 3 2 2" xfId="7750" xr:uid="{00000000-0005-0000-0000-000095150000}"/>
    <cellStyle name="Normal 6 6 3 2 2 2" xfId="10418" xr:uid="{16628D20-8293-43E7-BF2C-35CCEA6C0E6A}"/>
    <cellStyle name="Normal 6 6 3 2 2 2 2" xfId="15808" xr:uid="{9E290486-4EFE-4857-BCD6-A6B035D5D329}"/>
    <cellStyle name="Normal 6 6 3 2 2 3" xfId="13055" xr:uid="{7ACB8164-3C8D-47BA-B3A5-B6711C082593}"/>
    <cellStyle name="Normal 6 6 3 2 3" xfId="9087" xr:uid="{DACA9E4C-A8A0-47B8-B5F1-35C0347DF667}"/>
    <cellStyle name="Normal 6 6 3 2 3 2" xfId="14446" xr:uid="{6CA26265-1371-4514-A9C0-BAA1F8C26767}"/>
    <cellStyle name="Normal 6 6 3 2 4" xfId="11724" xr:uid="{EC1C8015-912F-4AF0-A7E8-01E67B4A6B12}"/>
    <cellStyle name="Normal 6 6 3 3" xfId="7126" xr:uid="{00000000-0005-0000-0000-000096150000}"/>
    <cellStyle name="Normal 6 6 3 3 2" xfId="9794" xr:uid="{5A42DB9A-52E7-4602-ABB0-31186B1A2E3B}"/>
    <cellStyle name="Normal 6 6 3 3 2 2" xfId="15184" xr:uid="{778ECC1F-817E-4FA2-B927-A1BD10BDF0F7}"/>
    <cellStyle name="Normal 6 6 3 3 3" xfId="12431" xr:uid="{871FCFCB-3B0D-468A-88AF-D8A2232F122E}"/>
    <cellStyle name="Normal 6 6 3 4" xfId="8463" xr:uid="{2AB50187-C788-4FDF-906D-34C50425299D}"/>
    <cellStyle name="Normal 6 6 3 4 2" xfId="13822" xr:uid="{57999466-6911-48FE-B876-ABAD1AD41D32}"/>
    <cellStyle name="Normal 6 6 3 5" xfId="11100" xr:uid="{94B89E69-7C48-44D4-BBCF-87BC41D87CC4}"/>
    <cellStyle name="Normal 6 6 4" xfId="3957" xr:uid="{00000000-0005-0000-0000-000097150000}"/>
    <cellStyle name="Normal 6 6 4 2" xfId="4583" xr:uid="{00000000-0005-0000-0000-000098150000}"/>
    <cellStyle name="Normal 6 6 4 2 2" xfId="7751" xr:uid="{00000000-0005-0000-0000-000099150000}"/>
    <cellStyle name="Normal 6 6 4 2 2 2" xfId="10419" xr:uid="{42690DC1-9E78-4084-879B-B37595D25537}"/>
    <cellStyle name="Normal 6 6 4 2 2 2 2" xfId="15809" xr:uid="{AD876525-E5FE-4986-BF46-0B1F86687730}"/>
    <cellStyle name="Normal 6 6 4 2 2 3" xfId="13056" xr:uid="{34CF9C86-3C2D-4738-94F2-E15CE7E278F6}"/>
    <cellStyle name="Normal 6 6 4 2 3" xfId="9088" xr:uid="{EC02F333-3DE3-468E-BE36-6E6BD90166E9}"/>
    <cellStyle name="Normal 6 6 4 2 3 2" xfId="14447" xr:uid="{4ABD4C1C-206E-4C44-B1D4-629536451C54}"/>
    <cellStyle name="Normal 6 6 4 2 4" xfId="11725" xr:uid="{264137B7-C28C-4003-9883-DDCF10CC876F}"/>
    <cellStyle name="Normal 6 6 4 3" xfId="7127" xr:uid="{00000000-0005-0000-0000-00009A150000}"/>
    <cellStyle name="Normal 6 6 4 3 2" xfId="9795" xr:uid="{E8488677-6428-4B3E-A6C7-AD5CEF2AD724}"/>
    <cellStyle name="Normal 6 6 4 3 2 2" xfId="15185" xr:uid="{1F5C09F9-862B-493D-A18A-320D3E5A0569}"/>
    <cellStyle name="Normal 6 6 4 3 3" xfId="12432" xr:uid="{BB109581-133D-4ABB-A8C3-1BC6CE428DC7}"/>
    <cellStyle name="Normal 6 6 4 4" xfId="8464" xr:uid="{BBE2AC55-56FC-4354-8A7F-A623FB9B7F05}"/>
    <cellStyle name="Normal 6 6 4 4 2" xfId="13823" xr:uid="{4D0D87F3-19EE-4A92-9D97-8940AD5DBEB5}"/>
    <cellStyle name="Normal 6 6 4 5" xfId="11101" xr:uid="{47E4953A-A05D-4DB7-A0FA-A80A5B36BB80}"/>
    <cellStyle name="Normal 6 6 5" xfId="3958" xr:uid="{00000000-0005-0000-0000-00009B150000}"/>
    <cellStyle name="Normal 6 6 5 2" xfId="4584" xr:uid="{00000000-0005-0000-0000-00009C150000}"/>
    <cellStyle name="Normal 6 6 5 2 2" xfId="7752" xr:uid="{00000000-0005-0000-0000-00009D150000}"/>
    <cellStyle name="Normal 6 6 5 2 2 2" xfId="10420" xr:uid="{7D894446-645C-410D-9836-803BF485FB3E}"/>
    <cellStyle name="Normal 6 6 5 2 2 2 2" xfId="15810" xr:uid="{48F3AE7F-3F7E-461F-8E6D-F5BE01561563}"/>
    <cellStyle name="Normal 6 6 5 2 2 3" xfId="13057" xr:uid="{C5C48ABC-77E1-4983-AA0F-4D75B9B24160}"/>
    <cellStyle name="Normal 6 6 5 2 3" xfId="9089" xr:uid="{AB7A3F48-1233-4B9A-A86A-028377C68729}"/>
    <cellStyle name="Normal 6 6 5 2 3 2" xfId="14448" xr:uid="{4D364ED6-8A1A-45EE-A761-DC8BCA073603}"/>
    <cellStyle name="Normal 6 6 5 2 4" xfId="11726" xr:uid="{43C575FF-122F-49F2-BAF0-7B2AE81DB0D6}"/>
    <cellStyle name="Normal 6 6 5 3" xfId="7128" xr:uid="{00000000-0005-0000-0000-00009E150000}"/>
    <cellStyle name="Normal 6 6 5 3 2" xfId="9796" xr:uid="{1C3C224B-B434-428F-8304-9F027F653B49}"/>
    <cellStyle name="Normal 6 6 5 3 2 2" xfId="15186" xr:uid="{8AE055DB-7417-4485-BE3F-D2500DC5F8BF}"/>
    <cellStyle name="Normal 6 6 5 3 3" xfId="12433" xr:uid="{BF9B3A35-CBCF-4DFC-8382-2F2B579B0221}"/>
    <cellStyle name="Normal 6 6 5 4" xfId="8465" xr:uid="{BD9E1313-B39C-4C51-A2C8-0BC04033A15D}"/>
    <cellStyle name="Normal 6 6 5 4 2" xfId="13824" xr:uid="{04B8EF75-CF3A-4992-A1CB-DE201F6B9827}"/>
    <cellStyle name="Normal 6 6 5 5" xfId="11102" xr:uid="{F8D13823-F08D-4111-8468-4275C95D1F9C}"/>
    <cellStyle name="Normal 6 6 6" xfId="4578" xr:uid="{00000000-0005-0000-0000-00009F150000}"/>
    <cellStyle name="Normal 6 6 6 2" xfId="7746" xr:uid="{00000000-0005-0000-0000-0000A0150000}"/>
    <cellStyle name="Normal 6 6 6 2 2" xfId="10414" xr:uid="{0702B8E7-9141-47BC-82D9-1E69887241DC}"/>
    <cellStyle name="Normal 6 6 6 2 2 2" xfId="15804" xr:uid="{46125983-ADC0-47A2-979F-49CB3E42F110}"/>
    <cellStyle name="Normal 6 6 6 2 3" xfId="13051" xr:uid="{A094281F-F52C-4BA4-8C69-DECC322938EC}"/>
    <cellStyle name="Normal 6 6 6 3" xfId="9083" xr:uid="{F461D069-1EF7-44FC-856F-5D252AC494CE}"/>
    <cellStyle name="Normal 6 6 6 3 2" xfId="14442" xr:uid="{E968CE90-C4B5-4346-BBA2-030B2BE628FF}"/>
    <cellStyle name="Normal 6 6 6 4" xfId="11720" xr:uid="{459E6E54-95C5-4B0C-B83E-6F18ED51DC3B}"/>
    <cellStyle name="Normal 6 6 7" xfId="7122" xr:uid="{00000000-0005-0000-0000-0000A1150000}"/>
    <cellStyle name="Normal 6 6 7 2" xfId="9790" xr:uid="{0EC3E1B6-F5CF-4377-9999-CE13494E8209}"/>
    <cellStyle name="Normal 6 6 7 2 2" xfId="15180" xr:uid="{E9E6460D-BB24-4FB3-B764-DE2107BAFE3E}"/>
    <cellStyle name="Normal 6 6 7 3" xfId="12427" xr:uid="{E56DC2B7-05E2-4C36-99F3-39AD10B33BBC}"/>
    <cellStyle name="Normal 6 6 8" xfId="8459" xr:uid="{C8EB41A4-474D-4EDC-9EC2-96A51DEC2826}"/>
    <cellStyle name="Normal 6 6 8 2" xfId="13818" xr:uid="{8E66961E-A8E7-40E0-BCE7-1B07710DFAA7}"/>
    <cellStyle name="Normal 6 6 9" xfId="11096" xr:uid="{338D0CFE-5BC9-4C1D-8E4B-95C3396A8A29}"/>
    <cellStyle name="Normal 6 7" xfId="3959" xr:uid="{00000000-0005-0000-0000-0000A2150000}"/>
    <cellStyle name="Normal 6 7 2" xfId="3960" xr:uid="{00000000-0005-0000-0000-0000A3150000}"/>
    <cellStyle name="Normal 6 7 2 2" xfId="3961" xr:uid="{00000000-0005-0000-0000-0000A4150000}"/>
    <cellStyle name="Normal 6 7 2 2 2" xfId="4587" xr:uid="{00000000-0005-0000-0000-0000A5150000}"/>
    <cellStyle name="Normal 6 7 2 2 2 2" xfId="7755" xr:uid="{00000000-0005-0000-0000-0000A6150000}"/>
    <cellStyle name="Normal 6 7 2 2 2 2 2" xfId="10423" xr:uid="{10D64241-CFB4-4169-B098-B2C23A3BD032}"/>
    <cellStyle name="Normal 6 7 2 2 2 2 2 2" xfId="15813" xr:uid="{BA7A1800-95B7-4DB5-833F-632D6F058154}"/>
    <cellStyle name="Normal 6 7 2 2 2 2 3" xfId="13060" xr:uid="{95F3C957-5466-4683-8FF1-9D2D4AF02E8C}"/>
    <cellStyle name="Normal 6 7 2 2 2 3" xfId="9092" xr:uid="{26DD1846-7401-4091-BE6C-0BF78F5729E9}"/>
    <cellStyle name="Normal 6 7 2 2 2 3 2" xfId="14451" xr:uid="{60942653-5EEE-48B9-9D3A-A9DF41E776BB}"/>
    <cellStyle name="Normal 6 7 2 2 2 4" xfId="11729" xr:uid="{47501A12-3B34-4B18-B12F-8806420B28FA}"/>
    <cellStyle name="Normal 6 7 2 2 3" xfId="7131" xr:uid="{00000000-0005-0000-0000-0000A7150000}"/>
    <cellStyle name="Normal 6 7 2 2 3 2" xfId="9799" xr:uid="{715A0F05-9C65-4845-B65C-E97657779C50}"/>
    <cellStyle name="Normal 6 7 2 2 3 2 2" xfId="15189" xr:uid="{84CF4746-089E-41D8-A0C4-E20D4B357155}"/>
    <cellStyle name="Normal 6 7 2 2 3 3" xfId="12436" xr:uid="{50B32569-B68D-4CD3-8BAC-D187D2F1F171}"/>
    <cellStyle name="Normal 6 7 2 2 4" xfId="8468" xr:uid="{30DB2F32-BAF6-4333-B25C-C01BC5640ADB}"/>
    <cellStyle name="Normal 6 7 2 2 4 2" xfId="13827" xr:uid="{D83C11AF-088D-4900-AD19-B09CC8BE7517}"/>
    <cellStyle name="Normal 6 7 2 2 5" xfId="11105" xr:uid="{F47063FB-7F34-4213-B506-4A9433FAF5C1}"/>
    <cellStyle name="Normal 6 7 2 3" xfId="3962" xr:uid="{00000000-0005-0000-0000-0000A8150000}"/>
    <cellStyle name="Normal 6 7 2 3 2" xfId="4588" xr:uid="{00000000-0005-0000-0000-0000A9150000}"/>
    <cellStyle name="Normal 6 7 2 3 2 2" xfId="7756" xr:uid="{00000000-0005-0000-0000-0000AA150000}"/>
    <cellStyle name="Normal 6 7 2 3 2 2 2" xfId="10424" xr:uid="{F4869D39-7F2C-4369-8237-556F66C86585}"/>
    <cellStyle name="Normal 6 7 2 3 2 2 2 2" xfId="15814" xr:uid="{D6ABE415-4181-4B4B-AD9F-54E746D177C8}"/>
    <cellStyle name="Normal 6 7 2 3 2 2 3" xfId="13061" xr:uid="{AAE9799C-BF34-408B-826A-530C23EAA3AB}"/>
    <cellStyle name="Normal 6 7 2 3 2 3" xfId="9093" xr:uid="{13C4F35B-1783-4D91-89C8-8864B503ED2F}"/>
    <cellStyle name="Normal 6 7 2 3 2 3 2" xfId="14452" xr:uid="{AB7C8D17-5E37-4C14-A918-16D975752141}"/>
    <cellStyle name="Normal 6 7 2 3 2 4" xfId="11730" xr:uid="{C3E42CB8-22D6-456A-842A-8F2C7740FCB6}"/>
    <cellStyle name="Normal 6 7 2 3 3" xfId="7132" xr:uid="{00000000-0005-0000-0000-0000AB150000}"/>
    <cellStyle name="Normal 6 7 2 3 3 2" xfId="9800" xr:uid="{5BA3FD20-A91B-4586-A7C4-3ECD6CCC2F0E}"/>
    <cellStyle name="Normal 6 7 2 3 3 2 2" xfId="15190" xr:uid="{8159207E-1EB4-4D79-AC2C-FA1EB759842E}"/>
    <cellStyle name="Normal 6 7 2 3 3 3" xfId="12437" xr:uid="{0DFEC931-B71C-4E76-8104-D4E1CA976020}"/>
    <cellStyle name="Normal 6 7 2 3 4" xfId="8469" xr:uid="{570E49DD-ABB9-4695-9BAF-589674F78B4F}"/>
    <cellStyle name="Normal 6 7 2 3 4 2" xfId="13828" xr:uid="{76763516-A741-4384-B844-246F31EB0DCB}"/>
    <cellStyle name="Normal 6 7 2 3 5" xfId="11106" xr:uid="{12E8110A-5770-4FA9-914C-9062BE0B0172}"/>
    <cellStyle name="Normal 6 7 2 4" xfId="4586" xr:uid="{00000000-0005-0000-0000-0000AC150000}"/>
    <cellStyle name="Normal 6 7 2 4 2" xfId="7754" xr:uid="{00000000-0005-0000-0000-0000AD150000}"/>
    <cellStyle name="Normal 6 7 2 4 2 2" xfId="10422" xr:uid="{F36C275F-856F-4772-805E-FE0E7D395EEF}"/>
    <cellStyle name="Normal 6 7 2 4 2 2 2" xfId="15812" xr:uid="{FD9158B9-9CDE-4CE8-9D93-344A94405C4B}"/>
    <cellStyle name="Normal 6 7 2 4 2 3" xfId="13059" xr:uid="{BD8A0179-D22E-4388-8136-5F72E15E3569}"/>
    <cellStyle name="Normal 6 7 2 4 3" xfId="9091" xr:uid="{632A66C9-A0DD-49CD-BA3C-2C0CFCF81D2F}"/>
    <cellStyle name="Normal 6 7 2 4 3 2" xfId="14450" xr:uid="{A617A923-2497-473A-B137-5BD6929038C0}"/>
    <cellStyle name="Normal 6 7 2 4 4" xfId="11728" xr:uid="{38981FB5-055C-45F1-87E1-82D6EFEF7B45}"/>
    <cellStyle name="Normal 6 7 2 5" xfId="7130" xr:uid="{00000000-0005-0000-0000-0000AE150000}"/>
    <cellStyle name="Normal 6 7 2 5 2" xfId="9798" xr:uid="{C924AF59-BCD3-4C0E-A227-4170D5D50F16}"/>
    <cellStyle name="Normal 6 7 2 5 2 2" xfId="15188" xr:uid="{433705FC-2D6A-48E5-BB7E-DDABB1235962}"/>
    <cellStyle name="Normal 6 7 2 5 3" xfId="12435" xr:uid="{46F76A28-98F8-4878-8E07-DF540F7FD4B9}"/>
    <cellStyle name="Normal 6 7 2 6" xfId="8467" xr:uid="{CC19B11D-29D3-43B5-BBA4-F53B886DCA4F}"/>
    <cellStyle name="Normal 6 7 2 6 2" xfId="13826" xr:uid="{42DD3D25-23F7-40FE-B2D3-4E6A0C3BA666}"/>
    <cellStyle name="Normal 6 7 2 7" xfId="11104" xr:uid="{C5FC56FB-4DA6-441A-BFF6-B65CA111114D}"/>
    <cellStyle name="Normal 6 7 3" xfId="3963" xr:uid="{00000000-0005-0000-0000-0000AF150000}"/>
    <cellStyle name="Normal 6 7 3 2" xfId="4589" xr:uid="{00000000-0005-0000-0000-0000B0150000}"/>
    <cellStyle name="Normal 6 7 3 2 2" xfId="7757" xr:uid="{00000000-0005-0000-0000-0000B1150000}"/>
    <cellStyle name="Normal 6 7 3 2 2 2" xfId="10425" xr:uid="{5713706B-C0AF-4571-B5EE-6BB74160A55C}"/>
    <cellStyle name="Normal 6 7 3 2 2 2 2" xfId="15815" xr:uid="{B92C0497-71AD-46B4-A63A-32417AA96436}"/>
    <cellStyle name="Normal 6 7 3 2 2 3" xfId="13062" xr:uid="{29E01611-45F5-4526-88A6-E24EC3D70B9A}"/>
    <cellStyle name="Normal 6 7 3 2 3" xfId="9094" xr:uid="{217DCF2E-5260-4D2F-B8EC-17D9BDBED344}"/>
    <cellStyle name="Normal 6 7 3 2 3 2" xfId="14453" xr:uid="{3037CF6D-40FF-49F9-A866-0F09C9552236}"/>
    <cellStyle name="Normal 6 7 3 2 4" xfId="11731" xr:uid="{637F47B7-6C3D-401C-86E2-C401238FF9F6}"/>
    <cellStyle name="Normal 6 7 3 3" xfId="7133" xr:uid="{00000000-0005-0000-0000-0000B2150000}"/>
    <cellStyle name="Normal 6 7 3 3 2" xfId="9801" xr:uid="{33BF8D79-2AC2-4552-8990-119E2C12D3FC}"/>
    <cellStyle name="Normal 6 7 3 3 2 2" xfId="15191" xr:uid="{6310EBEF-D5E2-4099-874D-5C2807B09490}"/>
    <cellStyle name="Normal 6 7 3 3 3" xfId="12438" xr:uid="{EBFA2386-83C0-4F2F-BB94-902CC68BC6F3}"/>
    <cellStyle name="Normal 6 7 3 4" xfId="8470" xr:uid="{9BD6E902-A6FF-493F-BA5C-05A7F7CDF85B}"/>
    <cellStyle name="Normal 6 7 3 4 2" xfId="13829" xr:uid="{AFF097E4-C38E-4710-8AEF-08E4143C4C46}"/>
    <cellStyle name="Normal 6 7 3 5" xfId="11107" xr:uid="{5E83D797-FD20-4EA4-BA7E-4559CA56AFFC}"/>
    <cellStyle name="Normal 6 7 4" xfId="3964" xr:uid="{00000000-0005-0000-0000-0000B3150000}"/>
    <cellStyle name="Normal 6 7 4 2" xfId="4590" xr:uid="{00000000-0005-0000-0000-0000B4150000}"/>
    <cellStyle name="Normal 6 7 4 2 2" xfId="7758" xr:uid="{00000000-0005-0000-0000-0000B5150000}"/>
    <cellStyle name="Normal 6 7 4 2 2 2" xfId="10426" xr:uid="{D275B795-CE53-421F-8815-3BE49DE7D649}"/>
    <cellStyle name="Normal 6 7 4 2 2 2 2" xfId="15816" xr:uid="{B46966E3-4C15-4980-B8AB-EA6B6DDEB996}"/>
    <cellStyle name="Normal 6 7 4 2 2 3" xfId="13063" xr:uid="{DB345914-8776-4373-88F0-8722B8D73800}"/>
    <cellStyle name="Normal 6 7 4 2 3" xfId="9095" xr:uid="{09CC067F-DE2F-40FD-B9CA-2A98CEDDAC84}"/>
    <cellStyle name="Normal 6 7 4 2 3 2" xfId="14454" xr:uid="{B4D56303-ECE6-4C3F-BFFA-183FA7469FC3}"/>
    <cellStyle name="Normal 6 7 4 2 4" xfId="11732" xr:uid="{74C29CE0-C8EB-4569-849E-E772A09FBA8B}"/>
    <cellStyle name="Normal 6 7 4 3" xfId="7134" xr:uid="{00000000-0005-0000-0000-0000B6150000}"/>
    <cellStyle name="Normal 6 7 4 3 2" xfId="9802" xr:uid="{FBE6C0ED-DC21-4156-8F59-248465618592}"/>
    <cellStyle name="Normal 6 7 4 3 2 2" xfId="15192" xr:uid="{50F383D9-0168-4CF2-BE1F-81146D0B3A0E}"/>
    <cellStyle name="Normal 6 7 4 3 3" xfId="12439" xr:uid="{591C6103-48DE-45D2-BC49-09E4D1E15EFE}"/>
    <cellStyle name="Normal 6 7 4 4" xfId="8471" xr:uid="{1BF59BEB-5148-4058-90F8-8250C4D0DEE3}"/>
    <cellStyle name="Normal 6 7 4 4 2" xfId="13830" xr:uid="{2CAB8E7F-42FF-4BAC-9F92-5447B1638024}"/>
    <cellStyle name="Normal 6 7 4 5" xfId="11108" xr:uid="{999B7BDB-579B-47CC-AF3E-604A2BAB4F55}"/>
    <cellStyle name="Normal 6 7 5" xfId="3965" xr:uid="{00000000-0005-0000-0000-0000B7150000}"/>
    <cellStyle name="Normal 6 7 5 2" xfId="4591" xr:uid="{00000000-0005-0000-0000-0000B8150000}"/>
    <cellStyle name="Normal 6 7 5 2 2" xfId="7759" xr:uid="{00000000-0005-0000-0000-0000B9150000}"/>
    <cellStyle name="Normal 6 7 5 2 2 2" xfId="10427" xr:uid="{6F31EC3E-8C24-47F0-A4FD-7EBD3B479796}"/>
    <cellStyle name="Normal 6 7 5 2 2 2 2" xfId="15817" xr:uid="{094D3024-194A-433D-BF44-9A8D89D04DD1}"/>
    <cellStyle name="Normal 6 7 5 2 2 3" xfId="13064" xr:uid="{5E2BC55D-B7D8-4465-AEBB-E3D00754CA27}"/>
    <cellStyle name="Normal 6 7 5 2 3" xfId="9096" xr:uid="{0D9628D0-E619-4678-84C8-A312AC24209A}"/>
    <cellStyle name="Normal 6 7 5 2 3 2" xfId="14455" xr:uid="{E1E2465B-AF12-4A7D-92D6-1A0B0BD03ECF}"/>
    <cellStyle name="Normal 6 7 5 2 4" xfId="11733" xr:uid="{C1070934-DF02-41BB-9B6F-5A7E315DCCC0}"/>
    <cellStyle name="Normal 6 7 5 3" xfId="7135" xr:uid="{00000000-0005-0000-0000-0000BA150000}"/>
    <cellStyle name="Normal 6 7 5 3 2" xfId="9803" xr:uid="{5A7DE2B0-6AA1-4823-B739-84465F301348}"/>
    <cellStyle name="Normal 6 7 5 3 2 2" xfId="15193" xr:uid="{97FAAD56-1203-4F08-9F60-8C9DD8E1A210}"/>
    <cellStyle name="Normal 6 7 5 3 3" xfId="12440" xr:uid="{DFF6715E-5263-452D-87E7-ED825A548358}"/>
    <cellStyle name="Normal 6 7 5 4" xfId="8472" xr:uid="{41A9581F-8053-4A9A-97B6-46E2B8C13348}"/>
    <cellStyle name="Normal 6 7 5 4 2" xfId="13831" xr:uid="{33DA0308-7C1A-4E7A-8E11-CF495437C380}"/>
    <cellStyle name="Normal 6 7 5 5" xfId="11109" xr:uid="{7D0E05DA-67A3-4C31-942A-571EF16195C2}"/>
    <cellStyle name="Normal 6 7 6" xfId="4585" xr:uid="{00000000-0005-0000-0000-0000BB150000}"/>
    <cellStyle name="Normal 6 7 6 2" xfId="7753" xr:uid="{00000000-0005-0000-0000-0000BC150000}"/>
    <cellStyle name="Normal 6 7 6 2 2" xfId="10421" xr:uid="{D75E91B3-1078-47B3-8BBA-053B4D64DC6A}"/>
    <cellStyle name="Normal 6 7 6 2 2 2" xfId="15811" xr:uid="{A5389648-C38C-499E-912D-CAF446938EB7}"/>
    <cellStyle name="Normal 6 7 6 2 3" xfId="13058" xr:uid="{A0F14ED9-A00B-481C-B877-F9C2F39D213E}"/>
    <cellStyle name="Normal 6 7 6 3" xfId="9090" xr:uid="{60C677B7-1999-4171-A2EA-D72DD6E0743B}"/>
    <cellStyle name="Normal 6 7 6 3 2" xfId="14449" xr:uid="{B5B78E02-E622-4513-9FC7-A0D27C67B100}"/>
    <cellStyle name="Normal 6 7 6 4" xfId="11727" xr:uid="{7C2CC303-EF51-4180-A65D-98660FE1DAF8}"/>
    <cellStyle name="Normal 6 7 7" xfId="7129" xr:uid="{00000000-0005-0000-0000-0000BD150000}"/>
    <cellStyle name="Normal 6 7 7 2" xfId="9797" xr:uid="{A4B8EEF2-67B9-4A85-A5B5-8501B55BA70C}"/>
    <cellStyle name="Normal 6 7 7 2 2" xfId="15187" xr:uid="{11546F0A-1A32-4EDD-A0D3-D50622F78D59}"/>
    <cellStyle name="Normal 6 7 7 3" xfId="12434" xr:uid="{E0078651-98C4-41B2-9591-71F5E37D89F2}"/>
    <cellStyle name="Normal 6 7 8" xfId="8466" xr:uid="{09EEAAC8-D5EC-4780-9A08-517952A8B9EB}"/>
    <cellStyle name="Normal 6 7 8 2" xfId="13825" xr:uid="{203AE5F3-D63D-4132-B8F6-DA2AD844070C}"/>
    <cellStyle name="Normal 6 7 9" xfId="11103" xr:uid="{D18115B4-25A9-45F2-A4EF-50BB2A03444C}"/>
    <cellStyle name="Normal 6 8" xfId="3966" xr:uid="{00000000-0005-0000-0000-0000BE150000}"/>
    <cellStyle name="Normal 6 8 2" xfId="3967" xr:uid="{00000000-0005-0000-0000-0000BF150000}"/>
    <cellStyle name="Normal 6 8 2 2" xfId="4593" xr:uid="{00000000-0005-0000-0000-0000C0150000}"/>
    <cellStyle name="Normal 6 8 2 2 2" xfId="7761" xr:uid="{00000000-0005-0000-0000-0000C1150000}"/>
    <cellStyle name="Normal 6 8 2 2 2 2" xfId="10429" xr:uid="{5AB3438B-DD86-40A5-B2CC-0924B83BB2A2}"/>
    <cellStyle name="Normal 6 8 2 2 2 2 2" xfId="15819" xr:uid="{B7C928F1-FD91-4881-94D0-5E9A2A769162}"/>
    <cellStyle name="Normal 6 8 2 2 2 3" xfId="13066" xr:uid="{DD3BAC26-A9B3-4063-9269-D75E5D2CDE39}"/>
    <cellStyle name="Normal 6 8 2 2 3" xfId="9098" xr:uid="{6404FB8D-273B-4D0D-ACB2-FC39F267E87C}"/>
    <cellStyle name="Normal 6 8 2 2 3 2" xfId="14457" xr:uid="{7BC7BAC1-ED92-49A1-8A25-67597670DE80}"/>
    <cellStyle name="Normal 6 8 2 2 4" xfId="11735" xr:uid="{D8ACC553-1485-4472-A077-A08D9E7C64A7}"/>
    <cellStyle name="Normal 6 8 2 3" xfId="7137" xr:uid="{00000000-0005-0000-0000-0000C2150000}"/>
    <cellStyle name="Normal 6 8 2 3 2" xfId="9805" xr:uid="{56294548-57FF-4584-80F2-D5AF3096F1A3}"/>
    <cellStyle name="Normal 6 8 2 3 2 2" xfId="15195" xr:uid="{C83BD05A-A67B-4068-87AC-C3788B47BB55}"/>
    <cellStyle name="Normal 6 8 2 3 3" xfId="12442" xr:uid="{EB27629F-9319-4D96-A657-22DDA996FB27}"/>
    <cellStyle name="Normal 6 8 2 4" xfId="8474" xr:uid="{C03D31DA-AFA4-46FD-AA88-53C0315B791F}"/>
    <cellStyle name="Normal 6 8 2 4 2" xfId="13833" xr:uid="{7F6C6A1B-8FA4-4369-9676-B406C030D829}"/>
    <cellStyle name="Normal 6 8 2 5" xfId="11111" xr:uid="{9AB0C436-13AB-4C66-A471-AE010A55B0C7}"/>
    <cellStyle name="Normal 6 8 3" xfId="3968" xr:uid="{00000000-0005-0000-0000-0000C3150000}"/>
    <cellStyle name="Normal 6 8 3 2" xfId="4594" xr:uid="{00000000-0005-0000-0000-0000C4150000}"/>
    <cellStyle name="Normal 6 8 3 2 2" xfId="7762" xr:uid="{00000000-0005-0000-0000-0000C5150000}"/>
    <cellStyle name="Normal 6 8 3 2 2 2" xfId="10430" xr:uid="{CAE401A2-8E88-4A0C-952D-BBB36ED784B4}"/>
    <cellStyle name="Normal 6 8 3 2 2 2 2" xfId="15820" xr:uid="{D9F60656-4110-44D9-85CB-252BE4ED4CA6}"/>
    <cellStyle name="Normal 6 8 3 2 2 3" xfId="13067" xr:uid="{77F51647-D6DE-44FF-9341-A4C329BFFC64}"/>
    <cellStyle name="Normal 6 8 3 2 3" xfId="9099" xr:uid="{2C3FEAB3-757C-4492-BF64-A30BA510843A}"/>
    <cellStyle name="Normal 6 8 3 2 3 2" xfId="14458" xr:uid="{C6B5A2CF-D1BB-4C53-ADB8-CB89CEAD44B1}"/>
    <cellStyle name="Normal 6 8 3 2 4" xfId="11736" xr:uid="{301FF2D4-86AB-4666-B5CC-5565C58C47FB}"/>
    <cellStyle name="Normal 6 8 3 3" xfId="7138" xr:uid="{00000000-0005-0000-0000-0000C6150000}"/>
    <cellStyle name="Normal 6 8 3 3 2" xfId="9806" xr:uid="{43411F5A-7B52-457F-BE28-050113BCB338}"/>
    <cellStyle name="Normal 6 8 3 3 2 2" xfId="15196" xr:uid="{A159FA7D-366B-4068-997D-2B0A71F4A014}"/>
    <cellStyle name="Normal 6 8 3 3 3" xfId="12443" xr:uid="{3CC6CA71-C649-4CC6-8471-B5EDC4A16DE7}"/>
    <cellStyle name="Normal 6 8 3 4" xfId="8475" xr:uid="{92AB0D63-7BE3-47F9-B0ED-DC40050BD563}"/>
    <cellStyle name="Normal 6 8 3 4 2" xfId="13834" xr:uid="{3A41B97F-C06B-4F5F-BE25-AD736692AF97}"/>
    <cellStyle name="Normal 6 8 3 5" xfId="11112" xr:uid="{B49D2F7E-FB54-44E6-951A-79B1FD8186CF}"/>
    <cellStyle name="Normal 6 8 4" xfId="4592" xr:uid="{00000000-0005-0000-0000-0000C7150000}"/>
    <cellStyle name="Normal 6 8 4 2" xfId="7760" xr:uid="{00000000-0005-0000-0000-0000C8150000}"/>
    <cellStyle name="Normal 6 8 4 2 2" xfId="10428" xr:uid="{3F1D08A0-2CB1-4CA0-A3C9-5AA5E6F4CCC9}"/>
    <cellStyle name="Normal 6 8 4 2 2 2" xfId="15818" xr:uid="{CE5120D0-BA21-4B47-8FAE-6A70FE96AFFB}"/>
    <cellStyle name="Normal 6 8 4 2 3" xfId="13065" xr:uid="{1CE09E3B-9E7F-4869-A16B-3CF3C0659448}"/>
    <cellStyle name="Normal 6 8 4 3" xfId="9097" xr:uid="{FE41FEBE-BF75-47C8-9C4F-EC39CEDFF518}"/>
    <cellStyle name="Normal 6 8 4 3 2" xfId="14456" xr:uid="{BDB77B76-6F38-4550-89FB-DDAD44376B3F}"/>
    <cellStyle name="Normal 6 8 4 4" xfId="11734" xr:uid="{136D4672-989F-42C9-9640-9867964A988C}"/>
    <cellStyle name="Normal 6 8 5" xfId="7136" xr:uid="{00000000-0005-0000-0000-0000C9150000}"/>
    <cellStyle name="Normal 6 8 5 2" xfId="9804" xr:uid="{A415BFC0-0BE7-4BB8-AC6E-6F1DD2241ADF}"/>
    <cellStyle name="Normal 6 8 5 2 2" xfId="15194" xr:uid="{DA2D844D-8067-43A3-B96B-0073022CF4E6}"/>
    <cellStyle name="Normal 6 8 5 3" xfId="12441" xr:uid="{14803C24-CC57-4228-8E70-307EFB6E6A10}"/>
    <cellStyle name="Normal 6 8 6" xfId="8473" xr:uid="{B07D99FB-04FF-4674-AABB-BBAB9F28D387}"/>
    <cellStyle name="Normal 6 8 6 2" xfId="13832" xr:uid="{4F6BFDBA-27EF-472D-92F2-B21B0032E743}"/>
    <cellStyle name="Normal 6 8 7" xfId="11110" xr:uid="{9587DF23-A729-4707-96B8-71B02E7E6AB0}"/>
    <cellStyle name="Normal 6 9" xfId="3969" xr:uid="{00000000-0005-0000-0000-0000CA150000}"/>
    <cellStyle name="Normal 6 9 2" xfId="3970" xr:uid="{00000000-0005-0000-0000-0000CB150000}"/>
    <cellStyle name="Normal 6 9 2 2" xfId="4596" xr:uid="{00000000-0005-0000-0000-0000CC150000}"/>
    <cellStyle name="Normal 6 9 2 2 2" xfId="7764" xr:uid="{00000000-0005-0000-0000-0000CD150000}"/>
    <cellStyle name="Normal 6 9 2 2 2 2" xfId="10432" xr:uid="{3295BD95-27CA-4884-A83A-7A191087DAD2}"/>
    <cellStyle name="Normal 6 9 2 2 2 2 2" xfId="15822" xr:uid="{A0520669-0ED6-4F0F-B64B-44F5E840EA3C}"/>
    <cellStyle name="Normal 6 9 2 2 2 3" xfId="13069" xr:uid="{6E7FC523-6FD7-4D82-92BE-572E76F81FED}"/>
    <cellStyle name="Normal 6 9 2 2 3" xfId="9101" xr:uid="{9594BCB2-EFC9-481E-86AD-BA1546DC0B30}"/>
    <cellStyle name="Normal 6 9 2 2 3 2" xfId="14460" xr:uid="{3B2472C6-FEA9-4562-AF2C-593ABF2D72A7}"/>
    <cellStyle name="Normal 6 9 2 2 4" xfId="11738" xr:uid="{BBD9114B-9A2B-48C2-8988-6B6CDC771A01}"/>
    <cellStyle name="Normal 6 9 2 3" xfId="7140" xr:uid="{00000000-0005-0000-0000-0000CE150000}"/>
    <cellStyle name="Normal 6 9 2 3 2" xfId="9808" xr:uid="{21D91492-8517-49C0-93A6-0E16DA202A3E}"/>
    <cellStyle name="Normal 6 9 2 3 2 2" xfId="15198" xr:uid="{083B9FD3-0297-491A-B81B-2872115654D7}"/>
    <cellStyle name="Normal 6 9 2 3 3" xfId="12445" xr:uid="{3DE22DFC-E27D-452C-826D-D22CEE8B94BD}"/>
    <cellStyle name="Normal 6 9 2 4" xfId="8477" xr:uid="{2A38B7A2-D188-47FD-9685-0C13745D4827}"/>
    <cellStyle name="Normal 6 9 2 4 2" xfId="13836" xr:uid="{AD80068B-8457-41C0-8B7C-50EA2957733A}"/>
    <cellStyle name="Normal 6 9 2 5" xfId="11114" xr:uid="{46CCC439-C613-4498-8D18-4075B651376A}"/>
    <cellStyle name="Normal 6 9 3" xfId="4595" xr:uid="{00000000-0005-0000-0000-0000CF150000}"/>
    <cellStyle name="Normal 6 9 3 2" xfId="7763" xr:uid="{00000000-0005-0000-0000-0000D0150000}"/>
    <cellStyle name="Normal 6 9 3 2 2" xfId="10431" xr:uid="{C122E8EB-3E30-4874-A192-314414CE0459}"/>
    <cellStyle name="Normal 6 9 3 2 2 2" xfId="15821" xr:uid="{83002E94-BB2C-4757-A648-17F910FD1451}"/>
    <cellStyle name="Normal 6 9 3 2 3" xfId="13068" xr:uid="{F6CB6FCB-D145-432E-8684-8ADD4F697D8F}"/>
    <cellStyle name="Normal 6 9 3 3" xfId="9100" xr:uid="{26602FA3-ADF6-47FD-8D8F-F56CB8CBB915}"/>
    <cellStyle name="Normal 6 9 3 3 2" xfId="14459" xr:uid="{8672F7E3-5CB6-4978-9396-920058F45280}"/>
    <cellStyle name="Normal 6 9 3 4" xfId="11737" xr:uid="{D427CAB0-1AA5-492F-BA7A-B6F594053EB4}"/>
    <cellStyle name="Normal 6 9 4" xfId="7139" xr:uid="{00000000-0005-0000-0000-0000D1150000}"/>
    <cellStyle name="Normal 6 9 4 2" xfId="9807" xr:uid="{315451AB-D76B-4AE1-A2E0-D9A70452D220}"/>
    <cellStyle name="Normal 6 9 4 2 2" xfId="15197" xr:uid="{18BE32DF-478D-4DA3-9018-978B531D09E1}"/>
    <cellStyle name="Normal 6 9 4 3" xfId="12444" xr:uid="{8D34FB35-7388-49CD-9CDF-9A40C65852DD}"/>
    <cellStyle name="Normal 6 9 5" xfId="8476" xr:uid="{4D348F76-64F1-4077-819A-59B12C08B5C9}"/>
    <cellStyle name="Normal 6 9 5 2" xfId="13835" xr:uid="{80636D29-C1E5-4D9D-BF5D-90A55DDB1D18}"/>
    <cellStyle name="Normal 6 9 6" xfId="11113" xr:uid="{486F7D5F-02A2-422D-9343-2B2ED6DCBC59}"/>
    <cellStyle name="Normal 7" xfId="991" xr:uid="{00000000-0005-0000-0000-0000D2150000}"/>
    <cellStyle name="Normal 7 10" xfId="3459" xr:uid="{00000000-0005-0000-0000-0000D3150000}"/>
    <cellStyle name="Normal 7 10 2" xfId="6667" xr:uid="{00000000-0005-0000-0000-0000D4150000}"/>
    <cellStyle name="Normal 7 10 2 2" xfId="9335" xr:uid="{EF2C6845-9543-4DD3-B233-29FC017A9EC1}"/>
    <cellStyle name="Normal 7 10 2 2 2" xfId="14725" xr:uid="{B3337D8F-4061-469E-AA05-242B841BC07E}"/>
    <cellStyle name="Normal 7 10 2 3" xfId="11972" xr:uid="{C346A785-796D-4611-8999-63F9F12CB79C}"/>
    <cellStyle name="Normal 7 10 3" xfId="7999" xr:uid="{D800FCE7-B36A-45D0-BFF7-14D905CC9DBE}"/>
    <cellStyle name="Normal 7 10 3 2" xfId="13358" xr:uid="{6183478E-0C54-4296-9D13-F0527FE4EB35}"/>
    <cellStyle name="Normal 7 10 4" xfId="10641" xr:uid="{440B5988-0F5D-47A9-9E3A-3B5CF4D4EF55}"/>
    <cellStyle name="Normal 7 2" xfId="992" xr:uid="{00000000-0005-0000-0000-0000D5150000}"/>
    <cellStyle name="Normal 7 2 2" xfId="3323" xr:uid="{00000000-0005-0000-0000-0000D6150000}"/>
    <cellStyle name="Normal 7 2 2 2" xfId="3973" xr:uid="{00000000-0005-0000-0000-0000D7150000}"/>
    <cellStyle name="Normal 7 2 2 3" xfId="4134" xr:uid="{00000000-0005-0000-0000-0000D8150000}"/>
    <cellStyle name="Normal 7 2 2 3 2" xfId="7302" xr:uid="{00000000-0005-0000-0000-0000D9150000}"/>
    <cellStyle name="Normal 7 2 2 3 2 2" xfId="9970" xr:uid="{5C452575-0756-45F7-957D-4A7AF6DA357D}"/>
    <cellStyle name="Normal 7 2 2 3 2 2 2" xfId="15360" xr:uid="{2876EE58-0888-4805-BA9C-15821695BB72}"/>
    <cellStyle name="Normal 7 2 2 3 2 3" xfId="12607" xr:uid="{BC214571-8FA3-4FE6-8455-82998CAFA5CB}"/>
    <cellStyle name="Normal 7 2 2 3 3" xfId="8639" xr:uid="{03AA310F-E554-4294-B84F-2180E482451A}"/>
    <cellStyle name="Normal 7 2 2 3 3 2" xfId="13998" xr:uid="{F4A01065-E858-47ED-9C2D-8D999A548E0C}"/>
    <cellStyle name="Normal 7 2 2 3 4" xfId="11276" xr:uid="{44377327-3604-42F1-A3A0-2D3B8D446BB6}"/>
    <cellStyle name="Normal 7 2 2 4" xfId="3483" xr:uid="{00000000-0005-0000-0000-0000DA150000}"/>
    <cellStyle name="Normal 7 2 2 4 2" xfId="6691" xr:uid="{00000000-0005-0000-0000-0000DB150000}"/>
    <cellStyle name="Normal 7 2 2 4 2 2" xfId="9359" xr:uid="{781418EF-4863-41DB-A8F4-955D29CD47F8}"/>
    <cellStyle name="Normal 7 2 2 4 2 2 2" xfId="14749" xr:uid="{18D3437D-2030-41AF-896B-15F6ADDCCBBA}"/>
    <cellStyle name="Normal 7 2 2 4 2 3" xfId="11996" xr:uid="{5054E9B6-88B2-46CA-90F1-0079A350E2B6}"/>
    <cellStyle name="Normal 7 2 2 4 3" xfId="8023" xr:uid="{8D7A07C1-EC61-416D-B34B-63BC2D8B2DFA}"/>
    <cellStyle name="Normal 7 2 2 4 3 2" xfId="13382" xr:uid="{99A6C669-D8EE-4EA6-8A04-380A49B287DF}"/>
    <cellStyle name="Normal 7 2 2 4 4" xfId="10665" xr:uid="{26560211-6922-4A7E-8D93-B6DBFE455E00}"/>
    <cellStyle name="Normal 7 2 3" xfId="3499" xr:uid="{00000000-0005-0000-0000-0000DC150000}"/>
    <cellStyle name="Normal 7 2 3 2" xfId="3974" xr:uid="{00000000-0005-0000-0000-0000DD150000}"/>
    <cellStyle name="Normal 7 2 3 2 2" xfId="4598" xr:uid="{00000000-0005-0000-0000-0000DE150000}"/>
    <cellStyle name="Normal 7 2 3 2 2 2" xfId="7766" xr:uid="{00000000-0005-0000-0000-0000DF150000}"/>
    <cellStyle name="Normal 7 2 3 2 2 2 2" xfId="10434" xr:uid="{FED12FE9-F0D0-4FD9-9710-CEFAFA17BD21}"/>
    <cellStyle name="Normal 7 2 3 2 2 2 2 2" xfId="15824" xr:uid="{8BDB517B-F951-40F2-9455-5180A45BA0EB}"/>
    <cellStyle name="Normal 7 2 3 2 2 2 3" xfId="13071" xr:uid="{D07AD5BC-AFCA-4816-B748-851074D3C266}"/>
    <cellStyle name="Normal 7 2 3 2 2 3" xfId="9103" xr:uid="{3E10E01A-3F01-4F4A-8AAD-E6E73EAC26AF}"/>
    <cellStyle name="Normal 7 2 3 2 2 3 2" xfId="14462" xr:uid="{7BADC986-E6A7-4151-8673-D4A69B8374A3}"/>
    <cellStyle name="Normal 7 2 3 2 2 4" xfId="11740" xr:uid="{B1C38736-4D2E-4163-ACB7-0913D0756019}"/>
    <cellStyle name="Normal 7 2 3 2 3" xfId="7142" xr:uid="{00000000-0005-0000-0000-0000E0150000}"/>
    <cellStyle name="Normal 7 2 3 2 3 2" xfId="9810" xr:uid="{42F89C98-F34D-4E58-A61F-9A95603A4BCB}"/>
    <cellStyle name="Normal 7 2 3 2 3 2 2" xfId="15200" xr:uid="{BCE7F89E-5D0B-4EBA-BC22-402628C24514}"/>
    <cellStyle name="Normal 7 2 3 2 3 3" xfId="12447" xr:uid="{87DBA193-919F-448D-8041-112F6F905972}"/>
    <cellStyle name="Normal 7 2 3 2 4" xfId="8479" xr:uid="{03453C3D-A90B-420A-A032-BF9C3ACC727A}"/>
    <cellStyle name="Normal 7 2 3 2 4 2" xfId="13838" xr:uid="{A7473376-29B6-497D-BF7F-68A33B1E07BF}"/>
    <cellStyle name="Normal 7 2 3 2 5" xfId="11116" xr:uid="{5C03EBF2-2C64-4C7A-B310-6F711AD87302}"/>
    <cellStyle name="Normal 7 2 3 3" xfId="4150" xr:uid="{00000000-0005-0000-0000-0000E1150000}"/>
    <cellStyle name="Normal 7 2 3 3 2" xfId="7318" xr:uid="{00000000-0005-0000-0000-0000E2150000}"/>
    <cellStyle name="Normal 7 2 3 3 2 2" xfId="9986" xr:uid="{CC0EBE6D-4F7F-4402-95A9-ED32E08EE7F5}"/>
    <cellStyle name="Normal 7 2 3 3 2 2 2" xfId="15376" xr:uid="{4579C1C2-9137-4BE8-B62E-7757C3F926A5}"/>
    <cellStyle name="Normal 7 2 3 3 2 3" xfId="12623" xr:uid="{34243544-2E36-48D0-8EE8-735D36CF46C8}"/>
    <cellStyle name="Normal 7 2 3 3 3" xfId="8655" xr:uid="{8C46A8C3-57BE-4569-9F0E-468009D11D24}"/>
    <cellStyle name="Normal 7 2 3 3 3 2" xfId="14014" xr:uid="{B172188E-D75B-443C-83B1-DC31170474C1}"/>
    <cellStyle name="Normal 7 2 3 3 4" xfId="11292" xr:uid="{C554363F-003E-4D67-9DCF-12D47E5FF78A}"/>
    <cellStyle name="Normal 7 2 3 4" xfId="6707" xr:uid="{00000000-0005-0000-0000-0000E3150000}"/>
    <cellStyle name="Normal 7 2 3 4 2" xfId="9375" xr:uid="{60FFEB94-E54D-4363-92E7-74DD3072EE14}"/>
    <cellStyle name="Normal 7 2 3 4 2 2" xfId="14765" xr:uid="{C5D78B71-0143-425F-9F72-707FC355BC46}"/>
    <cellStyle name="Normal 7 2 3 4 3" xfId="12012" xr:uid="{6394ECEB-9A26-4CF8-A1C9-9A6C6677EACD}"/>
    <cellStyle name="Normal 7 2 3 5" xfId="8039" xr:uid="{3E52E531-AA11-48A8-9CE5-E6EF360FEFEF}"/>
    <cellStyle name="Normal 7 2 3 5 2" xfId="13398" xr:uid="{6968903C-CAF4-4302-9B48-FA8850784109}"/>
    <cellStyle name="Normal 7 2 3 6" xfId="10681" xr:uid="{0DBC6EC6-8ADB-41C2-A309-7C67B54944C8}"/>
    <cellStyle name="Normal 7 2 4" xfId="3972" xr:uid="{00000000-0005-0000-0000-0000E4150000}"/>
    <cellStyle name="Normal 7 2 5" xfId="4118" xr:uid="{00000000-0005-0000-0000-0000E5150000}"/>
    <cellStyle name="Normal 7 2 5 2" xfId="7286" xr:uid="{00000000-0005-0000-0000-0000E6150000}"/>
    <cellStyle name="Normal 7 2 5 2 2" xfId="9954" xr:uid="{FF829C05-BE60-4925-8634-B82DCAFFC4C4}"/>
    <cellStyle name="Normal 7 2 5 2 2 2" xfId="15344" xr:uid="{14D34D83-E6EE-469B-A56C-9C97ECCB7638}"/>
    <cellStyle name="Normal 7 2 5 2 3" xfId="12591" xr:uid="{B347ECE5-6417-44D0-B47E-F541C2DC2A7A}"/>
    <cellStyle name="Normal 7 2 5 3" xfId="8623" xr:uid="{EC59734D-CDE3-48CA-9FB8-E13DBAB3057E}"/>
    <cellStyle name="Normal 7 2 5 3 2" xfId="13982" xr:uid="{E76E1B6E-0B3F-4C96-B2CA-D177D651D6F2}"/>
    <cellStyle name="Normal 7 2 5 4" xfId="11260" xr:uid="{776A2CE8-7396-40F4-877D-BC3C59908D6C}"/>
    <cellStyle name="Normal 7 2 6" xfId="3467" xr:uid="{00000000-0005-0000-0000-0000E7150000}"/>
    <cellStyle name="Normal 7 2 6 2" xfId="6675" xr:uid="{00000000-0005-0000-0000-0000E8150000}"/>
    <cellStyle name="Normal 7 2 6 2 2" xfId="9343" xr:uid="{95545114-902C-470A-8693-D80F8FF74A71}"/>
    <cellStyle name="Normal 7 2 6 2 2 2" xfId="14733" xr:uid="{26F3A5B5-C54E-4D81-8CF0-664B80445F99}"/>
    <cellStyle name="Normal 7 2 6 2 3" xfId="11980" xr:uid="{B9148ADC-3216-4992-81AB-C7BEF96FF956}"/>
    <cellStyle name="Normal 7 2 6 3" xfId="8007" xr:uid="{9B140818-FB49-4568-8D04-0514C7F49318}"/>
    <cellStyle name="Normal 7 2 6 3 2" xfId="13366" xr:uid="{EDFFC19D-45D6-4FB5-98D8-D34D50EC22FE}"/>
    <cellStyle name="Normal 7 2 6 4" xfId="10649" xr:uid="{12EFDEEA-FA15-44D3-8F31-2805143AABA7}"/>
    <cellStyle name="Normal 7 3" xfId="3475" xr:uid="{00000000-0005-0000-0000-0000E9150000}"/>
    <cellStyle name="Normal 7 3 2" xfId="3976" xr:uid="{00000000-0005-0000-0000-0000EA150000}"/>
    <cellStyle name="Normal 7 3 2 2" xfId="4600" xr:uid="{00000000-0005-0000-0000-0000EB150000}"/>
    <cellStyle name="Normal 7 3 2 2 2" xfId="7768" xr:uid="{00000000-0005-0000-0000-0000EC150000}"/>
    <cellStyle name="Normal 7 3 2 2 2 2" xfId="10436" xr:uid="{D3DA763E-D776-42C7-848F-BA1C72B96E61}"/>
    <cellStyle name="Normal 7 3 2 2 2 2 2" xfId="15826" xr:uid="{92A1E948-D775-425B-A7E6-DCB256F09A49}"/>
    <cellStyle name="Normal 7 3 2 2 2 3" xfId="13073" xr:uid="{35341A56-E9F3-4D9C-A933-7BB72A4B5DBE}"/>
    <cellStyle name="Normal 7 3 2 2 3" xfId="9105" xr:uid="{D70D8C7E-8C86-42D1-851B-B5153681C196}"/>
    <cellStyle name="Normal 7 3 2 2 3 2" xfId="14464" xr:uid="{203F2DF3-007D-4C4F-AE02-3E51E30EEA0C}"/>
    <cellStyle name="Normal 7 3 2 2 4" xfId="11742" xr:uid="{130ADF54-82B3-47E5-8EE0-3680DA82A185}"/>
    <cellStyle name="Normal 7 3 2 3" xfId="7144" xr:uid="{00000000-0005-0000-0000-0000ED150000}"/>
    <cellStyle name="Normal 7 3 2 3 2" xfId="9812" xr:uid="{82222642-6100-4FC5-8F29-1EFE670CC6F6}"/>
    <cellStyle name="Normal 7 3 2 3 2 2" xfId="15202" xr:uid="{6B49A89F-CE1E-4F68-A93C-9D1CCA62696C}"/>
    <cellStyle name="Normal 7 3 2 3 3" xfId="12449" xr:uid="{53056BFB-CA84-4C99-9A52-9D1F70844EFF}"/>
    <cellStyle name="Normal 7 3 2 4" xfId="8481" xr:uid="{98926AC5-F6B5-4EEA-A531-94CAFE8C29E8}"/>
    <cellStyle name="Normal 7 3 2 4 2" xfId="13840" xr:uid="{3CD60E6E-4FE6-4A79-AEE7-478B8C6EA215}"/>
    <cellStyle name="Normal 7 3 2 5" xfId="11118" xr:uid="{81F6E07B-A507-450A-A94C-806963B98F35}"/>
    <cellStyle name="Normal 7 3 3" xfId="3977" xr:uid="{00000000-0005-0000-0000-0000EE150000}"/>
    <cellStyle name="Normal 7 3 3 2" xfId="4601" xr:uid="{00000000-0005-0000-0000-0000EF150000}"/>
    <cellStyle name="Normal 7 3 3 2 2" xfId="7769" xr:uid="{00000000-0005-0000-0000-0000F0150000}"/>
    <cellStyle name="Normal 7 3 3 2 2 2" xfId="10437" xr:uid="{A2692C5F-428E-4E5B-83E4-FA2761834A26}"/>
    <cellStyle name="Normal 7 3 3 2 2 2 2" xfId="15827" xr:uid="{A6D70C50-1F22-4335-AE18-25169BB61DFC}"/>
    <cellStyle name="Normal 7 3 3 2 2 3" xfId="13074" xr:uid="{385DA54D-9794-49FA-AF7E-BA182B593774}"/>
    <cellStyle name="Normal 7 3 3 2 3" xfId="9106" xr:uid="{1B7843E2-A107-49B6-AFC9-608AC8CC9F91}"/>
    <cellStyle name="Normal 7 3 3 2 3 2" xfId="14465" xr:uid="{C73A1016-5D67-4259-BA5C-741D900529E0}"/>
    <cellStyle name="Normal 7 3 3 2 4" xfId="11743" xr:uid="{C9C79E49-2117-4425-8EAF-868EF54649D2}"/>
    <cellStyle name="Normal 7 3 3 3" xfId="7145" xr:uid="{00000000-0005-0000-0000-0000F1150000}"/>
    <cellStyle name="Normal 7 3 3 3 2" xfId="9813" xr:uid="{52778446-2573-46E2-B3F2-078DB48EEF67}"/>
    <cellStyle name="Normal 7 3 3 3 2 2" xfId="15203" xr:uid="{63EC0933-98B7-41B3-BEC6-DDE999D0A6DE}"/>
    <cellStyle name="Normal 7 3 3 3 3" xfId="12450" xr:uid="{242E60AD-D28C-4EA4-BF4A-B0AAB23B391D}"/>
    <cellStyle name="Normal 7 3 3 4" xfId="8482" xr:uid="{638D5FCC-ACAD-43E5-BDE4-5BB5CBE974AC}"/>
    <cellStyle name="Normal 7 3 3 4 2" xfId="13841" xr:uid="{F996C44A-1257-4112-88BB-4699F00DD400}"/>
    <cellStyle name="Normal 7 3 3 5" xfId="11119" xr:uid="{ABD0FAFB-C858-4191-AD7B-32B04EB5C2F9}"/>
    <cellStyle name="Normal 7 3 4" xfId="3975" xr:uid="{00000000-0005-0000-0000-0000F2150000}"/>
    <cellStyle name="Normal 7 3 4 2" xfId="4599" xr:uid="{00000000-0005-0000-0000-0000F3150000}"/>
    <cellStyle name="Normal 7 3 4 2 2" xfId="7767" xr:uid="{00000000-0005-0000-0000-0000F4150000}"/>
    <cellStyle name="Normal 7 3 4 2 2 2" xfId="10435" xr:uid="{11E4C65E-A884-453C-A310-F16E9BEFE69A}"/>
    <cellStyle name="Normal 7 3 4 2 2 2 2" xfId="15825" xr:uid="{35A179DA-620B-4FEC-831D-CFC0D77F8F7D}"/>
    <cellStyle name="Normal 7 3 4 2 2 3" xfId="13072" xr:uid="{0DCC7CBB-DA0F-4D73-994D-827262515535}"/>
    <cellStyle name="Normal 7 3 4 2 3" xfId="9104" xr:uid="{9D701658-61F8-463D-98FD-A6D5C43C29C9}"/>
    <cellStyle name="Normal 7 3 4 2 3 2" xfId="14463" xr:uid="{93B011A0-F5DF-40A7-BC2D-65DF52C14DDA}"/>
    <cellStyle name="Normal 7 3 4 2 4" xfId="11741" xr:uid="{D9CD8B49-BD21-4084-B7A3-B51421BE87D5}"/>
    <cellStyle name="Normal 7 3 4 3" xfId="7143" xr:uid="{00000000-0005-0000-0000-0000F5150000}"/>
    <cellStyle name="Normal 7 3 4 3 2" xfId="9811" xr:uid="{CB1488DB-3B8D-4CE0-9037-FC4A1C69778F}"/>
    <cellStyle name="Normal 7 3 4 3 2 2" xfId="15201" xr:uid="{491A0583-6FC2-4C82-8048-EFF0E72A119B}"/>
    <cellStyle name="Normal 7 3 4 3 3" xfId="12448" xr:uid="{1F4E584B-A906-43D8-82B4-424CF1F78896}"/>
    <cellStyle name="Normal 7 3 4 4" xfId="8480" xr:uid="{D3309EFE-104D-4496-9675-CD66E07B739B}"/>
    <cellStyle name="Normal 7 3 4 4 2" xfId="13839" xr:uid="{67E67127-BC34-40D2-B186-27BF24B9CACF}"/>
    <cellStyle name="Normal 7 3 4 5" xfId="11117" xr:uid="{3344D28E-0643-4DDA-8CA8-95EB13DC02C7}"/>
    <cellStyle name="Normal 7 3 5" xfId="4126" xr:uid="{00000000-0005-0000-0000-0000F6150000}"/>
    <cellStyle name="Normal 7 3 5 2" xfId="7294" xr:uid="{00000000-0005-0000-0000-0000F7150000}"/>
    <cellStyle name="Normal 7 3 5 2 2" xfId="9962" xr:uid="{71001676-97A6-42A0-9CA3-8699F7734508}"/>
    <cellStyle name="Normal 7 3 5 2 2 2" xfId="15352" xr:uid="{2EC64E61-7396-45C6-98F9-74D390F20688}"/>
    <cellStyle name="Normal 7 3 5 2 3" xfId="12599" xr:uid="{1C0025CE-87A2-483E-9ADE-0BA4E8A027FF}"/>
    <cellStyle name="Normal 7 3 5 3" xfId="8631" xr:uid="{606CE119-5987-4FA0-8D81-64CC874B5794}"/>
    <cellStyle name="Normal 7 3 5 3 2" xfId="13990" xr:uid="{7368F5CD-E59D-4234-873C-9DBB477A864D}"/>
    <cellStyle name="Normal 7 3 5 4" xfId="11268" xr:uid="{F020079F-08CD-4C71-AD3D-B05244783355}"/>
    <cellStyle name="Normal 7 3 6" xfId="6683" xr:uid="{00000000-0005-0000-0000-0000F8150000}"/>
    <cellStyle name="Normal 7 3 6 2" xfId="9351" xr:uid="{9AEC4C8C-418B-4AF6-8A08-C828B9EA0E4A}"/>
    <cellStyle name="Normal 7 3 6 2 2" xfId="14741" xr:uid="{6F002FD4-8E05-4BCD-8116-832DAC64404B}"/>
    <cellStyle name="Normal 7 3 6 3" xfId="11988" xr:uid="{26086C05-C4A8-479B-93F2-8FDBBA148379}"/>
    <cellStyle name="Normal 7 3 7" xfId="8015" xr:uid="{D72870F5-41A3-42F3-8B76-1C98555C5CF8}"/>
    <cellStyle name="Normal 7 3 7 2" xfId="13374" xr:uid="{D8DE9471-64DE-41D7-8DB4-5D5546E259CA}"/>
    <cellStyle name="Normal 7 3 8" xfId="10657" xr:uid="{34CE0EBF-BD53-48F3-8623-7BE17041F7AA}"/>
    <cellStyle name="Normal 7 4" xfId="3491" xr:uid="{00000000-0005-0000-0000-0000F9150000}"/>
    <cellStyle name="Normal 7 4 2" xfId="3979" xr:uid="{00000000-0005-0000-0000-0000FA150000}"/>
    <cellStyle name="Normal 7 4 2 2" xfId="4603" xr:uid="{00000000-0005-0000-0000-0000FB150000}"/>
    <cellStyle name="Normal 7 4 2 2 2" xfId="7771" xr:uid="{00000000-0005-0000-0000-0000FC150000}"/>
    <cellStyle name="Normal 7 4 2 2 2 2" xfId="10439" xr:uid="{389DE933-5CBB-4138-8DC8-93750A6F5519}"/>
    <cellStyle name="Normal 7 4 2 2 2 2 2" xfId="15829" xr:uid="{B5DA086F-0AF0-42E4-9A85-7168FF671A93}"/>
    <cellStyle name="Normal 7 4 2 2 2 3" xfId="13076" xr:uid="{779BDF25-6DF8-42C5-9361-403CB0024164}"/>
    <cellStyle name="Normal 7 4 2 2 3" xfId="9108" xr:uid="{2666909C-C1D5-4A49-8F56-78FDD63B9143}"/>
    <cellStyle name="Normal 7 4 2 2 3 2" xfId="14467" xr:uid="{B73FAD16-5A2F-44D8-9DBD-7139FA3B1E18}"/>
    <cellStyle name="Normal 7 4 2 2 4" xfId="11745" xr:uid="{EB083C47-9004-4400-A799-CA7DDEAE71C0}"/>
    <cellStyle name="Normal 7 4 2 3" xfId="7147" xr:uid="{00000000-0005-0000-0000-0000FD150000}"/>
    <cellStyle name="Normal 7 4 2 3 2" xfId="9815" xr:uid="{4235BC40-5D43-4CFE-948A-E03C934849D1}"/>
    <cellStyle name="Normal 7 4 2 3 2 2" xfId="15205" xr:uid="{31635D67-5FC3-4D77-9319-DB30CA56F3DE}"/>
    <cellStyle name="Normal 7 4 2 3 3" xfId="12452" xr:uid="{02087264-8A9C-4001-81C3-502309A5E814}"/>
    <cellStyle name="Normal 7 4 2 4" xfId="8484" xr:uid="{41711B96-9B03-4A8D-8D5F-CE3D09611708}"/>
    <cellStyle name="Normal 7 4 2 4 2" xfId="13843" xr:uid="{E59CE7AA-9535-4B66-BAE4-2BC300DAF6CE}"/>
    <cellStyle name="Normal 7 4 2 5" xfId="11121" xr:uid="{F37D58A6-9690-4B0D-996C-7430931F328B}"/>
    <cellStyle name="Normal 7 4 3" xfId="3978" xr:uid="{00000000-0005-0000-0000-0000FE150000}"/>
    <cellStyle name="Normal 7 4 3 2" xfId="4602" xr:uid="{00000000-0005-0000-0000-0000FF150000}"/>
    <cellStyle name="Normal 7 4 3 2 2" xfId="7770" xr:uid="{00000000-0005-0000-0000-000000160000}"/>
    <cellStyle name="Normal 7 4 3 2 2 2" xfId="10438" xr:uid="{D564DA8F-F99C-49DC-B577-A8F64DE8E3ED}"/>
    <cellStyle name="Normal 7 4 3 2 2 2 2" xfId="15828" xr:uid="{9CC2B24F-CBC3-4D4A-9438-B7FFED895B41}"/>
    <cellStyle name="Normal 7 4 3 2 2 3" xfId="13075" xr:uid="{18936AFE-4C28-4EFE-85AE-5980D15CEB6C}"/>
    <cellStyle name="Normal 7 4 3 2 3" xfId="9107" xr:uid="{DD88B6DE-5A7B-46A6-9709-90DE8FEA0370}"/>
    <cellStyle name="Normal 7 4 3 2 3 2" xfId="14466" xr:uid="{558D8EFB-2712-45DB-B7E1-D2C620EFDF98}"/>
    <cellStyle name="Normal 7 4 3 2 4" xfId="11744" xr:uid="{261ACDD3-FADF-4425-B6F0-CF412D456D24}"/>
    <cellStyle name="Normal 7 4 3 3" xfId="7146" xr:uid="{00000000-0005-0000-0000-000001160000}"/>
    <cellStyle name="Normal 7 4 3 3 2" xfId="9814" xr:uid="{388722CE-5A27-48C6-9411-D2E467FF3BBE}"/>
    <cellStyle name="Normal 7 4 3 3 2 2" xfId="15204" xr:uid="{66BAB7F0-392B-40EA-B031-C8AE004CCE60}"/>
    <cellStyle name="Normal 7 4 3 3 3" xfId="12451" xr:uid="{0D828CA3-DB8E-443D-9589-1ED1EC07BBE3}"/>
    <cellStyle name="Normal 7 4 3 4" xfId="8483" xr:uid="{68C1DB7C-2534-46AB-97B9-796E8B548F6C}"/>
    <cellStyle name="Normal 7 4 3 4 2" xfId="13842" xr:uid="{BA6C87DD-D036-4B79-B991-9D73D5F1C536}"/>
    <cellStyle name="Normal 7 4 3 5" xfId="11120" xr:uid="{AB6EC9B6-6DAB-44FC-8B66-C79C9130F12F}"/>
    <cellStyle name="Normal 7 4 4" xfId="4142" xr:uid="{00000000-0005-0000-0000-000002160000}"/>
    <cellStyle name="Normal 7 4 4 2" xfId="7310" xr:uid="{00000000-0005-0000-0000-000003160000}"/>
    <cellStyle name="Normal 7 4 4 2 2" xfId="9978" xr:uid="{25EDF879-DFC0-4DBE-9B95-09E62AB033DF}"/>
    <cellStyle name="Normal 7 4 4 2 2 2" xfId="15368" xr:uid="{9D99EF0B-07FC-4B81-A6AB-E3EF64626486}"/>
    <cellStyle name="Normal 7 4 4 2 3" xfId="12615" xr:uid="{04E3D0F4-047E-4B72-81B2-5CFF540B4A70}"/>
    <cellStyle name="Normal 7 4 4 3" xfId="8647" xr:uid="{FA18DB02-EE1A-4CAD-8C41-89E0FFA4BC6F}"/>
    <cellStyle name="Normal 7 4 4 3 2" xfId="14006" xr:uid="{B2463E0F-BD87-4271-9D3E-510F2442DB78}"/>
    <cellStyle name="Normal 7 4 4 4" xfId="11284" xr:uid="{2FC9AA1D-C10C-4E38-9939-28EEC2BC19BF}"/>
    <cellStyle name="Normal 7 4 5" xfId="6699" xr:uid="{00000000-0005-0000-0000-000004160000}"/>
    <cellStyle name="Normal 7 4 5 2" xfId="9367" xr:uid="{ABCE2A60-5B6F-4A0D-BFAC-75971D2981EE}"/>
    <cellStyle name="Normal 7 4 5 2 2" xfId="14757" xr:uid="{765A873F-BB9B-4DB5-B775-A94E506A67B7}"/>
    <cellStyle name="Normal 7 4 5 3" xfId="12004" xr:uid="{D66AEECB-5CEC-479D-9A85-0152D39473E0}"/>
    <cellStyle name="Normal 7 4 6" xfId="8031" xr:uid="{F42BBFAE-1EF1-4A23-ABFA-8310F7CCC2DA}"/>
    <cellStyle name="Normal 7 4 6 2" xfId="13390" xr:uid="{85FF873A-08A4-4AC8-A93A-840B8C8E7957}"/>
    <cellStyle name="Normal 7 4 7" xfId="10673" xr:uid="{9D9DBD10-665C-42D6-9BD7-4103FCF0E845}"/>
    <cellStyle name="Normal 7 5" xfId="3980" xr:uid="{00000000-0005-0000-0000-000005160000}"/>
    <cellStyle name="Normal 7 5 2" xfId="4604" xr:uid="{00000000-0005-0000-0000-000006160000}"/>
    <cellStyle name="Normal 7 5 2 2" xfId="7772" xr:uid="{00000000-0005-0000-0000-000007160000}"/>
    <cellStyle name="Normal 7 5 2 2 2" xfId="10440" xr:uid="{6EDE65A0-2BAF-468D-9AEC-E5C5767ECA01}"/>
    <cellStyle name="Normal 7 5 2 2 2 2" xfId="15830" xr:uid="{93C8F057-BAD1-4B5A-BB07-27500C75DABF}"/>
    <cellStyle name="Normal 7 5 2 2 3" xfId="13077" xr:uid="{080E7B94-D226-434A-A402-FD81C9AFF9BA}"/>
    <cellStyle name="Normal 7 5 2 3" xfId="9109" xr:uid="{626AA943-2B28-40EA-A91E-48464BF2B3C5}"/>
    <cellStyle name="Normal 7 5 2 3 2" xfId="14468" xr:uid="{469C0629-AE00-454A-93A6-88ED379D6758}"/>
    <cellStyle name="Normal 7 5 2 4" xfId="11746" xr:uid="{90AFF37B-B2C0-4AA8-BB73-63D7AFC7C66A}"/>
    <cellStyle name="Normal 7 5 3" xfId="7148" xr:uid="{00000000-0005-0000-0000-000008160000}"/>
    <cellStyle name="Normal 7 5 3 2" xfId="9816" xr:uid="{9189D92E-3156-442F-872E-FE4DF69EA76C}"/>
    <cellStyle name="Normal 7 5 3 2 2" xfId="15206" xr:uid="{85D6F4AE-4C24-49A4-9310-9FFE21F7C424}"/>
    <cellStyle name="Normal 7 5 3 3" xfId="12453" xr:uid="{8AA9267B-25D2-4F25-B145-788A922A1EAF}"/>
    <cellStyle name="Normal 7 5 4" xfId="8485" xr:uid="{5E390662-76BA-41E1-A5EA-066C2B1E5523}"/>
    <cellStyle name="Normal 7 5 4 2" xfId="13844" xr:uid="{20B64EAF-7621-4CFA-B251-40CFEA7551FD}"/>
    <cellStyle name="Normal 7 5 5" xfId="11122" xr:uid="{3C469E99-40E6-44CC-970A-2D873A173D89}"/>
    <cellStyle name="Normal 7 6" xfId="3981" xr:uid="{00000000-0005-0000-0000-000009160000}"/>
    <cellStyle name="Normal 7 6 2" xfId="4605" xr:uid="{00000000-0005-0000-0000-00000A160000}"/>
    <cellStyle name="Normal 7 6 2 2" xfId="7773" xr:uid="{00000000-0005-0000-0000-00000B160000}"/>
    <cellStyle name="Normal 7 6 2 2 2" xfId="10441" xr:uid="{3E1C4519-92EE-4638-8F1C-141773E0FE36}"/>
    <cellStyle name="Normal 7 6 2 2 2 2" xfId="15831" xr:uid="{A603337E-8DBD-412D-9D80-69F3BF527CD0}"/>
    <cellStyle name="Normal 7 6 2 2 3" xfId="13078" xr:uid="{BB235769-E108-41E8-845E-2C948467BE09}"/>
    <cellStyle name="Normal 7 6 2 3" xfId="9110" xr:uid="{519DB85F-1316-4A74-A6F0-2DE49792B9B8}"/>
    <cellStyle name="Normal 7 6 2 3 2" xfId="14469" xr:uid="{9AA7A76B-1681-42E8-B775-9CECA3D7EF0A}"/>
    <cellStyle name="Normal 7 6 2 4" xfId="11747" xr:uid="{D6655B6F-A476-432E-ABAA-9C2B3E16ED49}"/>
    <cellStyle name="Normal 7 6 3" xfId="7149" xr:uid="{00000000-0005-0000-0000-00000C160000}"/>
    <cellStyle name="Normal 7 6 3 2" xfId="9817" xr:uid="{14E7C1B0-D276-4C70-827C-CBAD4B5A7F6E}"/>
    <cellStyle name="Normal 7 6 3 2 2" xfId="15207" xr:uid="{E84A6D95-F9D9-47B7-85BF-AB5F18BE225E}"/>
    <cellStyle name="Normal 7 6 3 3" xfId="12454" xr:uid="{AF0B4903-53D6-434C-9BE9-CA1E0E908646}"/>
    <cellStyle name="Normal 7 6 4" xfId="8486" xr:uid="{7257A80E-CDC0-4FA7-B0BC-92891C2B099A}"/>
    <cellStyle name="Normal 7 6 4 2" xfId="13845" xr:uid="{59410DB4-B304-48EA-B9E5-CF644D05F6C6}"/>
    <cellStyle name="Normal 7 6 5" xfId="11123" xr:uid="{89473592-88C8-4A3E-BFC9-8A2487C1F1B8}"/>
    <cellStyle name="Normal 7 7" xfId="3982" xr:uid="{00000000-0005-0000-0000-00000D160000}"/>
    <cellStyle name="Normal 7 7 2" xfId="4606" xr:uid="{00000000-0005-0000-0000-00000E160000}"/>
    <cellStyle name="Normal 7 7 2 2" xfId="7774" xr:uid="{00000000-0005-0000-0000-00000F160000}"/>
    <cellStyle name="Normal 7 7 2 2 2" xfId="10442" xr:uid="{47CCD477-5BAC-4FB3-9F9B-218B3E2A1BC8}"/>
    <cellStyle name="Normal 7 7 2 2 2 2" xfId="15832" xr:uid="{B1A46046-9077-4256-8C89-081A189524F6}"/>
    <cellStyle name="Normal 7 7 2 2 3" xfId="13079" xr:uid="{9C859406-794E-4960-A126-9EA197591D63}"/>
    <cellStyle name="Normal 7 7 2 3" xfId="9111" xr:uid="{3CC09BB0-39AC-43BE-BD64-7650F8C0CA41}"/>
    <cellStyle name="Normal 7 7 2 3 2" xfId="14470" xr:uid="{9E1CF04C-5C15-4E06-A484-3FA9B361A165}"/>
    <cellStyle name="Normal 7 7 2 4" xfId="11748" xr:uid="{8B300904-20AB-49F4-8AB7-1C12120B6CF8}"/>
    <cellStyle name="Normal 7 7 3" xfId="7150" xr:uid="{00000000-0005-0000-0000-000010160000}"/>
    <cellStyle name="Normal 7 7 3 2" xfId="9818" xr:uid="{1889391A-FC79-4639-A02C-F0B33794E13C}"/>
    <cellStyle name="Normal 7 7 3 2 2" xfId="15208" xr:uid="{96D97272-8C3F-4DEF-BCA1-DCF7C39FFBDA}"/>
    <cellStyle name="Normal 7 7 3 3" xfId="12455" xr:uid="{3F5C0400-8905-4897-983E-511E1C8AF49A}"/>
    <cellStyle name="Normal 7 7 4" xfId="8487" xr:uid="{B6D7D6DF-CF11-4890-A513-BF296D100698}"/>
    <cellStyle name="Normal 7 7 4 2" xfId="13846" xr:uid="{74014980-9256-49D7-8634-4A0B84E54A4E}"/>
    <cellStyle name="Normal 7 7 5" xfId="11124" xr:uid="{D26BCF49-E11E-4B8C-AD26-C91F93AF24F3}"/>
    <cellStyle name="Normal 7 8" xfId="3971" xr:uid="{00000000-0005-0000-0000-000011160000}"/>
    <cellStyle name="Normal 7 8 2" xfId="4597" xr:uid="{00000000-0005-0000-0000-000012160000}"/>
    <cellStyle name="Normal 7 8 2 2" xfId="7765" xr:uid="{00000000-0005-0000-0000-000013160000}"/>
    <cellStyle name="Normal 7 8 2 2 2" xfId="10433" xr:uid="{3257FADD-AEC9-44B2-B58C-B8D6F334FE07}"/>
    <cellStyle name="Normal 7 8 2 2 2 2" xfId="15823" xr:uid="{6A23B98C-E2F2-4403-BAE8-DAFDEB10EC41}"/>
    <cellStyle name="Normal 7 8 2 2 3" xfId="13070" xr:uid="{B2C0030E-A9A9-4732-92BA-0F16858297F7}"/>
    <cellStyle name="Normal 7 8 2 3" xfId="9102" xr:uid="{17817713-2B6F-4216-812F-C6CB78E3E584}"/>
    <cellStyle name="Normal 7 8 2 3 2" xfId="14461" xr:uid="{9BC85991-D81A-450D-A43B-831A44CE51E3}"/>
    <cellStyle name="Normal 7 8 2 4" xfId="11739" xr:uid="{BE209607-0A67-4B03-8B4A-F052B16A2622}"/>
    <cellStyle name="Normal 7 8 3" xfId="7141" xr:uid="{00000000-0005-0000-0000-000014160000}"/>
    <cellStyle name="Normal 7 8 3 2" xfId="9809" xr:uid="{DED08497-B556-4D54-8310-4E638C0888F1}"/>
    <cellStyle name="Normal 7 8 3 2 2" xfId="15199" xr:uid="{9DF5DCE2-E887-4683-BD84-6659CA3B384B}"/>
    <cellStyle name="Normal 7 8 3 3" xfId="12446" xr:uid="{59F1545E-35D2-40D7-ADCD-6D5032251CF3}"/>
    <cellStyle name="Normal 7 8 4" xfId="8478" xr:uid="{18179136-A14D-46A9-BDB4-4F8CB7CD5FCE}"/>
    <cellStyle name="Normal 7 8 4 2" xfId="13837" xr:uid="{8D3308B8-9438-427C-A3AA-1E79AC529A71}"/>
    <cellStyle name="Normal 7 8 5" xfId="11115" xr:uid="{AEC4D281-CEA8-4A2E-8D77-7CC43E2315B5}"/>
    <cellStyle name="Normal 7 9" xfId="4110" xr:uid="{00000000-0005-0000-0000-000015160000}"/>
    <cellStyle name="Normal 7 9 2" xfId="7278" xr:uid="{00000000-0005-0000-0000-000016160000}"/>
    <cellStyle name="Normal 7 9 2 2" xfId="9946" xr:uid="{AF98E47B-3A98-448B-B2E9-8FF084B52AEB}"/>
    <cellStyle name="Normal 7 9 2 2 2" xfId="15336" xr:uid="{717C65BA-D126-44C3-83A3-E90A9A4E7F00}"/>
    <cellStyle name="Normal 7 9 2 3" xfId="12583" xr:uid="{CCD356B8-2521-4EEA-8E41-28D0BDB961D4}"/>
    <cellStyle name="Normal 7 9 3" xfId="8615" xr:uid="{AA87B34A-10A8-4F39-9A7D-D581CA465117}"/>
    <cellStyle name="Normal 7 9 3 2" xfId="13974" xr:uid="{05201DC2-D9A8-4462-9A45-AF5ADB758A25}"/>
    <cellStyle name="Normal 7 9 4" xfId="11252" xr:uid="{A8C55955-83A2-4960-A558-FB55B8186878}"/>
    <cellStyle name="Normal 8" xfId="993" xr:uid="{00000000-0005-0000-0000-000017160000}"/>
    <cellStyle name="Normal 8 2" xfId="994" xr:uid="{00000000-0005-0000-0000-000018160000}"/>
    <cellStyle name="Normal 8 2 10" xfId="10570" xr:uid="{A1EC3F79-B335-469E-913F-5CE6C25DDECE}"/>
    <cellStyle name="Normal 8 2 2" xfId="2621" xr:uid="{00000000-0005-0000-0000-000019160000}"/>
    <cellStyle name="Normal 8 2 2 2" xfId="3308" xr:uid="{00000000-0005-0000-0000-00001A160000}"/>
    <cellStyle name="Normal 8 2 2 2 2" xfId="4609" xr:uid="{00000000-0005-0000-0000-00001B160000}"/>
    <cellStyle name="Normal 8 2 2 2 2 2" xfId="7777" xr:uid="{00000000-0005-0000-0000-00001C160000}"/>
    <cellStyle name="Normal 8 2 2 2 2 2 2" xfId="10445" xr:uid="{D1D64258-04D5-4275-9254-82B866C07A2D}"/>
    <cellStyle name="Normal 8 2 2 2 2 2 2 2" xfId="15835" xr:uid="{96FAFB45-D168-4C85-B1B1-64760C9C4BA9}"/>
    <cellStyle name="Normal 8 2 2 2 2 2 3" xfId="13082" xr:uid="{B4B54649-7B89-41A1-84C4-E9561A3931C7}"/>
    <cellStyle name="Normal 8 2 2 2 2 3" xfId="9114" xr:uid="{9999C662-FD75-4608-B1CD-50C334CBD6E5}"/>
    <cellStyle name="Normal 8 2 2 2 2 3 2" xfId="14473" xr:uid="{1EC0E356-BECC-4BB6-BE27-ED03A499C99D}"/>
    <cellStyle name="Normal 8 2 2 2 2 4" xfId="11751" xr:uid="{CD23EB3D-BDA5-4CD8-8020-876EF7A8714A}"/>
    <cellStyle name="Normal 8 2 2 2 3" xfId="6617" xr:uid="{00000000-0005-0000-0000-00001D160000}"/>
    <cellStyle name="Normal 8 2 2 2 3 2" xfId="9294" xr:uid="{BA7F203A-4EE0-44D6-98FC-FDDA4476E58D}"/>
    <cellStyle name="Normal 8 2 2 2 3 2 2" xfId="14684" xr:uid="{9B611CC4-4110-4A0A-B051-2E2C9570DEB5}"/>
    <cellStyle name="Normal 8 2 2 2 3 3" xfId="11931" xr:uid="{AB6F85C6-5215-4B33-9856-D8CDCAA9EBBE}"/>
    <cellStyle name="Normal 8 2 2 2 4" xfId="7954" xr:uid="{EED7F042-59E8-4105-B7DA-2E2AED642CD8}"/>
    <cellStyle name="Normal 8 2 2 2 4 2" xfId="13314" xr:uid="{87CD6A6F-FB05-4294-9478-844FA1B816F7}"/>
    <cellStyle name="Normal 8 2 2 2 5" xfId="10600" xr:uid="{EC3587F3-7195-440F-B93A-07D702D3B9B4}"/>
    <cellStyle name="Normal 8 2 2 3" xfId="3985" xr:uid="{00000000-0005-0000-0000-00001E160000}"/>
    <cellStyle name="Normal 8 2 2 3 2" xfId="7153" xr:uid="{00000000-0005-0000-0000-00001F160000}"/>
    <cellStyle name="Normal 8 2 2 3 2 2" xfId="9821" xr:uid="{D5FF5FC1-D75A-4B29-840D-8E1A2ED7820B}"/>
    <cellStyle name="Normal 8 2 2 3 2 2 2" xfId="15211" xr:uid="{1F0D269F-660D-4392-9234-FFB848361B04}"/>
    <cellStyle name="Normal 8 2 2 3 2 3" xfId="12458" xr:uid="{B9663045-2FCD-4278-AE3B-31D9C68A574A}"/>
    <cellStyle name="Normal 8 2 2 3 3" xfId="8490" xr:uid="{C4982554-01CC-4986-BD66-862889356104}"/>
    <cellStyle name="Normal 8 2 2 3 3 2" xfId="13849" xr:uid="{ED06DF0A-7B88-474C-AE86-DCF3967295D9}"/>
    <cellStyle name="Normal 8 2 2 3 4" xfId="11127" xr:uid="{BD4D8C7A-DC8C-4A9B-BED2-DF2AD7AF4D64}"/>
    <cellStyle name="Normal 8 2 2 4" xfId="5674" xr:uid="{00000000-0005-0000-0000-000020160000}"/>
    <cellStyle name="Normal 8 2 2 4 2" xfId="9254" xr:uid="{BBC4F7C2-2A7B-4DDF-92C5-41F0A42A29FE}"/>
    <cellStyle name="Normal 8 2 2 4 2 2" xfId="14627" xr:uid="{A8D82827-01F6-4548-AAA0-2EDBED97DCCC}"/>
    <cellStyle name="Normal 8 2 2 4 3" xfId="11891" xr:uid="{49349825-4A48-4EBC-B600-DCE03DFBA505}"/>
    <cellStyle name="Normal 8 2 2 5" xfId="6596" xr:uid="{00000000-0005-0000-0000-000021160000}"/>
    <cellStyle name="Normal 8 2 2 5 2" xfId="9274" xr:uid="{50712C87-41C8-4CC5-926C-204FD865FB34}"/>
    <cellStyle name="Normal 8 2 2 5 2 2" xfId="14663" xr:uid="{7F3A876A-A49E-4D13-854E-0C5366207027}"/>
    <cellStyle name="Normal 8 2 2 5 3" xfId="11911" xr:uid="{735F447B-B347-44E7-968F-59007FA1D550}"/>
    <cellStyle name="Normal 8 2 2 6" xfId="7929" xr:uid="{3FA8FDAC-C284-41ED-BF54-8EDF6C95C9BA}"/>
    <cellStyle name="Normal 8 2 2 6 2" xfId="13276" xr:uid="{A90E8EB4-6CB7-4560-8723-73E0BDA4CF6B}"/>
    <cellStyle name="Normal 8 2 2 7" xfId="10580" xr:uid="{FCB91759-0B26-45F7-A576-C7207CBFBD78}"/>
    <cellStyle name="Normal 8 2 3" xfId="3289" xr:uid="{00000000-0005-0000-0000-000022160000}"/>
    <cellStyle name="Normal 8 2 3 2" xfId="4610" xr:uid="{00000000-0005-0000-0000-000023160000}"/>
    <cellStyle name="Normal 8 2 3 2 2" xfId="7778" xr:uid="{00000000-0005-0000-0000-000024160000}"/>
    <cellStyle name="Normal 8 2 3 2 2 2" xfId="10446" xr:uid="{00D2E854-B55E-4D46-AB41-6D23E5890B68}"/>
    <cellStyle name="Normal 8 2 3 2 2 2 2" xfId="15836" xr:uid="{04A4047D-B776-4DCE-8CC4-60D2246BF8EB}"/>
    <cellStyle name="Normal 8 2 3 2 2 3" xfId="13083" xr:uid="{F981F56A-1D46-4BBE-A7C5-AD77EB518892}"/>
    <cellStyle name="Normal 8 2 3 2 3" xfId="9115" xr:uid="{F8F42EF9-FA44-4F24-970E-53E4311D2963}"/>
    <cellStyle name="Normal 8 2 3 2 3 2" xfId="14474" xr:uid="{99361C8D-BF34-4AB3-A263-3E97C1E3B802}"/>
    <cellStyle name="Normal 8 2 3 2 4" xfId="11752" xr:uid="{36F244A9-F916-442E-9E4B-506B88382F29}"/>
    <cellStyle name="Normal 8 2 3 3" xfId="3986" xr:uid="{00000000-0005-0000-0000-000025160000}"/>
    <cellStyle name="Normal 8 2 3 3 2" xfId="7154" xr:uid="{00000000-0005-0000-0000-000026160000}"/>
    <cellStyle name="Normal 8 2 3 3 2 2" xfId="9822" xr:uid="{E2A31359-134F-4644-AC6D-EB578CFACE24}"/>
    <cellStyle name="Normal 8 2 3 3 2 2 2" xfId="15212" xr:uid="{61874C00-A29B-4A95-9C0E-4611CBAB9906}"/>
    <cellStyle name="Normal 8 2 3 3 2 3" xfId="12459" xr:uid="{46FCAC9B-DE1F-48BB-8865-A79E6F8B23B6}"/>
    <cellStyle name="Normal 8 2 3 3 3" xfId="8491" xr:uid="{80E50F7C-AF76-45A6-B20A-10511253C108}"/>
    <cellStyle name="Normal 8 2 3 3 3 2" xfId="13850" xr:uid="{BB969AA2-FF55-4E87-A69E-4DC7D1EFEF4E}"/>
    <cellStyle name="Normal 8 2 3 3 4" xfId="11128" xr:uid="{E4116253-34B3-436E-985F-4843340F28B5}"/>
    <cellStyle name="Normal 8 2 3 4" xfId="6607" xr:uid="{00000000-0005-0000-0000-000027160000}"/>
    <cellStyle name="Normal 8 2 3 4 2" xfId="9284" xr:uid="{280DDB7F-FC2A-4909-88E8-10BE0A6327A0}"/>
    <cellStyle name="Normal 8 2 3 4 2 2" xfId="14674" xr:uid="{C4B2651B-7B9E-4849-8F28-35C2D9E7CAC4}"/>
    <cellStyle name="Normal 8 2 3 4 3" xfId="11921" xr:uid="{2DCD0B3F-923F-43DC-8B45-FD2A51E90DB4}"/>
    <cellStyle name="Normal 8 2 3 5" xfId="7944" xr:uid="{092C05EC-490B-4D03-B7A0-41442CD64ABB}"/>
    <cellStyle name="Normal 8 2 3 5 2" xfId="13304" xr:uid="{2EDF0CFC-0701-4B0B-A23A-121C147549FC}"/>
    <cellStyle name="Normal 8 2 3 6" xfId="10590" xr:uid="{6FC4DA1C-EAE6-4658-9238-967F64607EF1}"/>
    <cellStyle name="Normal 8 2 4" xfId="3987" xr:uid="{00000000-0005-0000-0000-000028160000}"/>
    <cellStyle name="Normal 8 2 4 2" xfId="4611" xr:uid="{00000000-0005-0000-0000-000029160000}"/>
    <cellStyle name="Normal 8 2 4 2 2" xfId="7779" xr:uid="{00000000-0005-0000-0000-00002A160000}"/>
    <cellStyle name="Normal 8 2 4 2 2 2" xfId="10447" xr:uid="{6A5CBFCD-AA17-4444-BB77-2975AFFCDCD0}"/>
    <cellStyle name="Normal 8 2 4 2 2 2 2" xfId="15837" xr:uid="{D45EA2D2-5365-415B-B9BF-7395C06AF8A0}"/>
    <cellStyle name="Normal 8 2 4 2 2 3" xfId="13084" xr:uid="{DCF6BA3C-1045-4713-A72D-6ED52FAF1B65}"/>
    <cellStyle name="Normal 8 2 4 2 3" xfId="9116" xr:uid="{03FD2014-BF21-4D67-B0D7-2456ABDB5DA4}"/>
    <cellStyle name="Normal 8 2 4 2 3 2" xfId="14475" xr:uid="{58B565E4-6D62-4303-BA1A-BE1F4635B0E6}"/>
    <cellStyle name="Normal 8 2 4 2 4" xfId="11753" xr:uid="{1AEDA12D-4E0B-4A7D-B77F-A7D073F1B159}"/>
    <cellStyle name="Normal 8 2 4 3" xfId="7155" xr:uid="{00000000-0005-0000-0000-00002B160000}"/>
    <cellStyle name="Normal 8 2 4 3 2" xfId="9823" xr:uid="{A61B6B11-447C-4A64-9C3D-13130573A1DC}"/>
    <cellStyle name="Normal 8 2 4 3 2 2" xfId="15213" xr:uid="{87A6196B-5D76-4DF7-AA0A-BB2000742F20}"/>
    <cellStyle name="Normal 8 2 4 3 3" xfId="12460" xr:uid="{2C7F3361-BB4F-4F49-9721-24BFF03AB812}"/>
    <cellStyle name="Normal 8 2 4 4" xfId="8492" xr:uid="{253C5C14-9247-4940-915C-FB65D53F6594}"/>
    <cellStyle name="Normal 8 2 4 4 2" xfId="13851" xr:uid="{C741BAED-F8E2-4C21-97C2-F9FD94F2C600}"/>
    <cellStyle name="Normal 8 2 4 5" xfId="11129" xr:uid="{6CF5C6E1-5414-4563-8800-D1115F46C470}"/>
    <cellStyle name="Normal 8 2 5" xfId="4608" xr:uid="{00000000-0005-0000-0000-00002C160000}"/>
    <cellStyle name="Normal 8 2 5 2" xfId="7776" xr:uid="{00000000-0005-0000-0000-00002D160000}"/>
    <cellStyle name="Normal 8 2 5 2 2" xfId="10444" xr:uid="{E8BB2F7E-84DB-4E5A-A113-7A6BD69C6230}"/>
    <cellStyle name="Normal 8 2 5 2 2 2" xfId="15834" xr:uid="{512D934B-B4F5-43F4-9C4F-8EB52722BE7B}"/>
    <cellStyle name="Normal 8 2 5 2 3" xfId="13081" xr:uid="{61250CF8-7475-4CF2-B986-17FC9E4F837E}"/>
    <cellStyle name="Normal 8 2 5 3" xfId="9113" xr:uid="{1024E57D-7540-423D-BDCE-097D301FF8D9}"/>
    <cellStyle name="Normal 8 2 5 3 2" xfId="14472" xr:uid="{CAE72781-6DED-4EA3-A215-B1973695B357}"/>
    <cellStyle name="Normal 8 2 5 4" xfId="11750" xr:uid="{4D776A34-902B-4B16-9C6E-6CAC683D4ECB}"/>
    <cellStyle name="Normal 8 2 6" xfId="3984" xr:uid="{00000000-0005-0000-0000-00002E160000}"/>
    <cellStyle name="Normal 8 2 6 2" xfId="7152" xr:uid="{00000000-0005-0000-0000-00002F160000}"/>
    <cellStyle name="Normal 8 2 6 2 2" xfId="9820" xr:uid="{3E597213-F709-413A-84A8-DBBAD3DCF786}"/>
    <cellStyle name="Normal 8 2 6 2 2 2" xfId="15210" xr:uid="{9E8D433E-A6C1-4E0A-999B-72F3A04C2D0E}"/>
    <cellStyle name="Normal 8 2 6 2 3" xfId="12457" xr:uid="{6436EEA5-B8E0-499B-AD17-EB5F810D22CD}"/>
    <cellStyle name="Normal 8 2 6 3" xfId="8489" xr:uid="{87251F1A-147E-427E-88BF-09E8B67DC970}"/>
    <cellStyle name="Normal 8 2 6 3 2" xfId="13848" xr:uid="{6BB9C59A-C5C4-4582-81D0-36074E16D3DA}"/>
    <cellStyle name="Normal 8 2 6 4" xfId="11126" xr:uid="{4F2FC023-685D-4EB8-BFD0-862665F0B427}"/>
    <cellStyle name="Normal 8 2 7" xfId="5303" xr:uid="{00000000-0005-0000-0000-000030160000}"/>
    <cellStyle name="Normal 8 2 7 2" xfId="9244" xr:uid="{54CB00F9-5398-4A73-A58A-1B6BD9A147A2}"/>
    <cellStyle name="Normal 8 2 7 2 2" xfId="14613" xr:uid="{7587F580-C13C-48BE-9E92-BF8771FC328A}"/>
    <cellStyle name="Normal 8 2 7 3" xfId="11881" xr:uid="{DA28846B-E4B0-472C-8E10-FBB73598F552}"/>
    <cellStyle name="Normal 8 2 8" xfId="6227" xr:uid="{00000000-0005-0000-0000-000031160000}"/>
    <cellStyle name="Normal 8 2 8 2" xfId="9264" xr:uid="{44192026-228B-4A7D-B2F2-27B347058699}"/>
    <cellStyle name="Normal 8 2 8 2 2" xfId="14646" xr:uid="{F25867B4-1377-4B13-A8AB-FE08341A6297}"/>
    <cellStyle name="Normal 8 2 8 3" xfId="11901" xr:uid="{A33C1BB0-2E21-44DD-866E-4240ABE1B127}"/>
    <cellStyle name="Normal 8 2 9" xfId="7906" xr:uid="{7BCF3934-1F75-4FDC-865E-3650F92061BF}"/>
    <cellStyle name="Normal 8 2 9 2" xfId="13223" xr:uid="{131BA99D-EC11-4A1F-93A1-DD024CBECFF3}"/>
    <cellStyle name="Normal 8 3" xfId="3324" xr:uid="{00000000-0005-0000-0000-000032160000}"/>
    <cellStyle name="Normal 8 3 2" xfId="3989" xr:uid="{00000000-0005-0000-0000-000033160000}"/>
    <cellStyle name="Normal 8 3 2 2" xfId="4613" xr:uid="{00000000-0005-0000-0000-000034160000}"/>
    <cellStyle name="Normal 8 3 2 2 2" xfId="7781" xr:uid="{00000000-0005-0000-0000-000035160000}"/>
    <cellStyle name="Normal 8 3 2 2 2 2" xfId="10449" xr:uid="{75B9D225-DAA3-478C-AB35-5A8ACEEF1CB0}"/>
    <cellStyle name="Normal 8 3 2 2 2 2 2" xfId="15839" xr:uid="{9DCC232D-A5CF-4229-9E63-2B9249DCE9F5}"/>
    <cellStyle name="Normal 8 3 2 2 2 3" xfId="13086" xr:uid="{E4C15A31-D4E9-4B74-B34B-0E7EA3340D86}"/>
    <cellStyle name="Normal 8 3 2 2 3" xfId="9118" xr:uid="{B4F5D749-20CE-417D-BEE5-BD13AC613B7F}"/>
    <cellStyle name="Normal 8 3 2 2 3 2" xfId="14477" xr:uid="{9C046AB9-29C1-40C7-A459-DB4C725FE4EA}"/>
    <cellStyle name="Normal 8 3 2 2 4" xfId="11755" xr:uid="{C59FF2AF-2DD2-4BF3-B2CF-92038B469702}"/>
    <cellStyle name="Normal 8 3 2 3" xfId="7157" xr:uid="{00000000-0005-0000-0000-000036160000}"/>
    <cellStyle name="Normal 8 3 2 3 2" xfId="9825" xr:uid="{6DD4B2C8-5900-47A5-A1D1-F064891DABD9}"/>
    <cellStyle name="Normal 8 3 2 3 2 2" xfId="15215" xr:uid="{CEB8A840-F591-498D-8559-97976A47AAF2}"/>
    <cellStyle name="Normal 8 3 2 3 3" xfId="12462" xr:uid="{0A1FF028-D4AD-4590-91F0-5608DECDA2BF}"/>
    <cellStyle name="Normal 8 3 2 4" xfId="8494" xr:uid="{5AC91562-4992-4646-B335-1A5219AB5152}"/>
    <cellStyle name="Normal 8 3 2 4 2" xfId="13853" xr:uid="{9B04B500-D814-4356-AE6A-EFCCDC989697}"/>
    <cellStyle name="Normal 8 3 2 5" xfId="11131" xr:uid="{5B08A8C7-7052-4E3F-B011-976B1BA42B63}"/>
    <cellStyle name="Normal 8 3 3" xfId="3990" xr:uid="{00000000-0005-0000-0000-000037160000}"/>
    <cellStyle name="Normal 8 3 3 2" xfId="4614" xr:uid="{00000000-0005-0000-0000-000038160000}"/>
    <cellStyle name="Normal 8 3 3 2 2" xfId="7782" xr:uid="{00000000-0005-0000-0000-000039160000}"/>
    <cellStyle name="Normal 8 3 3 2 2 2" xfId="10450" xr:uid="{86033592-F6E6-4A4E-9DF2-0E767116AD53}"/>
    <cellStyle name="Normal 8 3 3 2 2 2 2" xfId="15840" xr:uid="{84CD7195-9AE7-42D3-A0FA-F8A506D3DA3F}"/>
    <cellStyle name="Normal 8 3 3 2 2 3" xfId="13087" xr:uid="{598BE0C9-402D-416C-B7CF-929EA163BE16}"/>
    <cellStyle name="Normal 8 3 3 2 3" xfId="9119" xr:uid="{D6277ACE-81BE-4C9C-93AA-D9450CD974AA}"/>
    <cellStyle name="Normal 8 3 3 2 3 2" xfId="14478" xr:uid="{A26AE498-F822-49FE-A8C0-FEFFB23F0ECA}"/>
    <cellStyle name="Normal 8 3 3 2 4" xfId="11756" xr:uid="{0026D63D-DC31-46F5-BF31-1D53E6051BB5}"/>
    <cellStyle name="Normal 8 3 3 3" xfId="7158" xr:uid="{00000000-0005-0000-0000-00003A160000}"/>
    <cellStyle name="Normal 8 3 3 3 2" xfId="9826" xr:uid="{9849FEB8-B020-466D-BE4E-69C3A893177E}"/>
    <cellStyle name="Normal 8 3 3 3 2 2" xfId="15216" xr:uid="{8E94DF8D-32E2-4523-A195-9DB1768867CA}"/>
    <cellStyle name="Normal 8 3 3 3 3" xfId="12463" xr:uid="{9B0C124A-F86D-40EA-94B4-1DA8EF9C2748}"/>
    <cellStyle name="Normal 8 3 3 4" xfId="8495" xr:uid="{4A94194D-2D1B-4C11-914E-D1E334BDB62D}"/>
    <cellStyle name="Normal 8 3 3 4 2" xfId="13854" xr:uid="{61DEA898-498E-4CEE-B981-EE39D76A1D0A}"/>
    <cellStyle name="Normal 8 3 3 5" xfId="11132" xr:uid="{89B57FC5-14F2-4A5D-97E3-78167ECB10A8}"/>
    <cellStyle name="Normal 8 3 4" xfId="4612" xr:uid="{00000000-0005-0000-0000-00003B160000}"/>
    <cellStyle name="Normal 8 3 4 2" xfId="7780" xr:uid="{00000000-0005-0000-0000-00003C160000}"/>
    <cellStyle name="Normal 8 3 4 2 2" xfId="10448" xr:uid="{53B0CA4D-88A7-48C7-8C7B-216EB20FA021}"/>
    <cellStyle name="Normal 8 3 4 2 2 2" xfId="15838" xr:uid="{BC3D04CC-8F07-4C6E-A313-74B9F7474CA8}"/>
    <cellStyle name="Normal 8 3 4 2 3" xfId="13085" xr:uid="{107C2944-5E39-4FE5-B6EE-5C7BCA5DD8AC}"/>
    <cellStyle name="Normal 8 3 4 3" xfId="9117" xr:uid="{0C91EBEF-81AC-4A69-8BD8-B6E5D7263518}"/>
    <cellStyle name="Normal 8 3 4 3 2" xfId="14476" xr:uid="{5DD78248-3781-4D98-B6D3-89A81C274BCC}"/>
    <cellStyle name="Normal 8 3 4 4" xfId="11754" xr:uid="{F7A02442-4668-4069-B34C-BC1C63CD1637}"/>
    <cellStyle name="Normal 8 3 5" xfId="3988" xr:uid="{00000000-0005-0000-0000-00003D160000}"/>
    <cellStyle name="Normal 8 3 5 2" xfId="7156" xr:uid="{00000000-0005-0000-0000-00003E160000}"/>
    <cellStyle name="Normal 8 3 5 2 2" xfId="9824" xr:uid="{1524721C-9538-4AEA-98AF-58579BD99015}"/>
    <cellStyle name="Normal 8 3 5 2 2 2" xfId="15214" xr:uid="{FE871497-87C2-4CD6-BC66-D08E390A731D}"/>
    <cellStyle name="Normal 8 3 5 2 3" xfId="12461" xr:uid="{216951DA-F72D-45C0-9464-BAC7DE270EF9}"/>
    <cellStyle name="Normal 8 3 5 3" xfId="8493" xr:uid="{257D0E1D-5014-4CF9-8173-CB78F49D8513}"/>
    <cellStyle name="Normal 8 3 5 3 2" xfId="13852" xr:uid="{6C708ECE-F302-48E0-BE8C-BC603D6549DD}"/>
    <cellStyle name="Normal 8 3 5 4" xfId="11130" xr:uid="{F312D236-DDBD-4499-83E6-D1C9ADE648C7}"/>
    <cellStyle name="Normal 8 4" xfId="3991" xr:uid="{00000000-0005-0000-0000-00003F160000}"/>
    <cellStyle name="Normal 8 4 2" xfId="4615" xr:uid="{00000000-0005-0000-0000-000040160000}"/>
    <cellStyle name="Normal 8 4 2 2" xfId="7783" xr:uid="{00000000-0005-0000-0000-000041160000}"/>
    <cellStyle name="Normal 8 4 2 2 2" xfId="10451" xr:uid="{5E57C8AA-5135-4B78-9876-583F45F5C5AE}"/>
    <cellStyle name="Normal 8 4 2 2 2 2" xfId="15841" xr:uid="{BE876F00-0BDA-4CAC-AEC3-AD2053C20FB4}"/>
    <cellStyle name="Normal 8 4 2 2 3" xfId="13088" xr:uid="{B298AA2D-FB2D-4B79-8F8A-E4E55E84EAC4}"/>
    <cellStyle name="Normal 8 4 2 3" xfId="9120" xr:uid="{8CB89245-8473-4D2B-82B4-0EC04CB59D76}"/>
    <cellStyle name="Normal 8 4 2 3 2" xfId="14479" xr:uid="{FC56CCC5-F176-4B55-B7E6-34674D114767}"/>
    <cellStyle name="Normal 8 4 2 4" xfId="11757" xr:uid="{0382695C-7A79-4495-A544-AAA353218376}"/>
    <cellStyle name="Normal 8 4 3" xfId="7159" xr:uid="{00000000-0005-0000-0000-000042160000}"/>
    <cellStyle name="Normal 8 4 3 2" xfId="9827" xr:uid="{1CC730B8-7888-4780-BFC8-85A87A7BD98D}"/>
    <cellStyle name="Normal 8 4 3 2 2" xfId="15217" xr:uid="{31EF8910-AEC7-4A9D-A6E7-68BBD3E34CF5}"/>
    <cellStyle name="Normal 8 4 3 3" xfId="12464" xr:uid="{8E3ACA40-ECD7-4181-8C2A-06A0CC099FA7}"/>
    <cellStyle name="Normal 8 4 4" xfId="8496" xr:uid="{C51AD195-9F9D-4C19-9219-D5F816B3D405}"/>
    <cellStyle name="Normal 8 4 4 2" xfId="13855" xr:uid="{6EFCC95C-C240-44F7-A7D8-524BC5A86E07}"/>
    <cellStyle name="Normal 8 4 5" xfId="11133" xr:uid="{97F4F210-0986-4B06-9FAD-D16E36C8CC86}"/>
    <cellStyle name="Normal 8 5" xfId="3992" xr:uid="{00000000-0005-0000-0000-000043160000}"/>
    <cellStyle name="Normal 8 5 2" xfId="4616" xr:uid="{00000000-0005-0000-0000-000044160000}"/>
    <cellStyle name="Normal 8 5 2 2" xfId="7784" xr:uid="{00000000-0005-0000-0000-000045160000}"/>
    <cellStyle name="Normal 8 5 2 2 2" xfId="10452" xr:uid="{9191C716-6E08-46F4-9F92-6BEEB23F2F20}"/>
    <cellStyle name="Normal 8 5 2 2 2 2" xfId="15842" xr:uid="{5B01AE35-0953-4EB4-BAB8-44FE6FA632B1}"/>
    <cellStyle name="Normal 8 5 2 2 3" xfId="13089" xr:uid="{8ADA1A97-0C2E-4CD0-8425-B698F6E0A136}"/>
    <cellStyle name="Normal 8 5 2 3" xfId="9121" xr:uid="{55608E76-67D4-441C-8FD4-1EB9B118A04C}"/>
    <cellStyle name="Normal 8 5 2 3 2" xfId="14480" xr:uid="{DE7E7275-6073-45E9-9E42-7569196B8233}"/>
    <cellStyle name="Normal 8 5 2 4" xfId="11758" xr:uid="{4E6D28AA-1F8B-470E-9688-A6BE01517452}"/>
    <cellStyle name="Normal 8 5 3" xfId="7160" xr:uid="{00000000-0005-0000-0000-000046160000}"/>
    <cellStyle name="Normal 8 5 3 2" xfId="9828" xr:uid="{BE307214-92F9-43A2-955E-2B75B75BF6B1}"/>
    <cellStyle name="Normal 8 5 3 2 2" xfId="15218" xr:uid="{4A779C17-005C-4479-A453-7B96BC173E44}"/>
    <cellStyle name="Normal 8 5 3 3" xfId="12465" xr:uid="{8038A06F-5BBA-4C0B-BBC7-3DD67EBF9069}"/>
    <cellStyle name="Normal 8 5 4" xfId="8497" xr:uid="{F3C94676-A99B-483C-B412-AD86776FD9A1}"/>
    <cellStyle name="Normal 8 5 4 2" xfId="13856" xr:uid="{E32F4864-AC8B-4845-B07A-D28737617749}"/>
    <cellStyle name="Normal 8 5 5" xfId="11134" xr:uid="{A5C6F3A0-F728-4DF5-9B9A-002E50D069B4}"/>
    <cellStyle name="Normal 8 6" xfId="3993" xr:uid="{00000000-0005-0000-0000-000047160000}"/>
    <cellStyle name="Normal 8 6 2" xfId="4617" xr:uid="{00000000-0005-0000-0000-000048160000}"/>
    <cellStyle name="Normal 8 6 2 2" xfId="7785" xr:uid="{00000000-0005-0000-0000-000049160000}"/>
    <cellStyle name="Normal 8 6 2 2 2" xfId="10453" xr:uid="{298EBD3E-96ED-4CB4-BA73-FC2A32F683FC}"/>
    <cellStyle name="Normal 8 6 2 2 2 2" xfId="15843" xr:uid="{795BEBF4-805D-411C-8021-06F82BC813CB}"/>
    <cellStyle name="Normal 8 6 2 2 3" xfId="13090" xr:uid="{97AB8E1B-C5C7-4503-BAAE-F5534164714A}"/>
    <cellStyle name="Normal 8 6 2 3" xfId="9122" xr:uid="{06A2754C-F98F-40E8-871E-7ED9C6F83C9D}"/>
    <cellStyle name="Normal 8 6 2 3 2" xfId="14481" xr:uid="{2AF960BA-4DDE-4230-BF7C-45624D2EEB47}"/>
    <cellStyle name="Normal 8 6 2 4" xfId="11759" xr:uid="{A717DD65-4F29-4A23-AC88-BE071EA43C38}"/>
    <cellStyle name="Normal 8 6 3" xfId="7161" xr:uid="{00000000-0005-0000-0000-00004A160000}"/>
    <cellStyle name="Normal 8 6 3 2" xfId="9829" xr:uid="{2F5F8FFD-B713-42C8-881D-9A5AFFEDCFBB}"/>
    <cellStyle name="Normal 8 6 3 2 2" xfId="15219" xr:uid="{377F8F30-7DBC-40F5-A59A-4BB2B025A9D0}"/>
    <cellStyle name="Normal 8 6 3 3" xfId="12466" xr:uid="{FA6A3DC7-B03A-481F-BCA3-6CB6AB25F1EC}"/>
    <cellStyle name="Normal 8 6 4" xfId="8498" xr:uid="{DF5EC7E7-88C9-46F4-A017-377EE846AECD}"/>
    <cellStyle name="Normal 8 6 4 2" xfId="13857" xr:uid="{4E64796C-8C86-4B7B-8C77-1B6C330D8D2E}"/>
    <cellStyle name="Normal 8 6 5" xfId="11135" xr:uid="{B3C177BB-3C50-47DD-9E61-A91EA75EABDD}"/>
    <cellStyle name="Normal 8 7" xfId="3983" xr:uid="{00000000-0005-0000-0000-00004B160000}"/>
    <cellStyle name="Normal 8 7 2" xfId="4607" xr:uid="{00000000-0005-0000-0000-00004C160000}"/>
    <cellStyle name="Normal 8 7 2 2" xfId="7775" xr:uid="{00000000-0005-0000-0000-00004D160000}"/>
    <cellStyle name="Normal 8 7 2 2 2" xfId="10443" xr:uid="{B8400891-4BDF-49FF-8EAF-1DD7E98E2E67}"/>
    <cellStyle name="Normal 8 7 2 2 2 2" xfId="15833" xr:uid="{2AC0CDC1-7D63-4EA3-8681-F6DB5E8A5A5D}"/>
    <cellStyle name="Normal 8 7 2 2 3" xfId="13080" xr:uid="{B1AF772F-6071-448A-B58B-F3B815464DCC}"/>
    <cellStyle name="Normal 8 7 2 3" xfId="9112" xr:uid="{D177E70C-A232-40CA-A4AD-6D62A09BEFCD}"/>
    <cellStyle name="Normal 8 7 2 3 2" xfId="14471" xr:uid="{65AF8EE5-4FD8-452B-AD94-F28F9B175CC1}"/>
    <cellStyle name="Normal 8 7 2 4" xfId="11749" xr:uid="{D6F2605B-480C-4232-A38F-37905E28F847}"/>
    <cellStyle name="Normal 8 7 3" xfId="7151" xr:uid="{00000000-0005-0000-0000-00004E160000}"/>
    <cellStyle name="Normal 8 7 3 2" xfId="9819" xr:uid="{898AFEDF-2B1B-46D2-B4BF-663392CFF9ED}"/>
    <cellStyle name="Normal 8 7 3 2 2" xfId="15209" xr:uid="{E77CB34F-01A7-44B4-B594-EFB1CAE7AA1E}"/>
    <cellStyle name="Normal 8 7 3 3" xfId="12456" xr:uid="{07089AAD-CC75-41A9-921D-C9326368059A}"/>
    <cellStyle name="Normal 8 7 4" xfId="8488" xr:uid="{60844957-44CC-464A-8ABB-1C86D6B03C53}"/>
    <cellStyle name="Normal 8 7 4 2" xfId="13847" xr:uid="{97621591-E547-4735-8261-D822D24FA925}"/>
    <cellStyle name="Normal 8 7 5" xfId="11125" xr:uid="{0DD0B7F8-11B8-4B6D-B8F1-2B54837A7DF6}"/>
    <cellStyle name="Normal 8 8" xfId="3500" xr:uid="{00000000-0005-0000-0000-00004F160000}"/>
    <cellStyle name="Normal 9" xfId="995" xr:uid="{00000000-0005-0000-0000-000050160000}"/>
    <cellStyle name="Normal 9 2" xfId="3325" xr:uid="{00000000-0005-0000-0000-000051160000}"/>
    <cellStyle name="Normal 9 2 2" xfId="3996" xr:uid="{00000000-0005-0000-0000-000052160000}"/>
    <cellStyle name="Normal 9 2 2 2" xfId="4620" xr:uid="{00000000-0005-0000-0000-000053160000}"/>
    <cellStyle name="Normal 9 2 2 2 2" xfId="7788" xr:uid="{00000000-0005-0000-0000-000054160000}"/>
    <cellStyle name="Normal 9 2 2 2 2 2" xfId="10456" xr:uid="{514C85BB-9E86-4BB6-BFCE-007FCDC89008}"/>
    <cellStyle name="Normal 9 2 2 2 2 2 2" xfId="15846" xr:uid="{4A4C86F8-3C76-4505-B29C-628F8067364C}"/>
    <cellStyle name="Normal 9 2 2 2 2 3" xfId="13093" xr:uid="{EAB01888-BDD3-47CF-ADD5-5DA1779604D8}"/>
    <cellStyle name="Normal 9 2 2 2 3" xfId="9125" xr:uid="{1F3257BE-0FCE-4BC4-9B97-9189A02E3E0A}"/>
    <cellStyle name="Normal 9 2 2 2 3 2" xfId="14484" xr:uid="{29ADEAB2-3CAD-4FD7-873D-7B8EEC5ACFCF}"/>
    <cellStyle name="Normal 9 2 2 2 4" xfId="11762" xr:uid="{E8EFA90D-831D-4C5A-847B-2DCA3AA96717}"/>
    <cellStyle name="Normal 9 2 2 3" xfId="7164" xr:uid="{00000000-0005-0000-0000-000055160000}"/>
    <cellStyle name="Normal 9 2 2 3 2" xfId="9832" xr:uid="{D7C6749A-8AF5-4D13-B140-39C05ABFF2CF}"/>
    <cellStyle name="Normal 9 2 2 3 2 2" xfId="15222" xr:uid="{9573625C-88DC-46A7-900A-D32CAB5F3BD9}"/>
    <cellStyle name="Normal 9 2 2 3 3" xfId="12469" xr:uid="{1F75776D-59F5-4C3E-AA2C-F97DCDA86283}"/>
    <cellStyle name="Normal 9 2 2 4" xfId="8501" xr:uid="{DC8D5EBD-6163-4A7F-8FCB-C6CF16524A9C}"/>
    <cellStyle name="Normal 9 2 2 4 2" xfId="13860" xr:uid="{4C2277B8-F357-4B41-886E-819EBBE52304}"/>
    <cellStyle name="Normal 9 2 2 5" xfId="11138" xr:uid="{706A396D-0197-455C-AEA3-93431E5D8528}"/>
    <cellStyle name="Normal 9 2 3" xfId="3997" xr:uid="{00000000-0005-0000-0000-000056160000}"/>
    <cellStyle name="Normal 9 2 3 2" xfId="4621" xr:uid="{00000000-0005-0000-0000-000057160000}"/>
    <cellStyle name="Normal 9 2 3 2 2" xfId="7789" xr:uid="{00000000-0005-0000-0000-000058160000}"/>
    <cellStyle name="Normal 9 2 3 2 2 2" xfId="10457" xr:uid="{186F434C-4851-4DA1-A130-9C77D83FDF2A}"/>
    <cellStyle name="Normal 9 2 3 2 2 2 2" xfId="15847" xr:uid="{9C6B513A-74C6-442C-ADB8-936E79CE945E}"/>
    <cellStyle name="Normal 9 2 3 2 2 3" xfId="13094" xr:uid="{14ADC235-D74C-49BB-AACE-181D172AE693}"/>
    <cellStyle name="Normal 9 2 3 2 3" xfId="9126" xr:uid="{7142D6F1-BF31-4513-9943-7AB010D1F52E}"/>
    <cellStyle name="Normal 9 2 3 2 3 2" xfId="14485" xr:uid="{9860371E-9932-46B9-92A7-767BD312BB8A}"/>
    <cellStyle name="Normal 9 2 3 2 4" xfId="11763" xr:uid="{18686107-B9AE-4159-BF0A-E645389AC8DC}"/>
    <cellStyle name="Normal 9 2 3 3" xfId="7165" xr:uid="{00000000-0005-0000-0000-000059160000}"/>
    <cellStyle name="Normal 9 2 3 3 2" xfId="9833" xr:uid="{9BA08D0A-2234-4F13-AB38-1EC8A7A37702}"/>
    <cellStyle name="Normal 9 2 3 3 2 2" xfId="15223" xr:uid="{7ABAB405-F134-4EAD-B60E-B66414AF51B5}"/>
    <cellStyle name="Normal 9 2 3 3 3" xfId="12470" xr:uid="{5C55F299-A28B-4299-BB9A-293CE3169C5C}"/>
    <cellStyle name="Normal 9 2 3 4" xfId="8502" xr:uid="{E7A5C139-142C-47DC-83C9-ACFD7EAEE46E}"/>
    <cellStyle name="Normal 9 2 3 4 2" xfId="13861" xr:uid="{890D4D97-11FC-411E-B536-3D74385D201B}"/>
    <cellStyle name="Normal 9 2 3 5" xfId="11139" xr:uid="{CDF14E74-3213-4811-BB24-5EE41CA1EBDA}"/>
    <cellStyle name="Normal 9 2 4" xfId="4619" xr:uid="{00000000-0005-0000-0000-00005A160000}"/>
    <cellStyle name="Normal 9 2 4 2" xfId="7787" xr:uid="{00000000-0005-0000-0000-00005B160000}"/>
    <cellStyle name="Normal 9 2 4 2 2" xfId="10455" xr:uid="{9BD2899E-AA3E-4162-BDE0-EB6D6CC72505}"/>
    <cellStyle name="Normal 9 2 4 2 2 2" xfId="15845" xr:uid="{9E693998-2929-4C74-965B-283A53F84BE4}"/>
    <cellStyle name="Normal 9 2 4 2 3" xfId="13092" xr:uid="{A99744EE-235E-43E0-8AE8-6EB769A9BDB7}"/>
    <cellStyle name="Normal 9 2 4 3" xfId="9124" xr:uid="{D489E94D-2935-40DC-931C-4F6E317BD17F}"/>
    <cellStyle name="Normal 9 2 4 3 2" xfId="14483" xr:uid="{7088EA7D-7028-4D37-B9A3-523AD52682E8}"/>
    <cellStyle name="Normal 9 2 4 4" xfId="11761" xr:uid="{BED63335-954D-4117-9A2B-F91CAD473019}"/>
    <cellStyle name="Normal 9 2 5" xfId="3995" xr:uid="{00000000-0005-0000-0000-00005C160000}"/>
    <cellStyle name="Normal 9 2 5 2" xfId="7163" xr:uid="{00000000-0005-0000-0000-00005D160000}"/>
    <cellStyle name="Normal 9 2 5 2 2" xfId="9831" xr:uid="{768824C8-DD26-443B-8C73-76BE14DAD92B}"/>
    <cellStyle name="Normal 9 2 5 2 2 2" xfId="15221" xr:uid="{910C51A2-5A84-4E96-81F3-75FA3693623C}"/>
    <cellStyle name="Normal 9 2 5 2 3" xfId="12468" xr:uid="{0577EAD5-1AFF-4C8B-B0CF-3FA0FC177605}"/>
    <cellStyle name="Normal 9 2 5 3" xfId="8500" xr:uid="{AC83A303-4856-4E9C-AD75-68D2EC457A6A}"/>
    <cellStyle name="Normal 9 2 5 3 2" xfId="13859" xr:uid="{F91E3720-5C1D-4290-86D5-983B415E5CA9}"/>
    <cellStyle name="Normal 9 2 5 4" xfId="11137" xr:uid="{F75CC068-AD01-49CF-882E-72DC4CA88911}"/>
    <cellStyle name="Normal 9 3" xfId="3998" xr:uid="{00000000-0005-0000-0000-00005E160000}"/>
    <cellStyle name="Normal 9 3 2" xfId="4622" xr:uid="{00000000-0005-0000-0000-00005F160000}"/>
    <cellStyle name="Normal 9 3 2 2" xfId="7790" xr:uid="{00000000-0005-0000-0000-000060160000}"/>
    <cellStyle name="Normal 9 3 2 2 2" xfId="10458" xr:uid="{0DE082E3-9000-4540-9B68-ACAEB55481B2}"/>
    <cellStyle name="Normal 9 3 2 2 2 2" xfId="15848" xr:uid="{6FF410F9-5DD1-4DDB-9E79-E1C2900E9F7E}"/>
    <cellStyle name="Normal 9 3 2 2 3" xfId="13095" xr:uid="{0BA0BEE6-B540-4C07-ABF3-21A032F81412}"/>
    <cellStyle name="Normal 9 3 2 3" xfId="9127" xr:uid="{32F38DC1-83A7-4E47-A406-E48EB0EB699E}"/>
    <cellStyle name="Normal 9 3 2 3 2" xfId="14486" xr:uid="{5381614E-3511-43F6-853E-2EB06F10F6EC}"/>
    <cellStyle name="Normal 9 3 2 4" xfId="11764" xr:uid="{57829B7A-CF3B-42E6-8D78-7F58C142D6D3}"/>
    <cellStyle name="Normal 9 3 3" xfId="7166" xr:uid="{00000000-0005-0000-0000-000061160000}"/>
    <cellStyle name="Normal 9 3 3 2" xfId="9834" xr:uid="{74A64C91-366A-4300-8917-08814D8CC7A9}"/>
    <cellStyle name="Normal 9 3 3 2 2" xfId="15224" xr:uid="{B3955EC8-48B2-462C-A940-6D94B2332963}"/>
    <cellStyle name="Normal 9 3 3 3" xfId="12471" xr:uid="{955EBA3E-3FE8-4F1C-8C95-98089C7311C3}"/>
    <cellStyle name="Normal 9 3 4" xfId="8503" xr:uid="{E4D18B84-0E2D-4335-B47E-E6CE421C176D}"/>
    <cellStyle name="Normal 9 3 4 2" xfId="13862" xr:uid="{4B879F73-AF42-4D36-BBC1-52A8BD783933}"/>
    <cellStyle name="Normal 9 3 5" xfId="11140" xr:uid="{428A3509-E030-43F7-926E-4829EE5DECCA}"/>
    <cellStyle name="Normal 9 4" xfId="3999" xr:uid="{00000000-0005-0000-0000-000062160000}"/>
    <cellStyle name="Normal 9 4 2" xfId="4623" xr:uid="{00000000-0005-0000-0000-000063160000}"/>
    <cellStyle name="Normal 9 4 2 2" xfId="7791" xr:uid="{00000000-0005-0000-0000-000064160000}"/>
    <cellStyle name="Normal 9 4 2 2 2" xfId="10459" xr:uid="{E24EF228-D163-4735-B2A8-86123EDF66FE}"/>
    <cellStyle name="Normal 9 4 2 2 2 2" xfId="15849" xr:uid="{CBA35957-2097-4568-9CD7-03A7E86DB474}"/>
    <cellStyle name="Normal 9 4 2 2 3" xfId="13096" xr:uid="{FCD3E96C-BA06-47A0-AC2B-E75B2BD45D86}"/>
    <cellStyle name="Normal 9 4 2 3" xfId="9128" xr:uid="{826D71B3-EA58-4A96-91BA-7A3077ADFE5A}"/>
    <cellStyle name="Normal 9 4 2 3 2" xfId="14487" xr:uid="{36BF8D60-9D83-44C0-892B-DF289E8BCE7C}"/>
    <cellStyle name="Normal 9 4 2 4" xfId="11765" xr:uid="{7C54A775-DF1E-4D65-90C4-63CE17AD8F8E}"/>
    <cellStyle name="Normal 9 4 3" xfId="7167" xr:uid="{00000000-0005-0000-0000-000065160000}"/>
    <cellStyle name="Normal 9 4 3 2" xfId="9835" xr:uid="{DB2BCDA6-F95D-4D12-A94F-73E8ED9919F6}"/>
    <cellStyle name="Normal 9 4 3 2 2" xfId="15225" xr:uid="{8236F529-2BE9-4D1E-96B0-0A068525186D}"/>
    <cellStyle name="Normal 9 4 3 3" xfId="12472" xr:uid="{73C3353B-B20B-4FBF-B92B-89F4919A856C}"/>
    <cellStyle name="Normal 9 4 4" xfId="8504" xr:uid="{CE8EA6D9-E7DA-402C-8D11-C797B7C17285}"/>
    <cellStyle name="Normal 9 4 4 2" xfId="13863" xr:uid="{BF5A0858-9B71-4DC7-9E18-D79D8E4E64C5}"/>
    <cellStyle name="Normal 9 4 5" xfId="11141" xr:uid="{0F3AC879-1208-4C0E-85C6-D718E30B8180}"/>
    <cellStyle name="Normal 9 5" xfId="4000" xr:uid="{00000000-0005-0000-0000-000066160000}"/>
    <cellStyle name="Normal 9 5 2" xfId="4624" xr:uid="{00000000-0005-0000-0000-000067160000}"/>
    <cellStyle name="Normal 9 5 2 2" xfId="7792" xr:uid="{00000000-0005-0000-0000-000068160000}"/>
    <cellStyle name="Normal 9 5 2 2 2" xfId="10460" xr:uid="{2D56429A-190F-4EB3-A96D-5012F344147B}"/>
    <cellStyle name="Normal 9 5 2 2 2 2" xfId="15850" xr:uid="{192B5030-9CBF-46B6-8588-FAA5B68152D4}"/>
    <cellStyle name="Normal 9 5 2 2 3" xfId="13097" xr:uid="{2C077A40-5777-4A03-A9A9-3818A56C8C76}"/>
    <cellStyle name="Normal 9 5 2 3" xfId="9129" xr:uid="{4567548A-BEA5-41F7-B381-CAA97313E2F9}"/>
    <cellStyle name="Normal 9 5 2 3 2" xfId="14488" xr:uid="{D4B2A1E7-62A8-4E15-B3CB-A965AC6192F2}"/>
    <cellStyle name="Normal 9 5 2 4" xfId="11766" xr:uid="{968A2444-466B-49BD-A3AA-B4DE300DCBCD}"/>
    <cellStyle name="Normal 9 5 3" xfId="7168" xr:uid="{00000000-0005-0000-0000-000069160000}"/>
    <cellStyle name="Normal 9 5 3 2" xfId="9836" xr:uid="{A97A3E4F-69AB-46CD-9091-15005EA54A16}"/>
    <cellStyle name="Normal 9 5 3 2 2" xfId="15226" xr:uid="{4392285D-CEC5-4C7B-97CD-0B2B2F6E55D9}"/>
    <cellStyle name="Normal 9 5 3 3" xfId="12473" xr:uid="{CA27E661-F907-4662-847D-7AEC6967764F}"/>
    <cellStyle name="Normal 9 5 4" xfId="8505" xr:uid="{DEBAD8B1-4788-4261-89A5-EA8E90F27C60}"/>
    <cellStyle name="Normal 9 5 4 2" xfId="13864" xr:uid="{C3EE0B6E-853F-4805-A046-6E1DAC4298FC}"/>
    <cellStyle name="Normal 9 5 5" xfId="11142" xr:uid="{C23C0933-FCD0-4BFC-9760-B231C34CDC86}"/>
    <cellStyle name="Normal 9 6" xfId="4618" xr:uid="{00000000-0005-0000-0000-00006A160000}"/>
    <cellStyle name="Normal 9 6 2" xfId="7786" xr:uid="{00000000-0005-0000-0000-00006B160000}"/>
    <cellStyle name="Normal 9 6 2 2" xfId="10454" xr:uid="{B6A667BF-94DB-4721-BAFB-8445EF855EAD}"/>
    <cellStyle name="Normal 9 6 2 2 2" xfId="15844" xr:uid="{CAA70E64-FA5A-4114-9DB9-2C98D8BFFEA4}"/>
    <cellStyle name="Normal 9 6 2 3" xfId="13091" xr:uid="{B9A61036-CCD0-43D9-A984-6F878B1D8008}"/>
    <cellStyle name="Normal 9 6 3" xfId="9123" xr:uid="{451EE048-1CFD-4308-886B-104D34217443}"/>
    <cellStyle name="Normal 9 6 3 2" xfId="14482" xr:uid="{EC8F2EB9-370B-43B2-A7CB-9D15298CB21B}"/>
    <cellStyle name="Normal 9 6 4" xfId="11760" xr:uid="{85CD409E-B379-4277-A486-2A8B96FDAB6B}"/>
    <cellStyle name="Normal 9 7" xfId="3994" xr:uid="{00000000-0005-0000-0000-00006C160000}"/>
    <cellStyle name="Normal 9 7 2" xfId="7162" xr:uid="{00000000-0005-0000-0000-00006D160000}"/>
    <cellStyle name="Normal 9 7 2 2" xfId="9830" xr:uid="{02F06803-82DB-4F20-AE25-FB4AF3A38679}"/>
    <cellStyle name="Normal 9 7 2 2 2" xfId="15220" xr:uid="{EA22AD1E-AA97-48F2-86D5-3497101FFCE9}"/>
    <cellStyle name="Normal 9 7 2 3" xfId="12467" xr:uid="{10F6831D-A8CE-43DC-A924-A6DF77A7827B}"/>
    <cellStyle name="Normal 9 7 3" xfId="8499" xr:uid="{A83D15C9-7744-4C34-89FB-8DAA7B9F8E54}"/>
    <cellStyle name="Normal 9 7 3 2" xfId="13858" xr:uid="{D3B87A90-30BB-4B57-AF2F-B46F3B45E8EE}"/>
    <cellStyle name="Normal 9 7 4" xfId="11136" xr:uid="{ACCEF352-412B-4AD4-B2C0-050B158F4CEE}"/>
    <cellStyle name="Normal GHG Numbers (0.00)" xfId="996" xr:uid="{00000000-0005-0000-0000-00006E160000}"/>
    <cellStyle name="Normal GHG Numbers (0.00) 2" xfId="7907" xr:uid="{9B55163A-7B69-4D5E-B0B4-C32FE94DCF49}"/>
    <cellStyle name="Normal GHG Numbers (0.00) 2 2" xfId="13224" xr:uid="{613153A9-57AA-4520-A7FC-79C78206CB51}"/>
    <cellStyle name="Normal GHG Numbers (0.00) 3" xfId="13246" xr:uid="{33F2A058-88EB-4AE4-855C-E2A5961A298F}"/>
    <cellStyle name="Normal GHG Numbers (0.00) 4" xfId="14592" xr:uid="{AB2E2587-CF42-466F-AB72-D825A9A5CA0F}"/>
    <cellStyle name="Normal GHG Numbers (0.00) 5" xfId="14639" xr:uid="{44FB7B60-A514-4957-90C3-1711A3DD3F31}"/>
    <cellStyle name="Normal GHG Numbers (0.00) 6" xfId="15986" xr:uid="{914D27D5-5871-43AF-A768-223DEF6B67CC}"/>
    <cellStyle name="Normal GHG Textfiels Bold" xfId="997" xr:uid="{00000000-0005-0000-0000-00006F160000}"/>
    <cellStyle name="Normal GHG-Shade" xfId="998" xr:uid="{00000000-0005-0000-0000-000070160000}"/>
    <cellStyle name="Normal GHG-Shade 2" xfId="2622" xr:uid="{00000000-0005-0000-0000-000071160000}"/>
    <cellStyle name="Normale 10" xfId="999" xr:uid="{00000000-0005-0000-0000-000072160000}"/>
    <cellStyle name="Normale 10 2" xfId="1000" xr:uid="{00000000-0005-0000-0000-000073160000}"/>
    <cellStyle name="Normale 10 2 2" xfId="2624" xr:uid="{00000000-0005-0000-0000-000074160000}"/>
    <cellStyle name="Normale 10 3" xfId="1001" xr:uid="{00000000-0005-0000-0000-000075160000}"/>
    <cellStyle name="Normale 10 3 2" xfId="2625" xr:uid="{00000000-0005-0000-0000-000076160000}"/>
    <cellStyle name="Normale 10 4" xfId="2623" xr:uid="{00000000-0005-0000-0000-000077160000}"/>
    <cellStyle name="Normale 10_EDEN industria 2008 rev" xfId="1002" xr:uid="{00000000-0005-0000-0000-000078160000}"/>
    <cellStyle name="Normale 11" xfId="1003" xr:uid="{00000000-0005-0000-0000-000079160000}"/>
    <cellStyle name="Normale 11 2" xfId="1004" xr:uid="{00000000-0005-0000-0000-00007A160000}"/>
    <cellStyle name="Normale 11 2 2" xfId="2627" xr:uid="{00000000-0005-0000-0000-00007B160000}"/>
    <cellStyle name="Normale 11 3" xfId="1005" xr:uid="{00000000-0005-0000-0000-00007C160000}"/>
    <cellStyle name="Normale 11 3 2" xfId="2628" xr:uid="{00000000-0005-0000-0000-00007D160000}"/>
    <cellStyle name="Normale 11 4" xfId="2626" xr:uid="{00000000-0005-0000-0000-00007E160000}"/>
    <cellStyle name="Normale 11_EDEN industria 2008 rev" xfId="1006" xr:uid="{00000000-0005-0000-0000-00007F160000}"/>
    <cellStyle name="Normale 12" xfId="1007" xr:uid="{00000000-0005-0000-0000-000080160000}"/>
    <cellStyle name="Normale 12 2" xfId="1008" xr:uid="{00000000-0005-0000-0000-000081160000}"/>
    <cellStyle name="Normale 12 2 2" xfId="2630" xr:uid="{00000000-0005-0000-0000-000082160000}"/>
    <cellStyle name="Normale 12 3" xfId="1009" xr:uid="{00000000-0005-0000-0000-000083160000}"/>
    <cellStyle name="Normale 12 3 2" xfId="2631" xr:uid="{00000000-0005-0000-0000-000084160000}"/>
    <cellStyle name="Normale 12 4" xfId="2629" xr:uid="{00000000-0005-0000-0000-000085160000}"/>
    <cellStyle name="Normale 12_EDEN industria 2008 rev" xfId="1010" xr:uid="{00000000-0005-0000-0000-000086160000}"/>
    <cellStyle name="Normale 13" xfId="1011" xr:uid="{00000000-0005-0000-0000-000087160000}"/>
    <cellStyle name="Normale 13 2" xfId="1012" xr:uid="{00000000-0005-0000-0000-000088160000}"/>
    <cellStyle name="Normale 13 2 2" xfId="2633" xr:uid="{00000000-0005-0000-0000-000089160000}"/>
    <cellStyle name="Normale 13 3" xfId="1013" xr:uid="{00000000-0005-0000-0000-00008A160000}"/>
    <cellStyle name="Normale 13 3 2" xfId="2634" xr:uid="{00000000-0005-0000-0000-00008B160000}"/>
    <cellStyle name="Normale 13 4" xfId="2632" xr:uid="{00000000-0005-0000-0000-00008C160000}"/>
    <cellStyle name="Normale 13_EDEN industria 2008 rev" xfId="1014" xr:uid="{00000000-0005-0000-0000-00008D160000}"/>
    <cellStyle name="Normale 14" xfId="1015" xr:uid="{00000000-0005-0000-0000-00008E160000}"/>
    <cellStyle name="Normale 14 2" xfId="1016" xr:uid="{00000000-0005-0000-0000-00008F160000}"/>
    <cellStyle name="Normale 14 2 2" xfId="2636" xr:uid="{00000000-0005-0000-0000-000090160000}"/>
    <cellStyle name="Normale 14 3" xfId="1017" xr:uid="{00000000-0005-0000-0000-000091160000}"/>
    <cellStyle name="Normale 14 3 2" xfId="2637" xr:uid="{00000000-0005-0000-0000-000092160000}"/>
    <cellStyle name="Normale 14 4" xfId="2635" xr:uid="{00000000-0005-0000-0000-000093160000}"/>
    <cellStyle name="Normale 14_EDEN industria 2008 rev" xfId="1018" xr:uid="{00000000-0005-0000-0000-000094160000}"/>
    <cellStyle name="Normale 15" xfId="1019" xr:uid="{00000000-0005-0000-0000-000095160000}"/>
    <cellStyle name="Normale 15 2" xfId="1020" xr:uid="{00000000-0005-0000-0000-000096160000}"/>
    <cellStyle name="Normale 15 2 2" xfId="2639" xr:uid="{00000000-0005-0000-0000-000097160000}"/>
    <cellStyle name="Normale 15 3" xfId="1021" xr:uid="{00000000-0005-0000-0000-000098160000}"/>
    <cellStyle name="Normale 15 3 2" xfId="2640" xr:uid="{00000000-0005-0000-0000-000099160000}"/>
    <cellStyle name="Normale 15 4" xfId="2638" xr:uid="{00000000-0005-0000-0000-00009A160000}"/>
    <cellStyle name="Normale 15_EDEN industria 2008 rev" xfId="1022" xr:uid="{00000000-0005-0000-0000-00009B160000}"/>
    <cellStyle name="Normale 16" xfId="1023" xr:uid="{00000000-0005-0000-0000-00009C160000}"/>
    <cellStyle name="Normale 16 2" xfId="2641" xr:uid="{00000000-0005-0000-0000-00009D160000}"/>
    <cellStyle name="Normale 17" xfId="1024" xr:uid="{00000000-0005-0000-0000-00009E160000}"/>
    <cellStyle name="Normale 17 2" xfId="2642" xr:uid="{00000000-0005-0000-0000-00009F160000}"/>
    <cellStyle name="Normale 18" xfId="1025" xr:uid="{00000000-0005-0000-0000-0000A0160000}"/>
    <cellStyle name="Normale 19" xfId="1026" xr:uid="{00000000-0005-0000-0000-0000A1160000}"/>
    <cellStyle name="Normale 2" xfId="1027" xr:uid="{00000000-0005-0000-0000-0000A2160000}"/>
    <cellStyle name="Normale 2 2" xfId="1028" xr:uid="{00000000-0005-0000-0000-0000A3160000}"/>
    <cellStyle name="Normale 2 2 2" xfId="2644" xr:uid="{00000000-0005-0000-0000-0000A4160000}"/>
    <cellStyle name="Normale 2 3" xfId="2643" xr:uid="{00000000-0005-0000-0000-0000A5160000}"/>
    <cellStyle name="Normale 2_EDEN industria 2008 rev" xfId="1029" xr:uid="{00000000-0005-0000-0000-0000A6160000}"/>
    <cellStyle name="Normale 20" xfId="1030" xr:uid="{00000000-0005-0000-0000-0000A7160000}"/>
    <cellStyle name="Normale 20 2" xfId="2645" xr:uid="{00000000-0005-0000-0000-0000A8160000}"/>
    <cellStyle name="Normale 21" xfId="1031" xr:uid="{00000000-0005-0000-0000-0000A9160000}"/>
    <cellStyle name="Normale 21 2" xfId="2646" xr:uid="{00000000-0005-0000-0000-0000AA160000}"/>
    <cellStyle name="Normale 22" xfId="1032" xr:uid="{00000000-0005-0000-0000-0000AB160000}"/>
    <cellStyle name="Normale 22 2" xfId="2647" xr:uid="{00000000-0005-0000-0000-0000AC160000}"/>
    <cellStyle name="Normale 23" xfId="1033" xr:uid="{00000000-0005-0000-0000-0000AD160000}"/>
    <cellStyle name="Normale 23 2" xfId="2648" xr:uid="{00000000-0005-0000-0000-0000AE160000}"/>
    <cellStyle name="Normale 24" xfId="1034" xr:uid="{00000000-0005-0000-0000-0000AF160000}"/>
    <cellStyle name="Normale 24 2" xfId="2649" xr:uid="{00000000-0005-0000-0000-0000B0160000}"/>
    <cellStyle name="Normale 25" xfId="1035" xr:uid="{00000000-0005-0000-0000-0000B1160000}"/>
    <cellStyle name="Normale 25 2" xfId="2650" xr:uid="{00000000-0005-0000-0000-0000B2160000}"/>
    <cellStyle name="Normale 26" xfId="1036" xr:uid="{00000000-0005-0000-0000-0000B3160000}"/>
    <cellStyle name="Normale 26 2" xfId="2651" xr:uid="{00000000-0005-0000-0000-0000B4160000}"/>
    <cellStyle name="Normale 27" xfId="1037" xr:uid="{00000000-0005-0000-0000-0000B5160000}"/>
    <cellStyle name="Normale 27 2" xfId="2652" xr:uid="{00000000-0005-0000-0000-0000B6160000}"/>
    <cellStyle name="Normale 28" xfId="1038" xr:uid="{00000000-0005-0000-0000-0000B7160000}"/>
    <cellStyle name="Normale 28 2" xfId="2653" xr:uid="{00000000-0005-0000-0000-0000B8160000}"/>
    <cellStyle name="Normale 29" xfId="1039" xr:uid="{00000000-0005-0000-0000-0000B9160000}"/>
    <cellStyle name="Normale 29 2" xfId="2654" xr:uid="{00000000-0005-0000-0000-0000BA160000}"/>
    <cellStyle name="Normale 3" xfId="1040" xr:uid="{00000000-0005-0000-0000-0000BB160000}"/>
    <cellStyle name="Normale 3 2" xfId="1041" xr:uid="{00000000-0005-0000-0000-0000BC160000}"/>
    <cellStyle name="Normale 3 2 2" xfId="2656" xr:uid="{00000000-0005-0000-0000-0000BD160000}"/>
    <cellStyle name="Normale 3 3" xfId="1042" xr:uid="{00000000-0005-0000-0000-0000BE160000}"/>
    <cellStyle name="Normale 3 3 2" xfId="2657" xr:uid="{00000000-0005-0000-0000-0000BF160000}"/>
    <cellStyle name="Normale 3 4" xfId="2655" xr:uid="{00000000-0005-0000-0000-0000C0160000}"/>
    <cellStyle name="Normale 3_EDEN industria 2008 rev" xfId="1043" xr:uid="{00000000-0005-0000-0000-0000C1160000}"/>
    <cellStyle name="Normale 30" xfId="1044" xr:uid="{00000000-0005-0000-0000-0000C2160000}"/>
    <cellStyle name="Normale 30 2" xfId="2658" xr:uid="{00000000-0005-0000-0000-0000C3160000}"/>
    <cellStyle name="Normale 31" xfId="1045" xr:uid="{00000000-0005-0000-0000-0000C4160000}"/>
    <cellStyle name="Normale 31 2" xfId="2659" xr:uid="{00000000-0005-0000-0000-0000C5160000}"/>
    <cellStyle name="Normale 32" xfId="1046" xr:uid="{00000000-0005-0000-0000-0000C6160000}"/>
    <cellStyle name="Normale 32 2" xfId="2660" xr:uid="{00000000-0005-0000-0000-0000C7160000}"/>
    <cellStyle name="Normale 33" xfId="1047" xr:uid="{00000000-0005-0000-0000-0000C8160000}"/>
    <cellStyle name="Normale 33 2" xfId="2661" xr:uid="{00000000-0005-0000-0000-0000C9160000}"/>
    <cellStyle name="Normale 34" xfId="1048" xr:uid="{00000000-0005-0000-0000-0000CA160000}"/>
    <cellStyle name="Normale 34 2" xfId="2662" xr:uid="{00000000-0005-0000-0000-0000CB160000}"/>
    <cellStyle name="Normale 35" xfId="1049" xr:uid="{00000000-0005-0000-0000-0000CC160000}"/>
    <cellStyle name="Normale 35 2" xfId="2663" xr:uid="{00000000-0005-0000-0000-0000CD160000}"/>
    <cellStyle name="Normale 36" xfId="1050" xr:uid="{00000000-0005-0000-0000-0000CE160000}"/>
    <cellStyle name="Normale 36 2" xfId="2664" xr:uid="{00000000-0005-0000-0000-0000CF160000}"/>
    <cellStyle name="Normale 37" xfId="1051" xr:uid="{00000000-0005-0000-0000-0000D0160000}"/>
    <cellStyle name="Normale 37 2" xfId="2665" xr:uid="{00000000-0005-0000-0000-0000D1160000}"/>
    <cellStyle name="Normale 38" xfId="1052" xr:uid="{00000000-0005-0000-0000-0000D2160000}"/>
    <cellStyle name="Normale 38 2" xfId="2666" xr:uid="{00000000-0005-0000-0000-0000D3160000}"/>
    <cellStyle name="Normale 39" xfId="1053" xr:uid="{00000000-0005-0000-0000-0000D4160000}"/>
    <cellStyle name="Normale 39 2" xfId="2667" xr:uid="{00000000-0005-0000-0000-0000D5160000}"/>
    <cellStyle name="Normale 4" xfId="1054" xr:uid="{00000000-0005-0000-0000-0000D6160000}"/>
    <cellStyle name="Normale 4 2" xfId="1055" xr:uid="{00000000-0005-0000-0000-0000D7160000}"/>
    <cellStyle name="Normale 4 2 2" xfId="2669" xr:uid="{00000000-0005-0000-0000-0000D8160000}"/>
    <cellStyle name="Normale 4 3" xfId="1056" xr:uid="{00000000-0005-0000-0000-0000D9160000}"/>
    <cellStyle name="Normale 4 3 2" xfId="2670" xr:uid="{00000000-0005-0000-0000-0000DA160000}"/>
    <cellStyle name="Normale 4 4" xfId="2668" xr:uid="{00000000-0005-0000-0000-0000DB160000}"/>
    <cellStyle name="Normale 4_EDEN industria 2008 rev" xfId="1057" xr:uid="{00000000-0005-0000-0000-0000DC160000}"/>
    <cellStyle name="Normale 40" xfId="1058" xr:uid="{00000000-0005-0000-0000-0000DD160000}"/>
    <cellStyle name="Normale 40 2" xfId="2671" xr:uid="{00000000-0005-0000-0000-0000DE160000}"/>
    <cellStyle name="Normale 41" xfId="1059" xr:uid="{00000000-0005-0000-0000-0000DF160000}"/>
    <cellStyle name="Normale 41 2" xfId="2672" xr:uid="{00000000-0005-0000-0000-0000E0160000}"/>
    <cellStyle name="Normale 42" xfId="1060" xr:uid="{00000000-0005-0000-0000-0000E1160000}"/>
    <cellStyle name="Normale 42 2" xfId="2673" xr:uid="{00000000-0005-0000-0000-0000E2160000}"/>
    <cellStyle name="Normale 43" xfId="1061" xr:uid="{00000000-0005-0000-0000-0000E3160000}"/>
    <cellStyle name="Normale 43 2" xfId="2674" xr:uid="{00000000-0005-0000-0000-0000E4160000}"/>
    <cellStyle name="Normale 44" xfId="1062" xr:uid="{00000000-0005-0000-0000-0000E5160000}"/>
    <cellStyle name="Normale 44 2" xfId="2675" xr:uid="{00000000-0005-0000-0000-0000E6160000}"/>
    <cellStyle name="Normale 45" xfId="1063" xr:uid="{00000000-0005-0000-0000-0000E7160000}"/>
    <cellStyle name="Normale 45 2" xfId="2676" xr:uid="{00000000-0005-0000-0000-0000E8160000}"/>
    <cellStyle name="Normale 46" xfId="1064" xr:uid="{00000000-0005-0000-0000-0000E9160000}"/>
    <cellStyle name="Normale 46 2" xfId="2677" xr:uid="{00000000-0005-0000-0000-0000EA160000}"/>
    <cellStyle name="Normale 47" xfId="1065" xr:uid="{00000000-0005-0000-0000-0000EB160000}"/>
    <cellStyle name="Normale 47 2" xfId="2678" xr:uid="{00000000-0005-0000-0000-0000EC160000}"/>
    <cellStyle name="Normale 48" xfId="1066" xr:uid="{00000000-0005-0000-0000-0000ED160000}"/>
    <cellStyle name="Normale 48 2" xfId="2679" xr:uid="{00000000-0005-0000-0000-0000EE160000}"/>
    <cellStyle name="Normale 49" xfId="1067" xr:uid="{00000000-0005-0000-0000-0000EF160000}"/>
    <cellStyle name="Normale 49 2" xfId="2680" xr:uid="{00000000-0005-0000-0000-0000F0160000}"/>
    <cellStyle name="Normale 5" xfId="1068" xr:uid="{00000000-0005-0000-0000-0000F1160000}"/>
    <cellStyle name="Normale 5 2" xfId="1069" xr:uid="{00000000-0005-0000-0000-0000F2160000}"/>
    <cellStyle name="Normale 5 2 2" xfId="2682" xr:uid="{00000000-0005-0000-0000-0000F3160000}"/>
    <cellStyle name="Normale 5 3" xfId="1070" xr:uid="{00000000-0005-0000-0000-0000F4160000}"/>
    <cellStyle name="Normale 5 3 2" xfId="2683" xr:uid="{00000000-0005-0000-0000-0000F5160000}"/>
    <cellStyle name="Normale 5 4" xfId="2681" xr:uid="{00000000-0005-0000-0000-0000F6160000}"/>
    <cellStyle name="Normale 5_EDEN industria 2008 rev" xfId="1071" xr:uid="{00000000-0005-0000-0000-0000F7160000}"/>
    <cellStyle name="Normale 50" xfId="1072" xr:uid="{00000000-0005-0000-0000-0000F8160000}"/>
    <cellStyle name="Normale 50 2" xfId="2684" xr:uid="{00000000-0005-0000-0000-0000F9160000}"/>
    <cellStyle name="Normale 51" xfId="1073" xr:uid="{00000000-0005-0000-0000-0000FA160000}"/>
    <cellStyle name="Normale 51 2" xfId="2685" xr:uid="{00000000-0005-0000-0000-0000FB160000}"/>
    <cellStyle name="Normale 52" xfId="1074" xr:uid="{00000000-0005-0000-0000-0000FC160000}"/>
    <cellStyle name="Normale 52 2" xfId="2686" xr:uid="{00000000-0005-0000-0000-0000FD160000}"/>
    <cellStyle name="Normale 53" xfId="1075" xr:uid="{00000000-0005-0000-0000-0000FE160000}"/>
    <cellStyle name="Normale 53 2" xfId="2687" xr:uid="{00000000-0005-0000-0000-0000FF160000}"/>
    <cellStyle name="Normale 54" xfId="1076" xr:uid="{00000000-0005-0000-0000-000000170000}"/>
    <cellStyle name="Normale 54 2" xfId="2688" xr:uid="{00000000-0005-0000-0000-000001170000}"/>
    <cellStyle name="Normale 55" xfId="1077" xr:uid="{00000000-0005-0000-0000-000002170000}"/>
    <cellStyle name="Normale 55 2" xfId="2689" xr:uid="{00000000-0005-0000-0000-000003170000}"/>
    <cellStyle name="Normale 56" xfId="1078" xr:uid="{00000000-0005-0000-0000-000004170000}"/>
    <cellStyle name="Normale 56 2" xfId="2690" xr:uid="{00000000-0005-0000-0000-000005170000}"/>
    <cellStyle name="Normale 57" xfId="1079" xr:uid="{00000000-0005-0000-0000-000006170000}"/>
    <cellStyle name="Normale 57 2" xfId="2691" xr:uid="{00000000-0005-0000-0000-000007170000}"/>
    <cellStyle name="Normale 58" xfId="1080" xr:uid="{00000000-0005-0000-0000-000008170000}"/>
    <cellStyle name="Normale 58 2" xfId="2692" xr:uid="{00000000-0005-0000-0000-000009170000}"/>
    <cellStyle name="Normale 59" xfId="1081" xr:uid="{00000000-0005-0000-0000-00000A170000}"/>
    <cellStyle name="Normale 59 2" xfId="2693" xr:uid="{00000000-0005-0000-0000-00000B170000}"/>
    <cellStyle name="Normale 6" xfId="1082" xr:uid="{00000000-0005-0000-0000-00000C170000}"/>
    <cellStyle name="Normale 6 2" xfId="1083" xr:uid="{00000000-0005-0000-0000-00000D170000}"/>
    <cellStyle name="Normale 6 2 2" xfId="2695" xr:uid="{00000000-0005-0000-0000-00000E170000}"/>
    <cellStyle name="Normale 6 3" xfId="1084" xr:uid="{00000000-0005-0000-0000-00000F170000}"/>
    <cellStyle name="Normale 6 3 2" xfId="2696" xr:uid="{00000000-0005-0000-0000-000010170000}"/>
    <cellStyle name="Normale 6 4" xfId="2694" xr:uid="{00000000-0005-0000-0000-000011170000}"/>
    <cellStyle name="Normale 6_EDEN industria 2008 rev" xfId="1085" xr:uid="{00000000-0005-0000-0000-000012170000}"/>
    <cellStyle name="Normale 60" xfId="1086" xr:uid="{00000000-0005-0000-0000-000013170000}"/>
    <cellStyle name="Normale 60 2" xfId="2697" xr:uid="{00000000-0005-0000-0000-000014170000}"/>
    <cellStyle name="Normale 61" xfId="1087" xr:uid="{00000000-0005-0000-0000-000015170000}"/>
    <cellStyle name="Normale 61 2" xfId="2698" xr:uid="{00000000-0005-0000-0000-000016170000}"/>
    <cellStyle name="Normale 62" xfId="1088" xr:uid="{00000000-0005-0000-0000-000017170000}"/>
    <cellStyle name="Normale 62 2" xfId="2699" xr:uid="{00000000-0005-0000-0000-000018170000}"/>
    <cellStyle name="Normale 63" xfId="1089" xr:uid="{00000000-0005-0000-0000-000019170000}"/>
    <cellStyle name="Normale 63 2" xfId="2700" xr:uid="{00000000-0005-0000-0000-00001A170000}"/>
    <cellStyle name="Normale 64" xfId="1090" xr:uid="{00000000-0005-0000-0000-00001B170000}"/>
    <cellStyle name="Normale 64 2" xfId="2701" xr:uid="{00000000-0005-0000-0000-00001C170000}"/>
    <cellStyle name="Normale 65" xfId="1091" xr:uid="{00000000-0005-0000-0000-00001D170000}"/>
    <cellStyle name="Normale 65 2" xfId="2702" xr:uid="{00000000-0005-0000-0000-00001E170000}"/>
    <cellStyle name="Normale 7" xfId="1092" xr:uid="{00000000-0005-0000-0000-00001F170000}"/>
    <cellStyle name="Normale 7 2" xfId="1093" xr:uid="{00000000-0005-0000-0000-000020170000}"/>
    <cellStyle name="Normale 7 2 2" xfId="2704" xr:uid="{00000000-0005-0000-0000-000021170000}"/>
    <cellStyle name="Normale 7 3" xfId="1094" xr:uid="{00000000-0005-0000-0000-000022170000}"/>
    <cellStyle name="Normale 7 3 2" xfId="2705" xr:uid="{00000000-0005-0000-0000-000023170000}"/>
    <cellStyle name="Normale 7 4" xfId="2703" xr:uid="{00000000-0005-0000-0000-000024170000}"/>
    <cellStyle name="Normale 7_EDEN industria 2008 rev" xfId="1095" xr:uid="{00000000-0005-0000-0000-000025170000}"/>
    <cellStyle name="Normale 8" xfId="1096" xr:uid="{00000000-0005-0000-0000-000026170000}"/>
    <cellStyle name="Normale 8 2" xfId="1097" xr:uid="{00000000-0005-0000-0000-000027170000}"/>
    <cellStyle name="Normale 8 2 2" xfId="2707" xr:uid="{00000000-0005-0000-0000-000028170000}"/>
    <cellStyle name="Normale 8 3" xfId="1098" xr:uid="{00000000-0005-0000-0000-000029170000}"/>
    <cellStyle name="Normale 8 3 2" xfId="2708" xr:uid="{00000000-0005-0000-0000-00002A170000}"/>
    <cellStyle name="Normale 8 4" xfId="2706" xr:uid="{00000000-0005-0000-0000-00002B170000}"/>
    <cellStyle name="Normale 8_EDEN industria 2008 rev" xfId="1099" xr:uid="{00000000-0005-0000-0000-00002C170000}"/>
    <cellStyle name="Normale 9" xfId="1100" xr:uid="{00000000-0005-0000-0000-00002D170000}"/>
    <cellStyle name="Normale 9 2" xfId="1101" xr:uid="{00000000-0005-0000-0000-00002E170000}"/>
    <cellStyle name="Normale 9 2 2" xfId="2710" xr:uid="{00000000-0005-0000-0000-00002F170000}"/>
    <cellStyle name="Normale 9 3" xfId="1102" xr:uid="{00000000-0005-0000-0000-000030170000}"/>
    <cellStyle name="Normale 9 3 2" xfId="2711" xr:uid="{00000000-0005-0000-0000-000031170000}"/>
    <cellStyle name="Normale 9 4" xfId="2709" xr:uid="{00000000-0005-0000-0000-000032170000}"/>
    <cellStyle name="Normale 9_EDEN industria 2008 rev" xfId="1103" xr:uid="{00000000-0005-0000-0000-000033170000}"/>
    <cellStyle name="Normale_B2020" xfId="1104" xr:uid="{00000000-0005-0000-0000-000034170000}"/>
    <cellStyle name="Nota" xfId="1105" xr:uid="{00000000-0005-0000-0000-000035170000}"/>
    <cellStyle name="Nota 10" xfId="14641" xr:uid="{4D53E2F4-075D-407F-AEC1-68AF72F2D89F}"/>
    <cellStyle name="Nota 2" xfId="1106" xr:uid="{00000000-0005-0000-0000-000036170000}"/>
    <cellStyle name="Nota 2 2" xfId="2712" xr:uid="{00000000-0005-0000-0000-000037170000}"/>
    <cellStyle name="Nota 2 2 2" xfId="7930" xr:uid="{B6DA7A8C-C10C-4B5C-BB4A-A0D31564751A}"/>
    <cellStyle name="Nota 2 2 2 2" xfId="13282" xr:uid="{665B16F7-4DE8-47A9-A9D0-2159BB3A788B}"/>
    <cellStyle name="Nota 2 2 3" xfId="14607" xr:uid="{05092F48-DBAD-438E-92A5-AD2140A2E997}"/>
    <cellStyle name="Nota 2 2 4" xfId="15977" xr:uid="{63F9B23C-A3BD-4C4F-96EC-F2CAE213ABB2}"/>
    <cellStyle name="Nota 2 2 5" xfId="13254" xr:uid="{DE739D80-02D2-4184-801E-7F732128D1DA}"/>
    <cellStyle name="Nota 2 2 6" xfId="13264" xr:uid="{F249E105-20FD-4EDB-809B-83E12A4C7D4F}"/>
    <cellStyle name="Nota 2 3" xfId="7909" xr:uid="{C8B5CEAA-3C54-4FC7-9B70-3DA5588D76CD}"/>
    <cellStyle name="Nota 2 3 2" xfId="13231" xr:uid="{07C6763E-2A99-41D7-BF85-FBA09DC35C56}"/>
    <cellStyle name="Nota 2 4" xfId="13243" xr:uid="{11AD8DB3-7678-4525-A50F-74C3073AA947}"/>
    <cellStyle name="Nota 2 5" xfId="13270" xr:uid="{E41AA15F-9C2C-4639-83D2-5FC20714B63C}"/>
    <cellStyle name="Nota 2 6" xfId="13269" xr:uid="{608FAB80-86CD-4D0C-988D-AB8E69FA2F18}"/>
    <cellStyle name="Nota 2 7" xfId="13215" xr:uid="{1386AE12-AACA-46BA-881A-4D6C92B7AFE6}"/>
    <cellStyle name="Nota 3" xfId="1107" xr:uid="{00000000-0005-0000-0000-000038170000}"/>
    <cellStyle name="Nota 3 2" xfId="1108" xr:uid="{00000000-0005-0000-0000-000039170000}"/>
    <cellStyle name="Nota 3 2 2" xfId="7911" xr:uid="{DF10C08E-F714-4532-8C62-5A1B7251AFAF}"/>
    <cellStyle name="Nota 3 2 2 2" xfId="13233" xr:uid="{361BD0A9-EBAB-4A68-A7C4-A8A21059F1A5}"/>
    <cellStyle name="Nota 3 2 3" xfId="13242" xr:uid="{25175E41-44A4-4702-9C4D-B511C946B94D}"/>
    <cellStyle name="Nota 3 2 4" xfId="13278" xr:uid="{C06A471D-736D-4B51-A891-04F8EC586D62}"/>
    <cellStyle name="Nota 3 2 5" xfId="13288" xr:uid="{B2FDCF48-CE20-4957-B24D-995C4B754942}"/>
    <cellStyle name="Nota 3 2 6" xfId="13279" xr:uid="{DB49743C-9615-49B2-9B15-56BEAF99BF9B}"/>
    <cellStyle name="Nota 3 3" xfId="1109" xr:uid="{00000000-0005-0000-0000-00003A170000}"/>
    <cellStyle name="Nota 3 3 2" xfId="2714" xr:uid="{00000000-0005-0000-0000-00003B170000}"/>
    <cellStyle name="Nota 3 3 2 2" xfId="7932" xr:uid="{CAA918BD-3206-429B-9E90-95BBC5A09D5F}"/>
    <cellStyle name="Nota 3 3 2 2 2" xfId="13284" xr:uid="{1184AB11-D19F-429E-BCCD-82656F003E01}"/>
    <cellStyle name="Nota 3 3 2 3" xfId="14623" xr:uid="{AFEECFCA-A57F-41AD-AC8B-F5BA589663CF}"/>
    <cellStyle name="Nota 3 3 2 4" xfId="13207" xr:uid="{2266EEAB-CC13-4CB3-B5D4-E07758206170}"/>
    <cellStyle name="Nota 3 3 2 5" xfId="13249" xr:uid="{FD7B6666-77ED-4CC6-8051-99167438920B}"/>
    <cellStyle name="Nota 3 3 2 6" xfId="14609" xr:uid="{358ED0B6-E60B-4C3C-BCDC-2C51B3C4703A}"/>
    <cellStyle name="Nota 3 3 3" xfId="7912" xr:uid="{51F1FD56-5F38-46C6-B845-BAE6B134F252}"/>
    <cellStyle name="Nota 3 3 3 2" xfId="13234" xr:uid="{3B22772B-1B41-4033-AC85-4B687F2A4CC3}"/>
    <cellStyle name="Nota 3 3 4" xfId="13241" xr:uid="{0DE546AF-CE6E-4692-963E-E480C2542095}"/>
    <cellStyle name="Nota 3 3 5" xfId="14605" xr:uid="{CAEFCBA2-7678-4124-A78F-E8CD9789DED2}"/>
    <cellStyle name="Nota 3 3 6" xfId="15970" xr:uid="{F98E6136-D3A8-44EA-9403-FF74B4E01CA4}"/>
    <cellStyle name="Nota 3 3 7" xfId="13253" xr:uid="{E3E00DAF-FEA4-416A-BBC9-89D4A8F89871}"/>
    <cellStyle name="Nota 3 4" xfId="2713" xr:uid="{00000000-0005-0000-0000-00003C170000}"/>
    <cellStyle name="Nota 3 4 2" xfId="7931" xr:uid="{33F6CD17-766B-4278-B952-8283DF934EF9}"/>
    <cellStyle name="Nota 3 4 2 2" xfId="13283" xr:uid="{12785170-F573-401F-81A9-2733FDA18F9A}"/>
    <cellStyle name="Nota 3 4 3" xfId="14657" xr:uid="{ED7B3ECA-5A43-4F3B-AF38-5E06351FD356}"/>
    <cellStyle name="Nota 3 4 4" xfId="15987" xr:uid="{2BDB59AE-FF2F-4702-B3A1-68CD0ED41BCB}"/>
    <cellStyle name="Nota 3 4 5" xfId="15971" xr:uid="{97303FBD-40B7-4FAA-A75C-B2EEBFA40B79}"/>
    <cellStyle name="Nota 3 4 6" xfId="14658" xr:uid="{D41B2F15-22DE-4488-9600-609641D4BA92}"/>
    <cellStyle name="Nota 3 5" xfId="7910" xr:uid="{61EB38F4-1FAA-4E02-82DD-1811516DDE27}"/>
    <cellStyle name="Nota 3 5 2" xfId="13232" xr:uid="{CCC41D9D-AFAE-45BF-BF03-1FA70D7164FF}"/>
    <cellStyle name="Nota 3 6" xfId="13291" xr:uid="{1182C30C-59CE-4BF4-82C1-0656DEDFF1A0}"/>
    <cellStyle name="Nota 3 7" xfId="13226" xr:uid="{722DF8F4-60AE-4846-8111-9061043C4670}"/>
    <cellStyle name="Nota 3 8" xfId="13287" xr:uid="{6438C928-DD8F-47CB-8866-C35D3EC4A1C7}"/>
    <cellStyle name="Nota 3 9" xfId="13228" xr:uid="{8EC3D539-A375-48A4-95F5-3FD523067ED5}"/>
    <cellStyle name="Nota 4" xfId="1110" xr:uid="{00000000-0005-0000-0000-00003D170000}"/>
    <cellStyle name="Nota 4 2" xfId="1111" xr:uid="{00000000-0005-0000-0000-00003E170000}"/>
    <cellStyle name="Nota 4 2 2" xfId="2716" xr:uid="{00000000-0005-0000-0000-00003F170000}"/>
    <cellStyle name="Nota 4 2 2 2" xfId="7934" xr:uid="{114D5B7C-36B5-4C05-80A9-B704EBDCDDFF}"/>
    <cellStyle name="Nota 4 2 2 2 2" xfId="13286" xr:uid="{67D2C534-31EB-4949-82CE-F1A8D065DF9B}"/>
    <cellStyle name="Nota 4 2 2 3" xfId="14640" xr:uid="{822E81C1-83D5-49B6-8519-4EC5D279F79B}"/>
    <cellStyle name="Nota 4 2 2 4" xfId="15976" xr:uid="{41261D99-C5BF-4F17-AF5C-6E45A0ED9B4A}"/>
    <cellStyle name="Nota 4 2 2 5" xfId="14642" xr:uid="{361238A0-B83F-44BE-97EF-F0A98757C1CD}"/>
    <cellStyle name="Nota 4 2 2 6" xfId="13206" xr:uid="{4B651BA8-E97C-4007-949A-8642E735BABC}"/>
    <cellStyle name="Nota 4 2 3" xfId="7914" xr:uid="{25027738-C06A-4E8F-844C-955EE9DF5C1D}"/>
    <cellStyle name="Nota 4 2 3 2" xfId="13236" xr:uid="{3620A07F-7009-495D-A468-E07271045D84}"/>
    <cellStyle name="Nota 4 2 4" xfId="13289" xr:uid="{7692D911-6BF6-4F5D-8C46-06FCA86A5EF3}"/>
    <cellStyle name="Nota 4 2 5" xfId="13277" xr:uid="{734EC178-064E-4F0D-B6CE-B17C45310F93}"/>
    <cellStyle name="Nota 4 2 6" xfId="13271" xr:uid="{54D9B4CA-94B7-4F19-9844-86634F13BAAA}"/>
    <cellStyle name="Nota 4 2 7" xfId="13208" xr:uid="{54BD6F55-ADF0-48C4-83BE-E8B02127A465}"/>
    <cellStyle name="Nota 4 3" xfId="2715" xr:uid="{00000000-0005-0000-0000-000040170000}"/>
    <cellStyle name="Nota 4 3 2" xfId="7933" xr:uid="{413F1CA3-58B2-4166-AB33-6FE75E411682}"/>
    <cellStyle name="Nota 4 3 2 2" xfId="13285" xr:uid="{1B0E7C2F-20BA-4EA5-A11F-F0979B4962DD}"/>
    <cellStyle name="Nota 4 3 3" xfId="13272" xr:uid="{B3243A27-99A9-4DD9-8E6B-52A1E3A59FF8}"/>
    <cellStyle name="Nota 4 3 4" xfId="14635" xr:uid="{98A14429-6407-4F7F-86CA-3D389470F223}"/>
    <cellStyle name="Nota 4 3 5" xfId="15961" xr:uid="{3F5AE83D-642F-47E6-BDB1-5852CE00F14A}"/>
    <cellStyle name="Nota 4 3 6" xfId="15962" xr:uid="{D351E72A-26C0-4B85-BCFD-01F50DDC8C3B}"/>
    <cellStyle name="Nota 4 4" xfId="7913" xr:uid="{E8900E93-D78A-40AB-9948-AB9CD58B03A0}"/>
    <cellStyle name="Nota 4 4 2" xfId="13235" xr:uid="{C8A4823D-ECCA-4657-B7ED-21A1F8A46217}"/>
    <cellStyle name="Nota 4 5" xfId="13240" xr:uid="{5E38DB4C-B746-4DCA-9406-942E33FFA924}"/>
    <cellStyle name="Nota 4 6" xfId="14655" xr:uid="{139C2ED5-A1B9-4B97-8716-F85415E97E4F}"/>
    <cellStyle name="Nota 4 7" xfId="15984" xr:uid="{D4CB44E9-5C96-4D7D-93B4-CAC2CB99469C}"/>
    <cellStyle name="Nota 4 8" xfId="15972" xr:uid="{799BF188-3E02-45D3-9AAA-D0A8DD4C9B01}"/>
    <cellStyle name="Nota 5" xfId="1112" xr:uid="{00000000-0005-0000-0000-000041170000}"/>
    <cellStyle name="Nota 5 2" xfId="7915" xr:uid="{B39132AB-C724-4AC1-B99D-F9898CCB817A}"/>
    <cellStyle name="Nota 5 2 2" xfId="13237" xr:uid="{C1FC46FE-17A4-4EF4-B21C-CB7B9C4EA690}"/>
    <cellStyle name="Nota 5 3" xfId="13290" xr:uid="{3E34DE78-5E84-48A8-8210-F19D3F7C7E1D}"/>
    <cellStyle name="Nota 5 4" xfId="13227" xr:uid="{88B88FB5-39C6-471E-9767-31B69A8CF4E5}"/>
    <cellStyle name="Nota 5 5" xfId="13238" xr:uid="{905C6D2C-750A-41C1-B479-26B7CD57B142}"/>
    <cellStyle name="Nota 5 6" xfId="13229" xr:uid="{A5CA3708-53B0-4F94-910C-D3200E325FB7}"/>
    <cellStyle name="Nota 6" xfId="7908" xr:uid="{A0EBFD9C-C937-49F7-BE1A-93EEB69EFB28}"/>
    <cellStyle name="Nota 6 2" xfId="13230" xr:uid="{210ECA12-02BA-4A90-9A68-FC9A6FEA6F5C}"/>
    <cellStyle name="Nota 7" xfId="13244" xr:uid="{6A871135-A26E-497B-924C-15DB4EF7B967}"/>
    <cellStyle name="Nota 8" xfId="14622" xr:uid="{D8F5564C-F361-457B-8354-136151A8FD3C}"/>
    <cellStyle name="Nota 9" xfId="14602" xr:uid="{30DBD859-C8D2-4E2F-95EB-DC4854B08D55}"/>
    <cellStyle name="Note 2" xfId="3450" xr:uid="{00000000-0005-0000-0000-000042170000}"/>
    <cellStyle name="Note 2 2" xfId="3522" xr:uid="{00000000-0005-0000-0000-000043170000}"/>
    <cellStyle name="Note 2 2 2" xfId="8050" xr:uid="{B2AB5F45-A61E-4BBB-AE06-B274C86CA233}"/>
    <cellStyle name="Note 2 2 2 2" xfId="13409" xr:uid="{1DC64287-A144-418E-87F5-29230BBC5EDB}"/>
    <cellStyle name="Note 2 2 3" xfId="13268" xr:uid="{047B4060-21DB-441C-9EC1-27906FA03D69}"/>
    <cellStyle name="Note 2 2 4" xfId="15975" xr:uid="{5EAC60FC-8479-49B2-97F0-B519CABEF351}"/>
    <cellStyle name="Note 2 2 5" xfId="13293" xr:uid="{20691A57-72D6-4ECB-8848-96B73EDCD772}"/>
    <cellStyle name="Note 2 2 6" xfId="15988" xr:uid="{4383E99A-6F4F-4998-8201-BB9B39FB5816}"/>
    <cellStyle name="Note 2 3" xfId="7996" xr:uid="{F77A14BF-A587-452B-8A97-F958876AF407}"/>
    <cellStyle name="Note 2 3 2" xfId="13355" xr:uid="{1AE7E48F-ABD0-4616-A27A-E6ABCAA05D95}"/>
    <cellStyle name="Note 2 4" xfId="13216" xr:uid="{6E9D8441-C269-43C3-87EC-796A49E76D3A}"/>
    <cellStyle name="Note 2 5" xfId="13267" xr:uid="{E226114B-1612-436D-862F-72441B1DA326}"/>
    <cellStyle name="Note 2 6" xfId="13205" xr:uid="{C045B942-F3AA-4A12-ACF2-98C6010D0A4E}"/>
    <cellStyle name="Note 2 7" xfId="14667" xr:uid="{CC24EB93-6348-4760-B27F-874888E116B7}"/>
    <cellStyle name="Nuovo" xfId="1113" xr:uid="{00000000-0005-0000-0000-000044170000}"/>
    <cellStyle name="Nuovo 10" xfId="1114" xr:uid="{00000000-0005-0000-0000-000045170000}"/>
    <cellStyle name="Nuovo 10 2" xfId="1115" xr:uid="{00000000-0005-0000-0000-000046170000}"/>
    <cellStyle name="Nuovo 10 2 2" xfId="2717" xr:uid="{00000000-0005-0000-0000-000047170000}"/>
    <cellStyle name="Nuovo 10 3" xfId="1116" xr:uid="{00000000-0005-0000-0000-000048170000}"/>
    <cellStyle name="Nuovo 10 3 2" xfId="1117" xr:uid="{00000000-0005-0000-0000-000049170000}"/>
    <cellStyle name="Nuovo 10 3 3" xfId="1118" xr:uid="{00000000-0005-0000-0000-00004A170000}"/>
    <cellStyle name="Nuovo 10 3 3 2" xfId="2719" xr:uid="{00000000-0005-0000-0000-00004B170000}"/>
    <cellStyle name="Nuovo 10 3 4" xfId="2718" xr:uid="{00000000-0005-0000-0000-00004C170000}"/>
    <cellStyle name="Nuovo 10 4" xfId="1119" xr:uid="{00000000-0005-0000-0000-00004D170000}"/>
    <cellStyle name="Nuovo 10 4 2" xfId="1120" xr:uid="{00000000-0005-0000-0000-00004E170000}"/>
    <cellStyle name="Nuovo 10 4 2 2" xfId="2721" xr:uid="{00000000-0005-0000-0000-00004F170000}"/>
    <cellStyle name="Nuovo 10 4 3" xfId="2720" xr:uid="{00000000-0005-0000-0000-000050170000}"/>
    <cellStyle name="Nuovo 10 5" xfId="1121" xr:uid="{00000000-0005-0000-0000-000051170000}"/>
    <cellStyle name="Nuovo 11" xfId="1122" xr:uid="{00000000-0005-0000-0000-000052170000}"/>
    <cellStyle name="Nuovo 11 2" xfId="1123" xr:uid="{00000000-0005-0000-0000-000053170000}"/>
    <cellStyle name="Nuovo 11 2 2" xfId="2722" xr:uid="{00000000-0005-0000-0000-000054170000}"/>
    <cellStyle name="Nuovo 11 3" xfId="1124" xr:uid="{00000000-0005-0000-0000-000055170000}"/>
    <cellStyle name="Nuovo 11 3 2" xfId="1125" xr:uid="{00000000-0005-0000-0000-000056170000}"/>
    <cellStyle name="Nuovo 11 3 3" xfId="1126" xr:uid="{00000000-0005-0000-0000-000057170000}"/>
    <cellStyle name="Nuovo 11 3 3 2" xfId="2724" xr:uid="{00000000-0005-0000-0000-000058170000}"/>
    <cellStyle name="Nuovo 11 3 4" xfId="2723" xr:uid="{00000000-0005-0000-0000-000059170000}"/>
    <cellStyle name="Nuovo 11 4" xfId="1127" xr:uid="{00000000-0005-0000-0000-00005A170000}"/>
    <cellStyle name="Nuovo 11 4 2" xfId="1128" xr:uid="{00000000-0005-0000-0000-00005B170000}"/>
    <cellStyle name="Nuovo 11 4 2 2" xfId="2726" xr:uid="{00000000-0005-0000-0000-00005C170000}"/>
    <cellStyle name="Nuovo 11 4 3" xfId="2725" xr:uid="{00000000-0005-0000-0000-00005D170000}"/>
    <cellStyle name="Nuovo 11 5" xfId="1129" xr:uid="{00000000-0005-0000-0000-00005E170000}"/>
    <cellStyle name="Nuovo 12" xfId="1130" xr:uid="{00000000-0005-0000-0000-00005F170000}"/>
    <cellStyle name="Nuovo 12 2" xfId="1131" xr:uid="{00000000-0005-0000-0000-000060170000}"/>
    <cellStyle name="Nuovo 12 2 2" xfId="2727" xr:uid="{00000000-0005-0000-0000-000061170000}"/>
    <cellStyle name="Nuovo 12 3" xfId="1132" xr:uid="{00000000-0005-0000-0000-000062170000}"/>
    <cellStyle name="Nuovo 12 3 2" xfId="1133" xr:uid="{00000000-0005-0000-0000-000063170000}"/>
    <cellStyle name="Nuovo 12 3 3" xfId="1134" xr:uid="{00000000-0005-0000-0000-000064170000}"/>
    <cellStyle name="Nuovo 12 3 3 2" xfId="2729" xr:uid="{00000000-0005-0000-0000-000065170000}"/>
    <cellStyle name="Nuovo 12 3 4" xfId="2728" xr:uid="{00000000-0005-0000-0000-000066170000}"/>
    <cellStyle name="Nuovo 12 4" xfId="1135" xr:uid="{00000000-0005-0000-0000-000067170000}"/>
    <cellStyle name="Nuovo 12 4 2" xfId="1136" xr:uid="{00000000-0005-0000-0000-000068170000}"/>
    <cellStyle name="Nuovo 12 4 2 2" xfId="2731" xr:uid="{00000000-0005-0000-0000-000069170000}"/>
    <cellStyle name="Nuovo 12 4 3" xfId="2730" xr:uid="{00000000-0005-0000-0000-00006A170000}"/>
    <cellStyle name="Nuovo 12 5" xfId="1137" xr:uid="{00000000-0005-0000-0000-00006B170000}"/>
    <cellStyle name="Nuovo 13" xfId="1138" xr:uid="{00000000-0005-0000-0000-00006C170000}"/>
    <cellStyle name="Nuovo 13 2" xfId="1139" xr:uid="{00000000-0005-0000-0000-00006D170000}"/>
    <cellStyle name="Nuovo 13 2 2" xfId="2732" xr:uid="{00000000-0005-0000-0000-00006E170000}"/>
    <cellStyle name="Nuovo 13 3" xfId="1140" xr:uid="{00000000-0005-0000-0000-00006F170000}"/>
    <cellStyle name="Nuovo 13 3 2" xfId="1141" xr:uid="{00000000-0005-0000-0000-000070170000}"/>
    <cellStyle name="Nuovo 13 3 3" xfId="1142" xr:uid="{00000000-0005-0000-0000-000071170000}"/>
    <cellStyle name="Nuovo 13 3 3 2" xfId="2734" xr:uid="{00000000-0005-0000-0000-000072170000}"/>
    <cellStyle name="Nuovo 13 3 4" xfId="2733" xr:uid="{00000000-0005-0000-0000-000073170000}"/>
    <cellStyle name="Nuovo 13 4" xfId="1143" xr:uid="{00000000-0005-0000-0000-000074170000}"/>
    <cellStyle name="Nuovo 13 4 2" xfId="1144" xr:uid="{00000000-0005-0000-0000-000075170000}"/>
    <cellStyle name="Nuovo 13 4 2 2" xfId="2736" xr:uid="{00000000-0005-0000-0000-000076170000}"/>
    <cellStyle name="Nuovo 13 4 3" xfId="2735" xr:uid="{00000000-0005-0000-0000-000077170000}"/>
    <cellStyle name="Nuovo 13 5" xfId="1145" xr:uid="{00000000-0005-0000-0000-000078170000}"/>
    <cellStyle name="Nuovo 14" xfId="1146" xr:uid="{00000000-0005-0000-0000-000079170000}"/>
    <cellStyle name="Nuovo 14 2" xfId="1147" xr:uid="{00000000-0005-0000-0000-00007A170000}"/>
    <cellStyle name="Nuovo 14 2 2" xfId="2737" xr:uid="{00000000-0005-0000-0000-00007B170000}"/>
    <cellStyle name="Nuovo 14 3" xfId="1148" xr:uid="{00000000-0005-0000-0000-00007C170000}"/>
    <cellStyle name="Nuovo 14 3 2" xfId="1149" xr:uid="{00000000-0005-0000-0000-00007D170000}"/>
    <cellStyle name="Nuovo 14 3 3" xfId="1150" xr:uid="{00000000-0005-0000-0000-00007E170000}"/>
    <cellStyle name="Nuovo 14 3 3 2" xfId="2739" xr:uid="{00000000-0005-0000-0000-00007F170000}"/>
    <cellStyle name="Nuovo 14 3 4" xfId="2738" xr:uid="{00000000-0005-0000-0000-000080170000}"/>
    <cellStyle name="Nuovo 14 4" xfId="1151" xr:uid="{00000000-0005-0000-0000-000081170000}"/>
    <cellStyle name="Nuovo 14 4 2" xfId="1152" xr:uid="{00000000-0005-0000-0000-000082170000}"/>
    <cellStyle name="Nuovo 14 4 2 2" xfId="2741" xr:uid="{00000000-0005-0000-0000-000083170000}"/>
    <cellStyle name="Nuovo 14 4 3" xfId="2740" xr:uid="{00000000-0005-0000-0000-000084170000}"/>
    <cellStyle name="Nuovo 14 5" xfId="1153" xr:uid="{00000000-0005-0000-0000-000085170000}"/>
    <cellStyle name="Nuovo 15" xfId="1154" xr:uid="{00000000-0005-0000-0000-000086170000}"/>
    <cellStyle name="Nuovo 15 2" xfId="1155" xr:uid="{00000000-0005-0000-0000-000087170000}"/>
    <cellStyle name="Nuovo 15 2 2" xfId="2742" xr:uid="{00000000-0005-0000-0000-000088170000}"/>
    <cellStyle name="Nuovo 15 3" xfId="1156" xr:uid="{00000000-0005-0000-0000-000089170000}"/>
    <cellStyle name="Nuovo 15 3 2" xfId="1157" xr:uid="{00000000-0005-0000-0000-00008A170000}"/>
    <cellStyle name="Nuovo 15 3 3" xfId="1158" xr:uid="{00000000-0005-0000-0000-00008B170000}"/>
    <cellStyle name="Nuovo 15 3 3 2" xfId="2744" xr:uid="{00000000-0005-0000-0000-00008C170000}"/>
    <cellStyle name="Nuovo 15 3 4" xfId="2743" xr:uid="{00000000-0005-0000-0000-00008D170000}"/>
    <cellStyle name="Nuovo 15 4" xfId="1159" xr:uid="{00000000-0005-0000-0000-00008E170000}"/>
    <cellStyle name="Nuovo 15 4 2" xfId="1160" xr:uid="{00000000-0005-0000-0000-00008F170000}"/>
    <cellStyle name="Nuovo 15 4 2 2" xfId="2746" xr:uid="{00000000-0005-0000-0000-000090170000}"/>
    <cellStyle name="Nuovo 15 4 3" xfId="2745" xr:uid="{00000000-0005-0000-0000-000091170000}"/>
    <cellStyle name="Nuovo 15 5" xfId="1161" xr:uid="{00000000-0005-0000-0000-000092170000}"/>
    <cellStyle name="Nuovo 16" xfId="1162" xr:uid="{00000000-0005-0000-0000-000093170000}"/>
    <cellStyle name="Nuovo 16 2" xfId="1163" xr:uid="{00000000-0005-0000-0000-000094170000}"/>
    <cellStyle name="Nuovo 16 2 2" xfId="2747" xr:uid="{00000000-0005-0000-0000-000095170000}"/>
    <cellStyle name="Nuovo 16 3" xfId="1164" xr:uid="{00000000-0005-0000-0000-000096170000}"/>
    <cellStyle name="Nuovo 16 3 2" xfId="1165" xr:uid="{00000000-0005-0000-0000-000097170000}"/>
    <cellStyle name="Nuovo 16 3 3" xfId="1166" xr:uid="{00000000-0005-0000-0000-000098170000}"/>
    <cellStyle name="Nuovo 16 3 3 2" xfId="2749" xr:uid="{00000000-0005-0000-0000-000099170000}"/>
    <cellStyle name="Nuovo 16 3 4" xfId="2748" xr:uid="{00000000-0005-0000-0000-00009A170000}"/>
    <cellStyle name="Nuovo 16 4" xfId="1167" xr:uid="{00000000-0005-0000-0000-00009B170000}"/>
    <cellStyle name="Nuovo 16 4 2" xfId="1168" xr:uid="{00000000-0005-0000-0000-00009C170000}"/>
    <cellStyle name="Nuovo 16 4 2 2" xfId="2751" xr:uid="{00000000-0005-0000-0000-00009D170000}"/>
    <cellStyle name="Nuovo 16 4 3" xfId="2750" xr:uid="{00000000-0005-0000-0000-00009E170000}"/>
    <cellStyle name="Nuovo 16 5" xfId="1169" xr:uid="{00000000-0005-0000-0000-00009F170000}"/>
    <cellStyle name="Nuovo 17" xfId="1170" xr:uid="{00000000-0005-0000-0000-0000A0170000}"/>
    <cellStyle name="Nuovo 17 2" xfId="1171" xr:uid="{00000000-0005-0000-0000-0000A1170000}"/>
    <cellStyle name="Nuovo 17 2 2" xfId="2752" xr:uid="{00000000-0005-0000-0000-0000A2170000}"/>
    <cellStyle name="Nuovo 17 3" xfId="1172" xr:uid="{00000000-0005-0000-0000-0000A3170000}"/>
    <cellStyle name="Nuovo 17 3 2" xfId="1173" xr:uid="{00000000-0005-0000-0000-0000A4170000}"/>
    <cellStyle name="Nuovo 17 3 3" xfId="1174" xr:uid="{00000000-0005-0000-0000-0000A5170000}"/>
    <cellStyle name="Nuovo 17 3 3 2" xfId="2754" xr:uid="{00000000-0005-0000-0000-0000A6170000}"/>
    <cellStyle name="Nuovo 17 3 4" xfId="2753" xr:uid="{00000000-0005-0000-0000-0000A7170000}"/>
    <cellStyle name="Nuovo 17 4" xfId="1175" xr:uid="{00000000-0005-0000-0000-0000A8170000}"/>
    <cellStyle name="Nuovo 17 4 2" xfId="1176" xr:uid="{00000000-0005-0000-0000-0000A9170000}"/>
    <cellStyle name="Nuovo 17 4 2 2" xfId="2756" xr:uid="{00000000-0005-0000-0000-0000AA170000}"/>
    <cellStyle name="Nuovo 17 4 3" xfId="2755" xr:uid="{00000000-0005-0000-0000-0000AB170000}"/>
    <cellStyle name="Nuovo 17 5" xfId="1177" xr:uid="{00000000-0005-0000-0000-0000AC170000}"/>
    <cellStyle name="Nuovo 18" xfId="1178" xr:uid="{00000000-0005-0000-0000-0000AD170000}"/>
    <cellStyle name="Nuovo 18 2" xfId="1179" xr:uid="{00000000-0005-0000-0000-0000AE170000}"/>
    <cellStyle name="Nuovo 18 2 2" xfId="2757" xr:uid="{00000000-0005-0000-0000-0000AF170000}"/>
    <cellStyle name="Nuovo 18 3" xfId="1180" xr:uid="{00000000-0005-0000-0000-0000B0170000}"/>
    <cellStyle name="Nuovo 18 3 2" xfId="1181" xr:uid="{00000000-0005-0000-0000-0000B1170000}"/>
    <cellStyle name="Nuovo 18 3 3" xfId="1182" xr:uid="{00000000-0005-0000-0000-0000B2170000}"/>
    <cellStyle name="Nuovo 18 3 3 2" xfId="2759" xr:uid="{00000000-0005-0000-0000-0000B3170000}"/>
    <cellStyle name="Nuovo 18 3 4" xfId="2758" xr:uid="{00000000-0005-0000-0000-0000B4170000}"/>
    <cellStyle name="Nuovo 18 4" xfId="1183" xr:uid="{00000000-0005-0000-0000-0000B5170000}"/>
    <cellStyle name="Nuovo 18 4 2" xfId="1184" xr:uid="{00000000-0005-0000-0000-0000B6170000}"/>
    <cellStyle name="Nuovo 18 4 2 2" xfId="2761" xr:uid="{00000000-0005-0000-0000-0000B7170000}"/>
    <cellStyle name="Nuovo 18 4 3" xfId="2760" xr:uid="{00000000-0005-0000-0000-0000B8170000}"/>
    <cellStyle name="Nuovo 18 5" xfId="1185" xr:uid="{00000000-0005-0000-0000-0000B9170000}"/>
    <cellStyle name="Nuovo 19" xfId="1186" xr:uid="{00000000-0005-0000-0000-0000BA170000}"/>
    <cellStyle name="Nuovo 19 2" xfId="1187" xr:uid="{00000000-0005-0000-0000-0000BB170000}"/>
    <cellStyle name="Nuovo 19 2 2" xfId="2762" xr:uid="{00000000-0005-0000-0000-0000BC170000}"/>
    <cellStyle name="Nuovo 19 3" xfId="1188" xr:uid="{00000000-0005-0000-0000-0000BD170000}"/>
    <cellStyle name="Nuovo 19 3 2" xfId="1189" xr:uid="{00000000-0005-0000-0000-0000BE170000}"/>
    <cellStyle name="Nuovo 19 3 3" xfId="1190" xr:uid="{00000000-0005-0000-0000-0000BF170000}"/>
    <cellStyle name="Nuovo 19 3 3 2" xfId="2764" xr:uid="{00000000-0005-0000-0000-0000C0170000}"/>
    <cellStyle name="Nuovo 19 3 4" xfId="2763" xr:uid="{00000000-0005-0000-0000-0000C1170000}"/>
    <cellStyle name="Nuovo 19 4" xfId="1191" xr:uid="{00000000-0005-0000-0000-0000C2170000}"/>
    <cellStyle name="Nuovo 19 4 2" xfId="1192" xr:uid="{00000000-0005-0000-0000-0000C3170000}"/>
    <cellStyle name="Nuovo 19 4 2 2" xfId="2766" xr:uid="{00000000-0005-0000-0000-0000C4170000}"/>
    <cellStyle name="Nuovo 19 4 3" xfId="2765" xr:uid="{00000000-0005-0000-0000-0000C5170000}"/>
    <cellStyle name="Nuovo 19 5" xfId="1193" xr:uid="{00000000-0005-0000-0000-0000C6170000}"/>
    <cellStyle name="Nuovo 2" xfId="1194" xr:uid="{00000000-0005-0000-0000-0000C7170000}"/>
    <cellStyle name="Nuovo 2 2" xfId="1195" xr:uid="{00000000-0005-0000-0000-0000C8170000}"/>
    <cellStyle name="Nuovo 2 2 2" xfId="2767" xr:uid="{00000000-0005-0000-0000-0000C9170000}"/>
    <cellStyle name="Nuovo 2 3" xfId="1196" xr:uid="{00000000-0005-0000-0000-0000CA170000}"/>
    <cellStyle name="Nuovo 2 3 2" xfId="1197" xr:uid="{00000000-0005-0000-0000-0000CB170000}"/>
    <cellStyle name="Nuovo 2 3 3" xfId="1198" xr:uid="{00000000-0005-0000-0000-0000CC170000}"/>
    <cellStyle name="Nuovo 2 3 3 2" xfId="2769" xr:uid="{00000000-0005-0000-0000-0000CD170000}"/>
    <cellStyle name="Nuovo 2 3 4" xfId="2768" xr:uid="{00000000-0005-0000-0000-0000CE170000}"/>
    <cellStyle name="Nuovo 2 4" xfId="1199" xr:uid="{00000000-0005-0000-0000-0000CF170000}"/>
    <cellStyle name="Nuovo 2 4 2" xfId="1200" xr:uid="{00000000-0005-0000-0000-0000D0170000}"/>
    <cellStyle name="Nuovo 2 4 2 2" xfId="2771" xr:uid="{00000000-0005-0000-0000-0000D1170000}"/>
    <cellStyle name="Nuovo 2 4 3" xfId="2770" xr:uid="{00000000-0005-0000-0000-0000D2170000}"/>
    <cellStyle name="Nuovo 2 5" xfId="1201" xr:uid="{00000000-0005-0000-0000-0000D3170000}"/>
    <cellStyle name="Nuovo 20" xfId="1202" xr:uid="{00000000-0005-0000-0000-0000D4170000}"/>
    <cellStyle name="Nuovo 20 2" xfId="1203" xr:uid="{00000000-0005-0000-0000-0000D5170000}"/>
    <cellStyle name="Nuovo 20 2 2" xfId="2772" xr:uid="{00000000-0005-0000-0000-0000D6170000}"/>
    <cellStyle name="Nuovo 20 3" xfId="1204" xr:uid="{00000000-0005-0000-0000-0000D7170000}"/>
    <cellStyle name="Nuovo 20 3 2" xfId="1205" xr:uid="{00000000-0005-0000-0000-0000D8170000}"/>
    <cellStyle name="Nuovo 20 3 3" xfId="1206" xr:uid="{00000000-0005-0000-0000-0000D9170000}"/>
    <cellStyle name="Nuovo 20 3 3 2" xfId="2774" xr:uid="{00000000-0005-0000-0000-0000DA170000}"/>
    <cellStyle name="Nuovo 20 3 4" xfId="2773" xr:uid="{00000000-0005-0000-0000-0000DB170000}"/>
    <cellStyle name="Nuovo 20 4" xfId="1207" xr:uid="{00000000-0005-0000-0000-0000DC170000}"/>
    <cellStyle name="Nuovo 20 4 2" xfId="1208" xr:uid="{00000000-0005-0000-0000-0000DD170000}"/>
    <cellStyle name="Nuovo 20 4 2 2" xfId="2776" xr:uid="{00000000-0005-0000-0000-0000DE170000}"/>
    <cellStyle name="Nuovo 20 4 3" xfId="2775" xr:uid="{00000000-0005-0000-0000-0000DF170000}"/>
    <cellStyle name="Nuovo 20 5" xfId="1209" xr:uid="{00000000-0005-0000-0000-0000E0170000}"/>
    <cellStyle name="Nuovo 21" xfId="1210" xr:uid="{00000000-0005-0000-0000-0000E1170000}"/>
    <cellStyle name="Nuovo 21 2" xfId="1211" xr:uid="{00000000-0005-0000-0000-0000E2170000}"/>
    <cellStyle name="Nuovo 21 2 2" xfId="2777" xr:uid="{00000000-0005-0000-0000-0000E3170000}"/>
    <cellStyle name="Nuovo 21 3" xfId="1212" xr:uid="{00000000-0005-0000-0000-0000E4170000}"/>
    <cellStyle name="Nuovo 21 3 2" xfId="1213" xr:uid="{00000000-0005-0000-0000-0000E5170000}"/>
    <cellStyle name="Nuovo 21 3 3" xfId="1214" xr:uid="{00000000-0005-0000-0000-0000E6170000}"/>
    <cellStyle name="Nuovo 21 3 3 2" xfId="2779" xr:uid="{00000000-0005-0000-0000-0000E7170000}"/>
    <cellStyle name="Nuovo 21 3 4" xfId="2778" xr:uid="{00000000-0005-0000-0000-0000E8170000}"/>
    <cellStyle name="Nuovo 21 4" xfId="1215" xr:uid="{00000000-0005-0000-0000-0000E9170000}"/>
    <cellStyle name="Nuovo 21 4 2" xfId="1216" xr:uid="{00000000-0005-0000-0000-0000EA170000}"/>
    <cellStyle name="Nuovo 21 4 2 2" xfId="2781" xr:uid="{00000000-0005-0000-0000-0000EB170000}"/>
    <cellStyle name="Nuovo 21 4 3" xfId="2780" xr:uid="{00000000-0005-0000-0000-0000EC170000}"/>
    <cellStyle name="Nuovo 21 5" xfId="1217" xr:uid="{00000000-0005-0000-0000-0000ED170000}"/>
    <cellStyle name="Nuovo 22" xfId="1218" xr:uid="{00000000-0005-0000-0000-0000EE170000}"/>
    <cellStyle name="Nuovo 22 2" xfId="1219" xr:uid="{00000000-0005-0000-0000-0000EF170000}"/>
    <cellStyle name="Nuovo 22 2 2" xfId="2782" xr:uid="{00000000-0005-0000-0000-0000F0170000}"/>
    <cellStyle name="Nuovo 22 3" xfId="1220" xr:uid="{00000000-0005-0000-0000-0000F1170000}"/>
    <cellStyle name="Nuovo 22 3 2" xfId="1221" xr:uid="{00000000-0005-0000-0000-0000F2170000}"/>
    <cellStyle name="Nuovo 22 3 3" xfId="1222" xr:uid="{00000000-0005-0000-0000-0000F3170000}"/>
    <cellStyle name="Nuovo 22 3 3 2" xfId="2784" xr:uid="{00000000-0005-0000-0000-0000F4170000}"/>
    <cellStyle name="Nuovo 22 3 4" xfId="2783" xr:uid="{00000000-0005-0000-0000-0000F5170000}"/>
    <cellStyle name="Nuovo 22 4" xfId="1223" xr:uid="{00000000-0005-0000-0000-0000F6170000}"/>
    <cellStyle name="Nuovo 22 4 2" xfId="1224" xr:uid="{00000000-0005-0000-0000-0000F7170000}"/>
    <cellStyle name="Nuovo 22 4 2 2" xfId="2786" xr:uid="{00000000-0005-0000-0000-0000F8170000}"/>
    <cellStyle name="Nuovo 22 4 3" xfId="2785" xr:uid="{00000000-0005-0000-0000-0000F9170000}"/>
    <cellStyle name="Nuovo 22 5" xfId="1225" xr:uid="{00000000-0005-0000-0000-0000FA170000}"/>
    <cellStyle name="Nuovo 23" xfId="1226" xr:uid="{00000000-0005-0000-0000-0000FB170000}"/>
    <cellStyle name="Nuovo 23 2" xfId="1227" xr:uid="{00000000-0005-0000-0000-0000FC170000}"/>
    <cellStyle name="Nuovo 23 2 2" xfId="2787" xr:uid="{00000000-0005-0000-0000-0000FD170000}"/>
    <cellStyle name="Nuovo 23 3" xfId="1228" xr:uid="{00000000-0005-0000-0000-0000FE170000}"/>
    <cellStyle name="Nuovo 23 3 2" xfId="1229" xr:uid="{00000000-0005-0000-0000-0000FF170000}"/>
    <cellStyle name="Nuovo 23 3 3" xfId="1230" xr:uid="{00000000-0005-0000-0000-000000180000}"/>
    <cellStyle name="Nuovo 23 3 3 2" xfId="2789" xr:uid="{00000000-0005-0000-0000-000001180000}"/>
    <cellStyle name="Nuovo 23 3 4" xfId="2788" xr:uid="{00000000-0005-0000-0000-000002180000}"/>
    <cellStyle name="Nuovo 23 4" xfId="1231" xr:uid="{00000000-0005-0000-0000-000003180000}"/>
    <cellStyle name="Nuovo 23 4 2" xfId="1232" xr:uid="{00000000-0005-0000-0000-000004180000}"/>
    <cellStyle name="Nuovo 23 4 2 2" xfId="2791" xr:uid="{00000000-0005-0000-0000-000005180000}"/>
    <cellStyle name="Nuovo 23 4 3" xfId="2790" xr:uid="{00000000-0005-0000-0000-000006180000}"/>
    <cellStyle name="Nuovo 23 5" xfId="1233" xr:uid="{00000000-0005-0000-0000-000007180000}"/>
    <cellStyle name="Nuovo 24" xfId="1234" xr:uid="{00000000-0005-0000-0000-000008180000}"/>
    <cellStyle name="Nuovo 24 2" xfId="1235" xr:uid="{00000000-0005-0000-0000-000009180000}"/>
    <cellStyle name="Nuovo 24 2 2" xfId="2792" xr:uid="{00000000-0005-0000-0000-00000A180000}"/>
    <cellStyle name="Nuovo 24 3" xfId="1236" xr:uid="{00000000-0005-0000-0000-00000B180000}"/>
    <cellStyle name="Nuovo 24 3 2" xfId="1237" xr:uid="{00000000-0005-0000-0000-00000C180000}"/>
    <cellStyle name="Nuovo 24 3 3" xfId="1238" xr:uid="{00000000-0005-0000-0000-00000D180000}"/>
    <cellStyle name="Nuovo 24 3 3 2" xfId="2794" xr:uid="{00000000-0005-0000-0000-00000E180000}"/>
    <cellStyle name="Nuovo 24 3 4" xfId="2793" xr:uid="{00000000-0005-0000-0000-00000F180000}"/>
    <cellStyle name="Nuovo 24 4" xfId="1239" xr:uid="{00000000-0005-0000-0000-000010180000}"/>
    <cellStyle name="Nuovo 24 4 2" xfId="1240" xr:uid="{00000000-0005-0000-0000-000011180000}"/>
    <cellStyle name="Nuovo 24 4 2 2" xfId="2796" xr:uid="{00000000-0005-0000-0000-000012180000}"/>
    <cellStyle name="Nuovo 24 4 3" xfId="2795" xr:uid="{00000000-0005-0000-0000-000013180000}"/>
    <cellStyle name="Nuovo 24 5" xfId="1241" xr:uid="{00000000-0005-0000-0000-000014180000}"/>
    <cellStyle name="Nuovo 25" xfId="1242" xr:uid="{00000000-0005-0000-0000-000015180000}"/>
    <cellStyle name="Nuovo 25 2" xfId="1243" xr:uid="{00000000-0005-0000-0000-000016180000}"/>
    <cellStyle name="Nuovo 25 2 2" xfId="2797" xr:uid="{00000000-0005-0000-0000-000017180000}"/>
    <cellStyle name="Nuovo 25 3" xfId="1244" xr:uid="{00000000-0005-0000-0000-000018180000}"/>
    <cellStyle name="Nuovo 25 3 2" xfId="1245" xr:uid="{00000000-0005-0000-0000-000019180000}"/>
    <cellStyle name="Nuovo 25 3 3" xfId="1246" xr:uid="{00000000-0005-0000-0000-00001A180000}"/>
    <cellStyle name="Nuovo 25 3 3 2" xfId="2799" xr:uid="{00000000-0005-0000-0000-00001B180000}"/>
    <cellStyle name="Nuovo 25 3 4" xfId="2798" xr:uid="{00000000-0005-0000-0000-00001C180000}"/>
    <cellStyle name="Nuovo 25 4" xfId="1247" xr:uid="{00000000-0005-0000-0000-00001D180000}"/>
    <cellStyle name="Nuovo 25 4 2" xfId="1248" xr:uid="{00000000-0005-0000-0000-00001E180000}"/>
    <cellStyle name="Nuovo 25 4 2 2" xfId="2801" xr:uid="{00000000-0005-0000-0000-00001F180000}"/>
    <cellStyle name="Nuovo 25 4 3" xfId="2800" xr:uid="{00000000-0005-0000-0000-000020180000}"/>
    <cellStyle name="Nuovo 25 5" xfId="1249" xr:uid="{00000000-0005-0000-0000-000021180000}"/>
    <cellStyle name="Nuovo 26" xfId="1250" xr:uid="{00000000-0005-0000-0000-000022180000}"/>
    <cellStyle name="Nuovo 26 2" xfId="1251" xr:uid="{00000000-0005-0000-0000-000023180000}"/>
    <cellStyle name="Nuovo 26 2 2" xfId="2802" xr:uid="{00000000-0005-0000-0000-000024180000}"/>
    <cellStyle name="Nuovo 26 3" xfId="1252" xr:uid="{00000000-0005-0000-0000-000025180000}"/>
    <cellStyle name="Nuovo 26 3 2" xfId="1253" xr:uid="{00000000-0005-0000-0000-000026180000}"/>
    <cellStyle name="Nuovo 26 3 3" xfId="1254" xr:uid="{00000000-0005-0000-0000-000027180000}"/>
    <cellStyle name="Nuovo 26 3 3 2" xfId="2804" xr:uid="{00000000-0005-0000-0000-000028180000}"/>
    <cellStyle name="Nuovo 26 3 4" xfId="2803" xr:uid="{00000000-0005-0000-0000-000029180000}"/>
    <cellStyle name="Nuovo 26 4" xfId="1255" xr:uid="{00000000-0005-0000-0000-00002A180000}"/>
    <cellStyle name="Nuovo 26 4 2" xfId="1256" xr:uid="{00000000-0005-0000-0000-00002B180000}"/>
    <cellStyle name="Nuovo 26 4 2 2" xfId="2806" xr:uid="{00000000-0005-0000-0000-00002C180000}"/>
    <cellStyle name="Nuovo 26 4 3" xfId="2805" xr:uid="{00000000-0005-0000-0000-00002D180000}"/>
    <cellStyle name="Nuovo 26 5" xfId="1257" xr:uid="{00000000-0005-0000-0000-00002E180000}"/>
    <cellStyle name="Nuovo 27" xfId="1258" xr:uid="{00000000-0005-0000-0000-00002F180000}"/>
    <cellStyle name="Nuovo 27 2" xfId="1259" xr:uid="{00000000-0005-0000-0000-000030180000}"/>
    <cellStyle name="Nuovo 27 2 2" xfId="2807" xr:uid="{00000000-0005-0000-0000-000031180000}"/>
    <cellStyle name="Nuovo 27 3" xfId="1260" xr:uid="{00000000-0005-0000-0000-000032180000}"/>
    <cellStyle name="Nuovo 27 3 2" xfId="1261" xr:uid="{00000000-0005-0000-0000-000033180000}"/>
    <cellStyle name="Nuovo 27 3 3" xfId="1262" xr:uid="{00000000-0005-0000-0000-000034180000}"/>
    <cellStyle name="Nuovo 27 3 3 2" xfId="2809" xr:uid="{00000000-0005-0000-0000-000035180000}"/>
    <cellStyle name="Nuovo 27 3 4" xfId="2808" xr:uid="{00000000-0005-0000-0000-000036180000}"/>
    <cellStyle name="Nuovo 27 4" xfId="1263" xr:uid="{00000000-0005-0000-0000-000037180000}"/>
    <cellStyle name="Nuovo 27 4 2" xfId="1264" xr:uid="{00000000-0005-0000-0000-000038180000}"/>
    <cellStyle name="Nuovo 27 4 2 2" xfId="2811" xr:uid="{00000000-0005-0000-0000-000039180000}"/>
    <cellStyle name="Nuovo 27 4 3" xfId="2810" xr:uid="{00000000-0005-0000-0000-00003A180000}"/>
    <cellStyle name="Nuovo 27 5" xfId="1265" xr:uid="{00000000-0005-0000-0000-00003B180000}"/>
    <cellStyle name="Nuovo 28" xfId="1266" xr:uid="{00000000-0005-0000-0000-00003C180000}"/>
    <cellStyle name="Nuovo 28 2" xfId="1267" xr:uid="{00000000-0005-0000-0000-00003D180000}"/>
    <cellStyle name="Nuovo 28 2 2" xfId="2812" xr:uid="{00000000-0005-0000-0000-00003E180000}"/>
    <cellStyle name="Nuovo 28 3" xfId="1268" xr:uid="{00000000-0005-0000-0000-00003F180000}"/>
    <cellStyle name="Nuovo 28 3 2" xfId="1269" xr:uid="{00000000-0005-0000-0000-000040180000}"/>
    <cellStyle name="Nuovo 28 3 3" xfId="1270" xr:uid="{00000000-0005-0000-0000-000041180000}"/>
    <cellStyle name="Nuovo 28 3 3 2" xfId="2814" xr:uid="{00000000-0005-0000-0000-000042180000}"/>
    <cellStyle name="Nuovo 28 3 4" xfId="2813" xr:uid="{00000000-0005-0000-0000-000043180000}"/>
    <cellStyle name="Nuovo 28 4" xfId="1271" xr:uid="{00000000-0005-0000-0000-000044180000}"/>
    <cellStyle name="Nuovo 28 4 2" xfId="1272" xr:uid="{00000000-0005-0000-0000-000045180000}"/>
    <cellStyle name="Nuovo 28 4 2 2" xfId="2816" xr:uid="{00000000-0005-0000-0000-000046180000}"/>
    <cellStyle name="Nuovo 28 4 3" xfId="2815" xr:uid="{00000000-0005-0000-0000-000047180000}"/>
    <cellStyle name="Nuovo 28 5" xfId="1273" xr:uid="{00000000-0005-0000-0000-000048180000}"/>
    <cellStyle name="Nuovo 29" xfId="1274" xr:uid="{00000000-0005-0000-0000-000049180000}"/>
    <cellStyle name="Nuovo 29 2" xfId="1275" xr:uid="{00000000-0005-0000-0000-00004A180000}"/>
    <cellStyle name="Nuovo 29 2 2" xfId="2817" xr:uid="{00000000-0005-0000-0000-00004B180000}"/>
    <cellStyle name="Nuovo 29 3" xfId="1276" xr:uid="{00000000-0005-0000-0000-00004C180000}"/>
    <cellStyle name="Nuovo 29 3 2" xfId="1277" xr:uid="{00000000-0005-0000-0000-00004D180000}"/>
    <cellStyle name="Nuovo 29 3 3" xfId="1278" xr:uid="{00000000-0005-0000-0000-00004E180000}"/>
    <cellStyle name="Nuovo 29 3 3 2" xfId="2819" xr:uid="{00000000-0005-0000-0000-00004F180000}"/>
    <cellStyle name="Nuovo 29 3 4" xfId="2818" xr:uid="{00000000-0005-0000-0000-000050180000}"/>
    <cellStyle name="Nuovo 29 4" xfId="1279" xr:uid="{00000000-0005-0000-0000-000051180000}"/>
    <cellStyle name="Nuovo 29 4 2" xfId="1280" xr:uid="{00000000-0005-0000-0000-000052180000}"/>
    <cellStyle name="Nuovo 29 4 2 2" xfId="2821" xr:uid="{00000000-0005-0000-0000-000053180000}"/>
    <cellStyle name="Nuovo 29 4 3" xfId="2820" xr:uid="{00000000-0005-0000-0000-000054180000}"/>
    <cellStyle name="Nuovo 29 5" xfId="1281" xr:uid="{00000000-0005-0000-0000-000055180000}"/>
    <cellStyle name="Nuovo 3" xfId="1282" xr:uid="{00000000-0005-0000-0000-000056180000}"/>
    <cellStyle name="Nuovo 3 2" xfId="1283" xr:uid="{00000000-0005-0000-0000-000057180000}"/>
    <cellStyle name="Nuovo 3 2 2" xfId="2822" xr:uid="{00000000-0005-0000-0000-000058180000}"/>
    <cellStyle name="Nuovo 3 3" xfId="1284" xr:uid="{00000000-0005-0000-0000-000059180000}"/>
    <cellStyle name="Nuovo 3 3 2" xfId="1285" xr:uid="{00000000-0005-0000-0000-00005A180000}"/>
    <cellStyle name="Nuovo 3 3 3" xfId="1286" xr:uid="{00000000-0005-0000-0000-00005B180000}"/>
    <cellStyle name="Nuovo 3 3 3 2" xfId="2824" xr:uid="{00000000-0005-0000-0000-00005C180000}"/>
    <cellStyle name="Nuovo 3 3 4" xfId="2823" xr:uid="{00000000-0005-0000-0000-00005D180000}"/>
    <cellStyle name="Nuovo 3 4" xfId="1287" xr:uid="{00000000-0005-0000-0000-00005E180000}"/>
    <cellStyle name="Nuovo 3 4 2" xfId="1288" xr:uid="{00000000-0005-0000-0000-00005F180000}"/>
    <cellStyle name="Nuovo 3 4 2 2" xfId="2826" xr:uid="{00000000-0005-0000-0000-000060180000}"/>
    <cellStyle name="Nuovo 3 4 3" xfId="2825" xr:uid="{00000000-0005-0000-0000-000061180000}"/>
    <cellStyle name="Nuovo 3 5" xfId="1289" xr:uid="{00000000-0005-0000-0000-000062180000}"/>
    <cellStyle name="Nuovo 30" xfId="1290" xr:uid="{00000000-0005-0000-0000-000063180000}"/>
    <cellStyle name="Nuovo 30 2" xfId="1291" xr:uid="{00000000-0005-0000-0000-000064180000}"/>
    <cellStyle name="Nuovo 30 2 2" xfId="2827" xr:uid="{00000000-0005-0000-0000-000065180000}"/>
    <cellStyle name="Nuovo 30 3" xfId="1292" xr:uid="{00000000-0005-0000-0000-000066180000}"/>
    <cellStyle name="Nuovo 30 3 2" xfId="1293" xr:uid="{00000000-0005-0000-0000-000067180000}"/>
    <cellStyle name="Nuovo 30 3 3" xfId="1294" xr:uid="{00000000-0005-0000-0000-000068180000}"/>
    <cellStyle name="Nuovo 30 3 3 2" xfId="2829" xr:uid="{00000000-0005-0000-0000-000069180000}"/>
    <cellStyle name="Nuovo 30 3 4" xfId="2828" xr:uid="{00000000-0005-0000-0000-00006A180000}"/>
    <cellStyle name="Nuovo 30 4" xfId="1295" xr:uid="{00000000-0005-0000-0000-00006B180000}"/>
    <cellStyle name="Nuovo 30 4 2" xfId="1296" xr:uid="{00000000-0005-0000-0000-00006C180000}"/>
    <cellStyle name="Nuovo 30 4 2 2" xfId="2831" xr:uid="{00000000-0005-0000-0000-00006D180000}"/>
    <cellStyle name="Nuovo 30 4 3" xfId="2830" xr:uid="{00000000-0005-0000-0000-00006E180000}"/>
    <cellStyle name="Nuovo 30 5" xfId="1297" xr:uid="{00000000-0005-0000-0000-00006F180000}"/>
    <cellStyle name="Nuovo 31" xfId="1298" xr:uid="{00000000-0005-0000-0000-000070180000}"/>
    <cellStyle name="Nuovo 31 2" xfId="1299" xr:uid="{00000000-0005-0000-0000-000071180000}"/>
    <cellStyle name="Nuovo 31 2 2" xfId="2832" xr:uid="{00000000-0005-0000-0000-000072180000}"/>
    <cellStyle name="Nuovo 31 3" xfId="1300" xr:uid="{00000000-0005-0000-0000-000073180000}"/>
    <cellStyle name="Nuovo 31 3 2" xfId="1301" xr:uid="{00000000-0005-0000-0000-000074180000}"/>
    <cellStyle name="Nuovo 31 3 3" xfId="1302" xr:uid="{00000000-0005-0000-0000-000075180000}"/>
    <cellStyle name="Nuovo 31 3 3 2" xfId="2834" xr:uid="{00000000-0005-0000-0000-000076180000}"/>
    <cellStyle name="Nuovo 31 3 4" xfId="2833" xr:uid="{00000000-0005-0000-0000-000077180000}"/>
    <cellStyle name="Nuovo 31 4" xfId="1303" xr:uid="{00000000-0005-0000-0000-000078180000}"/>
    <cellStyle name="Nuovo 31 4 2" xfId="1304" xr:uid="{00000000-0005-0000-0000-000079180000}"/>
    <cellStyle name="Nuovo 31 4 2 2" xfId="2836" xr:uid="{00000000-0005-0000-0000-00007A180000}"/>
    <cellStyle name="Nuovo 31 4 3" xfId="2835" xr:uid="{00000000-0005-0000-0000-00007B180000}"/>
    <cellStyle name="Nuovo 31 5" xfId="1305" xr:uid="{00000000-0005-0000-0000-00007C180000}"/>
    <cellStyle name="Nuovo 32" xfId="1306" xr:uid="{00000000-0005-0000-0000-00007D180000}"/>
    <cellStyle name="Nuovo 32 2" xfId="1307" xr:uid="{00000000-0005-0000-0000-00007E180000}"/>
    <cellStyle name="Nuovo 32 2 2" xfId="2837" xr:uid="{00000000-0005-0000-0000-00007F180000}"/>
    <cellStyle name="Nuovo 32 3" xfId="1308" xr:uid="{00000000-0005-0000-0000-000080180000}"/>
    <cellStyle name="Nuovo 32 3 2" xfId="1309" xr:uid="{00000000-0005-0000-0000-000081180000}"/>
    <cellStyle name="Nuovo 32 3 3" xfId="1310" xr:uid="{00000000-0005-0000-0000-000082180000}"/>
    <cellStyle name="Nuovo 32 3 3 2" xfId="2839" xr:uid="{00000000-0005-0000-0000-000083180000}"/>
    <cellStyle name="Nuovo 32 3 4" xfId="2838" xr:uid="{00000000-0005-0000-0000-000084180000}"/>
    <cellStyle name="Nuovo 32 4" xfId="1311" xr:uid="{00000000-0005-0000-0000-000085180000}"/>
    <cellStyle name="Nuovo 32 4 2" xfId="1312" xr:uid="{00000000-0005-0000-0000-000086180000}"/>
    <cellStyle name="Nuovo 32 4 2 2" xfId="2841" xr:uid="{00000000-0005-0000-0000-000087180000}"/>
    <cellStyle name="Nuovo 32 4 3" xfId="2840" xr:uid="{00000000-0005-0000-0000-000088180000}"/>
    <cellStyle name="Nuovo 32 5" xfId="1313" xr:uid="{00000000-0005-0000-0000-000089180000}"/>
    <cellStyle name="Nuovo 33" xfId="1314" xr:uid="{00000000-0005-0000-0000-00008A180000}"/>
    <cellStyle name="Nuovo 33 2" xfId="1315" xr:uid="{00000000-0005-0000-0000-00008B180000}"/>
    <cellStyle name="Nuovo 33 2 2" xfId="2842" xr:uid="{00000000-0005-0000-0000-00008C180000}"/>
    <cellStyle name="Nuovo 33 3" xfId="1316" xr:uid="{00000000-0005-0000-0000-00008D180000}"/>
    <cellStyle name="Nuovo 33 3 2" xfId="1317" xr:uid="{00000000-0005-0000-0000-00008E180000}"/>
    <cellStyle name="Nuovo 33 3 3" xfId="1318" xr:uid="{00000000-0005-0000-0000-00008F180000}"/>
    <cellStyle name="Nuovo 33 3 3 2" xfId="2844" xr:uid="{00000000-0005-0000-0000-000090180000}"/>
    <cellStyle name="Nuovo 33 3 4" xfId="2843" xr:uid="{00000000-0005-0000-0000-000091180000}"/>
    <cellStyle name="Nuovo 33 4" xfId="1319" xr:uid="{00000000-0005-0000-0000-000092180000}"/>
    <cellStyle name="Nuovo 33 4 2" xfId="1320" xr:uid="{00000000-0005-0000-0000-000093180000}"/>
    <cellStyle name="Nuovo 33 4 2 2" xfId="2846" xr:uid="{00000000-0005-0000-0000-000094180000}"/>
    <cellStyle name="Nuovo 33 4 3" xfId="2845" xr:uid="{00000000-0005-0000-0000-000095180000}"/>
    <cellStyle name="Nuovo 33 5" xfId="1321" xr:uid="{00000000-0005-0000-0000-000096180000}"/>
    <cellStyle name="Nuovo 34" xfId="1322" xr:uid="{00000000-0005-0000-0000-000097180000}"/>
    <cellStyle name="Nuovo 34 2" xfId="1323" xr:uid="{00000000-0005-0000-0000-000098180000}"/>
    <cellStyle name="Nuovo 34 2 2" xfId="2847" xr:uid="{00000000-0005-0000-0000-000099180000}"/>
    <cellStyle name="Nuovo 34 3" xfId="1324" xr:uid="{00000000-0005-0000-0000-00009A180000}"/>
    <cellStyle name="Nuovo 34 3 2" xfId="1325" xr:uid="{00000000-0005-0000-0000-00009B180000}"/>
    <cellStyle name="Nuovo 34 3 3" xfId="1326" xr:uid="{00000000-0005-0000-0000-00009C180000}"/>
    <cellStyle name="Nuovo 34 3 3 2" xfId="2849" xr:uid="{00000000-0005-0000-0000-00009D180000}"/>
    <cellStyle name="Nuovo 34 3 4" xfId="2848" xr:uid="{00000000-0005-0000-0000-00009E180000}"/>
    <cellStyle name="Nuovo 34 4" xfId="1327" xr:uid="{00000000-0005-0000-0000-00009F180000}"/>
    <cellStyle name="Nuovo 34 4 2" xfId="1328" xr:uid="{00000000-0005-0000-0000-0000A0180000}"/>
    <cellStyle name="Nuovo 34 4 2 2" xfId="2851" xr:uid="{00000000-0005-0000-0000-0000A1180000}"/>
    <cellStyle name="Nuovo 34 4 3" xfId="2850" xr:uid="{00000000-0005-0000-0000-0000A2180000}"/>
    <cellStyle name="Nuovo 34 5" xfId="1329" xr:uid="{00000000-0005-0000-0000-0000A3180000}"/>
    <cellStyle name="Nuovo 35" xfId="1330" xr:uid="{00000000-0005-0000-0000-0000A4180000}"/>
    <cellStyle name="Nuovo 35 2" xfId="1331" xr:uid="{00000000-0005-0000-0000-0000A5180000}"/>
    <cellStyle name="Nuovo 35 2 2" xfId="2852" xr:uid="{00000000-0005-0000-0000-0000A6180000}"/>
    <cellStyle name="Nuovo 35 3" xfId="1332" xr:uid="{00000000-0005-0000-0000-0000A7180000}"/>
    <cellStyle name="Nuovo 35 3 2" xfId="1333" xr:uid="{00000000-0005-0000-0000-0000A8180000}"/>
    <cellStyle name="Nuovo 35 3 3" xfId="1334" xr:uid="{00000000-0005-0000-0000-0000A9180000}"/>
    <cellStyle name="Nuovo 35 3 3 2" xfId="2854" xr:uid="{00000000-0005-0000-0000-0000AA180000}"/>
    <cellStyle name="Nuovo 35 3 4" xfId="2853" xr:uid="{00000000-0005-0000-0000-0000AB180000}"/>
    <cellStyle name="Nuovo 35 4" xfId="1335" xr:uid="{00000000-0005-0000-0000-0000AC180000}"/>
    <cellStyle name="Nuovo 35 4 2" xfId="1336" xr:uid="{00000000-0005-0000-0000-0000AD180000}"/>
    <cellStyle name="Nuovo 35 4 2 2" xfId="2856" xr:uid="{00000000-0005-0000-0000-0000AE180000}"/>
    <cellStyle name="Nuovo 35 4 3" xfId="2855" xr:uid="{00000000-0005-0000-0000-0000AF180000}"/>
    <cellStyle name="Nuovo 35 5" xfId="1337" xr:uid="{00000000-0005-0000-0000-0000B0180000}"/>
    <cellStyle name="Nuovo 36" xfId="1338" xr:uid="{00000000-0005-0000-0000-0000B1180000}"/>
    <cellStyle name="Nuovo 36 2" xfId="1339" xr:uid="{00000000-0005-0000-0000-0000B2180000}"/>
    <cellStyle name="Nuovo 36 2 2" xfId="2857" xr:uid="{00000000-0005-0000-0000-0000B3180000}"/>
    <cellStyle name="Nuovo 36 3" xfId="1340" xr:uid="{00000000-0005-0000-0000-0000B4180000}"/>
    <cellStyle name="Nuovo 36 3 2" xfId="1341" xr:uid="{00000000-0005-0000-0000-0000B5180000}"/>
    <cellStyle name="Nuovo 36 3 3" xfId="1342" xr:uid="{00000000-0005-0000-0000-0000B6180000}"/>
    <cellStyle name="Nuovo 36 3 3 2" xfId="2859" xr:uid="{00000000-0005-0000-0000-0000B7180000}"/>
    <cellStyle name="Nuovo 36 3 4" xfId="2858" xr:uid="{00000000-0005-0000-0000-0000B8180000}"/>
    <cellStyle name="Nuovo 36 4" xfId="1343" xr:uid="{00000000-0005-0000-0000-0000B9180000}"/>
    <cellStyle name="Nuovo 36 4 2" xfId="1344" xr:uid="{00000000-0005-0000-0000-0000BA180000}"/>
    <cellStyle name="Nuovo 36 4 2 2" xfId="2861" xr:uid="{00000000-0005-0000-0000-0000BB180000}"/>
    <cellStyle name="Nuovo 36 4 3" xfId="2860" xr:uid="{00000000-0005-0000-0000-0000BC180000}"/>
    <cellStyle name="Nuovo 36 5" xfId="1345" xr:uid="{00000000-0005-0000-0000-0000BD180000}"/>
    <cellStyle name="Nuovo 37" xfId="1346" xr:uid="{00000000-0005-0000-0000-0000BE180000}"/>
    <cellStyle name="Nuovo 37 2" xfId="1347" xr:uid="{00000000-0005-0000-0000-0000BF180000}"/>
    <cellStyle name="Nuovo 37 2 2" xfId="2862" xr:uid="{00000000-0005-0000-0000-0000C0180000}"/>
    <cellStyle name="Nuovo 37 3" xfId="1348" xr:uid="{00000000-0005-0000-0000-0000C1180000}"/>
    <cellStyle name="Nuovo 37 3 2" xfId="1349" xr:uid="{00000000-0005-0000-0000-0000C2180000}"/>
    <cellStyle name="Nuovo 37 3 3" xfId="1350" xr:uid="{00000000-0005-0000-0000-0000C3180000}"/>
    <cellStyle name="Nuovo 37 3 3 2" xfId="2864" xr:uid="{00000000-0005-0000-0000-0000C4180000}"/>
    <cellStyle name="Nuovo 37 3 4" xfId="2863" xr:uid="{00000000-0005-0000-0000-0000C5180000}"/>
    <cellStyle name="Nuovo 37 4" xfId="1351" xr:uid="{00000000-0005-0000-0000-0000C6180000}"/>
    <cellStyle name="Nuovo 37 4 2" xfId="1352" xr:uid="{00000000-0005-0000-0000-0000C7180000}"/>
    <cellStyle name="Nuovo 37 4 2 2" xfId="2866" xr:uid="{00000000-0005-0000-0000-0000C8180000}"/>
    <cellStyle name="Nuovo 37 4 3" xfId="2865" xr:uid="{00000000-0005-0000-0000-0000C9180000}"/>
    <cellStyle name="Nuovo 37 5" xfId="1353" xr:uid="{00000000-0005-0000-0000-0000CA180000}"/>
    <cellStyle name="Nuovo 38" xfId="1354" xr:uid="{00000000-0005-0000-0000-0000CB180000}"/>
    <cellStyle name="Nuovo 38 2" xfId="1355" xr:uid="{00000000-0005-0000-0000-0000CC180000}"/>
    <cellStyle name="Nuovo 38 2 2" xfId="2867" xr:uid="{00000000-0005-0000-0000-0000CD180000}"/>
    <cellStyle name="Nuovo 38 3" xfId="1356" xr:uid="{00000000-0005-0000-0000-0000CE180000}"/>
    <cellStyle name="Nuovo 38 3 2" xfId="1357" xr:uid="{00000000-0005-0000-0000-0000CF180000}"/>
    <cellStyle name="Nuovo 38 3 3" xfId="1358" xr:uid="{00000000-0005-0000-0000-0000D0180000}"/>
    <cellStyle name="Nuovo 38 3 3 2" xfId="2869" xr:uid="{00000000-0005-0000-0000-0000D1180000}"/>
    <cellStyle name="Nuovo 38 3 4" xfId="2868" xr:uid="{00000000-0005-0000-0000-0000D2180000}"/>
    <cellStyle name="Nuovo 38 4" xfId="1359" xr:uid="{00000000-0005-0000-0000-0000D3180000}"/>
    <cellStyle name="Nuovo 38 4 2" xfId="1360" xr:uid="{00000000-0005-0000-0000-0000D4180000}"/>
    <cellStyle name="Nuovo 38 4 2 2" xfId="2871" xr:uid="{00000000-0005-0000-0000-0000D5180000}"/>
    <cellStyle name="Nuovo 38 4 3" xfId="2870" xr:uid="{00000000-0005-0000-0000-0000D6180000}"/>
    <cellStyle name="Nuovo 38 5" xfId="1361" xr:uid="{00000000-0005-0000-0000-0000D7180000}"/>
    <cellStyle name="Nuovo 39" xfId="1362" xr:uid="{00000000-0005-0000-0000-0000D8180000}"/>
    <cellStyle name="Nuovo 39 2" xfId="1363" xr:uid="{00000000-0005-0000-0000-0000D9180000}"/>
    <cellStyle name="Nuovo 39 2 2" xfId="2872" xr:uid="{00000000-0005-0000-0000-0000DA180000}"/>
    <cellStyle name="Nuovo 39 3" xfId="1364" xr:uid="{00000000-0005-0000-0000-0000DB180000}"/>
    <cellStyle name="Nuovo 39 3 2" xfId="1365" xr:uid="{00000000-0005-0000-0000-0000DC180000}"/>
    <cellStyle name="Nuovo 39 3 3" xfId="1366" xr:uid="{00000000-0005-0000-0000-0000DD180000}"/>
    <cellStyle name="Nuovo 39 3 3 2" xfId="2874" xr:uid="{00000000-0005-0000-0000-0000DE180000}"/>
    <cellStyle name="Nuovo 39 3 4" xfId="2873" xr:uid="{00000000-0005-0000-0000-0000DF180000}"/>
    <cellStyle name="Nuovo 39 4" xfId="1367" xr:uid="{00000000-0005-0000-0000-0000E0180000}"/>
    <cellStyle name="Nuovo 39 4 2" xfId="1368" xr:uid="{00000000-0005-0000-0000-0000E1180000}"/>
    <cellStyle name="Nuovo 39 4 2 2" xfId="2876" xr:uid="{00000000-0005-0000-0000-0000E2180000}"/>
    <cellStyle name="Nuovo 39 4 3" xfId="2875" xr:uid="{00000000-0005-0000-0000-0000E3180000}"/>
    <cellStyle name="Nuovo 39 5" xfId="1369" xr:uid="{00000000-0005-0000-0000-0000E4180000}"/>
    <cellStyle name="Nuovo 4" xfId="1370" xr:uid="{00000000-0005-0000-0000-0000E5180000}"/>
    <cellStyle name="Nuovo 4 2" xfId="1371" xr:uid="{00000000-0005-0000-0000-0000E6180000}"/>
    <cellStyle name="Nuovo 4 2 2" xfId="2877" xr:uid="{00000000-0005-0000-0000-0000E7180000}"/>
    <cellStyle name="Nuovo 4 3" xfId="1372" xr:uid="{00000000-0005-0000-0000-0000E8180000}"/>
    <cellStyle name="Nuovo 4 3 2" xfId="1373" xr:uid="{00000000-0005-0000-0000-0000E9180000}"/>
    <cellStyle name="Nuovo 4 3 3" xfId="1374" xr:uid="{00000000-0005-0000-0000-0000EA180000}"/>
    <cellStyle name="Nuovo 4 3 3 2" xfId="2879" xr:uid="{00000000-0005-0000-0000-0000EB180000}"/>
    <cellStyle name="Nuovo 4 3 4" xfId="2878" xr:uid="{00000000-0005-0000-0000-0000EC180000}"/>
    <cellStyle name="Nuovo 4 4" xfId="1375" xr:uid="{00000000-0005-0000-0000-0000ED180000}"/>
    <cellStyle name="Nuovo 4 4 2" xfId="1376" xr:uid="{00000000-0005-0000-0000-0000EE180000}"/>
    <cellStyle name="Nuovo 4 4 2 2" xfId="2881" xr:uid="{00000000-0005-0000-0000-0000EF180000}"/>
    <cellStyle name="Nuovo 4 4 3" xfId="2880" xr:uid="{00000000-0005-0000-0000-0000F0180000}"/>
    <cellStyle name="Nuovo 4 5" xfId="1377" xr:uid="{00000000-0005-0000-0000-0000F1180000}"/>
    <cellStyle name="Nuovo 40" xfId="1378" xr:uid="{00000000-0005-0000-0000-0000F2180000}"/>
    <cellStyle name="Nuovo 40 2" xfId="1379" xr:uid="{00000000-0005-0000-0000-0000F3180000}"/>
    <cellStyle name="Nuovo 40 2 2" xfId="2882" xr:uid="{00000000-0005-0000-0000-0000F4180000}"/>
    <cellStyle name="Nuovo 40 3" xfId="1380" xr:uid="{00000000-0005-0000-0000-0000F5180000}"/>
    <cellStyle name="Nuovo 40 3 2" xfId="1381" xr:uid="{00000000-0005-0000-0000-0000F6180000}"/>
    <cellStyle name="Nuovo 40 3 3" xfId="1382" xr:uid="{00000000-0005-0000-0000-0000F7180000}"/>
    <cellStyle name="Nuovo 40 3 3 2" xfId="2884" xr:uid="{00000000-0005-0000-0000-0000F8180000}"/>
    <cellStyle name="Nuovo 40 3 4" xfId="2883" xr:uid="{00000000-0005-0000-0000-0000F9180000}"/>
    <cellStyle name="Nuovo 40 4" xfId="1383" xr:uid="{00000000-0005-0000-0000-0000FA180000}"/>
    <cellStyle name="Nuovo 40 4 2" xfId="1384" xr:uid="{00000000-0005-0000-0000-0000FB180000}"/>
    <cellStyle name="Nuovo 40 4 2 2" xfId="2886" xr:uid="{00000000-0005-0000-0000-0000FC180000}"/>
    <cellStyle name="Nuovo 40 4 3" xfId="2885" xr:uid="{00000000-0005-0000-0000-0000FD180000}"/>
    <cellStyle name="Nuovo 40 5" xfId="1385" xr:uid="{00000000-0005-0000-0000-0000FE180000}"/>
    <cellStyle name="Nuovo 41" xfId="1386" xr:uid="{00000000-0005-0000-0000-0000FF180000}"/>
    <cellStyle name="Nuovo 41 2" xfId="1387" xr:uid="{00000000-0005-0000-0000-000000190000}"/>
    <cellStyle name="Nuovo 41 2 2" xfId="2887" xr:uid="{00000000-0005-0000-0000-000001190000}"/>
    <cellStyle name="Nuovo 41 3" xfId="1388" xr:uid="{00000000-0005-0000-0000-000002190000}"/>
    <cellStyle name="Nuovo 41 3 2" xfId="1389" xr:uid="{00000000-0005-0000-0000-000003190000}"/>
    <cellStyle name="Nuovo 41 3 3" xfId="1390" xr:uid="{00000000-0005-0000-0000-000004190000}"/>
    <cellStyle name="Nuovo 41 3 3 2" xfId="2889" xr:uid="{00000000-0005-0000-0000-000005190000}"/>
    <cellStyle name="Nuovo 41 3 4" xfId="2888" xr:uid="{00000000-0005-0000-0000-000006190000}"/>
    <cellStyle name="Nuovo 41 4" xfId="1391" xr:uid="{00000000-0005-0000-0000-000007190000}"/>
    <cellStyle name="Nuovo 41 4 2" xfId="1392" xr:uid="{00000000-0005-0000-0000-000008190000}"/>
    <cellStyle name="Nuovo 41 4 2 2" xfId="2891" xr:uid="{00000000-0005-0000-0000-000009190000}"/>
    <cellStyle name="Nuovo 41 4 3" xfId="2890" xr:uid="{00000000-0005-0000-0000-00000A190000}"/>
    <cellStyle name="Nuovo 41 5" xfId="1393" xr:uid="{00000000-0005-0000-0000-00000B190000}"/>
    <cellStyle name="Nuovo 42" xfId="1394" xr:uid="{00000000-0005-0000-0000-00000C190000}"/>
    <cellStyle name="Nuovo 42 2" xfId="1395" xr:uid="{00000000-0005-0000-0000-00000D190000}"/>
    <cellStyle name="Nuovo 42 2 2" xfId="2892" xr:uid="{00000000-0005-0000-0000-00000E190000}"/>
    <cellStyle name="Nuovo 42 3" xfId="1396" xr:uid="{00000000-0005-0000-0000-00000F190000}"/>
    <cellStyle name="Nuovo 42 3 2" xfId="1397" xr:uid="{00000000-0005-0000-0000-000010190000}"/>
    <cellStyle name="Nuovo 42 3 3" xfId="1398" xr:uid="{00000000-0005-0000-0000-000011190000}"/>
    <cellStyle name="Nuovo 42 3 3 2" xfId="2894" xr:uid="{00000000-0005-0000-0000-000012190000}"/>
    <cellStyle name="Nuovo 42 3 4" xfId="2893" xr:uid="{00000000-0005-0000-0000-000013190000}"/>
    <cellStyle name="Nuovo 42 4" xfId="1399" xr:uid="{00000000-0005-0000-0000-000014190000}"/>
    <cellStyle name="Nuovo 42 4 2" xfId="1400" xr:uid="{00000000-0005-0000-0000-000015190000}"/>
    <cellStyle name="Nuovo 42 4 2 2" xfId="2896" xr:uid="{00000000-0005-0000-0000-000016190000}"/>
    <cellStyle name="Nuovo 42 4 3" xfId="2895" xr:uid="{00000000-0005-0000-0000-000017190000}"/>
    <cellStyle name="Nuovo 42 5" xfId="1401" xr:uid="{00000000-0005-0000-0000-000018190000}"/>
    <cellStyle name="Nuovo 43" xfId="1402" xr:uid="{00000000-0005-0000-0000-000019190000}"/>
    <cellStyle name="Nuovo 43 2" xfId="1403" xr:uid="{00000000-0005-0000-0000-00001A190000}"/>
    <cellStyle name="Nuovo 43 2 2" xfId="2897" xr:uid="{00000000-0005-0000-0000-00001B190000}"/>
    <cellStyle name="Nuovo 43 3" xfId="1404" xr:uid="{00000000-0005-0000-0000-00001C190000}"/>
    <cellStyle name="Nuovo 43 3 2" xfId="1405" xr:uid="{00000000-0005-0000-0000-00001D190000}"/>
    <cellStyle name="Nuovo 43 3 3" xfId="1406" xr:uid="{00000000-0005-0000-0000-00001E190000}"/>
    <cellStyle name="Nuovo 43 3 3 2" xfId="2899" xr:uid="{00000000-0005-0000-0000-00001F190000}"/>
    <cellStyle name="Nuovo 43 3 4" xfId="2898" xr:uid="{00000000-0005-0000-0000-000020190000}"/>
    <cellStyle name="Nuovo 43 4" xfId="1407" xr:uid="{00000000-0005-0000-0000-000021190000}"/>
    <cellStyle name="Nuovo 43 4 2" xfId="1408" xr:uid="{00000000-0005-0000-0000-000022190000}"/>
    <cellStyle name="Nuovo 43 4 2 2" xfId="2901" xr:uid="{00000000-0005-0000-0000-000023190000}"/>
    <cellStyle name="Nuovo 43 4 3" xfId="2900" xr:uid="{00000000-0005-0000-0000-000024190000}"/>
    <cellStyle name="Nuovo 43 5" xfId="1409" xr:uid="{00000000-0005-0000-0000-000025190000}"/>
    <cellStyle name="Nuovo 44" xfId="1410" xr:uid="{00000000-0005-0000-0000-000026190000}"/>
    <cellStyle name="Nuovo 44 2" xfId="1411" xr:uid="{00000000-0005-0000-0000-000027190000}"/>
    <cellStyle name="Nuovo 44 2 2" xfId="2902" xr:uid="{00000000-0005-0000-0000-000028190000}"/>
    <cellStyle name="Nuovo 44 3" xfId="1412" xr:uid="{00000000-0005-0000-0000-000029190000}"/>
    <cellStyle name="Nuovo 44 3 2" xfId="1413" xr:uid="{00000000-0005-0000-0000-00002A190000}"/>
    <cellStyle name="Nuovo 44 3 3" xfId="1414" xr:uid="{00000000-0005-0000-0000-00002B190000}"/>
    <cellStyle name="Nuovo 44 3 3 2" xfId="2904" xr:uid="{00000000-0005-0000-0000-00002C190000}"/>
    <cellStyle name="Nuovo 44 3 4" xfId="2903" xr:uid="{00000000-0005-0000-0000-00002D190000}"/>
    <cellStyle name="Nuovo 44 4" xfId="1415" xr:uid="{00000000-0005-0000-0000-00002E190000}"/>
    <cellStyle name="Nuovo 44 4 2" xfId="1416" xr:uid="{00000000-0005-0000-0000-00002F190000}"/>
    <cellStyle name="Nuovo 44 4 2 2" xfId="2906" xr:uid="{00000000-0005-0000-0000-000030190000}"/>
    <cellStyle name="Nuovo 44 4 3" xfId="2905" xr:uid="{00000000-0005-0000-0000-000031190000}"/>
    <cellStyle name="Nuovo 44 5" xfId="1417" xr:uid="{00000000-0005-0000-0000-000032190000}"/>
    <cellStyle name="Nuovo 45" xfId="1418" xr:uid="{00000000-0005-0000-0000-000033190000}"/>
    <cellStyle name="Nuovo 45 2" xfId="2907" xr:uid="{00000000-0005-0000-0000-000034190000}"/>
    <cellStyle name="Nuovo 46" xfId="1419" xr:uid="{00000000-0005-0000-0000-000035190000}"/>
    <cellStyle name="Nuovo 46 2" xfId="1420" xr:uid="{00000000-0005-0000-0000-000036190000}"/>
    <cellStyle name="Nuovo 46 3" xfId="1421" xr:uid="{00000000-0005-0000-0000-000037190000}"/>
    <cellStyle name="Nuovo 46 3 2" xfId="2909" xr:uid="{00000000-0005-0000-0000-000038190000}"/>
    <cellStyle name="Nuovo 46 4" xfId="2908" xr:uid="{00000000-0005-0000-0000-000039190000}"/>
    <cellStyle name="Nuovo 47" xfId="1422" xr:uid="{00000000-0005-0000-0000-00003A190000}"/>
    <cellStyle name="Nuovo 47 2" xfId="1423" xr:uid="{00000000-0005-0000-0000-00003B190000}"/>
    <cellStyle name="Nuovo 47 2 2" xfId="2911" xr:uid="{00000000-0005-0000-0000-00003C190000}"/>
    <cellStyle name="Nuovo 47 3" xfId="2910" xr:uid="{00000000-0005-0000-0000-00003D190000}"/>
    <cellStyle name="Nuovo 48" xfId="1424" xr:uid="{00000000-0005-0000-0000-00003E190000}"/>
    <cellStyle name="Nuovo 5" xfId="1425" xr:uid="{00000000-0005-0000-0000-00003F190000}"/>
    <cellStyle name="Nuovo 5 2" xfId="1426" xr:uid="{00000000-0005-0000-0000-000040190000}"/>
    <cellStyle name="Nuovo 5 2 2" xfId="2912" xr:uid="{00000000-0005-0000-0000-000041190000}"/>
    <cellStyle name="Nuovo 5 3" xfId="1427" xr:uid="{00000000-0005-0000-0000-000042190000}"/>
    <cellStyle name="Nuovo 5 3 2" xfId="1428" xr:uid="{00000000-0005-0000-0000-000043190000}"/>
    <cellStyle name="Nuovo 5 3 3" xfId="1429" xr:uid="{00000000-0005-0000-0000-000044190000}"/>
    <cellStyle name="Nuovo 5 3 3 2" xfId="2914" xr:uid="{00000000-0005-0000-0000-000045190000}"/>
    <cellStyle name="Nuovo 5 3 4" xfId="2913" xr:uid="{00000000-0005-0000-0000-000046190000}"/>
    <cellStyle name="Nuovo 5 4" xfId="1430" xr:uid="{00000000-0005-0000-0000-000047190000}"/>
    <cellStyle name="Nuovo 5 4 2" xfId="1431" xr:uid="{00000000-0005-0000-0000-000048190000}"/>
    <cellStyle name="Nuovo 5 4 2 2" xfId="2916" xr:uid="{00000000-0005-0000-0000-000049190000}"/>
    <cellStyle name="Nuovo 5 4 3" xfId="2915" xr:uid="{00000000-0005-0000-0000-00004A190000}"/>
    <cellStyle name="Nuovo 5 5" xfId="1432" xr:uid="{00000000-0005-0000-0000-00004B190000}"/>
    <cellStyle name="Nuovo 6" xfId="1433" xr:uid="{00000000-0005-0000-0000-00004C190000}"/>
    <cellStyle name="Nuovo 6 2" xfId="1434" xr:uid="{00000000-0005-0000-0000-00004D190000}"/>
    <cellStyle name="Nuovo 6 2 2" xfId="2917" xr:uid="{00000000-0005-0000-0000-00004E190000}"/>
    <cellStyle name="Nuovo 6 3" xfId="1435" xr:uid="{00000000-0005-0000-0000-00004F190000}"/>
    <cellStyle name="Nuovo 6 3 2" xfId="1436" xr:uid="{00000000-0005-0000-0000-000050190000}"/>
    <cellStyle name="Nuovo 6 3 3" xfId="1437" xr:uid="{00000000-0005-0000-0000-000051190000}"/>
    <cellStyle name="Nuovo 6 3 3 2" xfId="2919" xr:uid="{00000000-0005-0000-0000-000052190000}"/>
    <cellStyle name="Nuovo 6 3 4" xfId="2918" xr:uid="{00000000-0005-0000-0000-000053190000}"/>
    <cellStyle name="Nuovo 6 4" xfId="1438" xr:uid="{00000000-0005-0000-0000-000054190000}"/>
    <cellStyle name="Nuovo 6 4 2" xfId="1439" xr:uid="{00000000-0005-0000-0000-000055190000}"/>
    <cellStyle name="Nuovo 6 4 2 2" xfId="2921" xr:uid="{00000000-0005-0000-0000-000056190000}"/>
    <cellStyle name="Nuovo 6 4 3" xfId="2920" xr:uid="{00000000-0005-0000-0000-000057190000}"/>
    <cellStyle name="Nuovo 6 5" xfId="1440" xr:uid="{00000000-0005-0000-0000-000058190000}"/>
    <cellStyle name="Nuovo 7" xfId="1441" xr:uid="{00000000-0005-0000-0000-000059190000}"/>
    <cellStyle name="Nuovo 7 2" xfId="1442" xr:uid="{00000000-0005-0000-0000-00005A190000}"/>
    <cellStyle name="Nuovo 7 2 2" xfId="2922" xr:uid="{00000000-0005-0000-0000-00005B190000}"/>
    <cellStyle name="Nuovo 7 3" xfId="1443" xr:uid="{00000000-0005-0000-0000-00005C190000}"/>
    <cellStyle name="Nuovo 7 3 2" xfId="1444" xr:uid="{00000000-0005-0000-0000-00005D190000}"/>
    <cellStyle name="Nuovo 7 3 3" xfId="1445" xr:uid="{00000000-0005-0000-0000-00005E190000}"/>
    <cellStyle name="Nuovo 7 3 3 2" xfId="2924" xr:uid="{00000000-0005-0000-0000-00005F190000}"/>
    <cellStyle name="Nuovo 7 3 4" xfId="2923" xr:uid="{00000000-0005-0000-0000-000060190000}"/>
    <cellStyle name="Nuovo 7 4" xfId="1446" xr:uid="{00000000-0005-0000-0000-000061190000}"/>
    <cellStyle name="Nuovo 7 4 2" xfId="1447" xr:uid="{00000000-0005-0000-0000-000062190000}"/>
    <cellStyle name="Nuovo 7 4 2 2" xfId="2926" xr:uid="{00000000-0005-0000-0000-000063190000}"/>
    <cellStyle name="Nuovo 7 4 3" xfId="2925" xr:uid="{00000000-0005-0000-0000-000064190000}"/>
    <cellStyle name="Nuovo 7 5" xfId="1448" xr:uid="{00000000-0005-0000-0000-000065190000}"/>
    <cellStyle name="Nuovo 8" xfId="1449" xr:uid="{00000000-0005-0000-0000-000066190000}"/>
    <cellStyle name="Nuovo 8 2" xfId="1450" xr:uid="{00000000-0005-0000-0000-000067190000}"/>
    <cellStyle name="Nuovo 8 2 2" xfId="2927" xr:uid="{00000000-0005-0000-0000-000068190000}"/>
    <cellStyle name="Nuovo 8 3" xfId="1451" xr:uid="{00000000-0005-0000-0000-000069190000}"/>
    <cellStyle name="Nuovo 8 3 2" xfId="1452" xr:uid="{00000000-0005-0000-0000-00006A190000}"/>
    <cellStyle name="Nuovo 8 3 3" xfId="1453" xr:uid="{00000000-0005-0000-0000-00006B190000}"/>
    <cellStyle name="Nuovo 8 3 3 2" xfId="2929" xr:uid="{00000000-0005-0000-0000-00006C190000}"/>
    <cellStyle name="Nuovo 8 3 4" xfId="2928" xr:uid="{00000000-0005-0000-0000-00006D190000}"/>
    <cellStyle name="Nuovo 8 4" xfId="1454" xr:uid="{00000000-0005-0000-0000-00006E190000}"/>
    <cellStyle name="Nuovo 8 4 2" xfId="1455" xr:uid="{00000000-0005-0000-0000-00006F190000}"/>
    <cellStyle name="Nuovo 8 4 2 2" xfId="2931" xr:uid="{00000000-0005-0000-0000-000070190000}"/>
    <cellStyle name="Nuovo 8 4 3" xfId="2930" xr:uid="{00000000-0005-0000-0000-000071190000}"/>
    <cellStyle name="Nuovo 8 5" xfId="1456" xr:uid="{00000000-0005-0000-0000-000072190000}"/>
    <cellStyle name="Nuovo 9" xfId="1457" xr:uid="{00000000-0005-0000-0000-000073190000}"/>
    <cellStyle name="Nuovo 9 2" xfId="1458" xr:uid="{00000000-0005-0000-0000-000074190000}"/>
    <cellStyle name="Nuovo 9 2 2" xfId="2932" xr:uid="{00000000-0005-0000-0000-000075190000}"/>
    <cellStyle name="Nuovo 9 3" xfId="1459" xr:uid="{00000000-0005-0000-0000-000076190000}"/>
    <cellStyle name="Nuovo 9 3 2" xfId="1460" xr:uid="{00000000-0005-0000-0000-000077190000}"/>
    <cellStyle name="Nuovo 9 3 3" xfId="1461" xr:uid="{00000000-0005-0000-0000-000078190000}"/>
    <cellStyle name="Nuovo 9 3 3 2" xfId="2934" xr:uid="{00000000-0005-0000-0000-000079190000}"/>
    <cellStyle name="Nuovo 9 3 4" xfId="2933" xr:uid="{00000000-0005-0000-0000-00007A190000}"/>
    <cellStyle name="Nuovo 9 4" xfId="1462" xr:uid="{00000000-0005-0000-0000-00007B190000}"/>
    <cellStyle name="Nuovo 9 4 2" xfId="1463" xr:uid="{00000000-0005-0000-0000-00007C190000}"/>
    <cellStyle name="Nuovo 9 4 2 2" xfId="2936" xr:uid="{00000000-0005-0000-0000-00007D190000}"/>
    <cellStyle name="Nuovo 9 4 3" xfId="2935" xr:uid="{00000000-0005-0000-0000-00007E190000}"/>
    <cellStyle name="Nuovo 9 5" xfId="1464" xr:uid="{00000000-0005-0000-0000-00007F190000}"/>
    <cellStyle name="Output" xfId="1465" builtinId="21" customBuiltin="1"/>
    <cellStyle name="Output 2" xfId="1466" xr:uid="{00000000-0005-0000-0000-000081190000}"/>
    <cellStyle name="Output 2 2" xfId="3523" xr:uid="{00000000-0005-0000-0000-000082190000}"/>
    <cellStyle name="Output 2 2 2" xfId="8051" xr:uid="{8C2EB57F-3D81-4E45-BAA2-0087AAF8599F}"/>
    <cellStyle name="Output 2 2 2 2" xfId="13410" xr:uid="{BD53F128-3F73-440D-A429-2E2C72C6F14B}"/>
    <cellStyle name="Output 2 2 3" xfId="14637" xr:uid="{D4CA16A2-4F07-41CB-82A8-A30E39B82863}"/>
    <cellStyle name="Output 2 2 4" xfId="15982" xr:uid="{A90CE4CD-FC90-4EC8-B406-AEC76B8D4689}"/>
    <cellStyle name="Output 2 2 5" xfId="14594" xr:uid="{918F4D4D-1B1E-40D8-A028-36DDA929F9A7}"/>
    <cellStyle name="Output 2 2 6" xfId="15966" xr:uid="{B95D683B-5D6C-48FF-A84D-D16558EDA5A8}"/>
    <cellStyle name="Output 2 3" xfId="7917" xr:uid="{FA4D0587-4E08-4F11-9472-A40B3411FDFC}"/>
    <cellStyle name="Output 2 3 2" xfId="13248" xr:uid="{09CE8BAD-745C-43E5-B012-2B36C713D6C7}"/>
    <cellStyle name="Output 2 4" xfId="13281" xr:uid="{BD233A7B-15E7-4D5F-8684-7F82510317E1}"/>
    <cellStyle name="Output 2 5" xfId="14656" xr:uid="{845627F7-F299-4C8A-8C4D-A3BCD373109A}"/>
    <cellStyle name="Output 2 6" xfId="13209" xr:uid="{F1AB5CD4-6953-4BFC-A5DE-F0898164484E}"/>
    <cellStyle name="Output 2 7" xfId="15964" xr:uid="{68E951DE-616C-4364-AF95-43F333FE0866}"/>
    <cellStyle name="Output 3" xfId="1467" xr:uid="{00000000-0005-0000-0000-000083190000}"/>
    <cellStyle name="Output 4" xfId="7916" xr:uid="{06BE80CE-A4FD-48C7-9C86-D48AC6AA9353}"/>
    <cellStyle name="Output 4 2" xfId="13247" xr:uid="{CA2A6512-EE7D-4074-A25A-6C7E050C13DA}"/>
    <cellStyle name="Output 5" xfId="13280" xr:uid="{78E160CE-814A-4660-94DE-595FDF559728}"/>
    <cellStyle name="Output 6" xfId="14606" xr:uid="{DA1D1A32-32B2-4FF2-9592-8BE80AC5D445}"/>
    <cellStyle name="Output 7" xfId="15985" xr:uid="{5351E797-73DF-4F7C-BABE-A021FCC82C92}"/>
    <cellStyle name="Output 8" xfId="15973" xr:uid="{DB302E37-F2B6-467A-B859-A6B025CB90DA}"/>
    <cellStyle name="Overskrift 1 2" xfId="1468" xr:uid="{00000000-0005-0000-0000-000084190000}"/>
    <cellStyle name="Overskrift 1 2 2" xfId="3525" xr:uid="{00000000-0005-0000-0000-000085190000}"/>
    <cellStyle name="Overskrift 2 2" xfId="1469" xr:uid="{00000000-0005-0000-0000-000086190000}"/>
    <cellStyle name="Overskrift 2 2 2" xfId="3526" xr:uid="{00000000-0005-0000-0000-000087190000}"/>
    <cellStyle name="Overskrift 3 2" xfId="1470" xr:uid="{00000000-0005-0000-0000-000088190000}"/>
    <cellStyle name="Overskrift 3 2 2" xfId="3527" xr:uid="{00000000-0005-0000-0000-000089190000}"/>
    <cellStyle name="Overskrift 4 2" xfId="1471" xr:uid="{00000000-0005-0000-0000-00008A190000}"/>
    <cellStyle name="Overskrift 4 2 2" xfId="3528" xr:uid="{00000000-0005-0000-0000-00008B190000}"/>
    <cellStyle name="Percen - Type1" xfId="1472" xr:uid="{00000000-0005-0000-0000-00008C190000}"/>
    <cellStyle name="Percent" xfId="1473" builtinId="5"/>
    <cellStyle name="Percent 2" xfId="1474" xr:uid="{00000000-0005-0000-0000-00008E190000}"/>
    <cellStyle name="Percent 2 2" xfId="2937" xr:uid="{00000000-0005-0000-0000-00008F190000}"/>
    <cellStyle name="Percent 2 2 2" xfId="3451" xr:uid="{00000000-0005-0000-0000-000090190000}"/>
    <cellStyle name="Percent 2 2 2 2" xfId="6665" xr:uid="{00000000-0005-0000-0000-000091190000}"/>
    <cellStyle name="Percent 3" xfId="1475" xr:uid="{00000000-0005-0000-0000-000092190000}"/>
    <cellStyle name="Percent 3 2" xfId="1476" xr:uid="{00000000-0005-0000-0000-000093190000}"/>
    <cellStyle name="Percent 3 2 2" xfId="5305" xr:uid="{00000000-0005-0000-0000-000094190000}"/>
    <cellStyle name="Percent 3 2 3" xfId="4924" xr:uid="{00000000-0005-0000-0000-000095190000}"/>
    <cellStyle name="Percent 3 3" xfId="1477" xr:uid="{00000000-0005-0000-0000-000096190000}"/>
    <cellStyle name="Percent 3 3 2" xfId="1478" xr:uid="{00000000-0005-0000-0000-000097190000}"/>
    <cellStyle name="Percent 3 3 3" xfId="1479" xr:uid="{00000000-0005-0000-0000-000098190000}"/>
    <cellStyle name="Percent 3 3 3 2" xfId="2939" xr:uid="{00000000-0005-0000-0000-000099190000}"/>
    <cellStyle name="Percent 3 3 4" xfId="2938" xr:uid="{00000000-0005-0000-0000-00009A190000}"/>
    <cellStyle name="Percent 3 4" xfId="1480" xr:uid="{00000000-0005-0000-0000-00009B190000}"/>
    <cellStyle name="Percent 3 5" xfId="1481" xr:uid="{00000000-0005-0000-0000-00009C190000}"/>
    <cellStyle name="Percent 3 5 2" xfId="2940" xr:uid="{00000000-0005-0000-0000-00009D190000}"/>
    <cellStyle name="Percent 3 6" xfId="5304" xr:uid="{00000000-0005-0000-0000-00009E190000}"/>
    <cellStyle name="Percent 4" xfId="1482" xr:uid="{00000000-0005-0000-0000-00009F190000}"/>
    <cellStyle name="Percent 4 2" xfId="1483" xr:uid="{00000000-0005-0000-0000-0000A0190000}"/>
    <cellStyle name="Percent 4 2 2" xfId="2942" xr:uid="{00000000-0005-0000-0000-0000A1190000}"/>
    <cellStyle name="Percent 4 3" xfId="2941" xr:uid="{00000000-0005-0000-0000-0000A2190000}"/>
    <cellStyle name="Percent 5" xfId="1484" xr:uid="{00000000-0005-0000-0000-0000A3190000}"/>
    <cellStyle name="Percent 5 2" xfId="3382" xr:uid="{00000000-0005-0000-0000-0000A4190000}"/>
    <cellStyle name="Percent 6" xfId="4860" xr:uid="{00000000-0005-0000-0000-0000A5190000}"/>
    <cellStyle name="Percent 6 2" xfId="9234" xr:uid="{066E826E-CB87-477B-9A78-EA82203660C9}"/>
    <cellStyle name="Percent 6 2 2" xfId="15956" xr:uid="{B1E56487-9424-482B-A202-791BB0969793}"/>
    <cellStyle name="Percent 6 3" xfId="14596" xr:uid="{C55ED93E-93BC-43C1-9ACF-502152C8BBD4}"/>
    <cellStyle name="Percent 6 4" xfId="11871" xr:uid="{0DD40FEE-C055-42DB-A08D-1E867E27BD2D}"/>
    <cellStyle name="Percentuale 10" xfId="1485" xr:uid="{00000000-0005-0000-0000-0000A6190000}"/>
    <cellStyle name="Percentuale 10 2" xfId="1486" xr:uid="{00000000-0005-0000-0000-0000A7190000}"/>
    <cellStyle name="Percentuale 10 2 2" xfId="2943" xr:uid="{00000000-0005-0000-0000-0000A8190000}"/>
    <cellStyle name="Percentuale 10 3" xfId="1487" xr:uid="{00000000-0005-0000-0000-0000A9190000}"/>
    <cellStyle name="Percentuale 10 3 2" xfId="1488" xr:uid="{00000000-0005-0000-0000-0000AA190000}"/>
    <cellStyle name="Percentuale 10 3 3" xfId="1489" xr:uid="{00000000-0005-0000-0000-0000AB190000}"/>
    <cellStyle name="Percentuale 10 3 3 2" xfId="2945" xr:uid="{00000000-0005-0000-0000-0000AC190000}"/>
    <cellStyle name="Percentuale 10 3 4" xfId="2944" xr:uid="{00000000-0005-0000-0000-0000AD190000}"/>
    <cellStyle name="Percentuale 10 4" xfId="1490" xr:uid="{00000000-0005-0000-0000-0000AE190000}"/>
    <cellStyle name="Percentuale 10 4 2" xfId="1491" xr:uid="{00000000-0005-0000-0000-0000AF190000}"/>
    <cellStyle name="Percentuale 10 4 2 2" xfId="2947" xr:uid="{00000000-0005-0000-0000-0000B0190000}"/>
    <cellStyle name="Percentuale 10 4 3" xfId="2946" xr:uid="{00000000-0005-0000-0000-0000B1190000}"/>
    <cellStyle name="Percentuale 10 5" xfId="1492" xr:uid="{00000000-0005-0000-0000-0000B2190000}"/>
    <cellStyle name="Percentuale 11" xfId="1493" xr:uid="{00000000-0005-0000-0000-0000B3190000}"/>
    <cellStyle name="Percentuale 11 2" xfId="1494" xr:uid="{00000000-0005-0000-0000-0000B4190000}"/>
    <cellStyle name="Percentuale 11 2 2" xfId="2948" xr:uid="{00000000-0005-0000-0000-0000B5190000}"/>
    <cellStyle name="Percentuale 11 3" xfId="1495" xr:uid="{00000000-0005-0000-0000-0000B6190000}"/>
    <cellStyle name="Percentuale 11 3 2" xfId="1496" xr:uid="{00000000-0005-0000-0000-0000B7190000}"/>
    <cellStyle name="Percentuale 11 3 3" xfId="1497" xr:uid="{00000000-0005-0000-0000-0000B8190000}"/>
    <cellStyle name="Percentuale 11 3 3 2" xfId="2950" xr:uid="{00000000-0005-0000-0000-0000B9190000}"/>
    <cellStyle name="Percentuale 11 3 4" xfId="2949" xr:uid="{00000000-0005-0000-0000-0000BA190000}"/>
    <cellStyle name="Percentuale 11 4" xfId="1498" xr:uid="{00000000-0005-0000-0000-0000BB190000}"/>
    <cellStyle name="Percentuale 11 4 2" xfId="1499" xr:uid="{00000000-0005-0000-0000-0000BC190000}"/>
    <cellStyle name="Percentuale 11 4 2 2" xfId="2952" xr:uid="{00000000-0005-0000-0000-0000BD190000}"/>
    <cellStyle name="Percentuale 11 4 3" xfId="2951" xr:uid="{00000000-0005-0000-0000-0000BE190000}"/>
    <cellStyle name="Percentuale 11 5" xfId="1500" xr:uid="{00000000-0005-0000-0000-0000BF190000}"/>
    <cellStyle name="Percentuale 12" xfId="1501" xr:uid="{00000000-0005-0000-0000-0000C0190000}"/>
    <cellStyle name="Percentuale 12 2" xfId="1502" xr:uid="{00000000-0005-0000-0000-0000C1190000}"/>
    <cellStyle name="Percentuale 12 2 2" xfId="2953" xr:uid="{00000000-0005-0000-0000-0000C2190000}"/>
    <cellStyle name="Percentuale 12 3" xfId="1503" xr:uid="{00000000-0005-0000-0000-0000C3190000}"/>
    <cellStyle name="Percentuale 12 3 2" xfId="1504" xr:uid="{00000000-0005-0000-0000-0000C4190000}"/>
    <cellStyle name="Percentuale 12 3 3" xfId="1505" xr:uid="{00000000-0005-0000-0000-0000C5190000}"/>
    <cellStyle name="Percentuale 12 3 3 2" xfId="2955" xr:uid="{00000000-0005-0000-0000-0000C6190000}"/>
    <cellStyle name="Percentuale 12 3 4" xfId="2954" xr:uid="{00000000-0005-0000-0000-0000C7190000}"/>
    <cellStyle name="Percentuale 12 4" xfId="1506" xr:uid="{00000000-0005-0000-0000-0000C8190000}"/>
    <cellStyle name="Percentuale 12 4 2" xfId="1507" xr:uid="{00000000-0005-0000-0000-0000C9190000}"/>
    <cellStyle name="Percentuale 12 4 2 2" xfId="2957" xr:uid="{00000000-0005-0000-0000-0000CA190000}"/>
    <cellStyle name="Percentuale 12 4 3" xfId="2956" xr:uid="{00000000-0005-0000-0000-0000CB190000}"/>
    <cellStyle name="Percentuale 12 5" xfId="1508" xr:uid="{00000000-0005-0000-0000-0000CC190000}"/>
    <cellStyle name="Percentuale 13" xfId="1509" xr:uid="{00000000-0005-0000-0000-0000CD190000}"/>
    <cellStyle name="Percentuale 13 2" xfId="1510" xr:uid="{00000000-0005-0000-0000-0000CE190000}"/>
    <cellStyle name="Percentuale 13 2 2" xfId="2958" xr:uid="{00000000-0005-0000-0000-0000CF190000}"/>
    <cellStyle name="Percentuale 13 3" xfId="1511" xr:uid="{00000000-0005-0000-0000-0000D0190000}"/>
    <cellStyle name="Percentuale 13 3 2" xfId="1512" xr:uid="{00000000-0005-0000-0000-0000D1190000}"/>
    <cellStyle name="Percentuale 13 3 3" xfId="1513" xr:uid="{00000000-0005-0000-0000-0000D2190000}"/>
    <cellStyle name="Percentuale 13 3 3 2" xfId="2960" xr:uid="{00000000-0005-0000-0000-0000D3190000}"/>
    <cellStyle name="Percentuale 13 3 4" xfId="2959" xr:uid="{00000000-0005-0000-0000-0000D4190000}"/>
    <cellStyle name="Percentuale 13 4" xfId="1514" xr:uid="{00000000-0005-0000-0000-0000D5190000}"/>
    <cellStyle name="Percentuale 13 4 2" xfId="1515" xr:uid="{00000000-0005-0000-0000-0000D6190000}"/>
    <cellStyle name="Percentuale 13 4 2 2" xfId="2962" xr:uid="{00000000-0005-0000-0000-0000D7190000}"/>
    <cellStyle name="Percentuale 13 4 3" xfId="2961" xr:uid="{00000000-0005-0000-0000-0000D8190000}"/>
    <cellStyle name="Percentuale 13 5" xfId="1516" xr:uid="{00000000-0005-0000-0000-0000D9190000}"/>
    <cellStyle name="Percentuale 14" xfId="1517" xr:uid="{00000000-0005-0000-0000-0000DA190000}"/>
    <cellStyle name="Percentuale 14 2" xfId="1518" xr:uid="{00000000-0005-0000-0000-0000DB190000}"/>
    <cellStyle name="Percentuale 14 2 2" xfId="2963" xr:uid="{00000000-0005-0000-0000-0000DC190000}"/>
    <cellStyle name="Percentuale 14 3" xfId="1519" xr:uid="{00000000-0005-0000-0000-0000DD190000}"/>
    <cellStyle name="Percentuale 14 3 2" xfId="1520" xr:uid="{00000000-0005-0000-0000-0000DE190000}"/>
    <cellStyle name="Percentuale 14 3 3" xfId="1521" xr:uid="{00000000-0005-0000-0000-0000DF190000}"/>
    <cellStyle name="Percentuale 14 3 3 2" xfId="2965" xr:uid="{00000000-0005-0000-0000-0000E0190000}"/>
    <cellStyle name="Percentuale 14 3 4" xfId="2964" xr:uid="{00000000-0005-0000-0000-0000E1190000}"/>
    <cellStyle name="Percentuale 14 4" xfId="1522" xr:uid="{00000000-0005-0000-0000-0000E2190000}"/>
    <cellStyle name="Percentuale 14 4 2" xfId="1523" xr:uid="{00000000-0005-0000-0000-0000E3190000}"/>
    <cellStyle name="Percentuale 14 4 2 2" xfId="2967" xr:uid="{00000000-0005-0000-0000-0000E4190000}"/>
    <cellStyle name="Percentuale 14 4 3" xfId="2966" xr:uid="{00000000-0005-0000-0000-0000E5190000}"/>
    <cellStyle name="Percentuale 14 5" xfId="1524" xr:uid="{00000000-0005-0000-0000-0000E6190000}"/>
    <cellStyle name="Percentuale 15" xfId="1525" xr:uid="{00000000-0005-0000-0000-0000E7190000}"/>
    <cellStyle name="Percentuale 15 2" xfId="1526" xr:uid="{00000000-0005-0000-0000-0000E8190000}"/>
    <cellStyle name="Percentuale 15 2 2" xfId="2968" xr:uid="{00000000-0005-0000-0000-0000E9190000}"/>
    <cellStyle name="Percentuale 15 3" xfId="1527" xr:uid="{00000000-0005-0000-0000-0000EA190000}"/>
    <cellStyle name="Percentuale 15 3 2" xfId="1528" xr:uid="{00000000-0005-0000-0000-0000EB190000}"/>
    <cellStyle name="Percentuale 15 3 3" xfId="1529" xr:uid="{00000000-0005-0000-0000-0000EC190000}"/>
    <cellStyle name="Percentuale 15 3 3 2" xfId="2970" xr:uid="{00000000-0005-0000-0000-0000ED190000}"/>
    <cellStyle name="Percentuale 15 3 4" xfId="2969" xr:uid="{00000000-0005-0000-0000-0000EE190000}"/>
    <cellStyle name="Percentuale 15 4" xfId="1530" xr:uid="{00000000-0005-0000-0000-0000EF190000}"/>
    <cellStyle name="Percentuale 15 4 2" xfId="1531" xr:uid="{00000000-0005-0000-0000-0000F0190000}"/>
    <cellStyle name="Percentuale 15 4 2 2" xfId="2972" xr:uid="{00000000-0005-0000-0000-0000F1190000}"/>
    <cellStyle name="Percentuale 15 4 3" xfId="2971" xr:uid="{00000000-0005-0000-0000-0000F2190000}"/>
    <cellStyle name="Percentuale 15 5" xfId="1532" xr:uid="{00000000-0005-0000-0000-0000F3190000}"/>
    <cellStyle name="Percentuale 16" xfId="1533" xr:uid="{00000000-0005-0000-0000-0000F4190000}"/>
    <cellStyle name="Percentuale 16 2" xfId="1534" xr:uid="{00000000-0005-0000-0000-0000F5190000}"/>
    <cellStyle name="Percentuale 16 2 2" xfId="2973" xr:uid="{00000000-0005-0000-0000-0000F6190000}"/>
    <cellStyle name="Percentuale 16 3" xfId="1535" xr:uid="{00000000-0005-0000-0000-0000F7190000}"/>
    <cellStyle name="Percentuale 16 3 2" xfId="1536" xr:uid="{00000000-0005-0000-0000-0000F8190000}"/>
    <cellStyle name="Percentuale 16 3 3" xfId="1537" xr:uid="{00000000-0005-0000-0000-0000F9190000}"/>
    <cellStyle name="Percentuale 16 3 3 2" xfId="2975" xr:uid="{00000000-0005-0000-0000-0000FA190000}"/>
    <cellStyle name="Percentuale 16 3 4" xfId="2974" xr:uid="{00000000-0005-0000-0000-0000FB190000}"/>
    <cellStyle name="Percentuale 16 4" xfId="1538" xr:uid="{00000000-0005-0000-0000-0000FC190000}"/>
    <cellStyle name="Percentuale 16 4 2" xfId="1539" xr:uid="{00000000-0005-0000-0000-0000FD190000}"/>
    <cellStyle name="Percentuale 16 4 2 2" xfId="2977" xr:uid="{00000000-0005-0000-0000-0000FE190000}"/>
    <cellStyle name="Percentuale 16 4 3" xfId="2976" xr:uid="{00000000-0005-0000-0000-0000FF190000}"/>
    <cellStyle name="Percentuale 16 5" xfId="1540" xr:uid="{00000000-0005-0000-0000-0000001A0000}"/>
    <cellStyle name="Percentuale 17" xfId="1541" xr:uid="{00000000-0005-0000-0000-0000011A0000}"/>
    <cellStyle name="Percentuale 17 2" xfId="1542" xr:uid="{00000000-0005-0000-0000-0000021A0000}"/>
    <cellStyle name="Percentuale 17 2 2" xfId="2978" xr:uid="{00000000-0005-0000-0000-0000031A0000}"/>
    <cellStyle name="Percentuale 17 3" xfId="1543" xr:uid="{00000000-0005-0000-0000-0000041A0000}"/>
    <cellStyle name="Percentuale 17 3 2" xfId="1544" xr:uid="{00000000-0005-0000-0000-0000051A0000}"/>
    <cellStyle name="Percentuale 17 3 3" xfId="1545" xr:uid="{00000000-0005-0000-0000-0000061A0000}"/>
    <cellStyle name="Percentuale 17 3 3 2" xfId="2980" xr:uid="{00000000-0005-0000-0000-0000071A0000}"/>
    <cellStyle name="Percentuale 17 3 4" xfId="2979" xr:uid="{00000000-0005-0000-0000-0000081A0000}"/>
    <cellStyle name="Percentuale 17 4" xfId="1546" xr:uid="{00000000-0005-0000-0000-0000091A0000}"/>
    <cellStyle name="Percentuale 17 4 2" xfId="1547" xr:uid="{00000000-0005-0000-0000-00000A1A0000}"/>
    <cellStyle name="Percentuale 17 4 2 2" xfId="2982" xr:uid="{00000000-0005-0000-0000-00000B1A0000}"/>
    <cellStyle name="Percentuale 17 4 3" xfId="2981" xr:uid="{00000000-0005-0000-0000-00000C1A0000}"/>
    <cellStyle name="Percentuale 17 5" xfId="1548" xr:uid="{00000000-0005-0000-0000-00000D1A0000}"/>
    <cellStyle name="Percentuale 18" xfId="1549" xr:uid="{00000000-0005-0000-0000-00000E1A0000}"/>
    <cellStyle name="Percentuale 18 2" xfId="1550" xr:uid="{00000000-0005-0000-0000-00000F1A0000}"/>
    <cellStyle name="Percentuale 18 2 2" xfId="2983" xr:uid="{00000000-0005-0000-0000-0000101A0000}"/>
    <cellStyle name="Percentuale 18 3" xfId="1551" xr:uid="{00000000-0005-0000-0000-0000111A0000}"/>
    <cellStyle name="Percentuale 18 3 2" xfId="1552" xr:uid="{00000000-0005-0000-0000-0000121A0000}"/>
    <cellStyle name="Percentuale 18 3 3" xfId="1553" xr:uid="{00000000-0005-0000-0000-0000131A0000}"/>
    <cellStyle name="Percentuale 18 3 3 2" xfId="2985" xr:uid="{00000000-0005-0000-0000-0000141A0000}"/>
    <cellStyle name="Percentuale 18 3 4" xfId="2984" xr:uid="{00000000-0005-0000-0000-0000151A0000}"/>
    <cellStyle name="Percentuale 18 4" xfId="1554" xr:uid="{00000000-0005-0000-0000-0000161A0000}"/>
    <cellStyle name="Percentuale 18 4 2" xfId="1555" xr:uid="{00000000-0005-0000-0000-0000171A0000}"/>
    <cellStyle name="Percentuale 18 4 2 2" xfId="2987" xr:uid="{00000000-0005-0000-0000-0000181A0000}"/>
    <cellStyle name="Percentuale 18 4 3" xfId="2986" xr:uid="{00000000-0005-0000-0000-0000191A0000}"/>
    <cellStyle name="Percentuale 18 5" xfId="1556" xr:uid="{00000000-0005-0000-0000-00001A1A0000}"/>
    <cellStyle name="Percentuale 19" xfId="1557" xr:uid="{00000000-0005-0000-0000-00001B1A0000}"/>
    <cellStyle name="Percentuale 19 2" xfId="1558" xr:uid="{00000000-0005-0000-0000-00001C1A0000}"/>
    <cellStyle name="Percentuale 19 2 2" xfId="2988" xr:uid="{00000000-0005-0000-0000-00001D1A0000}"/>
    <cellStyle name="Percentuale 19 3" xfId="1559" xr:uid="{00000000-0005-0000-0000-00001E1A0000}"/>
    <cellStyle name="Percentuale 19 3 2" xfId="1560" xr:uid="{00000000-0005-0000-0000-00001F1A0000}"/>
    <cellStyle name="Percentuale 19 3 3" xfId="1561" xr:uid="{00000000-0005-0000-0000-0000201A0000}"/>
    <cellStyle name="Percentuale 19 3 3 2" xfId="2990" xr:uid="{00000000-0005-0000-0000-0000211A0000}"/>
    <cellStyle name="Percentuale 19 3 4" xfId="2989" xr:uid="{00000000-0005-0000-0000-0000221A0000}"/>
    <cellStyle name="Percentuale 19 4" xfId="1562" xr:uid="{00000000-0005-0000-0000-0000231A0000}"/>
    <cellStyle name="Percentuale 19 4 2" xfId="1563" xr:uid="{00000000-0005-0000-0000-0000241A0000}"/>
    <cellStyle name="Percentuale 19 4 2 2" xfId="2992" xr:uid="{00000000-0005-0000-0000-0000251A0000}"/>
    <cellStyle name="Percentuale 19 4 3" xfId="2991" xr:uid="{00000000-0005-0000-0000-0000261A0000}"/>
    <cellStyle name="Percentuale 19 5" xfId="1564" xr:uid="{00000000-0005-0000-0000-0000271A0000}"/>
    <cellStyle name="Percentuale 2" xfId="1565" xr:uid="{00000000-0005-0000-0000-0000281A0000}"/>
    <cellStyle name="Percentuale 2 2" xfId="1566" xr:uid="{00000000-0005-0000-0000-0000291A0000}"/>
    <cellStyle name="Percentuale 2 2 2" xfId="2993" xr:uid="{00000000-0005-0000-0000-00002A1A0000}"/>
    <cellStyle name="Percentuale 2 3" xfId="1567" xr:uid="{00000000-0005-0000-0000-00002B1A0000}"/>
    <cellStyle name="Percentuale 2 3 2" xfId="1568" xr:uid="{00000000-0005-0000-0000-00002C1A0000}"/>
    <cellStyle name="Percentuale 2 3 3" xfId="1569" xr:uid="{00000000-0005-0000-0000-00002D1A0000}"/>
    <cellStyle name="Percentuale 2 3 3 2" xfId="2995" xr:uid="{00000000-0005-0000-0000-00002E1A0000}"/>
    <cellStyle name="Percentuale 2 3 4" xfId="2994" xr:uid="{00000000-0005-0000-0000-00002F1A0000}"/>
    <cellStyle name="Percentuale 2 4" xfId="1570" xr:uid="{00000000-0005-0000-0000-0000301A0000}"/>
    <cellStyle name="Percentuale 2 4 2" xfId="1571" xr:uid="{00000000-0005-0000-0000-0000311A0000}"/>
    <cellStyle name="Percentuale 2 4 2 2" xfId="2997" xr:uid="{00000000-0005-0000-0000-0000321A0000}"/>
    <cellStyle name="Percentuale 2 4 3" xfId="2996" xr:uid="{00000000-0005-0000-0000-0000331A0000}"/>
    <cellStyle name="Percentuale 2 5" xfId="1572" xr:uid="{00000000-0005-0000-0000-0000341A0000}"/>
    <cellStyle name="Percentuale 20" xfId="1573" xr:uid="{00000000-0005-0000-0000-0000351A0000}"/>
    <cellStyle name="Percentuale 20 2" xfId="1574" xr:uid="{00000000-0005-0000-0000-0000361A0000}"/>
    <cellStyle name="Percentuale 20 2 2" xfId="2998" xr:uid="{00000000-0005-0000-0000-0000371A0000}"/>
    <cellStyle name="Percentuale 20 3" xfId="1575" xr:uid="{00000000-0005-0000-0000-0000381A0000}"/>
    <cellStyle name="Percentuale 20 3 2" xfId="1576" xr:uid="{00000000-0005-0000-0000-0000391A0000}"/>
    <cellStyle name="Percentuale 20 3 3" xfId="1577" xr:uid="{00000000-0005-0000-0000-00003A1A0000}"/>
    <cellStyle name="Percentuale 20 3 3 2" xfId="3000" xr:uid="{00000000-0005-0000-0000-00003B1A0000}"/>
    <cellStyle name="Percentuale 20 3 4" xfId="2999" xr:uid="{00000000-0005-0000-0000-00003C1A0000}"/>
    <cellStyle name="Percentuale 20 4" xfId="1578" xr:uid="{00000000-0005-0000-0000-00003D1A0000}"/>
    <cellStyle name="Percentuale 20 4 2" xfId="1579" xr:uid="{00000000-0005-0000-0000-00003E1A0000}"/>
    <cellStyle name="Percentuale 20 4 2 2" xfId="3002" xr:uid="{00000000-0005-0000-0000-00003F1A0000}"/>
    <cellStyle name="Percentuale 20 4 3" xfId="3001" xr:uid="{00000000-0005-0000-0000-0000401A0000}"/>
    <cellStyle name="Percentuale 20 5" xfId="1580" xr:uid="{00000000-0005-0000-0000-0000411A0000}"/>
    <cellStyle name="Percentuale 21" xfId="1581" xr:uid="{00000000-0005-0000-0000-0000421A0000}"/>
    <cellStyle name="Percentuale 21 2" xfId="1582" xr:uid="{00000000-0005-0000-0000-0000431A0000}"/>
    <cellStyle name="Percentuale 21 2 2" xfId="3003" xr:uid="{00000000-0005-0000-0000-0000441A0000}"/>
    <cellStyle name="Percentuale 21 3" xfId="1583" xr:uid="{00000000-0005-0000-0000-0000451A0000}"/>
    <cellStyle name="Percentuale 21 3 2" xfId="1584" xr:uid="{00000000-0005-0000-0000-0000461A0000}"/>
    <cellStyle name="Percentuale 21 3 3" xfId="1585" xr:uid="{00000000-0005-0000-0000-0000471A0000}"/>
    <cellStyle name="Percentuale 21 3 3 2" xfId="3005" xr:uid="{00000000-0005-0000-0000-0000481A0000}"/>
    <cellStyle name="Percentuale 21 3 4" xfId="3004" xr:uid="{00000000-0005-0000-0000-0000491A0000}"/>
    <cellStyle name="Percentuale 21 4" xfId="1586" xr:uid="{00000000-0005-0000-0000-00004A1A0000}"/>
    <cellStyle name="Percentuale 21 4 2" xfId="1587" xr:uid="{00000000-0005-0000-0000-00004B1A0000}"/>
    <cellStyle name="Percentuale 21 4 2 2" xfId="3007" xr:uid="{00000000-0005-0000-0000-00004C1A0000}"/>
    <cellStyle name="Percentuale 21 4 3" xfId="3006" xr:uid="{00000000-0005-0000-0000-00004D1A0000}"/>
    <cellStyle name="Percentuale 21 5" xfId="1588" xr:uid="{00000000-0005-0000-0000-00004E1A0000}"/>
    <cellStyle name="Percentuale 22" xfId="1589" xr:uid="{00000000-0005-0000-0000-00004F1A0000}"/>
    <cellStyle name="Percentuale 22 2" xfId="1590" xr:uid="{00000000-0005-0000-0000-0000501A0000}"/>
    <cellStyle name="Percentuale 22 2 2" xfId="3008" xr:uid="{00000000-0005-0000-0000-0000511A0000}"/>
    <cellStyle name="Percentuale 22 3" xfId="1591" xr:uid="{00000000-0005-0000-0000-0000521A0000}"/>
    <cellStyle name="Percentuale 22 3 2" xfId="1592" xr:uid="{00000000-0005-0000-0000-0000531A0000}"/>
    <cellStyle name="Percentuale 22 3 3" xfId="1593" xr:uid="{00000000-0005-0000-0000-0000541A0000}"/>
    <cellStyle name="Percentuale 22 3 3 2" xfId="3010" xr:uid="{00000000-0005-0000-0000-0000551A0000}"/>
    <cellStyle name="Percentuale 22 3 4" xfId="3009" xr:uid="{00000000-0005-0000-0000-0000561A0000}"/>
    <cellStyle name="Percentuale 22 4" xfId="1594" xr:uid="{00000000-0005-0000-0000-0000571A0000}"/>
    <cellStyle name="Percentuale 22 4 2" xfId="1595" xr:uid="{00000000-0005-0000-0000-0000581A0000}"/>
    <cellStyle name="Percentuale 22 4 2 2" xfId="3012" xr:uid="{00000000-0005-0000-0000-0000591A0000}"/>
    <cellStyle name="Percentuale 22 4 3" xfId="3011" xr:uid="{00000000-0005-0000-0000-00005A1A0000}"/>
    <cellStyle name="Percentuale 22 5" xfId="1596" xr:uid="{00000000-0005-0000-0000-00005B1A0000}"/>
    <cellStyle name="Percentuale 23" xfId="1597" xr:uid="{00000000-0005-0000-0000-00005C1A0000}"/>
    <cellStyle name="Percentuale 23 2" xfId="1598" xr:uid="{00000000-0005-0000-0000-00005D1A0000}"/>
    <cellStyle name="Percentuale 23 2 2" xfId="3013" xr:uid="{00000000-0005-0000-0000-00005E1A0000}"/>
    <cellStyle name="Percentuale 23 3" xfId="1599" xr:uid="{00000000-0005-0000-0000-00005F1A0000}"/>
    <cellStyle name="Percentuale 23 3 2" xfId="1600" xr:uid="{00000000-0005-0000-0000-0000601A0000}"/>
    <cellStyle name="Percentuale 23 3 3" xfId="1601" xr:uid="{00000000-0005-0000-0000-0000611A0000}"/>
    <cellStyle name="Percentuale 23 3 3 2" xfId="3015" xr:uid="{00000000-0005-0000-0000-0000621A0000}"/>
    <cellStyle name="Percentuale 23 3 4" xfId="3014" xr:uid="{00000000-0005-0000-0000-0000631A0000}"/>
    <cellStyle name="Percentuale 23 4" xfId="1602" xr:uid="{00000000-0005-0000-0000-0000641A0000}"/>
    <cellStyle name="Percentuale 23 4 2" xfId="1603" xr:uid="{00000000-0005-0000-0000-0000651A0000}"/>
    <cellStyle name="Percentuale 23 4 2 2" xfId="3017" xr:uid="{00000000-0005-0000-0000-0000661A0000}"/>
    <cellStyle name="Percentuale 23 4 3" xfId="3016" xr:uid="{00000000-0005-0000-0000-0000671A0000}"/>
    <cellStyle name="Percentuale 23 5" xfId="1604" xr:uid="{00000000-0005-0000-0000-0000681A0000}"/>
    <cellStyle name="Percentuale 24" xfId="1605" xr:uid="{00000000-0005-0000-0000-0000691A0000}"/>
    <cellStyle name="Percentuale 24 2" xfId="1606" xr:uid="{00000000-0005-0000-0000-00006A1A0000}"/>
    <cellStyle name="Percentuale 24 2 2" xfId="3018" xr:uid="{00000000-0005-0000-0000-00006B1A0000}"/>
    <cellStyle name="Percentuale 24 3" xfId="1607" xr:uid="{00000000-0005-0000-0000-00006C1A0000}"/>
    <cellStyle name="Percentuale 24 3 2" xfId="1608" xr:uid="{00000000-0005-0000-0000-00006D1A0000}"/>
    <cellStyle name="Percentuale 24 3 3" xfId="1609" xr:uid="{00000000-0005-0000-0000-00006E1A0000}"/>
    <cellStyle name="Percentuale 24 3 3 2" xfId="3020" xr:uid="{00000000-0005-0000-0000-00006F1A0000}"/>
    <cellStyle name="Percentuale 24 3 4" xfId="3019" xr:uid="{00000000-0005-0000-0000-0000701A0000}"/>
    <cellStyle name="Percentuale 24 4" xfId="1610" xr:uid="{00000000-0005-0000-0000-0000711A0000}"/>
    <cellStyle name="Percentuale 24 4 2" xfId="1611" xr:uid="{00000000-0005-0000-0000-0000721A0000}"/>
    <cellStyle name="Percentuale 24 4 2 2" xfId="3022" xr:uid="{00000000-0005-0000-0000-0000731A0000}"/>
    <cellStyle name="Percentuale 24 4 3" xfId="3021" xr:uid="{00000000-0005-0000-0000-0000741A0000}"/>
    <cellStyle name="Percentuale 24 5" xfId="1612" xr:uid="{00000000-0005-0000-0000-0000751A0000}"/>
    <cellStyle name="Percentuale 25" xfId="1613" xr:uid="{00000000-0005-0000-0000-0000761A0000}"/>
    <cellStyle name="Percentuale 25 2" xfId="1614" xr:uid="{00000000-0005-0000-0000-0000771A0000}"/>
    <cellStyle name="Percentuale 25 2 2" xfId="3023" xr:uid="{00000000-0005-0000-0000-0000781A0000}"/>
    <cellStyle name="Percentuale 25 3" xfId="1615" xr:uid="{00000000-0005-0000-0000-0000791A0000}"/>
    <cellStyle name="Percentuale 25 3 2" xfId="1616" xr:uid="{00000000-0005-0000-0000-00007A1A0000}"/>
    <cellStyle name="Percentuale 25 3 3" xfId="1617" xr:uid="{00000000-0005-0000-0000-00007B1A0000}"/>
    <cellStyle name="Percentuale 25 3 3 2" xfId="3025" xr:uid="{00000000-0005-0000-0000-00007C1A0000}"/>
    <cellStyle name="Percentuale 25 3 4" xfId="3024" xr:uid="{00000000-0005-0000-0000-00007D1A0000}"/>
    <cellStyle name="Percentuale 25 4" xfId="1618" xr:uid="{00000000-0005-0000-0000-00007E1A0000}"/>
    <cellStyle name="Percentuale 25 4 2" xfId="1619" xr:uid="{00000000-0005-0000-0000-00007F1A0000}"/>
    <cellStyle name="Percentuale 25 4 2 2" xfId="3027" xr:uid="{00000000-0005-0000-0000-0000801A0000}"/>
    <cellStyle name="Percentuale 25 4 3" xfId="3026" xr:uid="{00000000-0005-0000-0000-0000811A0000}"/>
    <cellStyle name="Percentuale 25 5" xfId="1620" xr:uid="{00000000-0005-0000-0000-0000821A0000}"/>
    <cellStyle name="Percentuale 26" xfId="1621" xr:uid="{00000000-0005-0000-0000-0000831A0000}"/>
    <cellStyle name="Percentuale 26 2" xfId="1622" xr:uid="{00000000-0005-0000-0000-0000841A0000}"/>
    <cellStyle name="Percentuale 26 2 2" xfId="3028" xr:uid="{00000000-0005-0000-0000-0000851A0000}"/>
    <cellStyle name="Percentuale 26 3" xfId="1623" xr:uid="{00000000-0005-0000-0000-0000861A0000}"/>
    <cellStyle name="Percentuale 26 3 2" xfId="1624" xr:uid="{00000000-0005-0000-0000-0000871A0000}"/>
    <cellStyle name="Percentuale 26 3 3" xfId="1625" xr:uid="{00000000-0005-0000-0000-0000881A0000}"/>
    <cellStyle name="Percentuale 26 3 3 2" xfId="3030" xr:uid="{00000000-0005-0000-0000-0000891A0000}"/>
    <cellStyle name="Percentuale 26 3 4" xfId="3029" xr:uid="{00000000-0005-0000-0000-00008A1A0000}"/>
    <cellStyle name="Percentuale 26 4" xfId="1626" xr:uid="{00000000-0005-0000-0000-00008B1A0000}"/>
    <cellStyle name="Percentuale 26 4 2" xfId="1627" xr:uid="{00000000-0005-0000-0000-00008C1A0000}"/>
    <cellStyle name="Percentuale 26 4 2 2" xfId="3032" xr:uid="{00000000-0005-0000-0000-00008D1A0000}"/>
    <cellStyle name="Percentuale 26 4 3" xfId="3031" xr:uid="{00000000-0005-0000-0000-00008E1A0000}"/>
    <cellStyle name="Percentuale 26 5" xfId="1628" xr:uid="{00000000-0005-0000-0000-00008F1A0000}"/>
    <cellStyle name="Percentuale 27" xfId="1629" xr:uid="{00000000-0005-0000-0000-0000901A0000}"/>
    <cellStyle name="Percentuale 27 2" xfId="1630" xr:uid="{00000000-0005-0000-0000-0000911A0000}"/>
    <cellStyle name="Percentuale 27 2 2" xfId="3033" xr:uid="{00000000-0005-0000-0000-0000921A0000}"/>
    <cellStyle name="Percentuale 27 3" xfId="1631" xr:uid="{00000000-0005-0000-0000-0000931A0000}"/>
    <cellStyle name="Percentuale 27 3 2" xfId="1632" xr:uid="{00000000-0005-0000-0000-0000941A0000}"/>
    <cellStyle name="Percentuale 27 3 3" xfId="1633" xr:uid="{00000000-0005-0000-0000-0000951A0000}"/>
    <cellStyle name="Percentuale 27 3 3 2" xfId="3035" xr:uid="{00000000-0005-0000-0000-0000961A0000}"/>
    <cellStyle name="Percentuale 27 3 4" xfId="3034" xr:uid="{00000000-0005-0000-0000-0000971A0000}"/>
    <cellStyle name="Percentuale 27 4" xfId="1634" xr:uid="{00000000-0005-0000-0000-0000981A0000}"/>
    <cellStyle name="Percentuale 27 4 2" xfId="1635" xr:uid="{00000000-0005-0000-0000-0000991A0000}"/>
    <cellStyle name="Percentuale 27 4 2 2" xfId="3037" xr:uid="{00000000-0005-0000-0000-00009A1A0000}"/>
    <cellStyle name="Percentuale 27 4 3" xfId="3036" xr:uid="{00000000-0005-0000-0000-00009B1A0000}"/>
    <cellStyle name="Percentuale 27 5" xfId="1636" xr:uid="{00000000-0005-0000-0000-00009C1A0000}"/>
    <cellStyle name="Percentuale 28" xfId="1637" xr:uid="{00000000-0005-0000-0000-00009D1A0000}"/>
    <cellStyle name="Percentuale 28 2" xfId="1638" xr:uid="{00000000-0005-0000-0000-00009E1A0000}"/>
    <cellStyle name="Percentuale 28 2 2" xfId="3038" xr:uid="{00000000-0005-0000-0000-00009F1A0000}"/>
    <cellStyle name="Percentuale 28 3" xfId="1639" xr:uid="{00000000-0005-0000-0000-0000A01A0000}"/>
    <cellStyle name="Percentuale 28 3 2" xfId="1640" xr:uid="{00000000-0005-0000-0000-0000A11A0000}"/>
    <cellStyle name="Percentuale 28 3 3" xfId="1641" xr:uid="{00000000-0005-0000-0000-0000A21A0000}"/>
    <cellStyle name="Percentuale 28 3 3 2" xfId="3040" xr:uid="{00000000-0005-0000-0000-0000A31A0000}"/>
    <cellStyle name="Percentuale 28 3 4" xfId="3039" xr:uid="{00000000-0005-0000-0000-0000A41A0000}"/>
    <cellStyle name="Percentuale 28 4" xfId="1642" xr:uid="{00000000-0005-0000-0000-0000A51A0000}"/>
    <cellStyle name="Percentuale 28 4 2" xfId="1643" xr:uid="{00000000-0005-0000-0000-0000A61A0000}"/>
    <cellStyle name="Percentuale 28 4 2 2" xfId="3042" xr:uid="{00000000-0005-0000-0000-0000A71A0000}"/>
    <cellStyle name="Percentuale 28 4 3" xfId="3041" xr:uid="{00000000-0005-0000-0000-0000A81A0000}"/>
    <cellStyle name="Percentuale 28 5" xfId="1644" xr:uid="{00000000-0005-0000-0000-0000A91A0000}"/>
    <cellStyle name="Percentuale 29" xfId="1645" xr:uid="{00000000-0005-0000-0000-0000AA1A0000}"/>
    <cellStyle name="Percentuale 29 2" xfId="1646" xr:uid="{00000000-0005-0000-0000-0000AB1A0000}"/>
    <cellStyle name="Percentuale 29 2 2" xfId="3043" xr:uid="{00000000-0005-0000-0000-0000AC1A0000}"/>
    <cellStyle name="Percentuale 29 3" xfId="1647" xr:uid="{00000000-0005-0000-0000-0000AD1A0000}"/>
    <cellStyle name="Percentuale 29 3 2" xfId="1648" xr:uid="{00000000-0005-0000-0000-0000AE1A0000}"/>
    <cellStyle name="Percentuale 29 3 3" xfId="1649" xr:uid="{00000000-0005-0000-0000-0000AF1A0000}"/>
    <cellStyle name="Percentuale 29 3 3 2" xfId="3045" xr:uid="{00000000-0005-0000-0000-0000B01A0000}"/>
    <cellStyle name="Percentuale 29 3 4" xfId="3044" xr:uid="{00000000-0005-0000-0000-0000B11A0000}"/>
    <cellStyle name="Percentuale 29 4" xfId="1650" xr:uid="{00000000-0005-0000-0000-0000B21A0000}"/>
    <cellStyle name="Percentuale 29 4 2" xfId="1651" xr:uid="{00000000-0005-0000-0000-0000B31A0000}"/>
    <cellStyle name="Percentuale 29 4 2 2" xfId="3047" xr:uid="{00000000-0005-0000-0000-0000B41A0000}"/>
    <cellStyle name="Percentuale 29 4 3" xfId="3046" xr:uid="{00000000-0005-0000-0000-0000B51A0000}"/>
    <cellStyle name="Percentuale 29 5" xfId="1652" xr:uid="{00000000-0005-0000-0000-0000B61A0000}"/>
    <cellStyle name="Percentuale 3" xfId="1653" xr:uid="{00000000-0005-0000-0000-0000B71A0000}"/>
    <cellStyle name="Percentuale 3 2" xfId="1654" xr:uid="{00000000-0005-0000-0000-0000B81A0000}"/>
    <cellStyle name="Percentuale 3 2 2" xfId="3048" xr:uid="{00000000-0005-0000-0000-0000B91A0000}"/>
    <cellStyle name="Percentuale 3 3" xfId="1655" xr:uid="{00000000-0005-0000-0000-0000BA1A0000}"/>
    <cellStyle name="Percentuale 3 3 2" xfId="1656" xr:uid="{00000000-0005-0000-0000-0000BB1A0000}"/>
    <cellStyle name="Percentuale 3 3 3" xfId="1657" xr:uid="{00000000-0005-0000-0000-0000BC1A0000}"/>
    <cellStyle name="Percentuale 3 3 3 2" xfId="3050" xr:uid="{00000000-0005-0000-0000-0000BD1A0000}"/>
    <cellStyle name="Percentuale 3 3 4" xfId="3049" xr:uid="{00000000-0005-0000-0000-0000BE1A0000}"/>
    <cellStyle name="Percentuale 3 4" xfId="1658" xr:uid="{00000000-0005-0000-0000-0000BF1A0000}"/>
    <cellStyle name="Percentuale 3 4 2" xfId="1659" xr:uid="{00000000-0005-0000-0000-0000C01A0000}"/>
    <cellStyle name="Percentuale 3 4 2 2" xfId="3052" xr:uid="{00000000-0005-0000-0000-0000C11A0000}"/>
    <cellStyle name="Percentuale 3 4 3" xfId="3051" xr:uid="{00000000-0005-0000-0000-0000C21A0000}"/>
    <cellStyle name="Percentuale 3 5" xfId="1660" xr:uid="{00000000-0005-0000-0000-0000C31A0000}"/>
    <cellStyle name="Percentuale 30" xfId="1661" xr:uid="{00000000-0005-0000-0000-0000C41A0000}"/>
    <cellStyle name="Percentuale 30 2" xfId="1662" xr:uid="{00000000-0005-0000-0000-0000C51A0000}"/>
    <cellStyle name="Percentuale 30 2 2" xfId="3053" xr:uid="{00000000-0005-0000-0000-0000C61A0000}"/>
    <cellStyle name="Percentuale 30 3" xfId="1663" xr:uid="{00000000-0005-0000-0000-0000C71A0000}"/>
    <cellStyle name="Percentuale 30 3 2" xfId="1664" xr:uid="{00000000-0005-0000-0000-0000C81A0000}"/>
    <cellStyle name="Percentuale 30 3 3" xfId="1665" xr:uid="{00000000-0005-0000-0000-0000C91A0000}"/>
    <cellStyle name="Percentuale 30 3 3 2" xfId="3055" xr:uid="{00000000-0005-0000-0000-0000CA1A0000}"/>
    <cellStyle name="Percentuale 30 3 4" xfId="3054" xr:uid="{00000000-0005-0000-0000-0000CB1A0000}"/>
    <cellStyle name="Percentuale 30 4" xfId="1666" xr:uid="{00000000-0005-0000-0000-0000CC1A0000}"/>
    <cellStyle name="Percentuale 30 4 2" xfId="1667" xr:uid="{00000000-0005-0000-0000-0000CD1A0000}"/>
    <cellStyle name="Percentuale 30 4 2 2" xfId="3057" xr:uid="{00000000-0005-0000-0000-0000CE1A0000}"/>
    <cellStyle name="Percentuale 30 4 3" xfId="3056" xr:uid="{00000000-0005-0000-0000-0000CF1A0000}"/>
    <cellStyle name="Percentuale 30 5" xfId="1668" xr:uid="{00000000-0005-0000-0000-0000D01A0000}"/>
    <cellStyle name="Percentuale 31" xfId="1669" xr:uid="{00000000-0005-0000-0000-0000D11A0000}"/>
    <cellStyle name="Percentuale 31 2" xfId="1670" xr:uid="{00000000-0005-0000-0000-0000D21A0000}"/>
    <cellStyle name="Percentuale 31 2 2" xfId="3058" xr:uid="{00000000-0005-0000-0000-0000D31A0000}"/>
    <cellStyle name="Percentuale 31 3" xfId="1671" xr:uid="{00000000-0005-0000-0000-0000D41A0000}"/>
    <cellStyle name="Percentuale 31 3 2" xfId="1672" xr:uid="{00000000-0005-0000-0000-0000D51A0000}"/>
    <cellStyle name="Percentuale 31 3 3" xfId="1673" xr:uid="{00000000-0005-0000-0000-0000D61A0000}"/>
    <cellStyle name="Percentuale 31 3 3 2" xfId="3060" xr:uid="{00000000-0005-0000-0000-0000D71A0000}"/>
    <cellStyle name="Percentuale 31 3 4" xfId="3059" xr:uid="{00000000-0005-0000-0000-0000D81A0000}"/>
    <cellStyle name="Percentuale 31 4" xfId="1674" xr:uid="{00000000-0005-0000-0000-0000D91A0000}"/>
    <cellStyle name="Percentuale 31 4 2" xfId="1675" xr:uid="{00000000-0005-0000-0000-0000DA1A0000}"/>
    <cellStyle name="Percentuale 31 4 2 2" xfId="3062" xr:uid="{00000000-0005-0000-0000-0000DB1A0000}"/>
    <cellStyle name="Percentuale 31 4 3" xfId="3061" xr:uid="{00000000-0005-0000-0000-0000DC1A0000}"/>
    <cellStyle name="Percentuale 31 5" xfId="1676" xr:uid="{00000000-0005-0000-0000-0000DD1A0000}"/>
    <cellStyle name="Percentuale 32" xfId="1677" xr:uid="{00000000-0005-0000-0000-0000DE1A0000}"/>
    <cellStyle name="Percentuale 32 2" xfId="1678" xr:uid="{00000000-0005-0000-0000-0000DF1A0000}"/>
    <cellStyle name="Percentuale 32 2 2" xfId="3063" xr:uid="{00000000-0005-0000-0000-0000E01A0000}"/>
    <cellStyle name="Percentuale 32 3" xfId="1679" xr:uid="{00000000-0005-0000-0000-0000E11A0000}"/>
    <cellStyle name="Percentuale 32 3 2" xfId="1680" xr:uid="{00000000-0005-0000-0000-0000E21A0000}"/>
    <cellStyle name="Percentuale 32 3 3" xfId="1681" xr:uid="{00000000-0005-0000-0000-0000E31A0000}"/>
    <cellStyle name="Percentuale 32 3 3 2" xfId="3065" xr:uid="{00000000-0005-0000-0000-0000E41A0000}"/>
    <cellStyle name="Percentuale 32 3 4" xfId="3064" xr:uid="{00000000-0005-0000-0000-0000E51A0000}"/>
    <cellStyle name="Percentuale 32 4" xfId="1682" xr:uid="{00000000-0005-0000-0000-0000E61A0000}"/>
    <cellStyle name="Percentuale 32 4 2" xfId="1683" xr:uid="{00000000-0005-0000-0000-0000E71A0000}"/>
    <cellStyle name="Percentuale 32 4 2 2" xfId="3067" xr:uid="{00000000-0005-0000-0000-0000E81A0000}"/>
    <cellStyle name="Percentuale 32 4 3" xfId="3066" xr:uid="{00000000-0005-0000-0000-0000E91A0000}"/>
    <cellStyle name="Percentuale 32 5" xfId="1684" xr:uid="{00000000-0005-0000-0000-0000EA1A0000}"/>
    <cellStyle name="Percentuale 33" xfId="1685" xr:uid="{00000000-0005-0000-0000-0000EB1A0000}"/>
    <cellStyle name="Percentuale 33 2" xfId="1686" xr:uid="{00000000-0005-0000-0000-0000EC1A0000}"/>
    <cellStyle name="Percentuale 33 2 2" xfId="3068" xr:uid="{00000000-0005-0000-0000-0000ED1A0000}"/>
    <cellStyle name="Percentuale 33 3" xfId="1687" xr:uid="{00000000-0005-0000-0000-0000EE1A0000}"/>
    <cellStyle name="Percentuale 33 3 2" xfId="1688" xr:uid="{00000000-0005-0000-0000-0000EF1A0000}"/>
    <cellStyle name="Percentuale 33 3 3" xfId="1689" xr:uid="{00000000-0005-0000-0000-0000F01A0000}"/>
    <cellStyle name="Percentuale 33 3 3 2" xfId="3070" xr:uid="{00000000-0005-0000-0000-0000F11A0000}"/>
    <cellStyle name="Percentuale 33 3 4" xfId="3069" xr:uid="{00000000-0005-0000-0000-0000F21A0000}"/>
    <cellStyle name="Percentuale 33 4" xfId="1690" xr:uid="{00000000-0005-0000-0000-0000F31A0000}"/>
    <cellStyle name="Percentuale 33 4 2" xfId="1691" xr:uid="{00000000-0005-0000-0000-0000F41A0000}"/>
    <cellStyle name="Percentuale 33 4 2 2" xfId="3072" xr:uid="{00000000-0005-0000-0000-0000F51A0000}"/>
    <cellStyle name="Percentuale 33 4 3" xfId="3071" xr:uid="{00000000-0005-0000-0000-0000F61A0000}"/>
    <cellStyle name="Percentuale 33 5" xfId="1692" xr:uid="{00000000-0005-0000-0000-0000F71A0000}"/>
    <cellStyle name="Percentuale 34" xfId="1693" xr:uid="{00000000-0005-0000-0000-0000F81A0000}"/>
    <cellStyle name="Percentuale 34 2" xfId="1694" xr:uid="{00000000-0005-0000-0000-0000F91A0000}"/>
    <cellStyle name="Percentuale 34 2 2" xfId="3073" xr:uid="{00000000-0005-0000-0000-0000FA1A0000}"/>
    <cellStyle name="Percentuale 34 3" xfId="1695" xr:uid="{00000000-0005-0000-0000-0000FB1A0000}"/>
    <cellStyle name="Percentuale 34 3 2" xfId="1696" xr:uid="{00000000-0005-0000-0000-0000FC1A0000}"/>
    <cellStyle name="Percentuale 34 3 3" xfId="1697" xr:uid="{00000000-0005-0000-0000-0000FD1A0000}"/>
    <cellStyle name="Percentuale 34 3 3 2" xfId="3075" xr:uid="{00000000-0005-0000-0000-0000FE1A0000}"/>
    <cellStyle name="Percentuale 34 3 4" xfId="3074" xr:uid="{00000000-0005-0000-0000-0000FF1A0000}"/>
    <cellStyle name="Percentuale 34 4" xfId="1698" xr:uid="{00000000-0005-0000-0000-0000001B0000}"/>
    <cellStyle name="Percentuale 34 4 2" xfId="1699" xr:uid="{00000000-0005-0000-0000-0000011B0000}"/>
    <cellStyle name="Percentuale 34 4 2 2" xfId="3077" xr:uid="{00000000-0005-0000-0000-0000021B0000}"/>
    <cellStyle name="Percentuale 34 4 3" xfId="3076" xr:uid="{00000000-0005-0000-0000-0000031B0000}"/>
    <cellStyle name="Percentuale 34 5" xfId="1700" xr:uid="{00000000-0005-0000-0000-0000041B0000}"/>
    <cellStyle name="Percentuale 35" xfId="1701" xr:uid="{00000000-0005-0000-0000-0000051B0000}"/>
    <cellStyle name="Percentuale 35 2" xfId="1702" xr:uid="{00000000-0005-0000-0000-0000061B0000}"/>
    <cellStyle name="Percentuale 35 2 2" xfId="3078" xr:uid="{00000000-0005-0000-0000-0000071B0000}"/>
    <cellStyle name="Percentuale 35 3" xfId="1703" xr:uid="{00000000-0005-0000-0000-0000081B0000}"/>
    <cellStyle name="Percentuale 35 3 2" xfId="1704" xr:uid="{00000000-0005-0000-0000-0000091B0000}"/>
    <cellStyle name="Percentuale 35 3 3" xfId="1705" xr:uid="{00000000-0005-0000-0000-00000A1B0000}"/>
    <cellStyle name="Percentuale 35 3 3 2" xfId="3080" xr:uid="{00000000-0005-0000-0000-00000B1B0000}"/>
    <cellStyle name="Percentuale 35 3 4" xfId="3079" xr:uid="{00000000-0005-0000-0000-00000C1B0000}"/>
    <cellStyle name="Percentuale 35 4" xfId="1706" xr:uid="{00000000-0005-0000-0000-00000D1B0000}"/>
    <cellStyle name="Percentuale 35 4 2" xfId="1707" xr:uid="{00000000-0005-0000-0000-00000E1B0000}"/>
    <cellStyle name="Percentuale 35 4 2 2" xfId="3082" xr:uid="{00000000-0005-0000-0000-00000F1B0000}"/>
    <cellStyle name="Percentuale 35 4 3" xfId="3081" xr:uid="{00000000-0005-0000-0000-0000101B0000}"/>
    <cellStyle name="Percentuale 35 5" xfId="1708" xr:uid="{00000000-0005-0000-0000-0000111B0000}"/>
    <cellStyle name="Percentuale 36" xfId="1709" xr:uid="{00000000-0005-0000-0000-0000121B0000}"/>
    <cellStyle name="Percentuale 36 2" xfId="1710" xr:uid="{00000000-0005-0000-0000-0000131B0000}"/>
    <cellStyle name="Percentuale 36 2 2" xfId="3083" xr:uid="{00000000-0005-0000-0000-0000141B0000}"/>
    <cellStyle name="Percentuale 36 3" xfId="1711" xr:uid="{00000000-0005-0000-0000-0000151B0000}"/>
    <cellStyle name="Percentuale 36 3 2" xfId="1712" xr:uid="{00000000-0005-0000-0000-0000161B0000}"/>
    <cellStyle name="Percentuale 36 3 3" xfId="1713" xr:uid="{00000000-0005-0000-0000-0000171B0000}"/>
    <cellStyle name="Percentuale 36 3 3 2" xfId="3085" xr:uid="{00000000-0005-0000-0000-0000181B0000}"/>
    <cellStyle name="Percentuale 36 3 4" xfId="3084" xr:uid="{00000000-0005-0000-0000-0000191B0000}"/>
    <cellStyle name="Percentuale 36 4" xfId="1714" xr:uid="{00000000-0005-0000-0000-00001A1B0000}"/>
    <cellStyle name="Percentuale 36 4 2" xfId="1715" xr:uid="{00000000-0005-0000-0000-00001B1B0000}"/>
    <cellStyle name="Percentuale 36 4 2 2" xfId="3087" xr:uid="{00000000-0005-0000-0000-00001C1B0000}"/>
    <cellStyle name="Percentuale 36 4 3" xfId="3086" xr:uid="{00000000-0005-0000-0000-00001D1B0000}"/>
    <cellStyle name="Percentuale 36 5" xfId="1716" xr:uid="{00000000-0005-0000-0000-00001E1B0000}"/>
    <cellStyle name="Percentuale 37" xfId="1717" xr:uid="{00000000-0005-0000-0000-00001F1B0000}"/>
    <cellStyle name="Percentuale 37 2" xfId="1718" xr:uid="{00000000-0005-0000-0000-0000201B0000}"/>
    <cellStyle name="Percentuale 37 2 2" xfId="3088" xr:uid="{00000000-0005-0000-0000-0000211B0000}"/>
    <cellStyle name="Percentuale 37 3" xfId="1719" xr:uid="{00000000-0005-0000-0000-0000221B0000}"/>
    <cellStyle name="Percentuale 37 3 2" xfId="1720" xr:uid="{00000000-0005-0000-0000-0000231B0000}"/>
    <cellStyle name="Percentuale 37 3 3" xfId="1721" xr:uid="{00000000-0005-0000-0000-0000241B0000}"/>
    <cellStyle name="Percentuale 37 3 3 2" xfId="3090" xr:uid="{00000000-0005-0000-0000-0000251B0000}"/>
    <cellStyle name="Percentuale 37 3 4" xfId="3089" xr:uid="{00000000-0005-0000-0000-0000261B0000}"/>
    <cellStyle name="Percentuale 37 4" xfId="1722" xr:uid="{00000000-0005-0000-0000-0000271B0000}"/>
    <cellStyle name="Percentuale 37 4 2" xfId="1723" xr:uid="{00000000-0005-0000-0000-0000281B0000}"/>
    <cellStyle name="Percentuale 37 4 2 2" xfId="3092" xr:uid="{00000000-0005-0000-0000-0000291B0000}"/>
    <cellStyle name="Percentuale 37 4 3" xfId="3091" xr:uid="{00000000-0005-0000-0000-00002A1B0000}"/>
    <cellStyle name="Percentuale 37 5" xfId="1724" xr:uid="{00000000-0005-0000-0000-00002B1B0000}"/>
    <cellStyle name="Percentuale 38" xfId="1725" xr:uid="{00000000-0005-0000-0000-00002C1B0000}"/>
    <cellStyle name="Percentuale 38 2" xfId="1726" xr:uid="{00000000-0005-0000-0000-00002D1B0000}"/>
    <cellStyle name="Percentuale 38 2 2" xfId="3093" xr:uid="{00000000-0005-0000-0000-00002E1B0000}"/>
    <cellStyle name="Percentuale 38 3" xfId="1727" xr:uid="{00000000-0005-0000-0000-00002F1B0000}"/>
    <cellStyle name="Percentuale 38 3 2" xfId="1728" xr:uid="{00000000-0005-0000-0000-0000301B0000}"/>
    <cellStyle name="Percentuale 38 3 3" xfId="1729" xr:uid="{00000000-0005-0000-0000-0000311B0000}"/>
    <cellStyle name="Percentuale 38 3 3 2" xfId="3095" xr:uid="{00000000-0005-0000-0000-0000321B0000}"/>
    <cellStyle name="Percentuale 38 3 4" xfId="3094" xr:uid="{00000000-0005-0000-0000-0000331B0000}"/>
    <cellStyle name="Percentuale 38 4" xfId="1730" xr:uid="{00000000-0005-0000-0000-0000341B0000}"/>
    <cellStyle name="Percentuale 38 4 2" xfId="1731" xr:uid="{00000000-0005-0000-0000-0000351B0000}"/>
    <cellStyle name="Percentuale 38 4 2 2" xfId="3097" xr:uid="{00000000-0005-0000-0000-0000361B0000}"/>
    <cellStyle name="Percentuale 38 4 3" xfId="3096" xr:uid="{00000000-0005-0000-0000-0000371B0000}"/>
    <cellStyle name="Percentuale 38 5" xfId="1732" xr:uid="{00000000-0005-0000-0000-0000381B0000}"/>
    <cellStyle name="Percentuale 39" xfId="1733" xr:uid="{00000000-0005-0000-0000-0000391B0000}"/>
    <cellStyle name="Percentuale 39 2" xfId="1734" xr:uid="{00000000-0005-0000-0000-00003A1B0000}"/>
    <cellStyle name="Percentuale 39 2 2" xfId="3098" xr:uid="{00000000-0005-0000-0000-00003B1B0000}"/>
    <cellStyle name="Percentuale 39 3" xfId="1735" xr:uid="{00000000-0005-0000-0000-00003C1B0000}"/>
    <cellStyle name="Percentuale 39 3 2" xfId="1736" xr:uid="{00000000-0005-0000-0000-00003D1B0000}"/>
    <cellStyle name="Percentuale 39 3 3" xfId="1737" xr:uid="{00000000-0005-0000-0000-00003E1B0000}"/>
    <cellStyle name="Percentuale 39 3 3 2" xfId="3100" xr:uid="{00000000-0005-0000-0000-00003F1B0000}"/>
    <cellStyle name="Percentuale 39 3 4" xfId="3099" xr:uid="{00000000-0005-0000-0000-0000401B0000}"/>
    <cellStyle name="Percentuale 39 4" xfId="1738" xr:uid="{00000000-0005-0000-0000-0000411B0000}"/>
    <cellStyle name="Percentuale 39 4 2" xfId="1739" xr:uid="{00000000-0005-0000-0000-0000421B0000}"/>
    <cellStyle name="Percentuale 39 4 2 2" xfId="3102" xr:uid="{00000000-0005-0000-0000-0000431B0000}"/>
    <cellStyle name="Percentuale 39 4 3" xfId="3101" xr:uid="{00000000-0005-0000-0000-0000441B0000}"/>
    <cellStyle name="Percentuale 39 5" xfId="1740" xr:uid="{00000000-0005-0000-0000-0000451B0000}"/>
    <cellStyle name="Percentuale 4" xfId="1741" xr:uid="{00000000-0005-0000-0000-0000461B0000}"/>
    <cellStyle name="Percentuale 4 2" xfId="1742" xr:uid="{00000000-0005-0000-0000-0000471B0000}"/>
    <cellStyle name="Percentuale 4 2 2" xfId="3103" xr:uid="{00000000-0005-0000-0000-0000481B0000}"/>
    <cellStyle name="Percentuale 4 3" xfId="1743" xr:uid="{00000000-0005-0000-0000-0000491B0000}"/>
    <cellStyle name="Percentuale 4 3 2" xfId="1744" xr:uid="{00000000-0005-0000-0000-00004A1B0000}"/>
    <cellStyle name="Percentuale 4 3 3" xfId="1745" xr:uid="{00000000-0005-0000-0000-00004B1B0000}"/>
    <cellStyle name="Percentuale 4 3 3 2" xfId="3105" xr:uid="{00000000-0005-0000-0000-00004C1B0000}"/>
    <cellStyle name="Percentuale 4 3 4" xfId="3104" xr:uid="{00000000-0005-0000-0000-00004D1B0000}"/>
    <cellStyle name="Percentuale 4 4" xfId="1746" xr:uid="{00000000-0005-0000-0000-00004E1B0000}"/>
    <cellStyle name="Percentuale 4 4 2" xfId="1747" xr:uid="{00000000-0005-0000-0000-00004F1B0000}"/>
    <cellStyle name="Percentuale 4 4 2 2" xfId="3107" xr:uid="{00000000-0005-0000-0000-0000501B0000}"/>
    <cellStyle name="Percentuale 4 4 3" xfId="3106" xr:uid="{00000000-0005-0000-0000-0000511B0000}"/>
    <cellStyle name="Percentuale 4 5" xfId="1748" xr:uid="{00000000-0005-0000-0000-0000521B0000}"/>
    <cellStyle name="Percentuale 40" xfId="1749" xr:uid="{00000000-0005-0000-0000-0000531B0000}"/>
    <cellStyle name="Percentuale 40 2" xfId="1750" xr:uid="{00000000-0005-0000-0000-0000541B0000}"/>
    <cellStyle name="Percentuale 40 2 2" xfId="3108" xr:uid="{00000000-0005-0000-0000-0000551B0000}"/>
    <cellStyle name="Percentuale 40 3" xfId="1751" xr:uid="{00000000-0005-0000-0000-0000561B0000}"/>
    <cellStyle name="Percentuale 40 3 2" xfId="1752" xr:uid="{00000000-0005-0000-0000-0000571B0000}"/>
    <cellStyle name="Percentuale 40 3 3" xfId="1753" xr:uid="{00000000-0005-0000-0000-0000581B0000}"/>
    <cellStyle name="Percentuale 40 3 3 2" xfId="3110" xr:uid="{00000000-0005-0000-0000-0000591B0000}"/>
    <cellStyle name="Percentuale 40 3 4" xfId="3109" xr:uid="{00000000-0005-0000-0000-00005A1B0000}"/>
    <cellStyle name="Percentuale 40 4" xfId="1754" xr:uid="{00000000-0005-0000-0000-00005B1B0000}"/>
    <cellStyle name="Percentuale 40 4 2" xfId="1755" xr:uid="{00000000-0005-0000-0000-00005C1B0000}"/>
    <cellStyle name="Percentuale 40 4 2 2" xfId="3112" xr:uid="{00000000-0005-0000-0000-00005D1B0000}"/>
    <cellStyle name="Percentuale 40 4 3" xfId="3111" xr:uid="{00000000-0005-0000-0000-00005E1B0000}"/>
    <cellStyle name="Percentuale 40 5" xfId="1756" xr:uid="{00000000-0005-0000-0000-00005F1B0000}"/>
    <cellStyle name="Percentuale 41" xfId="1757" xr:uid="{00000000-0005-0000-0000-0000601B0000}"/>
    <cellStyle name="Percentuale 41 2" xfId="1758" xr:uid="{00000000-0005-0000-0000-0000611B0000}"/>
    <cellStyle name="Percentuale 41 2 2" xfId="3113" xr:uid="{00000000-0005-0000-0000-0000621B0000}"/>
    <cellStyle name="Percentuale 41 3" xfId="1759" xr:uid="{00000000-0005-0000-0000-0000631B0000}"/>
    <cellStyle name="Percentuale 41 3 2" xfId="1760" xr:uid="{00000000-0005-0000-0000-0000641B0000}"/>
    <cellStyle name="Percentuale 41 3 3" xfId="1761" xr:uid="{00000000-0005-0000-0000-0000651B0000}"/>
    <cellStyle name="Percentuale 41 3 3 2" xfId="3115" xr:uid="{00000000-0005-0000-0000-0000661B0000}"/>
    <cellStyle name="Percentuale 41 3 4" xfId="3114" xr:uid="{00000000-0005-0000-0000-0000671B0000}"/>
    <cellStyle name="Percentuale 41 4" xfId="1762" xr:uid="{00000000-0005-0000-0000-0000681B0000}"/>
    <cellStyle name="Percentuale 41 4 2" xfId="1763" xr:uid="{00000000-0005-0000-0000-0000691B0000}"/>
    <cellStyle name="Percentuale 41 4 2 2" xfId="3117" xr:uid="{00000000-0005-0000-0000-00006A1B0000}"/>
    <cellStyle name="Percentuale 41 4 3" xfId="3116" xr:uid="{00000000-0005-0000-0000-00006B1B0000}"/>
    <cellStyle name="Percentuale 41 5" xfId="1764" xr:uid="{00000000-0005-0000-0000-00006C1B0000}"/>
    <cellStyle name="Percentuale 42" xfId="1765" xr:uid="{00000000-0005-0000-0000-00006D1B0000}"/>
    <cellStyle name="Percentuale 42 2" xfId="1766" xr:uid="{00000000-0005-0000-0000-00006E1B0000}"/>
    <cellStyle name="Percentuale 42 2 2" xfId="3118" xr:uid="{00000000-0005-0000-0000-00006F1B0000}"/>
    <cellStyle name="Percentuale 42 3" xfId="1767" xr:uid="{00000000-0005-0000-0000-0000701B0000}"/>
    <cellStyle name="Percentuale 42 3 2" xfId="1768" xr:uid="{00000000-0005-0000-0000-0000711B0000}"/>
    <cellStyle name="Percentuale 42 3 3" xfId="1769" xr:uid="{00000000-0005-0000-0000-0000721B0000}"/>
    <cellStyle name="Percentuale 42 3 3 2" xfId="3120" xr:uid="{00000000-0005-0000-0000-0000731B0000}"/>
    <cellStyle name="Percentuale 42 3 4" xfId="3119" xr:uid="{00000000-0005-0000-0000-0000741B0000}"/>
    <cellStyle name="Percentuale 42 4" xfId="1770" xr:uid="{00000000-0005-0000-0000-0000751B0000}"/>
    <cellStyle name="Percentuale 42 4 2" xfId="1771" xr:uid="{00000000-0005-0000-0000-0000761B0000}"/>
    <cellStyle name="Percentuale 42 4 2 2" xfId="3122" xr:uid="{00000000-0005-0000-0000-0000771B0000}"/>
    <cellStyle name="Percentuale 42 4 3" xfId="3121" xr:uid="{00000000-0005-0000-0000-0000781B0000}"/>
    <cellStyle name="Percentuale 42 5" xfId="1772" xr:uid="{00000000-0005-0000-0000-0000791B0000}"/>
    <cellStyle name="Percentuale 43" xfId="1773" xr:uid="{00000000-0005-0000-0000-00007A1B0000}"/>
    <cellStyle name="Percentuale 43 2" xfId="1774" xr:uid="{00000000-0005-0000-0000-00007B1B0000}"/>
    <cellStyle name="Percentuale 43 2 2" xfId="3123" xr:uid="{00000000-0005-0000-0000-00007C1B0000}"/>
    <cellStyle name="Percentuale 43 3" xfId="1775" xr:uid="{00000000-0005-0000-0000-00007D1B0000}"/>
    <cellStyle name="Percentuale 43 3 2" xfId="1776" xr:uid="{00000000-0005-0000-0000-00007E1B0000}"/>
    <cellStyle name="Percentuale 43 3 3" xfId="1777" xr:uid="{00000000-0005-0000-0000-00007F1B0000}"/>
    <cellStyle name="Percentuale 43 3 3 2" xfId="3125" xr:uid="{00000000-0005-0000-0000-0000801B0000}"/>
    <cellStyle name="Percentuale 43 3 4" xfId="3124" xr:uid="{00000000-0005-0000-0000-0000811B0000}"/>
    <cellStyle name="Percentuale 43 4" xfId="1778" xr:uid="{00000000-0005-0000-0000-0000821B0000}"/>
    <cellStyle name="Percentuale 43 4 2" xfId="1779" xr:uid="{00000000-0005-0000-0000-0000831B0000}"/>
    <cellStyle name="Percentuale 43 4 2 2" xfId="3127" xr:uid="{00000000-0005-0000-0000-0000841B0000}"/>
    <cellStyle name="Percentuale 43 4 3" xfId="3126" xr:uid="{00000000-0005-0000-0000-0000851B0000}"/>
    <cellStyle name="Percentuale 43 5" xfId="1780" xr:uid="{00000000-0005-0000-0000-0000861B0000}"/>
    <cellStyle name="Percentuale 44" xfId="1781" xr:uid="{00000000-0005-0000-0000-0000871B0000}"/>
    <cellStyle name="Percentuale 44 2" xfId="1782" xr:uid="{00000000-0005-0000-0000-0000881B0000}"/>
    <cellStyle name="Percentuale 44 2 2" xfId="3128" xr:uid="{00000000-0005-0000-0000-0000891B0000}"/>
    <cellStyle name="Percentuale 44 3" xfId="1783" xr:uid="{00000000-0005-0000-0000-00008A1B0000}"/>
    <cellStyle name="Percentuale 44 3 2" xfId="1784" xr:uid="{00000000-0005-0000-0000-00008B1B0000}"/>
    <cellStyle name="Percentuale 44 3 3" xfId="1785" xr:uid="{00000000-0005-0000-0000-00008C1B0000}"/>
    <cellStyle name="Percentuale 44 3 3 2" xfId="3130" xr:uid="{00000000-0005-0000-0000-00008D1B0000}"/>
    <cellStyle name="Percentuale 44 3 4" xfId="3129" xr:uid="{00000000-0005-0000-0000-00008E1B0000}"/>
    <cellStyle name="Percentuale 44 4" xfId="1786" xr:uid="{00000000-0005-0000-0000-00008F1B0000}"/>
    <cellStyle name="Percentuale 44 4 2" xfId="1787" xr:uid="{00000000-0005-0000-0000-0000901B0000}"/>
    <cellStyle name="Percentuale 44 4 2 2" xfId="3132" xr:uid="{00000000-0005-0000-0000-0000911B0000}"/>
    <cellStyle name="Percentuale 44 4 3" xfId="3131" xr:uid="{00000000-0005-0000-0000-0000921B0000}"/>
    <cellStyle name="Percentuale 44 5" xfId="1788" xr:uid="{00000000-0005-0000-0000-0000931B0000}"/>
    <cellStyle name="Percentuale 45" xfId="1789" xr:uid="{00000000-0005-0000-0000-0000941B0000}"/>
    <cellStyle name="Percentuale 45 2" xfId="1790" xr:uid="{00000000-0005-0000-0000-0000951B0000}"/>
    <cellStyle name="Percentuale 45 2 2" xfId="3133" xr:uid="{00000000-0005-0000-0000-0000961B0000}"/>
    <cellStyle name="Percentuale 45 3" xfId="1791" xr:uid="{00000000-0005-0000-0000-0000971B0000}"/>
    <cellStyle name="Percentuale 45 3 2" xfId="1792" xr:uid="{00000000-0005-0000-0000-0000981B0000}"/>
    <cellStyle name="Percentuale 45 3 3" xfId="1793" xr:uid="{00000000-0005-0000-0000-0000991B0000}"/>
    <cellStyle name="Percentuale 45 3 3 2" xfId="3135" xr:uid="{00000000-0005-0000-0000-00009A1B0000}"/>
    <cellStyle name="Percentuale 45 3 4" xfId="3134" xr:uid="{00000000-0005-0000-0000-00009B1B0000}"/>
    <cellStyle name="Percentuale 45 4" xfId="1794" xr:uid="{00000000-0005-0000-0000-00009C1B0000}"/>
    <cellStyle name="Percentuale 45 4 2" xfId="1795" xr:uid="{00000000-0005-0000-0000-00009D1B0000}"/>
    <cellStyle name="Percentuale 45 4 2 2" xfId="3137" xr:uid="{00000000-0005-0000-0000-00009E1B0000}"/>
    <cellStyle name="Percentuale 45 4 3" xfId="3136" xr:uid="{00000000-0005-0000-0000-00009F1B0000}"/>
    <cellStyle name="Percentuale 45 5" xfId="1796" xr:uid="{00000000-0005-0000-0000-0000A01B0000}"/>
    <cellStyle name="Percentuale 46" xfId="1797" xr:uid="{00000000-0005-0000-0000-0000A11B0000}"/>
    <cellStyle name="Percentuale 46 2" xfId="1798" xr:uid="{00000000-0005-0000-0000-0000A21B0000}"/>
    <cellStyle name="Percentuale 46 2 2" xfId="3138" xr:uid="{00000000-0005-0000-0000-0000A31B0000}"/>
    <cellStyle name="Percentuale 46 3" xfId="1799" xr:uid="{00000000-0005-0000-0000-0000A41B0000}"/>
    <cellStyle name="Percentuale 46 3 2" xfId="1800" xr:uid="{00000000-0005-0000-0000-0000A51B0000}"/>
    <cellStyle name="Percentuale 46 3 3" xfId="1801" xr:uid="{00000000-0005-0000-0000-0000A61B0000}"/>
    <cellStyle name="Percentuale 46 3 3 2" xfId="3140" xr:uid="{00000000-0005-0000-0000-0000A71B0000}"/>
    <cellStyle name="Percentuale 46 3 4" xfId="3139" xr:uid="{00000000-0005-0000-0000-0000A81B0000}"/>
    <cellStyle name="Percentuale 46 4" xfId="1802" xr:uid="{00000000-0005-0000-0000-0000A91B0000}"/>
    <cellStyle name="Percentuale 46 4 2" xfId="1803" xr:uid="{00000000-0005-0000-0000-0000AA1B0000}"/>
    <cellStyle name="Percentuale 46 4 2 2" xfId="3142" xr:uid="{00000000-0005-0000-0000-0000AB1B0000}"/>
    <cellStyle name="Percentuale 46 4 3" xfId="3141" xr:uid="{00000000-0005-0000-0000-0000AC1B0000}"/>
    <cellStyle name="Percentuale 46 5" xfId="1804" xr:uid="{00000000-0005-0000-0000-0000AD1B0000}"/>
    <cellStyle name="Percentuale 47" xfId="1805" xr:uid="{00000000-0005-0000-0000-0000AE1B0000}"/>
    <cellStyle name="Percentuale 47 2" xfId="1806" xr:uid="{00000000-0005-0000-0000-0000AF1B0000}"/>
    <cellStyle name="Percentuale 47 2 2" xfId="3143" xr:uid="{00000000-0005-0000-0000-0000B01B0000}"/>
    <cellStyle name="Percentuale 47 3" xfId="1807" xr:uid="{00000000-0005-0000-0000-0000B11B0000}"/>
    <cellStyle name="Percentuale 47 3 2" xfId="1808" xr:uid="{00000000-0005-0000-0000-0000B21B0000}"/>
    <cellStyle name="Percentuale 47 3 3" xfId="1809" xr:uid="{00000000-0005-0000-0000-0000B31B0000}"/>
    <cellStyle name="Percentuale 47 3 3 2" xfId="3145" xr:uid="{00000000-0005-0000-0000-0000B41B0000}"/>
    <cellStyle name="Percentuale 47 3 4" xfId="3144" xr:uid="{00000000-0005-0000-0000-0000B51B0000}"/>
    <cellStyle name="Percentuale 47 4" xfId="1810" xr:uid="{00000000-0005-0000-0000-0000B61B0000}"/>
    <cellStyle name="Percentuale 47 4 2" xfId="1811" xr:uid="{00000000-0005-0000-0000-0000B71B0000}"/>
    <cellStyle name="Percentuale 47 4 2 2" xfId="3147" xr:uid="{00000000-0005-0000-0000-0000B81B0000}"/>
    <cellStyle name="Percentuale 47 4 3" xfId="3146" xr:uid="{00000000-0005-0000-0000-0000B91B0000}"/>
    <cellStyle name="Percentuale 47 5" xfId="1812" xr:uid="{00000000-0005-0000-0000-0000BA1B0000}"/>
    <cellStyle name="Percentuale 48" xfId="1813" xr:uid="{00000000-0005-0000-0000-0000BB1B0000}"/>
    <cellStyle name="Percentuale 48 2" xfId="1814" xr:uid="{00000000-0005-0000-0000-0000BC1B0000}"/>
    <cellStyle name="Percentuale 48 2 2" xfId="3148" xr:uid="{00000000-0005-0000-0000-0000BD1B0000}"/>
    <cellStyle name="Percentuale 48 3" xfId="1815" xr:uid="{00000000-0005-0000-0000-0000BE1B0000}"/>
    <cellStyle name="Percentuale 48 3 2" xfId="1816" xr:uid="{00000000-0005-0000-0000-0000BF1B0000}"/>
    <cellStyle name="Percentuale 48 3 3" xfId="1817" xr:uid="{00000000-0005-0000-0000-0000C01B0000}"/>
    <cellStyle name="Percentuale 48 3 3 2" xfId="3150" xr:uid="{00000000-0005-0000-0000-0000C11B0000}"/>
    <cellStyle name="Percentuale 48 3 4" xfId="3149" xr:uid="{00000000-0005-0000-0000-0000C21B0000}"/>
    <cellStyle name="Percentuale 48 4" xfId="1818" xr:uid="{00000000-0005-0000-0000-0000C31B0000}"/>
    <cellStyle name="Percentuale 48 4 2" xfId="1819" xr:uid="{00000000-0005-0000-0000-0000C41B0000}"/>
    <cellStyle name="Percentuale 48 4 2 2" xfId="3152" xr:uid="{00000000-0005-0000-0000-0000C51B0000}"/>
    <cellStyle name="Percentuale 48 4 3" xfId="3151" xr:uid="{00000000-0005-0000-0000-0000C61B0000}"/>
    <cellStyle name="Percentuale 48 5" xfId="1820" xr:uid="{00000000-0005-0000-0000-0000C71B0000}"/>
    <cellStyle name="Percentuale 49" xfId="1821" xr:uid="{00000000-0005-0000-0000-0000C81B0000}"/>
    <cellStyle name="Percentuale 49 2" xfId="1822" xr:uid="{00000000-0005-0000-0000-0000C91B0000}"/>
    <cellStyle name="Percentuale 49 2 2" xfId="3153" xr:uid="{00000000-0005-0000-0000-0000CA1B0000}"/>
    <cellStyle name="Percentuale 49 3" xfId="1823" xr:uid="{00000000-0005-0000-0000-0000CB1B0000}"/>
    <cellStyle name="Percentuale 49 3 2" xfId="1824" xr:uid="{00000000-0005-0000-0000-0000CC1B0000}"/>
    <cellStyle name="Percentuale 49 3 3" xfId="1825" xr:uid="{00000000-0005-0000-0000-0000CD1B0000}"/>
    <cellStyle name="Percentuale 49 3 3 2" xfId="3155" xr:uid="{00000000-0005-0000-0000-0000CE1B0000}"/>
    <cellStyle name="Percentuale 49 3 4" xfId="3154" xr:uid="{00000000-0005-0000-0000-0000CF1B0000}"/>
    <cellStyle name="Percentuale 49 4" xfId="1826" xr:uid="{00000000-0005-0000-0000-0000D01B0000}"/>
    <cellStyle name="Percentuale 49 4 2" xfId="1827" xr:uid="{00000000-0005-0000-0000-0000D11B0000}"/>
    <cellStyle name="Percentuale 49 4 2 2" xfId="3157" xr:uid="{00000000-0005-0000-0000-0000D21B0000}"/>
    <cellStyle name="Percentuale 49 4 3" xfId="3156" xr:uid="{00000000-0005-0000-0000-0000D31B0000}"/>
    <cellStyle name="Percentuale 49 5" xfId="1828" xr:uid="{00000000-0005-0000-0000-0000D41B0000}"/>
    <cellStyle name="Percentuale 5" xfId="1829" xr:uid="{00000000-0005-0000-0000-0000D51B0000}"/>
    <cellStyle name="Percentuale 5 2" xfId="1830" xr:uid="{00000000-0005-0000-0000-0000D61B0000}"/>
    <cellStyle name="Percentuale 5 2 2" xfId="3158" xr:uid="{00000000-0005-0000-0000-0000D71B0000}"/>
    <cellStyle name="Percentuale 5 3" xfId="1831" xr:uid="{00000000-0005-0000-0000-0000D81B0000}"/>
    <cellStyle name="Percentuale 5 3 2" xfId="1832" xr:uid="{00000000-0005-0000-0000-0000D91B0000}"/>
    <cellStyle name="Percentuale 5 3 3" xfId="1833" xr:uid="{00000000-0005-0000-0000-0000DA1B0000}"/>
    <cellStyle name="Percentuale 5 3 3 2" xfId="3160" xr:uid="{00000000-0005-0000-0000-0000DB1B0000}"/>
    <cellStyle name="Percentuale 5 3 4" xfId="3159" xr:uid="{00000000-0005-0000-0000-0000DC1B0000}"/>
    <cellStyle name="Percentuale 5 4" xfId="1834" xr:uid="{00000000-0005-0000-0000-0000DD1B0000}"/>
    <cellStyle name="Percentuale 5 4 2" xfId="1835" xr:uid="{00000000-0005-0000-0000-0000DE1B0000}"/>
    <cellStyle name="Percentuale 5 4 2 2" xfId="3162" xr:uid="{00000000-0005-0000-0000-0000DF1B0000}"/>
    <cellStyle name="Percentuale 5 4 3" xfId="3161" xr:uid="{00000000-0005-0000-0000-0000E01B0000}"/>
    <cellStyle name="Percentuale 5 5" xfId="1836" xr:uid="{00000000-0005-0000-0000-0000E11B0000}"/>
    <cellStyle name="Percentuale 50" xfId="1837" xr:uid="{00000000-0005-0000-0000-0000E21B0000}"/>
    <cellStyle name="Percentuale 50 2" xfId="1838" xr:uid="{00000000-0005-0000-0000-0000E31B0000}"/>
    <cellStyle name="Percentuale 50 2 2" xfId="3163" xr:uid="{00000000-0005-0000-0000-0000E41B0000}"/>
    <cellStyle name="Percentuale 50 3" xfId="1839" xr:uid="{00000000-0005-0000-0000-0000E51B0000}"/>
    <cellStyle name="Percentuale 50 3 2" xfId="1840" xr:uid="{00000000-0005-0000-0000-0000E61B0000}"/>
    <cellStyle name="Percentuale 50 3 3" xfId="1841" xr:uid="{00000000-0005-0000-0000-0000E71B0000}"/>
    <cellStyle name="Percentuale 50 3 3 2" xfId="3165" xr:uid="{00000000-0005-0000-0000-0000E81B0000}"/>
    <cellStyle name="Percentuale 50 3 4" xfId="3164" xr:uid="{00000000-0005-0000-0000-0000E91B0000}"/>
    <cellStyle name="Percentuale 50 4" xfId="1842" xr:uid="{00000000-0005-0000-0000-0000EA1B0000}"/>
    <cellStyle name="Percentuale 50 4 2" xfId="1843" xr:uid="{00000000-0005-0000-0000-0000EB1B0000}"/>
    <cellStyle name="Percentuale 50 4 2 2" xfId="3167" xr:uid="{00000000-0005-0000-0000-0000EC1B0000}"/>
    <cellStyle name="Percentuale 50 4 3" xfId="3166" xr:uid="{00000000-0005-0000-0000-0000ED1B0000}"/>
    <cellStyle name="Percentuale 50 5" xfId="1844" xr:uid="{00000000-0005-0000-0000-0000EE1B0000}"/>
    <cellStyle name="Percentuale 51" xfId="1845" xr:uid="{00000000-0005-0000-0000-0000EF1B0000}"/>
    <cellStyle name="Percentuale 51 2" xfId="1846" xr:uid="{00000000-0005-0000-0000-0000F01B0000}"/>
    <cellStyle name="Percentuale 51 2 2" xfId="3168" xr:uid="{00000000-0005-0000-0000-0000F11B0000}"/>
    <cellStyle name="Percentuale 51 3" xfId="1847" xr:uid="{00000000-0005-0000-0000-0000F21B0000}"/>
    <cellStyle name="Percentuale 51 3 2" xfId="1848" xr:uid="{00000000-0005-0000-0000-0000F31B0000}"/>
    <cellStyle name="Percentuale 51 3 3" xfId="1849" xr:uid="{00000000-0005-0000-0000-0000F41B0000}"/>
    <cellStyle name="Percentuale 51 3 3 2" xfId="3170" xr:uid="{00000000-0005-0000-0000-0000F51B0000}"/>
    <cellStyle name="Percentuale 51 3 4" xfId="3169" xr:uid="{00000000-0005-0000-0000-0000F61B0000}"/>
    <cellStyle name="Percentuale 51 4" xfId="1850" xr:uid="{00000000-0005-0000-0000-0000F71B0000}"/>
    <cellStyle name="Percentuale 51 4 2" xfId="1851" xr:uid="{00000000-0005-0000-0000-0000F81B0000}"/>
    <cellStyle name="Percentuale 51 4 2 2" xfId="3172" xr:uid="{00000000-0005-0000-0000-0000F91B0000}"/>
    <cellStyle name="Percentuale 51 4 3" xfId="3171" xr:uid="{00000000-0005-0000-0000-0000FA1B0000}"/>
    <cellStyle name="Percentuale 51 5" xfId="1852" xr:uid="{00000000-0005-0000-0000-0000FB1B0000}"/>
    <cellStyle name="Percentuale 52" xfId="1853" xr:uid="{00000000-0005-0000-0000-0000FC1B0000}"/>
    <cellStyle name="Percentuale 52 2" xfId="1854" xr:uid="{00000000-0005-0000-0000-0000FD1B0000}"/>
    <cellStyle name="Percentuale 52 2 2" xfId="3173" xr:uid="{00000000-0005-0000-0000-0000FE1B0000}"/>
    <cellStyle name="Percentuale 52 3" xfId="1855" xr:uid="{00000000-0005-0000-0000-0000FF1B0000}"/>
    <cellStyle name="Percentuale 52 3 2" xfId="1856" xr:uid="{00000000-0005-0000-0000-0000001C0000}"/>
    <cellStyle name="Percentuale 52 3 3" xfId="1857" xr:uid="{00000000-0005-0000-0000-0000011C0000}"/>
    <cellStyle name="Percentuale 52 3 3 2" xfId="3175" xr:uid="{00000000-0005-0000-0000-0000021C0000}"/>
    <cellStyle name="Percentuale 52 3 4" xfId="3174" xr:uid="{00000000-0005-0000-0000-0000031C0000}"/>
    <cellStyle name="Percentuale 52 4" xfId="1858" xr:uid="{00000000-0005-0000-0000-0000041C0000}"/>
    <cellStyle name="Percentuale 52 4 2" xfId="1859" xr:uid="{00000000-0005-0000-0000-0000051C0000}"/>
    <cellStyle name="Percentuale 52 4 2 2" xfId="3177" xr:uid="{00000000-0005-0000-0000-0000061C0000}"/>
    <cellStyle name="Percentuale 52 4 3" xfId="3176" xr:uid="{00000000-0005-0000-0000-0000071C0000}"/>
    <cellStyle name="Percentuale 52 5" xfId="1860" xr:uid="{00000000-0005-0000-0000-0000081C0000}"/>
    <cellStyle name="Percentuale 53" xfId="1861" xr:uid="{00000000-0005-0000-0000-0000091C0000}"/>
    <cellStyle name="Percentuale 53 2" xfId="1862" xr:uid="{00000000-0005-0000-0000-00000A1C0000}"/>
    <cellStyle name="Percentuale 53 2 2" xfId="3178" xr:uid="{00000000-0005-0000-0000-00000B1C0000}"/>
    <cellStyle name="Percentuale 53 3" xfId="1863" xr:uid="{00000000-0005-0000-0000-00000C1C0000}"/>
    <cellStyle name="Percentuale 53 3 2" xfId="1864" xr:uid="{00000000-0005-0000-0000-00000D1C0000}"/>
    <cellStyle name="Percentuale 53 3 3" xfId="1865" xr:uid="{00000000-0005-0000-0000-00000E1C0000}"/>
    <cellStyle name="Percentuale 53 3 3 2" xfId="3180" xr:uid="{00000000-0005-0000-0000-00000F1C0000}"/>
    <cellStyle name="Percentuale 53 3 4" xfId="3179" xr:uid="{00000000-0005-0000-0000-0000101C0000}"/>
    <cellStyle name="Percentuale 53 4" xfId="1866" xr:uid="{00000000-0005-0000-0000-0000111C0000}"/>
    <cellStyle name="Percentuale 53 4 2" xfId="1867" xr:uid="{00000000-0005-0000-0000-0000121C0000}"/>
    <cellStyle name="Percentuale 53 4 2 2" xfId="3182" xr:uid="{00000000-0005-0000-0000-0000131C0000}"/>
    <cellStyle name="Percentuale 53 4 3" xfId="3181" xr:uid="{00000000-0005-0000-0000-0000141C0000}"/>
    <cellStyle name="Percentuale 53 5" xfId="1868" xr:uid="{00000000-0005-0000-0000-0000151C0000}"/>
    <cellStyle name="Percentuale 54" xfId="1869" xr:uid="{00000000-0005-0000-0000-0000161C0000}"/>
    <cellStyle name="Percentuale 54 2" xfId="1870" xr:uid="{00000000-0005-0000-0000-0000171C0000}"/>
    <cellStyle name="Percentuale 54 2 2" xfId="3183" xr:uid="{00000000-0005-0000-0000-0000181C0000}"/>
    <cellStyle name="Percentuale 54 3" xfId="1871" xr:uid="{00000000-0005-0000-0000-0000191C0000}"/>
    <cellStyle name="Percentuale 54 3 2" xfId="1872" xr:uid="{00000000-0005-0000-0000-00001A1C0000}"/>
    <cellStyle name="Percentuale 54 3 3" xfId="1873" xr:uid="{00000000-0005-0000-0000-00001B1C0000}"/>
    <cellStyle name="Percentuale 54 3 3 2" xfId="3185" xr:uid="{00000000-0005-0000-0000-00001C1C0000}"/>
    <cellStyle name="Percentuale 54 3 4" xfId="3184" xr:uid="{00000000-0005-0000-0000-00001D1C0000}"/>
    <cellStyle name="Percentuale 54 4" xfId="1874" xr:uid="{00000000-0005-0000-0000-00001E1C0000}"/>
    <cellStyle name="Percentuale 54 4 2" xfId="1875" xr:uid="{00000000-0005-0000-0000-00001F1C0000}"/>
    <cellStyle name="Percentuale 54 4 2 2" xfId="3187" xr:uid="{00000000-0005-0000-0000-0000201C0000}"/>
    <cellStyle name="Percentuale 54 4 3" xfId="3186" xr:uid="{00000000-0005-0000-0000-0000211C0000}"/>
    <cellStyle name="Percentuale 54 5" xfId="1876" xr:uid="{00000000-0005-0000-0000-0000221C0000}"/>
    <cellStyle name="Percentuale 55" xfId="1877" xr:uid="{00000000-0005-0000-0000-0000231C0000}"/>
    <cellStyle name="Percentuale 55 2" xfId="1878" xr:uid="{00000000-0005-0000-0000-0000241C0000}"/>
    <cellStyle name="Percentuale 55 2 2" xfId="3188" xr:uid="{00000000-0005-0000-0000-0000251C0000}"/>
    <cellStyle name="Percentuale 55 3" xfId="1879" xr:uid="{00000000-0005-0000-0000-0000261C0000}"/>
    <cellStyle name="Percentuale 55 3 2" xfId="1880" xr:uid="{00000000-0005-0000-0000-0000271C0000}"/>
    <cellStyle name="Percentuale 55 3 3" xfId="1881" xr:uid="{00000000-0005-0000-0000-0000281C0000}"/>
    <cellStyle name="Percentuale 55 3 3 2" xfId="3190" xr:uid="{00000000-0005-0000-0000-0000291C0000}"/>
    <cellStyle name="Percentuale 55 3 4" xfId="3189" xr:uid="{00000000-0005-0000-0000-00002A1C0000}"/>
    <cellStyle name="Percentuale 55 4" xfId="1882" xr:uid="{00000000-0005-0000-0000-00002B1C0000}"/>
    <cellStyle name="Percentuale 55 4 2" xfId="1883" xr:uid="{00000000-0005-0000-0000-00002C1C0000}"/>
    <cellStyle name="Percentuale 55 4 2 2" xfId="3192" xr:uid="{00000000-0005-0000-0000-00002D1C0000}"/>
    <cellStyle name="Percentuale 55 4 3" xfId="3191" xr:uid="{00000000-0005-0000-0000-00002E1C0000}"/>
    <cellStyle name="Percentuale 55 5" xfId="1884" xr:uid="{00000000-0005-0000-0000-00002F1C0000}"/>
    <cellStyle name="Percentuale 56" xfId="1885" xr:uid="{00000000-0005-0000-0000-0000301C0000}"/>
    <cellStyle name="Percentuale 56 2" xfId="1886" xr:uid="{00000000-0005-0000-0000-0000311C0000}"/>
    <cellStyle name="Percentuale 56 2 2" xfId="3193" xr:uid="{00000000-0005-0000-0000-0000321C0000}"/>
    <cellStyle name="Percentuale 56 3" xfId="1887" xr:uid="{00000000-0005-0000-0000-0000331C0000}"/>
    <cellStyle name="Percentuale 56 3 2" xfId="1888" xr:uid="{00000000-0005-0000-0000-0000341C0000}"/>
    <cellStyle name="Percentuale 56 3 3" xfId="1889" xr:uid="{00000000-0005-0000-0000-0000351C0000}"/>
    <cellStyle name="Percentuale 56 3 3 2" xfId="3195" xr:uid="{00000000-0005-0000-0000-0000361C0000}"/>
    <cellStyle name="Percentuale 56 3 4" xfId="3194" xr:uid="{00000000-0005-0000-0000-0000371C0000}"/>
    <cellStyle name="Percentuale 56 4" xfId="1890" xr:uid="{00000000-0005-0000-0000-0000381C0000}"/>
    <cellStyle name="Percentuale 56 4 2" xfId="1891" xr:uid="{00000000-0005-0000-0000-0000391C0000}"/>
    <cellStyle name="Percentuale 56 4 2 2" xfId="3197" xr:uid="{00000000-0005-0000-0000-00003A1C0000}"/>
    <cellStyle name="Percentuale 56 4 3" xfId="3196" xr:uid="{00000000-0005-0000-0000-00003B1C0000}"/>
    <cellStyle name="Percentuale 56 5" xfId="1892" xr:uid="{00000000-0005-0000-0000-00003C1C0000}"/>
    <cellStyle name="Percentuale 57" xfId="1893" xr:uid="{00000000-0005-0000-0000-00003D1C0000}"/>
    <cellStyle name="Percentuale 57 2" xfId="1894" xr:uid="{00000000-0005-0000-0000-00003E1C0000}"/>
    <cellStyle name="Percentuale 57 2 2" xfId="3198" xr:uid="{00000000-0005-0000-0000-00003F1C0000}"/>
    <cellStyle name="Percentuale 57 3" xfId="1895" xr:uid="{00000000-0005-0000-0000-0000401C0000}"/>
    <cellStyle name="Percentuale 57 3 2" xfId="1896" xr:uid="{00000000-0005-0000-0000-0000411C0000}"/>
    <cellStyle name="Percentuale 57 3 3" xfId="1897" xr:uid="{00000000-0005-0000-0000-0000421C0000}"/>
    <cellStyle name="Percentuale 57 3 3 2" xfId="3200" xr:uid="{00000000-0005-0000-0000-0000431C0000}"/>
    <cellStyle name="Percentuale 57 3 4" xfId="3199" xr:uid="{00000000-0005-0000-0000-0000441C0000}"/>
    <cellStyle name="Percentuale 57 4" xfId="1898" xr:uid="{00000000-0005-0000-0000-0000451C0000}"/>
    <cellStyle name="Percentuale 57 4 2" xfId="1899" xr:uid="{00000000-0005-0000-0000-0000461C0000}"/>
    <cellStyle name="Percentuale 57 4 2 2" xfId="3202" xr:uid="{00000000-0005-0000-0000-0000471C0000}"/>
    <cellStyle name="Percentuale 57 4 3" xfId="3201" xr:uid="{00000000-0005-0000-0000-0000481C0000}"/>
    <cellStyle name="Percentuale 57 5" xfId="1900" xr:uid="{00000000-0005-0000-0000-0000491C0000}"/>
    <cellStyle name="Percentuale 58" xfId="1901" xr:uid="{00000000-0005-0000-0000-00004A1C0000}"/>
    <cellStyle name="Percentuale 58 2" xfId="1902" xr:uid="{00000000-0005-0000-0000-00004B1C0000}"/>
    <cellStyle name="Percentuale 58 2 2" xfId="3203" xr:uid="{00000000-0005-0000-0000-00004C1C0000}"/>
    <cellStyle name="Percentuale 58 3" xfId="1903" xr:uid="{00000000-0005-0000-0000-00004D1C0000}"/>
    <cellStyle name="Percentuale 58 3 2" xfId="1904" xr:uid="{00000000-0005-0000-0000-00004E1C0000}"/>
    <cellStyle name="Percentuale 58 3 3" xfId="1905" xr:uid="{00000000-0005-0000-0000-00004F1C0000}"/>
    <cellStyle name="Percentuale 58 3 3 2" xfId="3205" xr:uid="{00000000-0005-0000-0000-0000501C0000}"/>
    <cellStyle name="Percentuale 58 3 4" xfId="3204" xr:uid="{00000000-0005-0000-0000-0000511C0000}"/>
    <cellStyle name="Percentuale 58 4" xfId="1906" xr:uid="{00000000-0005-0000-0000-0000521C0000}"/>
    <cellStyle name="Percentuale 58 4 2" xfId="1907" xr:uid="{00000000-0005-0000-0000-0000531C0000}"/>
    <cellStyle name="Percentuale 58 4 2 2" xfId="3207" xr:uid="{00000000-0005-0000-0000-0000541C0000}"/>
    <cellStyle name="Percentuale 58 4 3" xfId="3206" xr:uid="{00000000-0005-0000-0000-0000551C0000}"/>
    <cellStyle name="Percentuale 58 5" xfId="1908" xr:uid="{00000000-0005-0000-0000-0000561C0000}"/>
    <cellStyle name="Percentuale 59" xfId="1909" xr:uid="{00000000-0005-0000-0000-0000571C0000}"/>
    <cellStyle name="Percentuale 59 2" xfId="1910" xr:uid="{00000000-0005-0000-0000-0000581C0000}"/>
    <cellStyle name="Percentuale 59 2 2" xfId="3208" xr:uid="{00000000-0005-0000-0000-0000591C0000}"/>
    <cellStyle name="Percentuale 59 3" xfId="1911" xr:uid="{00000000-0005-0000-0000-00005A1C0000}"/>
    <cellStyle name="Percentuale 59 3 2" xfId="1912" xr:uid="{00000000-0005-0000-0000-00005B1C0000}"/>
    <cellStyle name="Percentuale 59 3 3" xfId="1913" xr:uid="{00000000-0005-0000-0000-00005C1C0000}"/>
    <cellStyle name="Percentuale 59 3 3 2" xfId="3210" xr:uid="{00000000-0005-0000-0000-00005D1C0000}"/>
    <cellStyle name="Percentuale 59 3 4" xfId="3209" xr:uid="{00000000-0005-0000-0000-00005E1C0000}"/>
    <cellStyle name="Percentuale 59 4" xfId="1914" xr:uid="{00000000-0005-0000-0000-00005F1C0000}"/>
    <cellStyle name="Percentuale 59 4 2" xfId="1915" xr:uid="{00000000-0005-0000-0000-0000601C0000}"/>
    <cellStyle name="Percentuale 59 4 2 2" xfId="3212" xr:uid="{00000000-0005-0000-0000-0000611C0000}"/>
    <cellStyle name="Percentuale 59 4 3" xfId="3211" xr:uid="{00000000-0005-0000-0000-0000621C0000}"/>
    <cellStyle name="Percentuale 59 5" xfId="1916" xr:uid="{00000000-0005-0000-0000-0000631C0000}"/>
    <cellStyle name="Percentuale 6" xfId="1917" xr:uid="{00000000-0005-0000-0000-0000641C0000}"/>
    <cellStyle name="Percentuale 6 2" xfId="1918" xr:uid="{00000000-0005-0000-0000-0000651C0000}"/>
    <cellStyle name="Percentuale 6 2 2" xfId="3213" xr:uid="{00000000-0005-0000-0000-0000661C0000}"/>
    <cellStyle name="Percentuale 6 3" xfId="1919" xr:uid="{00000000-0005-0000-0000-0000671C0000}"/>
    <cellStyle name="Percentuale 6 3 2" xfId="1920" xr:uid="{00000000-0005-0000-0000-0000681C0000}"/>
    <cellStyle name="Percentuale 6 3 3" xfId="1921" xr:uid="{00000000-0005-0000-0000-0000691C0000}"/>
    <cellStyle name="Percentuale 6 3 3 2" xfId="3215" xr:uid="{00000000-0005-0000-0000-00006A1C0000}"/>
    <cellStyle name="Percentuale 6 3 4" xfId="3214" xr:uid="{00000000-0005-0000-0000-00006B1C0000}"/>
    <cellStyle name="Percentuale 6 4" xfId="1922" xr:uid="{00000000-0005-0000-0000-00006C1C0000}"/>
    <cellStyle name="Percentuale 6 4 2" xfId="1923" xr:uid="{00000000-0005-0000-0000-00006D1C0000}"/>
    <cellStyle name="Percentuale 6 4 2 2" xfId="3217" xr:uid="{00000000-0005-0000-0000-00006E1C0000}"/>
    <cellStyle name="Percentuale 6 4 3" xfId="3216" xr:uid="{00000000-0005-0000-0000-00006F1C0000}"/>
    <cellStyle name="Percentuale 6 5" xfId="1924" xr:uid="{00000000-0005-0000-0000-0000701C0000}"/>
    <cellStyle name="Percentuale 60" xfId="1925" xr:uid="{00000000-0005-0000-0000-0000711C0000}"/>
    <cellStyle name="Percentuale 60 2" xfId="1926" xr:uid="{00000000-0005-0000-0000-0000721C0000}"/>
    <cellStyle name="Percentuale 60 2 2" xfId="3218" xr:uid="{00000000-0005-0000-0000-0000731C0000}"/>
    <cellStyle name="Percentuale 60 3" xfId="1927" xr:uid="{00000000-0005-0000-0000-0000741C0000}"/>
    <cellStyle name="Percentuale 60 3 2" xfId="1928" xr:uid="{00000000-0005-0000-0000-0000751C0000}"/>
    <cellStyle name="Percentuale 60 3 3" xfId="1929" xr:uid="{00000000-0005-0000-0000-0000761C0000}"/>
    <cellStyle name="Percentuale 60 3 3 2" xfId="3220" xr:uid="{00000000-0005-0000-0000-0000771C0000}"/>
    <cellStyle name="Percentuale 60 3 4" xfId="3219" xr:uid="{00000000-0005-0000-0000-0000781C0000}"/>
    <cellStyle name="Percentuale 60 4" xfId="1930" xr:uid="{00000000-0005-0000-0000-0000791C0000}"/>
    <cellStyle name="Percentuale 60 4 2" xfId="1931" xr:uid="{00000000-0005-0000-0000-00007A1C0000}"/>
    <cellStyle name="Percentuale 60 4 2 2" xfId="3222" xr:uid="{00000000-0005-0000-0000-00007B1C0000}"/>
    <cellStyle name="Percentuale 60 4 3" xfId="3221" xr:uid="{00000000-0005-0000-0000-00007C1C0000}"/>
    <cellStyle name="Percentuale 60 5" xfId="1932" xr:uid="{00000000-0005-0000-0000-00007D1C0000}"/>
    <cellStyle name="Percentuale 61" xfId="1933" xr:uid="{00000000-0005-0000-0000-00007E1C0000}"/>
    <cellStyle name="Percentuale 61 2" xfId="1934" xr:uid="{00000000-0005-0000-0000-00007F1C0000}"/>
    <cellStyle name="Percentuale 61 2 2" xfId="3223" xr:uid="{00000000-0005-0000-0000-0000801C0000}"/>
    <cellStyle name="Percentuale 61 3" xfId="1935" xr:uid="{00000000-0005-0000-0000-0000811C0000}"/>
    <cellStyle name="Percentuale 61 3 2" xfId="1936" xr:uid="{00000000-0005-0000-0000-0000821C0000}"/>
    <cellStyle name="Percentuale 61 3 3" xfId="1937" xr:uid="{00000000-0005-0000-0000-0000831C0000}"/>
    <cellStyle name="Percentuale 61 3 3 2" xfId="3225" xr:uid="{00000000-0005-0000-0000-0000841C0000}"/>
    <cellStyle name="Percentuale 61 3 4" xfId="3224" xr:uid="{00000000-0005-0000-0000-0000851C0000}"/>
    <cellStyle name="Percentuale 61 4" xfId="1938" xr:uid="{00000000-0005-0000-0000-0000861C0000}"/>
    <cellStyle name="Percentuale 61 4 2" xfId="1939" xr:uid="{00000000-0005-0000-0000-0000871C0000}"/>
    <cellStyle name="Percentuale 61 4 2 2" xfId="3227" xr:uid="{00000000-0005-0000-0000-0000881C0000}"/>
    <cellStyle name="Percentuale 61 4 3" xfId="3226" xr:uid="{00000000-0005-0000-0000-0000891C0000}"/>
    <cellStyle name="Percentuale 61 5" xfId="1940" xr:uid="{00000000-0005-0000-0000-00008A1C0000}"/>
    <cellStyle name="Percentuale 62" xfId="1941" xr:uid="{00000000-0005-0000-0000-00008B1C0000}"/>
    <cellStyle name="Percentuale 62 2" xfId="3228" xr:uid="{00000000-0005-0000-0000-00008C1C0000}"/>
    <cellStyle name="Percentuale 63" xfId="1942" xr:uid="{00000000-0005-0000-0000-00008D1C0000}"/>
    <cellStyle name="Percentuale 63 2" xfId="3229" xr:uid="{00000000-0005-0000-0000-00008E1C0000}"/>
    <cellStyle name="Percentuale 64" xfId="1943" xr:uid="{00000000-0005-0000-0000-00008F1C0000}"/>
    <cellStyle name="Percentuale 64 2" xfId="3230" xr:uid="{00000000-0005-0000-0000-0000901C0000}"/>
    <cellStyle name="Percentuale 65" xfId="1944" xr:uid="{00000000-0005-0000-0000-0000911C0000}"/>
    <cellStyle name="Percentuale 65 2" xfId="3231" xr:uid="{00000000-0005-0000-0000-0000921C0000}"/>
    <cellStyle name="Percentuale 66" xfId="1945" xr:uid="{00000000-0005-0000-0000-0000931C0000}"/>
    <cellStyle name="Percentuale 66 2" xfId="3232" xr:uid="{00000000-0005-0000-0000-0000941C0000}"/>
    <cellStyle name="Percentuale 67" xfId="1946" xr:uid="{00000000-0005-0000-0000-0000951C0000}"/>
    <cellStyle name="Percentuale 67 2" xfId="3233" xr:uid="{00000000-0005-0000-0000-0000961C0000}"/>
    <cellStyle name="Percentuale 68" xfId="1947" xr:uid="{00000000-0005-0000-0000-0000971C0000}"/>
    <cellStyle name="Percentuale 68 2" xfId="1948" xr:uid="{00000000-0005-0000-0000-0000981C0000}"/>
    <cellStyle name="Percentuale 68 2 2" xfId="3234" xr:uid="{00000000-0005-0000-0000-0000991C0000}"/>
    <cellStyle name="Percentuale 68 3" xfId="1949" xr:uid="{00000000-0005-0000-0000-00009A1C0000}"/>
    <cellStyle name="Percentuale 68 3 2" xfId="1950" xr:uid="{00000000-0005-0000-0000-00009B1C0000}"/>
    <cellStyle name="Percentuale 68 3 3" xfId="1951" xr:uid="{00000000-0005-0000-0000-00009C1C0000}"/>
    <cellStyle name="Percentuale 68 3 3 2" xfId="3236" xr:uid="{00000000-0005-0000-0000-00009D1C0000}"/>
    <cellStyle name="Percentuale 68 3 4" xfId="3235" xr:uid="{00000000-0005-0000-0000-00009E1C0000}"/>
    <cellStyle name="Percentuale 68 4" xfId="1952" xr:uid="{00000000-0005-0000-0000-00009F1C0000}"/>
    <cellStyle name="Percentuale 68 4 2" xfId="1953" xr:uid="{00000000-0005-0000-0000-0000A01C0000}"/>
    <cellStyle name="Percentuale 68 4 2 2" xfId="3238" xr:uid="{00000000-0005-0000-0000-0000A11C0000}"/>
    <cellStyle name="Percentuale 68 4 3" xfId="3237" xr:uid="{00000000-0005-0000-0000-0000A21C0000}"/>
    <cellStyle name="Percentuale 68 5" xfId="1954" xr:uid="{00000000-0005-0000-0000-0000A31C0000}"/>
    <cellStyle name="Percentuale 69" xfId="1955" xr:uid="{00000000-0005-0000-0000-0000A41C0000}"/>
    <cellStyle name="Percentuale 69 2" xfId="1956" xr:uid="{00000000-0005-0000-0000-0000A51C0000}"/>
    <cellStyle name="Percentuale 69 2 2" xfId="3239" xr:uid="{00000000-0005-0000-0000-0000A61C0000}"/>
    <cellStyle name="Percentuale 69 3" xfId="1957" xr:uid="{00000000-0005-0000-0000-0000A71C0000}"/>
    <cellStyle name="Percentuale 69 3 2" xfId="1958" xr:uid="{00000000-0005-0000-0000-0000A81C0000}"/>
    <cellStyle name="Percentuale 69 3 3" xfId="1959" xr:uid="{00000000-0005-0000-0000-0000A91C0000}"/>
    <cellStyle name="Percentuale 69 3 3 2" xfId="3241" xr:uid="{00000000-0005-0000-0000-0000AA1C0000}"/>
    <cellStyle name="Percentuale 69 3 4" xfId="3240" xr:uid="{00000000-0005-0000-0000-0000AB1C0000}"/>
    <cellStyle name="Percentuale 69 4" xfId="1960" xr:uid="{00000000-0005-0000-0000-0000AC1C0000}"/>
    <cellStyle name="Percentuale 69 4 2" xfId="1961" xr:uid="{00000000-0005-0000-0000-0000AD1C0000}"/>
    <cellStyle name="Percentuale 69 4 2 2" xfId="3243" xr:uid="{00000000-0005-0000-0000-0000AE1C0000}"/>
    <cellStyle name="Percentuale 69 4 3" xfId="3242" xr:uid="{00000000-0005-0000-0000-0000AF1C0000}"/>
    <cellStyle name="Percentuale 69 5" xfId="1962" xr:uid="{00000000-0005-0000-0000-0000B01C0000}"/>
    <cellStyle name="Percentuale 7" xfId="1963" xr:uid="{00000000-0005-0000-0000-0000B11C0000}"/>
    <cellStyle name="Percentuale 7 2" xfId="1964" xr:uid="{00000000-0005-0000-0000-0000B21C0000}"/>
    <cellStyle name="Percentuale 7 2 2" xfId="3244" xr:uid="{00000000-0005-0000-0000-0000B31C0000}"/>
    <cellStyle name="Percentuale 7 3" xfId="1965" xr:uid="{00000000-0005-0000-0000-0000B41C0000}"/>
    <cellStyle name="Percentuale 7 3 2" xfId="1966" xr:uid="{00000000-0005-0000-0000-0000B51C0000}"/>
    <cellStyle name="Percentuale 7 3 3" xfId="1967" xr:uid="{00000000-0005-0000-0000-0000B61C0000}"/>
    <cellStyle name="Percentuale 7 3 3 2" xfId="3246" xr:uid="{00000000-0005-0000-0000-0000B71C0000}"/>
    <cellStyle name="Percentuale 7 3 4" xfId="3245" xr:uid="{00000000-0005-0000-0000-0000B81C0000}"/>
    <cellStyle name="Percentuale 7 4" xfId="1968" xr:uid="{00000000-0005-0000-0000-0000B91C0000}"/>
    <cellStyle name="Percentuale 7 4 2" xfId="1969" xr:uid="{00000000-0005-0000-0000-0000BA1C0000}"/>
    <cellStyle name="Percentuale 7 4 2 2" xfId="3248" xr:uid="{00000000-0005-0000-0000-0000BB1C0000}"/>
    <cellStyle name="Percentuale 7 4 3" xfId="3247" xr:uid="{00000000-0005-0000-0000-0000BC1C0000}"/>
    <cellStyle name="Percentuale 7 5" xfId="1970" xr:uid="{00000000-0005-0000-0000-0000BD1C0000}"/>
    <cellStyle name="Percentuale 8" xfId="1971" xr:uid="{00000000-0005-0000-0000-0000BE1C0000}"/>
    <cellStyle name="Percentuale 8 2" xfId="1972" xr:uid="{00000000-0005-0000-0000-0000BF1C0000}"/>
    <cellStyle name="Percentuale 8 2 2" xfId="3249" xr:uid="{00000000-0005-0000-0000-0000C01C0000}"/>
    <cellStyle name="Percentuale 8 3" xfId="1973" xr:uid="{00000000-0005-0000-0000-0000C11C0000}"/>
    <cellStyle name="Percentuale 8 3 2" xfId="1974" xr:uid="{00000000-0005-0000-0000-0000C21C0000}"/>
    <cellStyle name="Percentuale 8 3 3" xfId="1975" xr:uid="{00000000-0005-0000-0000-0000C31C0000}"/>
    <cellStyle name="Percentuale 8 3 3 2" xfId="3251" xr:uid="{00000000-0005-0000-0000-0000C41C0000}"/>
    <cellStyle name="Percentuale 8 3 4" xfId="3250" xr:uid="{00000000-0005-0000-0000-0000C51C0000}"/>
    <cellStyle name="Percentuale 8 4" xfId="1976" xr:uid="{00000000-0005-0000-0000-0000C61C0000}"/>
    <cellStyle name="Percentuale 8 4 2" xfId="1977" xr:uid="{00000000-0005-0000-0000-0000C71C0000}"/>
    <cellStyle name="Percentuale 8 4 2 2" xfId="3253" xr:uid="{00000000-0005-0000-0000-0000C81C0000}"/>
    <cellStyle name="Percentuale 8 4 3" xfId="3252" xr:uid="{00000000-0005-0000-0000-0000C91C0000}"/>
    <cellStyle name="Percentuale 8 5" xfId="1978" xr:uid="{00000000-0005-0000-0000-0000CA1C0000}"/>
    <cellStyle name="Percentuale 9" xfId="1979" xr:uid="{00000000-0005-0000-0000-0000CB1C0000}"/>
    <cellStyle name="Percentuale 9 2" xfId="1980" xr:uid="{00000000-0005-0000-0000-0000CC1C0000}"/>
    <cellStyle name="Percentuale 9 2 2" xfId="3254" xr:uid="{00000000-0005-0000-0000-0000CD1C0000}"/>
    <cellStyle name="Percentuale 9 3" xfId="1981" xr:uid="{00000000-0005-0000-0000-0000CE1C0000}"/>
    <cellStyle name="Percentuale 9 3 2" xfId="1982" xr:uid="{00000000-0005-0000-0000-0000CF1C0000}"/>
    <cellStyle name="Percentuale 9 3 3" xfId="1983" xr:uid="{00000000-0005-0000-0000-0000D01C0000}"/>
    <cellStyle name="Percentuale 9 3 3 2" xfId="3256" xr:uid="{00000000-0005-0000-0000-0000D11C0000}"/>
    <cellStyle name="Percentuale 9 3 4" xfId="3255" xr:uid="{00000000-0005-0000-0000-0000D21C0000}"/>
    <cellStyle name="Percentuale 9 4" xfId="1984" xr:uid="{00000000-0005-0000-0000-0000D31C0000}"/>
    <cellStyle name="Percentuale 9 4 2" xfId="1985" xr:uid="{00000000-0005-0000-0000-0000D41C0000}"/>
    <cellStyle name="Percentuale 9 4 2 2" xfId="3258" xr:uid="{00000000-0005-0000-0000-0000D51C0000}"/>
    <cellStyle name="Percentuale 9 4 3" xfId="3257" xr:uid="{00000000-0005-0000-0000-0000D61C0000}"/>
    <cellStyle name="Percentuale 9 5" xfId="1986" xr:uid="{00000000-0005-0000-0000-0000D71C0000}"/>
    <cellStyle name="Procent 10" xfId="4001" xr:uid="{00000000-0005-0000-0000-0000D81C0000}"/>
    <cellStyle name="Procent 10 2" xfId="4002" xr:uid="{00000000-0005-0000-0000-0000D91C0000}"/>
    <cellStyle name="Procent 10 2 2" xfId="4626" xr:uid="{00000000-0005-0000-0000-0000DA1C0000}"/>
    <cellStyle name="Procent 10 2 2 2" xfId="7794" xr:uid="{00000000-0005-0000-0000-0000DB1C0000}"/>
    <cellStyle name="Procent 10 2 2 2 2" xfId="10462" xr:uid="{FABD477B-4A5F-489D-8166-195F0E358518}"/>
    <cellStyle name="Procent 10 2 2 2 2 2" xfId="15852" xr:uid="{DF398794-48C7-4950-A8B1-8BE39E533D5C}"/>
    <cellStyle name="Procent 10 2 2 2 3" xfId="13099" xr:uid="{7C88FA2E-93BC-4461-A2EE-80CC5FE41EAD}"/>
    <cellStyle name="Procent 10 2 2 3" xfId="9131" xr:uid="{8D132DBA-3BE3-4787-9CD0-F214EDE84536}"/>
    <cellStyle name="Procent 10 2 2 3 2" xfId="14490" xr:uid="{810973F3-E8B6-4566-8586-3E712DE1EFB9}"/>
    <cellStyle name="Procent 10 2 2 4" xfId="11768" xr:uid="{B72ACE47-B56D-48EB-B2A1-D065A7ACD08E}"/>
    <cellStyle name="Procent 10 2 3" xfId="7170" xr:uid="{00000000-0005-0000-0000-0000DC1C0000}"/>
    <cellStyle name="Procent 10 2 3 2" xfId="9838" xr:uid="{536BD590-942A-49B7-A232-90E0BAAE655D}"/>
    <cellStyle name="Procent 10 2 3 2 2" xfId="15228" xr:uid="{B8C44984-AF24-446D-B9C1-0176AE94FDEB}"/>
    <cellStyle name="Procent 10 2 3 3" xfId="12475" xr:uid="{38C97C1B-E510-452D-B6DC-CC4C0B359109}"/>
    <cellStyle name="Procent 10 2 4" xfId="8507" xr:uid="{544BA57D-CD70-4C67-B770-1BA1F13FD84F}"/>
    <cellStyle name="Procent 10 2 4 2" xfId="13866" xr:uid="{F717568F-A1C7-4025-89D4-09E632EB9183}"/>
    <cellStyle name="Procent 10 2 5" xfId="11144" xr:uid="{ED7C8699-AA6A-485B-8D2F-1BB3792DAAA7}"/>
    <cellStyle name="Procent 10 3" xfId="4003" xr:uid="{00000000-0005-0000-0000-0000DD1C0000}"/>
    <cellStyle name="Procent 10 3 2" xfId="4627" xr:uid="{00000000-0005-0000-0000-0000DE1C0000}"/>
    <cellStyle name="Procent 10 3 2 2" xfId="7795" xr:uid="{00000000-0005-0000-0000-0000DF1C0000}"/>
    <cellStyle name="Procent 10 3 2 2 2" xfId="10463" xr:uid="{2C1BBCB3-B59F-4AFD-9716-E15153123EF5}"/>
    <cellStyle name="Procent 10 3 2 2 2 2" xfId="15853" xr:uid="{653DD1A8-697B-4AE0-B83B-70811AEE2DAF}"/>
    <cellStyle name="Procent 10 3 2 2 3" xfId="13100" xr:uid="{570FAB8B-89A9-4E30-B05F-8FF203E9D2DD}"/>
    <cellStyle name="Procent 10 3 2 3" xfId="9132" xr:uid="{46E3B48A-A44B-4AA2-953E-270CBF21B9E8}"/>
    <cellStyle name="Procent 10 3 2 3 2" xfId="14491" xr:uid="{661CB0F3-B438-4880-9B75-2EB790D7BECB}"/>
    <cellStyle name="Procent 10 3 2 4" xfId="11769" xr:uid="{6DA619D3-92B6-4B5A-8F85-F8C501277BE9}"/>
    <cellStyle name="Procent 10 3 3" xfId="7171" xr:uid="{00000000-0005-0000-0000-0000E01C0000}"/>
    <cellStyle name="Procent 10 3 3 2" xfId="9839" xr:uid="{F8BB7CD2-DE6E-458B-8A36-786571C73324}"/>
    <cellStyle name="Procent 10 3 3 2 2" xfId="15229" xr:uid="{5AAD525D-DA79-460A-AFE3-724F3BD33FFC}"/>
    <cellStyle name="Procent 10 3 3 3" xfId="12476" xr:uid="{F2ECFAB1-F2DE-433F-B1FC-76AC51B871C6}"/>
    <cellStyle name="Procent 10 3 4" xfId="8508" xr:uid="{F0770C1D-13E4-448A-A635-EB178DAF531D}"/>
    <cellStyle name="Procent 10 3 4 2" xfId="13867" xr:uid="{967643D3-EFB5-4002-85DA-4A8D1DB01698}"/>
    <cellStyle name="Procent 10 3 5" xfId="11145" xr:uid="{B9A385EA-DA72-4ED6-B12A-0A0ABC9BE49E}"/>
    <cellStyle name="Procent 10 4" xfId="4004" xr:uid="{00000000-0005-0000-0000-0000E11C0000}"/>
    <cellStyle name="Procent 10 4 2" xfId="4628" xr:uid="{00000000-0005-0000-0000-0000E21C0000}"/>
    <cellStyle name="Procent 10 4 2 2" xfId="7796" xr:uid="{00000000-0005-0000-0000-0000E31C0000}"/>
    <cellStyle name="Procent 10 4 2 2 2" xfId="10464" xr:uid="{A61C7DB3-426F-4FE9-9981-DBDE4C0AF8AB}"/>
    <cellStyle name="Procent 10 4 2 2 2 2" xfId="15854" xr:uid="{AE91D605-A13F-47B4-9144-CD419E915994}"/>
    <cellStyle name="Procent 10 4 2 2 3" xfId="13101" xr:uid="{09443FD8-8C47-43F9-8E38-BC78502FDF5A}"/>
    <cellStyle name="Procent 10 4 2 3" xfId="9133" xr:uid="{5AA15EE6-AF92-4C70-AE4C-686310C34ABC}"/>
    <cellStyle name="Procent 10 4 2 3 2" xfId="14492" xr:uid="{C6FA3961-1C19-45AA-9157-68AC9E2B1AAF}"/>
    <cellStyle name="Procent 10 4 2 4" xfId="11770" xr:uid="{708F5147-CC85-4F2F-B456-CA63CE7DB3D2}"/>
    <cellStyle name="Procent 10 4 3" xfId="7172" xr:uid="{00000000-0005-0000-0000-0000E41C0000}"/>
    <cellStyle name="Procent 10 4 3 2" xfId="9840" xr:uid="{504858BF-AD06-412A-B914-DD905CDDC062}"/>
    <cellStyle name="Procent 10 4 3 2 2" xfId="15230" xr:uid="{56779023-EB79-47CE-9A83-355BE1321C85}"/>
    <cellStyle name="Procent 10 4 3 3" xfId="12477" xr:uid="{16B4A470-8E78-4197-B9D8-D9A2848C6633}"/>
    <cellStyle name="Procent 10 4 4" xfId="8509" xr:uid="{66442924-F7A7-47BC-B433-473F75E436AB}"/>
    <cellStyle name="Procent 10 4 4 2" xfId="13868" xr:uid="{BF89DF0E-4B3F-454B-A842-82E732B6F128}"/>
    <cellStyle name="Procent 10 4 5" xfId="11146" xr:uid="{C19F4C77-9F39-496A-92C9-6DBD403F88EC}"/>
    <cellStyle name="Procent 10 5" xfId="4625" xr:uid="{00000000-0005-0000-0000-0000E51C0000}"/>
    <cellStyle name="Procent 10 5 2" xfId="7793" xr:uid="{00000000-0005-0000-0000-0000E61C0000}"/>
    <cellStyle name="Procent 10 5 2 2" xfId="10461" xr:uid="{73765C26-F895-41FC-AD21-3E3E0D8734EC}"/>
    <cellStyle name="Procent 10 5 2 2 2" xfId="15851" xr:uid="{E9D90C7C-33CF-4414-8446-ECDAA0756C74}"/>
    <cellStyle name="Procent 10 5 2 3" xfId="13098" xr:uid="{AFDF3C74-2085-45D3-A0B5-07FDA27E9A20}"/>
    <cellStyle name="Procent 10 5 3" xfId="9130" xr:uid="{491069FF-F992-4CD6-B5C1-91765EF16BC7}"/>
    <cellStyle name="Procent 10 5 3 2" xfId="14489" xr:uid="{052B9E11-50F3-447F-9B4C-98E94031BA58}"/>
    <cellStyle name="Procent 10 5 4" xfId="11767" xr:uid="{75C43B74-B56F-466C-B17C-E1AD2CAD5D90}"/>
    <cellStyle name="Procent 10 6" xfId="7169" xr:uid="{00000000-0005-0000-0000-0000E71C0000}"/>
    <cellStyle name="Procent 10 6 2" xfId="9837" xr:uid="{E838D7AA-4FC6-4B8A-87F2-29689FC2FD5E}"/>
    <cellStyle name="Procent 10 6 2 2" xfId="15227" xr:uid="{85DEEDDC-1894-47FF-AD11-E97066E0772C}"/>
    <cellStyle name="Procent 10 6 3" xfId="12474" xr:uid="{2BDAB387-777A-447C-ACD2-5F5A5F860E51}"/>
    <cellStyle name="Procent 10 7" xfId="8506" xr:uid="{983A1F4B-29DB-4546-B9C8-311891051C86}"/>
    <cellStyle name="Procent 10 7 2" xfId="13865" xr:uid="{B7910E15-6999-4A77-ADB9-C9AA83C8DC68}"/>
    <cellStyle name="Procent 10 8" xfId="11143" xr:uid="{7C9C2B0C-C2A4-41F5-8C9E-D2A1702E92BC}"/>
    <cellStyle name="Procent 11" xfId="4005" xr:uid="{00000000-0005-0000-0000-0000E81C0000}"/>
    <cellStyle name="Procent 11 2" xfId="4629" xr:uid="{00000000-0005-0000-0000-0000E91C0000}"/>
    <cellStyle name="Procent 11 2 2" xfId="7797" xr:uid="{00000000-0005-0000-0000-0000EA1C0000}"/>
    <cellStyle name="Procent 11 2 2 2" xfId="10465" xr:uid="{92E9D5FB-FE71-4B76-A73F-285A34D46D81}"/>
    <cellStyle name="Procent 11 2 2 2 2" xfId="15855" xr:uid="{4BC0DCBA-BF95-4966-A4D7-823A6D1A2FA1}"/>
    <cellStyle name="Procent 11 2 2 3" xfId="13102" xr:uid="{6367A386-712D-4199-9C35-CE3AC77BE7E6}"/>
    <cellStyle name="Procent 11 2 3" xfId="9134" xr:uid="{31B23154-870F-4456-A249-4E4B107979B5}"/>
    <cellStyle name="Procent 11 2 3 2" xfId="14493" xr:uid="{BB78B54A-4B43-439D-B294-6B6BF2E246BA}"/>
    <cellStyle name="Procent 11 2 4" xfId="11771" xr:uid="{13FDD9CB-0797-4162-B4F0-A70900ADF29C}"/>
    <cellStyle name="Procent 11 3" xfId="7173" xr:uid="{00000000-0005-0000-0000-0000EB1C0000}"/>
    <cellStyle name="Procent 11 3 2" xfId="9841" xr:uid="{587FA1DB-08C9-4A4D-899D-159C090064CA}"/>
    <cellStyle name="Procent 11 3 2 2" xfId="15231" xr:uid="{E5C676FC-6418-4170-952A-81D8F05F7E2A}"/>
    <cellStyle name="Procent 11 3 3" xfId="12478" xr:uid="{E6A59B2B-A24B-4042-BF68-EB3AF4139017}"/>
    <cellStyle name="Procent 11 4" xfId="8510" xr:uid="{E57CA91E-F0FA-4306-BB25-A0E54E4C465A}"/>
    <cellStyle name="Procent 11 4 2" xfId="13869" xr:uid="{F51EE5D1-4D30-423C-88FC-B8D8DCB92D1E}"/>
    <cellStyle name="Procent 11 5" xfId="11147" xr:uid="{4CE106E7-F854-43E2-8F02-7DC02BE436BC}"/>
    <cellStyle name="Procent 12" xfId="3514" xr:uid="{00000000-0005-0000-0000-0000EC1C0000}"/>
    <cellStyle name="Procent 12 2" xfId="4155" xr:uid="{00000000-0005-0000-0000-0000ED1C0000}"/>
    <cellStyle name="Procent 12 2 2" xfId="7323" xr:uid="{00000000-0005-0000-0000-0000EE1C0000}"/>
    <cellStyle name="Procent 12 2 2 2" xfId="9991" xr:uid="{53FE67EC-5278-4AC2-AE95-FA239FE95985}"/>
    <cellStyle name="Procent 12 2 2 2 2" xfId="15381" xr:uid="{051009BF-14C2-4713-A55F-3D6FF315B87F}"/>
    <cellStyle name="Procent 12 2 2 3" xfId="12628" xr:uid="{2E39731E-5D7F-46E9-9493-A62A5AEE29A7}"/>
    <cellStyle name="Procent 12 2 3" xfId="8660" xr:uid="{66A9B2AC-DDB7-45C0-BBCE-0D6E6AFDAC9A}"/>
    <cellStyle name="Procent 12 2 3 2" xfId="14019" xr:uid="{54D42A21-2FCC-4770-8CF7-A792F758B608}"/>
    <cellStyle name="Procent 12 2 4" xfId="11297" xr:uid="{5A9A5E63-C8DB-4D93-9526-4FB6C977BE84}"/>
    <cellStyle name="Procent 12 3" xfId="6712" xr:uid="{00000000-0005-0000-0000-0000EF1C0000}"/>
    <cellStyle name="Procent 12 3 2" xfId="9380" xr:uid="{63235A38-A926-4DC2-A561-2D82363D5B1B}"/>
    <cellStyle name="Procent 12 3 2 2" xfId="14770" xr:uid="{9D39827C-C3B9-47EA-9764-69C296E9C403}"/>
    <cellStyle name="Procent 12 3 3" xfId="12017" xr:uid="{7EC84F93-BF3C-48FE-AEE8-CA36F20AD16E}"/>
    <cellStyle name="Procent 12 4" xfId="8044" xr:uid="{333C4E2B-F624-4B98-AE6C-41A10443D127}"/>
    <cellStyle name="Procent 12 4 2" xfId="13403" xr:uid="{36F9F0B2-792A-4C53-89FC-AD7CBC8D4C38}"/>
    <cellStyle name="Procent 12 5" xfId="10686" xr:uid="{8F94B26B-8C3E-4F13-951C-9DFFC748BE5D}"/>
    <cellStyle name="Procent 13" xfId="4730" xr:uid="{00000000-0005-0000-0000-0000F01C0000}"/>
    <cellStyle name="Procent 2" xfId="1987" xr:uid="{00000000-0005-0000-0000-0000F11C0000}"/>
    <cellStyle name="Procent 2 10" xfId="4006" xr:uid="{00000000-0005-0000-0000-0000F21C0000}"/>
    <cellStyle name="Procent 2 10 2" xfId="4007" xr:uid="{00000000-0005-0000-0000-0000F31C0000}"/>
    <cellStyle name="Procent 2 10 2 2" xfId="4631" xr:uid="{00000000-0005-0000-0000-0000F41C0000}"/>
    <cellStyle name="Procent 2 10 2 2 2" xfId="7799" xr:uid="{00000000-0005-0000-0000-0000F51C0000}"/>
    <cellStyle name="Procent 2 10 2 2 2 2" xfId="10467" xr:uid="{CD14CAF7-9A83-4337-808B-C3518A604154}"/>
    <cellStyle name="Procent 2 10 2 2 2 2 2" xfId="15857" xr:uid="{117F88B7-7DDE-4B4B-AD85-9EC4A54759DB}"/>
    <cellStyle name="Procent 2 10 2 2 2 3" xfId="13104" xr:uid="{33E46CB2-F171-4C62-8C01-F60FB9251482}"/>
    <cellStyle name="Procent 2 10 2 2 3" xfId="9136" xr:uid="{C57D8DB3-DC07-43A3-9A73-87ADF2BF4BD9}"/>
    <cellStyle name="Procent 2 10 2 2 3 2" xfId="14495" xr:uid="{2A99E9C3-0D2D-4BBF-9A07-9E654CB4C644}"/>
    <cellStyle name="Procent 2 10 2 2 4" xfId="11773" xr:uid="{9EE5F1D8-D510-4BC8-A514-8E89458D42CE}"/>
    <cellStyle name="Procent 2 10 2 3" xfId="7175" xr:uid="{00000000-0005-0000-0000-0000F61C0000}"/>
    <cellStyle name="Procent 2 10 2 3 2" xfId="9843" xr:uid="{821287CE-612F-4A08-BC75-3233BBD3E7FB}"/>
    <cellStyle name="Procent 2 10 2 3 2 2" xfId="15233" xr:uid="{79BFE2D8-C888-4B56-B599-E01EA773F86C}"/>
    <cellStyle name="Procent 2 10 2 3 3" xfId="12480" xr:uid="{9DBB7742-1C91-4096-A825-45AA20F888DF}"/>
    <cellStyle name="Procent 2 10 2 4" xfId="8512" xr:uid="{1C0543D5-5145-4823-99C2-C925509FC38F}"/>
    <cellStyle name="Procent 2 10 2 4 2" xfId="13871" xr:uid="{E5FDB020-0FAA-4D83-A573-D815B8A4B69B}"/>
    <cellStyle name="Procent 2 10 2 5" xfId="11149" xr:uid="{ADFC5C6A-2084-48F6-8F85-3FB6E16650D8}"/>
    <cellStyle name="Procent 2 10 3" xfId="4630" xr:uid="{00000000-0005-0000-0000-0000F71C0000}"/>
    <cellStyle name="Procent 2 10 3 2" xfId="7798" xr:uid="{00000000-0005-0000-0000-0000F81C0000}"/>
    <cellStyle name="Procent 2 10 3 2 2" xfId="10466" xr:uid="{3FD1480B-1604-4480-99D6-A491AAA1AE71}"/>
    <cellStyle name="Procent 2 10 3 2 2 2" xfId="15856" xr:uid="{878672BC-2EBE-424C-87C0-29F20F267C01}"/>
    <cellStyle name="Procent 2 10 3 2 3" xfId="13103" xr:uid="{D334297D-EB69-4F2E-AF71-E2BE089DFC07}"/>
    <cellStyle name="Procent 2 10 3 3" xfId="9135" xr:uid="{0F40A0F7-0183-4CCE-AF62-412FEEA4A657}"/>
    <cellStyle name="Procent 2 10 3 3 2" xfId="14494" xr:uid="{FE2940C7-39B4-41A0-8E0C-C3B198E982C0}"/>
    <cellStyle name="Procent 2 10 3 4" xfId="11772" xr:uid="{3F3AC9CF-2138-4320-B727-47DAED64E51E}"/>
    <cellStyle name="Procent 2 10 4" xfId="7174" xr:uid="{00000000-0005-0000-0000-0000F91C0000}"/>
    <cellStyle name="Procent 2 10 4 2" xfId="9842" xr:uid="{348AD40C-3A4D-4BBC-B758-AE83336166D7}"/>
    <cellStyle name="Procent 2 10 4 2 2" xfId="15232" xr:uid="{D97D9972-9EE2-450E-9923-A7FD5E6226FD}"/>
    <cellStyle name="Procent 2 10 4 3" xfId="12479" xr:uid="{8BA1D2A8-5C81-4D18-AD57-B2B770C58934}"/>
    <cellStyle name="Procent 2 10 5" xfId="8511" xr:uid="{19D39248-B69A-41F7-94D7-6EB9C880FE69}"/>
    <cellStyle name="Procent 2 10 5 2" xfId="13870" xr:uid="{715C4410-1BA1-4FF1-B59F-3A8349FB5AC5}"/>
    <cellStyle name="Procent 2 10 6" xfId="11148" xr:uid="{2A40CB2F-336B-4BAF-8C56-C6E6E06C478B}"/>
    <cellStyle name="Procent 2 11" xfId="4008" xr:uid="{00000000-0005-0000-0000-0000FA1C0000}"/>
    <cellStyle name="Procent 2 11 2" xfId="4632" xr:uid="{00000000-0005-0000-0000-0000FB1C0000}"/>
    <cellStyle name="Procent 2 11 2 2" xfId="7800" xr:uid="{00000000-0005-0000-0000-0000FC1C0000}"/>
    <cellStyle name="Procent 2 11 2 2 2" xfId="10468" xr:uid="{C54C3113-300A-4785-9232-2DEF76755103}"/>
    <cellStyle name="Procent 2 11 2 2 2 2" xfId="15858" xr:uid="{6996CBF2-4821-4348-84D2-93707D8746CA}"/>
    <cellStyle name="Procent 2 11 2 2 3" xfId="13105" xr:uid="{E6077916-82B1-48F4-95B1-87C5DAC78706}"/>
    <cellStyle name="Procent 2 11 2 3" xfId="9137" xr:uid="{27460B90-45BF-44DA-BC62-764686399822}"/>
    <cellStyle name="Procent 2 11 2 3 2" xfId="14496" xr:uid="{508F1750-EC9A-4FBC-A90E-69B3AA9EA052}"/>
    <cellStyle name="Procent 2 11 2 4" xfId="11774" xr:uid="{2631D06F-F824-4577-98C1-D3FF00A94067}"/>
    <cellStyle name="Procent 2 11 3" xfId="7176" xr:uid="{00000000-0005-0000-0000-0000FD1C0000}"/>
    <cellStyle name="Procent 2 11 3 2" xfId="9844" xr:uid="{60041C7D-7D28-4E96-A916-C68769F924A5}"/>
    <cellStyle name="Procent 2 11 3 2 2" xfId="15234" xr:uid="{A7E21206-CFE0-4C77-9A52-B732257D495D}"/>
    <cellStyle name="Procent 2 11 3 3" xfId="12481" xr:uid="{B204F1B2-9A41-496A-8A40-3CA8266B9DDF}"/>
    <cellStyle name="Procent 2 11 4" xfId="8513" xr:uid="{3835859C-0D86-4781-B7D4-558F5740CF68}"/>
    <cellStyle name="Procent 2 11 4 2" xfId="13872" xr:uid="{16670EC3-534A-4DA2-8649-6C1B7638A090}"/>
    <cellStyle name="Procent 2 11 5" xfId="11150" xr:uid="{E5AF1E38-F7E7-4AFE-B13E-58F962BA8CF1}"/>
    <cellStyle name="Procent 2 12" xfId="4009" xr:uid="{00000000-0005-0000-0000-0000FE1C0000}"/>
    <cellStyle name="Procent 2 12 2" xfId="4633" xr:uid="{00000000-0005-0000-0000-0000FF1C0000}"/>
    <cellStyle name="Procent 2 12 2 2" xfId="7801" xr:uid="{00000000-0005-0000-0000-0000001D0000}"/>
    <cellStyle name="Procent 2 12 2 2 2" xfId="10469" xr:uid="{E3094A7E-7F86-4666-B7AA-50D1BEAA0B74}"/>
    <cellStyle name="Procent 2 12 2 2 2 2" xfId="15859" xr:uid="{29C5ACEF-B99B-4AF4-A4B3-B97DFD93F5B8}"/>
    <cellStyle name="Procent 2 12 2 2 3" xfId="13106" xr:uid="{9DAAE710-2E1C-4330-A69E-E19FBE105BFA}"/>
    <cellStyle name="Procent 2 12 2 3" xfId="9138" xr:uid="{EF7C17D7-B79B-43F7-A060-D8F2D33C8122}"/>
    <cellStyle name="Procent 2 12 2 3 2" xfId="14497" xr:uid="{E55C37D4-A28C-418D-8868-0B097C3BE143}"/>
    <cellStyle name="Procent 2 12 2 4" xfId="11775" xr:uid="{EB055628-A748-40BA-9B9E-E328CA8A88C7}"/>
    <cellStyle name="Procent 2 12 3" xfId="7177" xr:uid="{00000000-0005-0000-0000-0000011D0000}"/>
    <cellStyle name="Procent 2 12 3 2" xfId="9845" xr:uid="{34469DAF-89ED-4485-82D9-707EF425F107}"/>
    <cellStyle name="Procent 2 12 3 2 2" xfId="15235" xr:uid="{DA9A26EB-2497-4443-BBFD-6B29CC85E37D}"/>
    <cellStyle name="Procent 2 12 3 3" xfId="12482" xr:uid="{32E1F88E-7D91-4484-8A00-B717871CD0A6}"/>
    <cellStyle name="Procent 2 12 4" xfId="8514" xr:uid="{8944A469-8289-4B6B-8825-752723F089EB}"/>
    <cellStyle name="Procent 2 12 4 2" xfId="13873" xr:uid="{BEE7622C-5DBA-4434-8681-0DB62EBEBA3D}"/>
    <cellStyle name="Procent 2 12 5" xfId="11151" xr:uid="{40D1E489-F094-4A96-8044-A9485D17311F}"/>
    <cellStyle name="Procent 2 13" xfId="4010" xr:uid="{00000000-0005-0000-0000-0000021D0000}"/>
    <cellStyle name="Procent 2 13 2" xfId="4634" xr:uid="{00000000-0005-0000-0000-0000031D0000}"/>
    <cellStyle name="Procent 2 13 2 2" xfId="7802" xr:uid="{00000000-0005-0000-0000-0000041D0000}"/>
    <cellStyle name="Procent 2 13 2 2 2" xfId="10470" xr:uid="{D845B649-5256-4596-AFE4-BB5105C8DFBA}"/>
    <cellStyle name="Procent 2 13 2 2 2 2" xfId="15860" xr:uid="{3CF7D88F-080E-4B02-BFEE-14E38632D12A}"/>
    <cellStyle name="Procent 2 13 2 2 3" xfId="13107" xr:uid="{F25CAC41-4A4E-4BBE-B96E-1E53B15004AF}"/>
    <cellStyle name="Procent 2 13 2 3" xfId="9139" xr:uid="{F280EF30-F0C2-456D-AF98-76720854EE5B}"/>
    <cellStyle name="Procent 2 13 2 3 2" xfId="14498" xr:uid="{00AC9115-B323-4268-A2BD-1F4D515628E6}"/>
    <cellStyle name="Procent 2 13 2 4" xfId="11776" xr:uid="{F91E1691-2631-4E7B-9AC5-CA7AE965D82F}"/>
    <cellStyle name="Procent 2 13 3" xfId="7178" xr:uid="{00000000-0005-0000-0000-0000051D0000}"/>
    <cellStyle name="Procent 2 13 3 2" xfId="9846" xr:uid="{EED085F8-8E01-4832-8611-0F5B5870A7B7}"/>
    <cellStyle name="Procent 2 13 3 2 2" xfId="15236" xr:uid="{C32579C4-E4BC-4B44-95AF-E329BA65FEAF}"/>
    <cellStyle name="Procent 2 13 3 3" xfId="12483" xr:uid="{B43E0197-65A0-4820-ADC3-A36F2B528B17}"/>
    <cellStyle name="Procent 2 13 4" xfId="8515" xr:uid="{C2E6244D-0CE4-4E87-AF57-AE8AC2611077}"/>
    <cellStyle name="Procent 2 13 4 2" xfId="13874" xr:uid="{804BC0EF-8098-44B5-8BD4-28309EFE59E6}"/>
    <cellStyle name="Procent 2 13 5" xfId="11152" xr:uid="{9B84276C-A9C0-4F01-8107-A1E74103AB20}"/>
    <cellStyle name="Procent 2 14" xfId="3511" xr:uid="{00000000-0005-0000-0000-0000061D0000}"/>
    <cellStyle name="Procent 2 14 2" xfId="4152" xr:uid="{00000000-0005-0000-0000-0000071D0000}"/>
    <cellStyle name="Procent 2 14 2 2" xfId="7320" xr:uid="{00000000-0005-0000-0000-0000081D0000}"/>
    <cellStyle name="Procent 2 14 2 2 2" xfId="9988" xr:uid="{4BDA2B70-92B6-47F3-BC32-0E0462CB53C5}"/>
    <cellStyle name="Procent 2 14 2 2 2 2" xfId="15378" xr:uid="{CA2BC705-A45A-4A31-B707-9441073F05CF}"/>
    <cellStyle name="Procent 2 14 2 2 3" xfId="12625" xr:uid="{EBBD923C-6D36-4069-8854-656C52B297C2}"/>
    <cellStyle name="Procent 2 14 2 3" xfId="8657" xr:uid="{027AA3CE-FB61-4636-8CAE-3C8F4C25EB5C}"/>
    <cellStyle name="Procent 2 14 2 3 2" xfId="14016" xr:uid="{7262CEC1-C15A-45EE-A7A5-631796D75ED2}"/>
    <cellStyle name="Procent 2 14 2 4" xfId="11294" xr:uid="{30D7120B-F844-4466-BE47-34AF857C83E4}"/>
    <cellStyle name="Procent 2 14 3" xfId="6709" xr:uid="{00000000-0005-0000-0000-0000091D0000}"/>
    <cellStyle name="Procent 2 14 3 2" xfId="9377" xr:uid="{0E2F4CD6-106F-4B6F-9EBF-55FDD5340356}"/>
    <cellStyle name="Procent 2 14 3 2 2" xfId="14767" xr:uid="{E40CD3C7-854A-46D4-860E-D70D08E8B052}"/>
    <cellStyle name="Procent 2 14 3 3" xfId="12014" xr:uid="{4B6ECCEE-AC4F-499C-AB97-3A123083049F}"/>
    <cellStyle name="Procent 2 14 4" xfId="8041" xr:uid="{A8B189EF-F51B-4B7B-AF6D-CDDC862A9867}"/>
    <cellStyle name="Procent 2 14 4 2" xfId="13400" xr:uid="{789DD3DE-2E46-4739-BE96-91D5C58461CF}"/>
    <cellStyle name="Procent 2 14 5" xfId="10683" xr:uid="{83E550B2-8463-40D6-88AC-5B6B29862AD2}"/>
    <cellStyle name="Procent 2 15" xfId="4109" xr:uid="{00000000-0005-0000-0000-00000A1D0000}"/>
    <cellStyle name="Procent 2 15 2" xfId="7277" xr:uid="{00000000-0005-0000-0000-00000B1D0000}"/>
    <cellStyle name="Procent 2 15 2 2" xfId="9945" xr:uid="{546AB36E-55AC-4E37-B16A-0C7233A39314}"/>
    <cellStyle name="Procent 2 15 2 2 2" xfId="15335" xr:uid="{974EBC03-18CF-4038-B750-5D5060618564}"/>
    <cellStyle name="Procent 2 15 2 3" xfId="12582" xr:uid="{E6A90C1D-6E64-43B6-97E4-A0C93EEE5C62}"/>
    <cellStyle name="Procent 2 15 3" xfId="8614" xr:uid="{02C96417-E269-4C52-B262-9E254465FDE3}"/>
    <cellStyle name="Procent 2 15 3 2" xfId="13973" xr:uid="{A87AFEE6-7F80-448F-908A-CD6F70475733}"/>
    <cellStyle name="Procent 2 15 4" xfId="11251" xr:uid="{8BC3B30C-C2B1-4365-AAB9-52AF7EB3EA09}"/>
    <cellStyle name="Procent 2 16" xfId="3452" xr:uid="{00000000-0005-0000-0000-00000C1D0000}"/>
    <cellStyle name="Procent 2 16 2" xfId="6666" xr:uid="{00000000-0005-0000-0000-00000D1D0000}"/>
    <cellStyle name="Procent 2 16 2 2" xfId="9334" xr:uid="{74DC2EB8-40AD-40BA-A443-EEA28BA6E390}"/>
    <cellStyle name="Procent 2 16 2 2 2" xfId="14724" xr:uid="{969556A3-DE35-4A62-BCAE-7AC6C0005BEB}"/>
    <cellStyle name="Procent 2 16 2 3" xfId="11971" xr:uid="{C97E8EA3-26D0-442A-968B-A3986A098B8A}"/>
    <cellStyle name="Procent 2 16 3" xfId="7997" xr:uid="{14C64BEF-AD8A-4D2F-B93C-FEE7BE6734BB}"/>
    <cellStyle name="Procent 2 16 3 2" xfId="13356" xr:uid="{4B1F4859-48D3-4F96-825B-D4C8CF89B525}"/>
    <cellStyle name="Procent 2 16 4" xfId="10640" xr:uid="{04278F41-7090-478D-BB7E-14A25AE09705}"/>
    <cellStyle name="Procent 2 2" xfId="3259" xr:uid="{00000000-0005-0000-0000-00000E1D0000}"/>
    <cellStyle name="Procent 2 2 2" xfId="3482" xr:uid="{00000000-0005-0000-0000-00000F1D0000}"/>
    <cellStyle name="Procent 2 2 2 2" xfId="4013" xr:uid="{00000000-0005-0000-0000-0000101D0000}"/>
    <cellStyle name="Procent 2 2 2 2 2" xfId="4637" xr:uid="{00000000-0005-0000-0000-0000111D0000}"/>
    <cellStyle name="Procent 2 2 2 2 2 2" xfId="7805" xr:uid="{00000000-0005-0000-0000-0000121D0000}"/>
    <cellStyle name="Procent 2 2 2 2 2 2 2" xfId="10473" xr:uid="{6F9A23CC-7A54-4F3E-BEB6-7C3CA1753A17}"/>
    <cellStyle name="Procent 2 2 2 2 2 2 2 2" xfId="15863" xr:uid="{7A5D6F94-7586-476B-99BB-FC7D3297A10D}"/>
    <cellStyle name="Procent 2 2 2 2 2 2 3" xfId="13110" xr:uid="{D07ECCBC-C196-4FB1-AC78-723E1542598C}"/>
    <cellStyle name="Procent 2 2 2 2 2 3" xfId="9142" xr:uid="{3937CC9C-68C0-4EAB-8E11-2E24A1A38148}"/>
    <cellStyle name="Procent 2 2 2 2 2 3 2" xfId="14501" xr:uid="{622716D1-D30A-49F7-95ED-7E70FDCCAB0F}"/>
    <cellStyle name="Procent 2 2 2 2 2 4" xfId="11779" xr:uid="{F8699DF8-8C4C-4C02-BCBF-03C87E95920A}"/>
    <cellStyle name="Procent 2 2 2 2 3" xfId="7181" xr:uid="{00000000-0005-0000-0000-0000131D0000}"/>
    <cellStyle name="Procent 2 2 2 2 3 2" xfId="9849" xr:uid="{BE1996C4-C189-4FB4-AB85-FF1F41B06497}"/>
    <cellStyle name="Procent 2 2 2 2 3 2 2" xfId="15239" xr:uid="{1B3FC129-C9CE-4E7F-8DB9-85BF1CE23620}"/>
    <cellStyle name="Procent 2 2 2 2 3 3" xfId="12486" xr:uid="{7527E73D-BBC8-4FF3-A653-61607B3D1277}"/>
    <cellStyle name="Procent 2 2 2 2 4" xfId="8518" xr:uid="{95A5F0A2-9F29-4852-B2F0-BBAB95135736}"/>
    <cellStyle name="Procent 2 2 2 2 4 2" xfId="13877" xr:uid="{01FA4320-ABC7-4601-A949-9206590F5542}"/>
    <cellStyle name="Procent 2 2 2 2 5" xfId="11155" xr:uid="{D03D47D8-82C1-4FB9-BC10-0A1D51B2DB1A}"/>
    <cellStyle name="Procent 2 2 2 3" xfId="4014" xr:uid="{00000000-0005-0000-0000-0000141D0000}"/>
    <cellStyle name="Procent 2 2 2 3 2" xfId="4638" xr:uid="{00000000-0005-0000-0000-0000151D0000}"/>
    <cellStyle name="Procent 2 2 2 3 2 2" xfId="7806" xr:uid="{00000000-0005-0000-0000-0000161D0000}"/>
    <cellStyle name="Procent 2 2 2 3 2 2 2" xfId="10474" xr:uid="{67B29DF3-4896-49ED-A3A7-633FDF7638B4}"/>
    <cellStyle name="Procent 2 2 2 3 2 2 2 2" xfId="15864" xr:uid="{D713FD59-E7B5-4E8F-AB55-3A06910CEF0C}"/>
    <cellStyle name="Procent 2 2 2 3 2 2 3" xfId="13111" xr:uid="{9B08898F-093F-48D4-B2A1-C47403A2FD7E}"/>
    <cellStyle name="Procent 2 2 2 3 2 3" xfId="9143" xr:uid="{AA5235EE-3E7D-407C-AF54-6B7E8CF99916}"/>
    <cellStyle name="Procent 2 2 2 3 2 3 2" xfId="14502" xr:uid="{BB24AC56-20DF-47B3-83A1-2D8A85043955}"/>
    <cellStyle name="Procent 2 2 2 3 2 4" xfId="11780" xr:uid="{A31788C6-4DF8-4BC0-A56F-72102E9929EC}"/>
    <cellStyle name="Procent 2 2 2 3 3" xfId="7182" xr:uid="{00000000-0005-0000-0000-0000171D0000}"/>
    <cellStyle name="Procent 2 2 2 3 3 2" xfId="9850" xr:uid="{85858154-C289-4CC7-B86B-F6DE72BADBC8}"/>
    <cellStyle name="Procent 2 2 2 3 3 2 2" xfId="15240" xr:uid="{91C146B4-E93A-47CC-9B24-C5C24602E4BB}"/>
    <cellStyle name="Procent 2 2 2 3 3 3" xfId="12487" xr:uid="{6C69D3C8-A3CB-41B9-A7D7-9F122FC6C584}"/>
    <cellStyle name="Procent 2 2 2 3 4" xfId="8519" xr:uid="{0A763277-BA43-4AFF-B418-2F45838EC734}"/>
    <cellStyle name="Procent 2 2 2 3 4 2" xfId="13878" xr:uid="{822E2CDA-C217-42E3-8C20-5EABD81903E9}"/>
    <cellStyle name="Procent 2 2 2 3 5" xfId="11156" xr:uid="{200093FB-B04C-428F-ADAB-696187630C22}"/>
    <cellStyle name="Procent 2 2 2 4" xfId="4015" xr:uid="{00000000-0005-0000-0000-0000181D0000}"/>
    <cellStyle name="Procent 2 2 2 4 2" xfId="4639" xr:uid="{00000000-0005-0000-0000-0000191D0000}"/>
    <cellStyle name="Procent 2 2 2 4 2 2" xfId="7807" xr:uid="{00000000-0005-0000-0000-00001A1D0000}"/>
    <cellStyle name="Procent 2 2 2 4 2 2 2" xfId="10475" xr:uid="{17AFFB55-9E92-4E1D-BC67-CD27FDA3A7E0}"/>
    <cellStyle name="Procent 2 2 2 4 2 2 2 2" xfId="15865" xr:uid="{46B63AF7-B280-402E-8F86-3BE3920D9EB1}"/>
    <cellStyle name="Procent 2 2 2 4 2 2 3" xfId="13112" xr:uid="{9C45FCDC-35AF-4595-ADB8-0B15BFC104F9}"/>
    <cellStyle name="Procent 2 2 2 4 2 3" xfId="9144" xr:uid="{EB3EC22B-FADF-4319-9024-FD8A6ECA0B99}"/>
    <cellStyle name="Procent 2 2 2 4 2 3 2" xfId="14503" xr:uid="{8716585E-7323-4EE9-A509-545DF8FD622F}"/>
    <cellStyle name="Procent 2 2 2 4 2 4" xfId="11781" xr:uid="{761242D0-4B81-411A-A651-988115F31D6E}"/>
    <cellStyle name="Procent 2 2 2 4 3" xfId="7183" xr:uid="{00000000-0005-0000-0000-00001B1D0000}"/>
    <cellStyle name="Procent 2 2 2 4 3 2" xfId="9851" xr:uid="{19845D3D-67A0-4548-ABCB-0808E8DDF889}"/>
    <cellStyle name="Procent 2 2 2 4 3 2 2" xfId="15241" xr:uid="{B5DDFF63-29DD-4E1D-8287-D3CC40FB39E1}"/>
    <cellStyle name="Procent 2 2 2 4 3 3" xfId="12488" xr:uid="{18CAEEB6-498A-4FD9-AD83-4BA60CA7DCA6}"/>
    <cellStyle name="Procent 2 2 2 4 4" xfId="8520" xr:uid="{068C362B-334D-41AC-B2DA-0E7C02944F00}"/>
    <cellStyle name="Procent 2 2 2 4 4 2" xfId="13879" xr:uid="{A6ADA845-22A9-4914-9123-279016B9562D}"/>
    <cellStyle name="Procent 2 2 2 4 5" xfId="11157" xr:uid="{39D79ED8-D279-4A07-B19B-4BF904377F2E}"/>
    <cellStyle name="Procent 2 2 2 5" xfId="4012" xr:uid="{00000000-0005-0000-0000-00001C1D0000}"/>
    <cellStyle name="Procent 2 2 2 5 2" xfId="4636" xr:uid="{00000000-0005-0000-0000-00001D1D0000}"/>
    <cellStyle name="Procent 2 2 2 5 2 2" xfId="7804" xr:uid="{00000000-0005-0000-0000-00001E1D0000}"/>
    <cellStyle name="Procent 2 2 2 5 2 2 2" xfId="10472" xr:uid="{7CD35A1D-2E0B-49A6-9E99-67A7CE8A8B78}"/>
    <cellStyle name="Procent 2 2 2 5 2 2 2 2" xfId="15862" xr:uid="{9049FB8E-196D-4B42-B8BB-C3D94D2AD986}"/>
    <cellStyle name="Procent 2 2 2 5 2 2 3" xfId="13109" xr:uid="{B1E02D21-A13D-49EC-8948-C1492D6B1E0D}"/>
    <cellStyle name="Procent 2 2 2 5 2 3" xfId="9141" xr:uid="{44072E16-12B0-42DB-83D3-7C6044289F94}"/>
    <cellStyle name="Procent 2 2 2 5 2 3 2" xfId="14500" xr:uid="{8E7EFF9B-63EF-485F-B776-02B91CA35B98}"/>
    <cellStyle name="Procent 2 2 2 5 2 4" xfId="11778" xr:uid="{345046F6-6119-47C1-A01E-DC265402EE0C}"/>
    <cellStyle name="Procent 2 2 2 5 3" xfId="7180" xr:uid="{00000000-0005-0000-0000-00001F1D0000}"/>
    <cellStyle name="Procent 2 2 2 5 3 2" xfId="9848" xr:uid="{B053288F-5F49-4FF7-92E7-1C3865DCDB60}"/>
    <cellStyle name="Procent 2 2 2 5 3 2 2" xfId="15238" xr:uid="{8766C658-91EE-444E-9634-FC399A05A4BC}"/>
    <cellStyle name="Procent 2 2 2 5 3 3" xfId="12485" xr:uid="{F06D70E3-2306-43D1-B884-B29D3D226950}"/>
    <cellStyle name="Procent 2 2 2 5 4" xfId="8517" xr:uid="{FF49CADC-17E6-4E65-8F08-0A396C46E535}"/>
    <cellStyle name="Procent 2 2 2 5 4 2" xfId="13876" xr:uid="{C17EC728-3C26-4C4B-8C46-195D9D75529E}"/>
    <cellStyle name="Procent 2 2 2 5 5" xfId="11154" xr:uid="{703B5EA6-A5F1-4BE9-95F8-9A5995EB9CFF}"/>
    <cellStyle name="Procent 2 2 2 6" xfId="4133" xr:uid="{00000000-0005-0000-0000-0000201D0000}"/>
    <cellStyle name="Procent 2 2 2 6 2" xfId="7301" xr:uid="{00000000-0005-0000-0000-0000211D0000}"/>
    <cellStyle name="Procent 2 2 2 6 2 2" xfId="9969" xr:uid="{84857762-8BC9-4655-B440-9A5433C41720}"/>
    <cellStyle name="Procent 2 2 2 6 2 2 2" xfId="15359" xr:uid="{DE6C6406-5203-4CF8-92EB-7BD4DBB8468E}"/>
    <cellStyle name="Procent 2 2 2 6 2 3" xfId="12606" xr:uid="{CA032A0F-11BC-40D8-B720-6C3DC7580D84}"/>
    <cellStyle name="Procent 2 2 2 6 3" xfId="8638" xr:uid="{6F51EAFF-4535-4662-9C0E-F7190B24980E}"/>
    <cellStyle name="Procent 2 2 2 6 3 2" xfId="13997" xr:uid="{E7188800-047F-45C9-A84D-860A2D13C2ED}"/>
    <cellStyle name="Procent 2 2 2 6 4" xfId="11275" xr:uid="{C470F64D-3EA9-4F70-B1B7-8FAAA85C0A68}"/>
    <cellStyle name="Procent 2 2 2 7" xfId="6690" xr:uid="{00000000-0005-0000-0000-0000221D0000}"/>
    <cellStyle name="Procent 2 2 2 7 2" xfId="9358" xr:uid="{0FF0F050-7B43-49CC-AF75-BA8F5E47FFEC}"/>
    <cellStyle name="Procent 2 2 2 7 2 2" xfId="14748" xr:uid="{E039387B-82A0-4747-A402-0AA78852B20F}"/>
    <cellStyle name="Procent 2 2 2 7 3" xfId="11995" xr:uid="{CB170168-FCD3-457F-9790-BD568E8EDA56}"/>
    <cellStyle name="Procent 2 2 2 8" xfId="8022" xr:uid="{AA471E89-FC2D-481D-B83E-E662D4987A5C}"/>
    <cellStyle name="Procent 2 2 2 8 2" xfId="13381" xr:uid="{50673008-CE53-4B87-BC22-10FDF4418520}"/>
    <cellStyle name="Procent 2 2 2 9" xfId="10664" xr:uid="{8D5998CF-8464-4B1C-873B-2EF9F97F14B6}"/>
    <cellStyle name="Procent 2 2 3" xfId="3498" xr:uid="{00000000-0005-0000-0000-0000231D0000}"/>
    <cellStyle name="Procent 2 2 3 2" xfId="4016" xr:uid="{00000000-0005-0000-0000-0000241D0000}"/>
    <cellStyle name="Procent 2 2 3 2 2" xfId="4640" xr:uid="{00000000-0005-0000-0000-0000251D0000}"/>
    <cellStyle name="Procent 2 2 3 2 2 2" xfId="7808" xr:uid="{00000000-0005-0000-0000-0000261D0000}"/>
    <cellStyle name="Procent 2 2 3 2 2 2 2" xfId="10476" xr:uid="{31D94F9F-678A-4139-8206-556F10E2334F}"/>
    <cellStyle name="Procent 2 2 3 2 2 2 2 2" xfId="15866" xr:uid="{24FD0112-A7CC-473D-8D01-C128DEB8C223}"/>
    <cellStyle name="Procent 2 2 3 2 2 2 3" xfId="13113" xr:uid="{30FCC770-9391-4574-8CCE-D9D7EC5032F2}"/>
    <cellStyle name="Procent 2 2 3 2 2 3" xfId="9145" xr:uid="{CD8286B6-C2D2-48AD-B8A7-66EEF304444E}"/>
    <cellStyle name="Procent 2 2 3 2 2 3 2" xfId="14504" xr:uid="{01AD67FE-E041-44C2-A0D8-A447B1E806DE}"/>
    <cellStyle name="Procent 2 2 3 2 2 4" xfId="11782" xr:uid="{F5D98267-D7FE-490C-A8E5-3D50A26040D0}"/>
    <cellStyle name="Procent 2 2 3 2 3" xfId="7184" xr:uid="{00000000-0005-0000-0000-0000271D0000}"/>
    <cellStyle name="Procent 2 2 3 2 3 2" xfId="9852" xr:uid="{26DAFA86-D0AA-4CF0-8D91-56C51FE803CF}"/>
    <cellStyle name="Procent 2 2 3 2 3 2 2" xfId="15242" xr:uid="{D1234476-A390-4CDC-84A1-C59F4E0FE810}"/>
    <cellStyle name="Procent 2 2 3 2 3 3" xfId="12489" xr:uid="{F6F878C2-E768-4090-B770-B46ABCF1994A}"/>
    <cellStyle name="Procent 2 2 3 2 4" xfId="8521" xr:uid="{A6F88F73-EB2C-4325-B100-ADC24D48B0C8}"/>
    <cellStyle name="Procent 2 2 3 2 4 2" xfId="13880" xr:uid="{11157D87-D942-4CE0-966B-614E4D1B67C8}"/>
    <cellStyle name="Procent 2 2 3 2 5" xfId="11158" xr:uid="{B011AFD6-2575-4DF2-B7EA-FCC0E50A88BF}"/>
    <cellStyle name="Procent 2 2 3 3" xfId="4149" xr:uid="{00000000-0005-0000-0000-0000281D0000}"/>
    <cellStyle name="Procent 2 2 3 3 2" xfId="7317" xr:uid="{00000000-0005-0000-0000-0000291D0000}"/>
    <cellStyle name="Procent 2 2 3 3 2 2" xfId="9985" xr:uid="{72FA726A-9FF3-447B-8316-493E11C937B0}"/>
    <cellStyle name="Procent 2 2 3 3 2 2 2" xfId="15375" xr:uid="{DF160BB8-4FBF-40B4-8F8D-DC5AEF8EAC3E}"/>
    <cellStyle name="Procent 2 2 3 3 2 3" xfId="12622" xr:uid="{118FE510-01B5-48C3-9027-C440A13C963A}"/>
    <cellStyle name="Procent 2 2 3 3 3" xfId="8654" xr:uid="{C1BCFDCD-4995-44CE-9D9E-662AF4D6ACC3}"/>
    <cellStyle name="Procent 2 2 3 3 3 2" xfId="14013" xr:uid="{07DB4854-3062-45F7-AEE6-268353643CED}"/>
    <cellStyle name="Procent 2 2 3 3 4" xfId="11291" xr:uid="{FEBA7806-FDE8-4EF5-8AA0-90F2976CD657}"/>
    <cellStyle name="Procent 2 2 3 4" xfId="6706" xr:uid="{00000000-0005-0000-0000-00002A1D0000}"/>
    <cellStyle name="Procent 2 2 3 4 2" xfId="9374" xr:uid="{52EBC4BC-E709-4795-97FE-CB42591FE7A1}"/>
    <cellStyle name="Procent 2 2 3 4 2 2" xfId="14764" xr:uid="{9B6E2967-601D-4B06-8E3B-FA33501B468B}"/>
    <cellStyle name="Procent 2 2 3 4 3" xfId="12011" xr:uid="{C593158C-9BF2-401A-BA9B-B5F00B2B9492}"/>
    <cellStyle name="Procent 2 2 3 5" xfId="8038" xr:uid="{BBA90012-D710-483C-B1E3-9E40A5EF9FDC}"/>
    <cellStyle name="Procent 2 2 3 5 2" xfId="13397" xr:uid="{28B60810-6828-4E58-B805-46C99BA45F1F}"/>
    <cellStyle name="Procent 2 2 3 6" xfId="10680" xr:uid="{4978840C-D018-4078-B30F-A840F1B64654}"/>
    <cellStyle name="Procent 2 2 4" xfId="4017" xr:uid="{00000000-0005-0000-0000-00002B1D0000}"/>
    <cellStyle name="Procent 2 2 4 2" xfId="4641" xr:uid="{00000000-0005-0000-0000-00002C1D0000}"/>
    <cellStyle name="Procent 2 2 4 2 2" xfId="7809" xr:uid="{00000000-0005-0000-0000-00002D1D0000}"/>
    <cellStyle name="Procent 2 2 4 2 2 2" xfId="10477" xr:uid="{83A2B23E-7A87-435A-954F-88D5BB11677E}"/>
    <cellStyle name="Procent 2 2 4 2 2 2 2" xfId="15867" xr:uid="{A5AC2EF4-A02C-451F-A621-3217A30E6AF7}"/>
    <cellStyle name="Procent 2 2 4 2 2 3" xfId="13114" xr:uid="{431A1902-6010-464E-9B14-0C1F5B3BD0BC}"/>
    <cellStyle name="Procent 2 2 4 2 3" xfId="9146" xr:uid="{D10178A5-D2D3-4F1E-A0A6-748690AF420B}"/>
    <cellStyle name="Procent 2 2 4 2 3 2" xfId="14505" xr:uid="{3E32644D-A918-4536-9416-E2F748A099D7}"/>
    <cellStyle name="Procent 2 2 4 2 4" xfId="11783" xr:uid="{CBCA5564-BBD6-46AF-919E-E70C86DA14F4}"/>
    <cellStyle name="Procent 2 2 4 3" xfId="7185" xr:uid="{00000000-0005-0000-0000-00002E1D0000}"/>
    <cellStyle name="Procent 2 2 4 3 2" xfId="9853" xr:uid="{05D1F146-887D-443F-BE4A-E79EA6274BB1}"/>
    <cellStyle name="Procent 2 2 4 3 2 2" xfId="15243" xr:uid="{75505FC8-37B3-420F-A0AB-B75F765918C0}"/>
    <cellStyle name="Procent 2 2 4 3 3" xfId="12490" xr:uid="{35924B0C-BEBA-4AC0-9AEC-E3FE3A47926C}"/>
    <cellStyle name="Procent 2 2 4 4" xfId="8522" xr:uid="{CF365697-5ECE-4B99-916E-E858F8BC9251}"/>
    <cellStyle name="Procent 2 2 4 4 2" xfId="13881" xr:uid="{F5E36584-65B8-4F8E-9D23-64025FF68BBD}"/>
    <cellStyle name="Procent 2 2 4 5" xfId="11159" xr:uid="{0DF169AE-0AA4-4B22-9FEF-B773F720447C}"/>
    <cellStyle name="Procent 2 2 5" xfId="4018" xr:uid="{00000000-0005-0000-0000-00002F1D0000}"/>
    <cellStyle name="Procent 2 2 5 2" xfId="4642" xr:uid="{00000000-0005-0000-0000-0000301D0000}"/>
    <cellStyle name="Procent 2 2 5 2 2" xfId="7810" xr:uid="{00000000-0005-0000-0000-0000311D0000}"/>
    <cellStyle name="Procent 2 2 5 2 2 2" xfId="10478" xr:uid="{3DB61BB1-9F0C-4235-B925-49B4CF9597D0}"/>
    <cellStyle name="Procent 2 2 5 2 2 2 2" xfId="15868" xr:uid="{8B545682-21AC-462E-8D7E-E26C99839F95}"/>
    <cellStyle name="Procent 2 2 5 2 2 3" xfId="13115" xr:uid="{505CB582-E1DA-49E3-B9A8-C4A8136C64DC}"/>
    <cellStyle name="Procent 2 2 5 2 3" xfId="9147" xr:uid="{7C1B0FA1-950B-4B4F-A21E-368AD0DE4CD6}"/>
    <cellStyle name="Procent 2 2 5 2 3 2" xfId="14506" xr:uid="{5EC0932F-087A-46AE-BF6D-6BC3354C9225}"/>
    <cellStyle name="Procent 2 2 5 2 4" xfId="11784" xr:uid="{B8EC9958-35D2-4FC2-B0B9-2F2E0025B48D}"/>
    <cellStyle name="Procent 2 2 5 3" xfId="7186" xr:uid="{00000000-0005-0000-0000-0000321D0000}"/>
    <cellStyle name="Procent 2 2 5 3 2" xfId="9854" xr:uid="{2A996298-20E2-48CD-9C43-A956DC1AF14B}"/>
    <cellStyle name="Procent 2 2 5 3 2 2" xfId="15244" xr:uid="{FF0E6B52-088E-4331-93FA-ADA99903992D}"/>
    <cellStyle name="Procent 2 2 5 3 3" xfId="12491" xr:uid="{2040D993-0308-4B2A-B646-2B3D312F5845}"/>
    <cellStyle name="Procent 2 2 5 4" xfId="8523" xr:uid="{A0EAE319-EA9C-4E25-A268-595A215C0BF0}"/>
    <cellStyle name="Procent 2 2 5 4 2" xfId="13882" xr:uid="{4BF6C676-55CB-47AB-9D63-3C8B0E65B3EE}"/>
    <cellStyle name="Procent 2 2 5 5" xfId="11160" xr:uid="{F8E5822A-FE21-405A-B8E1-4899AE1E417C}"/>
    <cellStyle name="Procent 2 2 6" xfId="4019" xr:uid="{00000000-0005-0000-0000-0000331D0000}"/>
    <cellStyle name="Procent 2 2 6 2" xfId="4643" xr:uid="{00000000-0005-0000-0000-0000341D0000}"/>
    <cellStyle name="Procent 2 2 6 2 2" xfId="7811" xr:uid="{00000000-0005-0000-0000-0000351D0000}"/>
    <cellStyle name="Procent 2 2 6 2 2 2" xfId="10479" xr:uid="{C58167CE-649E-48A1-BA2C-A127D31398A0}"/>
    <cellStyle name="Procent 2 2 6 2 2 2 2" xfId="15869" xr:uid="{A5D9A66B-40F3-4C1C-9383-20D3FB5D6840}"/>
    <cellStyle name="Procent 2 2 6 2 2 3" xfId="13116" xr:uid="{4F8FB0B5-7DF2-41F1-9ED6-5D89EFC98039}"/>
    <cellStyle name="Procent 2 2 6 2 3" xfId="9148" xr:uid="{0D51866C-00B2-45F5-A41A-74052BFB87C0}"/>
    <cellStyle name="Procent 2 2 6 2 3 2" xfId="14507" xr:uid="{61BB4672-AD82-4DDA-932A-4D4548D89DFA}"/>
    <cellStyle name="Procent 2 2 6 2 4" xfId="11785" xr:uid="{887311DB-C20B-40CE-95A2-EADCA2EF9F58}"/>
    <cellStyle name="Procent 2 2 6 3" xfId="7187" xr:uid="{00000000-0005-0000-0000-0000361D0000}"/>
    <cellStyle name="Procent 2 2 6 3 2" xfId="9855" xr:uid="{0867184B-269B-455A-BB88-F4E7D073A750}"/>
    <cellStyle name="Procent 2 2 6 3 2 2" xfId="15245" xr:uid="{1E731735-9AE5-460D-8B1A-5FE575127F1F}"/>
    <cellStyle name="Procent 2 2 6 3 3" xfId="12492" xr:uid="{917B1673-7F9F-4BAC-AFC0-4CEF2B6E764C}"/>
    <cellStyle name="Procent 2 2 6 4" xfId="8524" xr:uid="{5E1EEE7D-FB3D-421A-8F92-4F7F4EEE9BE8}"/>
    <cellStyle name="Procent 2 2 6 4 2" xfId="13883" xr:uid="{9712B986-66AA-44AD-90E3-8E1EBF6C11AB}"/>
    <cellStyle name="Procent 2 2 6 5" xfId="11161" xr:uid="{0781CEF9-96D1-44A6-8E57-3B036DEA35F6}"/>
    <cellStyle name="Procent 2 2 7" xfId="4011" xr:uid="{00000000-0005-0000-0000-0000371D0000}"/>
    <cellStyle name="Procent 2 2 7 2" xfId="4635" xr:uid="{00000000-0005-0000-0000-0000381D0000}"/>
    <cellStyle name="Procent 2 2 7 2 2" xfId="7803" xr:uid="{00000000-0005-0000-0000-0000391D0000}"/>
    <cellStyle name="Procent 2 2 7 2 2 2" xfId="10471" xr:uid="{CBF8BD21-EC80-4B14-A11F-77E052E2C5A0}"/>
    <cellStyle name="Procent 2 2 7 2 2 2 2" xfId="15861" xr:uid="{7B45C087-0385-4AF7-8F41-8FD76DDF44E8}"/>
    <cellStyle name="Procent 2 2 7 2 2 3" xfId="13108" xr:uid="{128835DF-8A8D-414A-89E1-B44BCB630746}"/>
    <cellStyle name="Procent 2 2 7 2 3" xfId="9140" xr:uid="{C5B901F4-76A5-481F-A1D5-C256510FFEAA}"/>
    <cellStyle name="Procent 2 2 7 2 3 2" xfId="14499" xr:uid="{D126B9A7-4AFC-4C32-8AAB-CC6FCA63422C}"/>
    <cellStyle name="Procent 2 2 7 2 4" xfId="11777" xr:uid="{608C8511-5AF4-45D6-830D-9ED650BDAE3A}"/>
    <cellStyle name="Procent 2 2 7 3" xfId="7179" xr:uid="{00000000-0005-0000-0000-00003A1D0000}"/>
    <cellStyle name="Procent 2 2 7 3 2" xfId="9847" xr:uid="{A01FE267-4360-4BE4-9E80-BFEA694BE043}"/>
    <cellStyle name="Procent 2 2 7 3 2 2" xfId="15237" xr:uid="{5DB0BBF7-6ED3-4E5C-B156-D9AB21CDFA99}"/>
    <cellStyle name="Procent 2 2 7 3 3" xfId="12484" xr:uid="{B8213B59-2B40-4D47-A73D-89C9656B5AD0}"/>
    <cellStyle name="Procent 2 2 7 4" xfId="8516" xr:uid="{74FB61D8-879C-4F26-8A85-4AFEE8D2851B}"/>
    <cellStyle name="Procent 2 2 7 4 2" xfId="13875" xr:uid="{997BA034-4628-4465-97DD-32BB989162DD}"/>
    <cellStyle name="Procent 2 2 7 5" xfId="11153" xr:uid="{572AC6AA-4DC4-47FB-AD21-FE91203B34B9}"/>
    <cellStyle name="Procent 2 2 8" xfId="4117" xr:uid="{00000000-0005-0000-0000-00003B1D0000}"/>
    <cellStyle name="Procent 2 2 8 2" xfId="7285" xr:uid="{00000000-0005-0000-0000-00003C1D0000}"/>
    <cellStyle name="Procent 2 2 8 2 2" xfId="9953" xr:uid="{E937001B-9E08-43EE-9B47-5C2C5756E7CE}"/>
    <cellStyle name="Procent 2 2 8 2 2 2" xfId="15343" xr:uid="{610FADD0-E981-424C-AB6F-B464ECBEAED5}"/>
    <cellStyle name="Procent 2 2 8 2 3" xfId="12590" xr:uid="{F605B5E2-547C-43D9-AE5F-D32B37B21CB1}"/>
    <cellStyle name="Procent 2 2 8 3" xfId="8622" xr:uid="{0B021A49-4499-4D54-BAA1-A424D4A18C73}"/>
    <cellStyle name="Procent 2 2 8 3 2" xfId="13981" xr:uid="{D50D4DC9-41C4-46B5-AA87-A78C64199965}"/>
    <cellStyle name="Procent 2 2 8 4" xfId="11259" xr:uid="{7DAFF50E-E9D7-474B-AAA8-DE8AA32F31F8}"/>
    <cellStyle name="Procent 2 2 9" xfId="3466" xr:uid="{00000000-0005-0000-0000-00003D1D0000}"/>
    <cellStyle name="Procent 2 2 9 2" xfId="6674" xr:uid="{00000000-0005-0000-0000-00003E1D0000}"/>
    <cellStyle name="Procent 2 2 9 2 2" xfId="9342" xr:uid="{F5A1C321-A506-44F9-9A4D-65CFD1AA285C}"/>
    <cellStyle name="Procent 2 2 9 2 2 2" xfId="14732" xr:uid="{F452C004-6588-40D6-A937-A5E5D49BECCC}"/>
    <cellStyle name="Procent 2 2 9 2 3" xfId="11979" xr:uid="{7A45A152-27C9-42C0-AC92-CBB16667C6FF}"/>
    <cellStyle name="Procent 2 2 9 3" xfId="8006" xr:uid="{6E76F548-6DF0-4C33-9616-944EDA9C3FC0}"/>
    <cellStyle name="Procent 2 2 9 3 2" xfId="13365" xr:uid="{EE6E24A9-8E73-4CC9-A274-8A0A6103F321}"/>
    <cellStyle name="Procent 2 2 9 4" xfId="10648" xr:uid="{BBFABE0C-95AC-43F2-8A17-E6506D7A1111}"/>
    <cellStyle name="Procent 2 3" xfId="3474" xr:uid="{00000000-0005-0000-0000-00003F1D0000}"/>
    <cellStyle name="Procent 2 3 10" xfId="8014" xr:uid="{369EEF15-FF47-4151-ACCB-254D3D92CDBB}"/>
    <cellStyle name="Procent 2 3 10 2" xfId="13373" xr:uid="{3EE800C5-309E-4BFB-9471-A8F68A5C0C09}"/>
    <cellStyle name="Procent 2 3 11" xfId="10656" xr:uid="{B0A63394-7A2B-4EF0-AC6E-432CF98F089C}"/>
    <cellStyle name="Procent 2 3 2" xfId="4021" xr:uid="{00000000-0005-0000-0000-0000401D0000}"/>
    <cellStyle name="Procent 2 3 2 2" xfId="4022" xr:uid="{00000000-0005-0000-0000-0000411D0000}"/>
    <cellStyle name="Procent 2 3 2 2 2" xfId="4646" xr:uid="{00000000-0005-0000-0000-0000421D0000}"/>
    <cellStyle name="Procent 2 3 2 2 2 2" xfId="7814" xr:uid="{00000000-0005-0000-0000-0000431D0000}"/>
    <cellStyle name="Procent 2 3 2 2 2 2 2" xfId="10482" xr:uid="{A3061F45-7CFE-4D2A-AE9F-DCE20E59BC49}"/>
    <cellStyle name="Procent 2 3 2 2 2 2 2 2" xfId="15872" xr:uid="{F5E90B28-B7A9-4920-9404-AABF6D7911E5}"/>
    <cellStyle name="Procent 2 3 2 2 2 2 3" xfId="13119" xr:uid="{0101A0DF-A218-474B-8B93-1A90D0A38AA1}"/>
    <cellStyle name="Procent 2 3 2 2 2 3" xfId="9151" xr:uid="{77FE81EE-DFC9-46AE-89AF-1EFD324F649E}"/>
    <cellStyle name="Procent 2 3 2 2 2 3 2" xfId="14510" xr:uid="{73D635AD-832E-4BA3-BB00-0C8EF811E5C8}"/>
    <cellStyle name="Procent 2 3 2 2 2 4" xfId="11788" xr:uid="{B19EA789-E765-4E51-9448-FB2DC5C698AD}"/>
    <cellStyle name="Procent 2 3 2 2 3" xfId="7190" xr:uid="{00000000-0005-0000-0000-0000441D0000}"/>
    <cellStyle name="Procent 2 3 2 2 3 2" xfId="9858" xr:uid="{F94B5083-10CE-4AB3-9548-34C687380262}"/>
    <cellStyle name="Procent 2 3 2 2 3 2 2" xfId="15248" xr:uid="{BD2838F4-8AFB-4EBC-B418-FEC749DD325A}"/>
    <cellStyle name="Procent 2 3 2 2 3 3" xfId="12495" xr:uid="{59751779-D3EE-48BA-8FF6-B122E82F1B8C}"/>
    <cellStyle name="Procent 2 3 2 2 4" xfId="8527" xr:uid="{8AFDF2BE-5818-4655-8D10-431531B71985}"/>
    <cellStyle name="Procent 2 3 2 2 4 2" xfId="13886" xr:uid="{C7220DEA-0285-4595-8D28-F9EBE7B24C37}"/>
    <cellStyle name="Procent 2 3 2 2 5" xfId="11164" xr:uid="{18281309-2B4F-47E3-AE90-3FEA89BD7C1C}"/>
    <cellStyle name="Procent 2 3 2 3" xfId="4023" xr:uid="{00000000-0005-0000-0000-0000451D0000}"/>
    <cellStyle name="Procent 2 3 2 3 2" xfId="4647" xr:uid="{00000000-0005-0000-0000-0000461D0000}"/>
    <cellStyle name="Procent 2 3 2 3 2 2" xfId="7815" xr:uid="{00000000-0005-0000-0000-0000471D0000}"/>
    <cellStyle name="Procent 2 3 2 3 2 2 2" xfId="10483" xr:uid="{FEB6261D-FB86-4307-8504-22422D52F515}"/>
    <cellStyle name="Procent 2 3 2 3 2 2 2 2" xfId="15873" xr:uid="{5FE3CCF0-BACD-4E0B-83BB-5E418C53A74D}"/>
    <cellStyle name="Procent 2 3 2 3 2 2 3" xfId="13120" xr:uid="{6A297259-341F-4D48-8AF2-9DFBCACF2739}"/>
    <cellStyle name="Procent 2 3 2 3 2 3" xfId="9152" xr:uid="{EF8C580E-8FD1-4CA7-8E86-E3BCE1CDD3F2}"/>
    <cellStyle name="Procent 2 3 2 3 2 3 2" xfId="14511" xr:uid="{BD5FAEA8-30C7-423A-A639-CFE7FCF104B8}"/>
    <cellStyle name="Procent 2 3 2 3 2 4" xfId="11789" xr:uid="{9DF3A571-775A-4A9B-8144-72C95AD3C579}"/>
    <cellStyle name="Procent 2 3 2 3 3" xfId="7191" xr:uid="{00000000-0005-0000-0000-0000481D0000}"/>
    <cellStyle name="Procent 2 3 2 3 3 2" xfId="9859" xr:uid="{57FD82BA-13DF-45BB-8001-F2602708C7F3}"/>
    <cellStyle name="Procent 2 3 2 3 3 2 2" xfId="15249" xr:uid="{86571A01-1745-44B4-B2D3-CE28FD2AD5D7}"/>
    <cellStyle name="Procent 2 3 2 3 3 3" xfId="12496" xr:uid="{5F803828-B5F4-480D-B807-F8999346E940}"/>
    <cellStyle name="Procent 2 3 2 3 4" xfId="8528" xr:uid="{542F4F2C-5ED2-47D3-AC60-618B0688363F}"/>
    <cellStyle name="Procent 2 3 2 3 4 2" xfId="13887" xr:uid="{E12E5062-A355-4222-976E-325A12E8433E}"/>
    <cellStyle name="Procent 2 3 2 3 5" xfId="11165" xr:uid="{8EAA7C9D-F2BA-43D2-B4E3-6B9F8E7C06CA}"/>
    <cellStyle name="Procent 2 3 2 4" xfId="4645" xr:uid="{00000000-0005-0000-0000-0000491D0000}"/>
    <cellStyle name="Procent 2 3 2 4 2" xfId="7813" xr:uid="{00000000-0005-0000-0000-00004A1D0000}"/>
    <cellStyle name="Procent 2 3 2 4 2 2" xfId="10481" xr:uid="{7813DD5B-03F9-48BF-9D68-E8E6EE0D4D49}"/>
    <cellStyle name="Procent 2 3 2 4 2 2 2" xfId="15871" xr:uid="{8103D6CA-EBFD-4318-A9B2-65F387AF5E41}"/>
    <cellStyle name="Procent 2 3 2 4 2 3" xfId="13118" xr:uid="{D1C1EA43-0E1A-4651-B1B5-84A87ED20F0F}"/>
    <cellStyle name="Procent 2 3 2 4 3" xfId="9150" xr:uid="{EA821E96-E865-4F77-A5FB-B9D42671BFF8}"/>
    <cellStyle name="Procent 2 3 2 4 3 2" xfId="14509" xr:uid="{E664DE6B-83C8-4631-808A-999FCEB74D62}"/>
    <cellStyle name="Procent 2 3 2 4 4" xfId="11787" xr:uid="{605DD63E-B868-4D68-A5C9-A86358C7CF0A}"/>
    <cellStyle name="Procent 2 3 2 5" xfId="7189" xr:uid="{00000000-0005-0000-0000-00004B1D0000}"/>
    <cellStyle name="Procent 2 3 2 5 2" xfId="9857" xr:uid="{0E87A5E2-53AB-4FF1-95A1-8F8B9AA940F8}"/>
    <cellStyle name="Procent 2 3 2 5 2 2" xfId="15247" xr:uid="{BFA9A181-C2EA-4032-8C37-D8ADBEACE57C}"/>
    <cellStyle name="Procent 2 3 2 5 3" xfId="12494" xr:uid="{907C4DD4-5646-4CE7-83B6-D03052FFB80B}"/>
    <cellStyle name="Procent 2 3 2 6" xfId="8526" xr:uid="{28598585-9395-4505-BEA4-24882401A79B}"/>
    <cellStyle name="Procent 2 3 2 6 2" xfId="13885" xr:uid="{5CA25E5A-3767-4503-8D41-9BD4A26D0919}"/>
    <cellStyle name="Procent 2 3 2 7" xfId="11163" xr:uid="{C7457390-59C6-4DCD-B9DA-6A55ECB66E54}"/>
    <cellStyle name="Procent 2 3 3" xfId="4024" xr:uid="{00000000-0005-0000-0000-00004C1D0000}"/>
    <cellStyle name="Procent 2 3 3 2" xfId="4648" xr:uid="{00000000-0005-0000-0000-00004D1D0000}"/>
    <cellStyle name="Procent 2 3 3 2 2" xfId="7816" xr:uid="{00000000-0005-0000-0000-00004E1D0000}"/>
    <cellStyle name="Procent 2 3 3 2 2 2" xfId="10484" xr:uid="{84F2D589-8D11-442B-BD3F-EE66239E507F}"/>
    <cellStyle name="Procent 2 3 3 2 2 2 2" xfId="15874" xr:uid="{447C003C-31AE-4DEE-B980-4289C27792EA}"/>
    <cellStyle name="Procent 2 3 3 2 2 3" xfId="13121" xr:uid="{B7E2F27D-6963-458D-9AEC-847670167CA9}"/>
    <cellStyle name="Procent 2 3 3 2 3" xfId="9153" xr:uid="{DE3473D8-105B-475A-8AD1-DBF33767B431}"/>
    <cellStyle name="Procent 2 3 3 2 3 2" xfId="14512" xr:uid="{8F1B272F-2489-4C0C-81CD-5CE62D5A5094}"/>
    <cellStyle name="Procent 2 3 3 2 4" xfId="11790" xr:uid="{544C54BC-03C3-400D-AA87-301F1FED3717}"/>
    <cellStyle name="Procent 2 3 3 3" xfId="7192" xr:uid="{00000000-0005-0000-0000-00004F1D0000}"/>
    <cellStyle name="Procent 2 3 3 3 2" xfId="9860" xr:uid="{1EF1D676-8828-4073-B819-9CB64C3CA1E7}"/>
    <cellStyle name="Procent 2 3 3 3 2 2" xfId="15250" xr:uid="{AD854931-0B5B-4455-A237-1E8AA16814C3}"/>
    <cellStyle name="Procent 2 3 3 3 3" xfId="12497" xr:uid="{6A15775C-1C35-4FBC-80FF-3A3A74CC6AC3}"/>
    <cellStyle name="Procent 2 3 3 4" xfId="8529" xr:uid="{EE2AFEEE-7AB7-41A5-87F7-A27D4094E48D}"/>
    <cellStyle name="Procent 2 3 3 4 2" xfId="13888" xr:uid="{3132DAD5-9BD5-402D-8C74-5F0F8937F3D4}"/>
    <cellStyle name="Procent 2 3 3 5" xfId="11166" xr:uid="{4E6D139B-7D9F-4E70-9B42-0FA92DB68D63}"/>
    <cellStyle name="Procent 2 3 4" xfId="4025" xr:uid="{00000000-0005-0000-0000-0000501D0000}"/>
    <cellStyle name="Procent 2 3 4 2" xfId="4649" xr:uid="{00000000-0005-0000-0000-0000511D0000}"/>
    <cellStyle name="Procent 2 3 4 2 2" xfId="7817" xr:uid="{00000000-0005-0000-0000-0000521D0000}"/>
    <cellStyle name="Procent 2 3 4 2 2 2" xfId="10485" xr:uid="{AD130B8D-3760-4479-A3DE-1FBBDF16792F}"/>
    <cellStyle name="Procent 2 3 4 2 2 2 2" xfId="15875" xr:uid="{88F1B10F-85D4-431B-BB0A-E9B256696204}"/>
    <cellStyle name="Procent 2 3 4 2 2 3" xfId="13122" xr:uid="{B7A718E0-E509-445E-A28B-5EFEBC0891CF}"/>
    <cellStyle name="Procent 2 3 4 2 3" xfId="9154" xr:uid="{C3720A71-F054-41DD-BA83-571FF410572B}"/>
    <cellStyle name="Procent 2 3 4 2 3 2" xfId="14513" xr:uid="{2FA17B87-E82A-40C1-BD57-2645F905D66B}"/>
    <cellStyle name="Procent 2 3 4 2 4" xfId="11791" xr:uid="{5E51B8F1-CB32-4450-A3E5-0C474E3D3693}"/>
    <cellStyle name="Procent 2 3 4 3" xfId="7193" xr:uid="{00000000-0005-0000-0000-0000531D0000}"/>
    <cellStyle name="Procent 2 3 4 3 2" xfId="9861" xr:uid="{D13CC94F-BEB5-426E-B6EB-6B70C034147A}"/>
    <cellStyle name="Procent 2 3 4 3 2 2" xfId="15251" xr:uid="{3F15A5B8-3F8F-4A48-8695-CF3B0E6D0C8B}"/>
    <cellStyle name="Procent 2 3 4 3 3" xfId="12498" xr:uid="{0312033F-3BC4-4402-8267-0A13A0373718}"/>
    <cellStyle name="Procent 2 3 4 4" xfId="8530" xr:uid="{D71EC2C3-7999-4A23-BC5D-5D09664D081C}"/>
    <cellStyle name="Procent 2 3 4 4 2" xfId="13889" xr:uid="{69EADC1F-51FA-4895-8BD9-594FB41E488E}"/>
    <cellStyle name="Procent 2 3 4 5" xfId="11167" xr:uid="{9B98A250-42CD-408E-A177-4A129C83EC3E}"/>
    <cellStyle name="Procent 2 3 5" xfId="4026" xr:uid="{00000000-0005-0000-0000-0000541D0000}"/>
    <cellStyle name="Procent 2 3 5 2" xfId="4650" xr:uid="{00000000-0005-0000-0000-0000551D0000}"/>
    <cellStyle name="Procent 2 3 5 2 2" xfId="7818" xr:uid="{00000000-0005-0000-0000-0000561D0000}"/>
    <cellStyle name="Procent 2 3 5 2 2 2" xfId="10486" xr:uid="{A7EFE88D-0916-49C9-BD2B-C0CFA7716FCA}"/>
    <cellStyle name="Procent 2 3 5 2 2 2 2" xfId="15876" xr:uid="{FDD82F37-473C-45E1-A1B9-9A150D239FC6}"/>
    <cellStyle name="Procent 2 3 5 2 2 3" xfId="13123" xr:uid="{E06D1107-8786-4D3A-BCD6-3BDE7B91A21D}"/>
    <cellStyle name="Procent 2 3 5 2 3" xfId="9155" xr:uid="{1437E862-D87C-438A-9CAF-F87AF2CF1EA6}"/>
    <cellStyle name="Procent 2 3 5 2 3 2" xfId="14514" xr:uid="{5E0AD0DF-7C48-48FD-928C-4EB3B346DF14}"/>
    <cellStyle name="Procent 2 3 5 2 4" xfId="11792" xr:uid="{45022800-411E-4853-A84B-C4BE1401F22E}"/>
    <cellStyle name="Procent 2 3 5 3" xfId="7194" xr:uid="{00000000-0005-0000-0000-0000571D0000}"/>
    <cellStyle name="Procent 2 3 5 3 2" xfId="9862" xr:uid="{9A3734AA-E2AA-437B-B834-A17E16F32A0F}"/>
    <cellStyle name="Procent 2 3 5 3 2 2" xfId="15252" xr:uid="{7E7C5031-AC1C-49E4-A4CD-78DE7478D4E4}"/>
    <cellStyle name="Procent 2 3 5 3 3" xfId="12499" xr:uid="{10200263-A04E-484C-B60D-618CEF89C32F}"/>
    <cellStyle name="Procent 2 3 5 4" xfId="8531" xr:uid="{4329683C-92C3-428E-9A08-32BBC07D9191}"/>
    <cellStyle name="Procent 2 3 5 4 2" xfId="13890" xr:uid="{2D2099BD-189B-416D-B992-8050C57ED6E3}"/>
    <cellStyle name="Procent 2 3 5 5" xfId="11168" xr:uid="{CBCDC5B0-3EBB-461E-88C0-772A460DCEA9}"/>
    <cellStyle name="Procent 2 3 6" xfId="4027" xr:uid="{00000000-0005-0000-0000-0000581D0000}"/>
    <cellStyle name="Procent 2 3 6 2" xfId="4651" xr:uid="{00000000-0005-0000-0000-0000591D0000}"/>
    <cellStyle name="Procent 2 3 6 2 2" xfId="7819" xr:uid="{00000000-0005-0000-0000-00005A1D0000}"/>
    <cellStyle name="Procent 2 3 6 2 2 2" xfId="10487" xr:uid="{0404D1FD-C403-4958-BA03-11F2C5EBE24A}"/>
    <cellStyle name="Procent 2 3 6 2 2 2 2" xfId="15877" xr:uid="{5B76FD9D-9F6E-4A2E-B042-11A29B2379D5}"/>
    <cellStyle name="Procent 2 3 6 2 2 3" xfId="13124" xr:uid="{62B846FD-0B43-4B22-84BA-99E76B86ADBE}"/>
    <cellStyle name="Procent 2 3 6 2 3" xfId="9156" xr:uid="{5716B6EF-866B-48D1-9E91-38E8BF8F1577}"/>
    <cellStyle name="Procent 2 3 6 2 3 2" xfId="14515" xr:uid="{38457A03-C01B-4AAB-8665-B2CADFC60A00}"/>
    <cellStyle name="Procent 2 3 6 2 4" xfId="11793" xr:uid="{C8F0D0B7-A6E7-492E-B9F6-5C2EA3D9C79A}"/>
    <cellStyle name="Procent 2 3 6 3" xfId="7195" xr:uid="{00000000-0005-0000-0000-00005B1D0000}"/>
    <cellStyle name="Procent 2 3 6 3 2" xfId="9863" xr:uid="{815ED1A5-ADEF-43DF-9618-75F8DB56D97F}"/>
    <cellStyle name="Procent 2 3 6 3 2 2" xfId="15253" xr:uid="{F825628C-FFB4-4201-BCE4-C1AD6E361B0C}"/>
    <cellStyle name="Procent 2 3 6 3 3" xfId="12500" xr:uid="{01B85C95-0731-4CA5-A1DD-FA88AE2A4D59}"/>
    <cellStyle name="Procent 2 3 6 4" xfId="8532" xr:uid="{FFDFB630-160E-49D6-8AD9-7DD277584061}"/>
    <cellStyle name="Procent 2 3 6 4 2" xfId="13891" xr:uid="{69535EAA-A9C9-46D1-B2C9-43C536BE6589}"/>
    <cellStyle name="Procent 2 3 6 5" xfId="11169" xr:uid="{6627D576-48E0-484B-96CA-CA63A455E819}"/>
    <cellStyle name="Procent 2 3 7" xfId="4020" xr:uid="{00000000-0005-0000-0000-00005C1D0000}"/>
    <cellStyle name="Procent 2 3 7 2" xfId="4644" xr:uid="{00000000-0005-0000-0000-00005D1D0000}"/>
    <cellStyle name="Procent 2 3 7 2 2" xfId="7812" xr:uid="{00000000-0005-0000-0000-00005E1D0000}"/>
    <cellStyle name="Procent 2 3 7 2 2 2" xfId="10480" xr:uid="{1DC9AEEA-88E7-4D5B-8A17-A51D0C2E56BC}"/>
    <cellStyle name="Procent 2 3 7 2 2 2 2" xfId="15870" xr:uid="{90897C1F-042F-40C4-87AE-DFCE44111268}"/>
    <cellStyle name="Procent 2 3 7 2 2 3" xfId="13117" xr:uid="{3C7C8002-5413-4350-8069-C60708D296CC}"/>
    <cellStyle name="Procent 2 3 7 2 3" xfId="9149" xr:uid="{5DC79F68-D33B-49BA-B2F2-463B096BCD7E}"/>
    <cellStyle name="Procent 2 3 7 2 3 2" xfId="14508" xr:uid="{2DF8A711-49C0-47B8-A189-1E3299F458BD}"/>
    <cellStyle name="Procent 2 3 7 2 4" xfId="11786" xr:uid="{773FCBA4-C0A8-4D08-B562-FE8ADC413CDB}"/>
    <cellStyle name="Procent 2 3 7 3" xfId="7188" xr:uid="{00000000-0005-0000-0000-00005F1D0000}"/>
    <cellStyle name="Procent 2 3 7 3 2" xfId="9856" xr:uid="{D3C26DDA-9664-4370-BCF6-0C8B15D5FC1D}"/>
    <cellStyle name="Procent 2 3 7 3 2 2" xfId="15246" xr:uid="{C653B4F2-6086-4064-AD11-6328C04B10F0}"/>
    <cellStyle name="Procent 2 3 7 3 3" xfId="12493" xr:uid="{ADDA2BBA-95A8-46A8-9F55-7C3D87B46C58}"/>
    <cellStyle name="Procent 2 3 7 4" xfId="8525" xr:uid="{EF63E0CA-CFAB-4CC9-BAFE-E3B3F46D4A82}"/>
    <cellStyle name="Procent 2 3 7 4 2" xfId="13884" xr:uid="{F638A9AB-14C1-4841-8700-F668D75AC679}"/>
    <cellStyle name="Procent 2 3 7 5" xfId="11162" xr:uid="{92DFC66B-B39F-4EE3-928E-2B307DBEEBF9}"/>
    <cellStyle name="Procent 2 3 8" xfId="4125" xr:uid="{00000000-0005-0000-0000-0000601D0000}"/>
    <cellStyle name="Procent 2 3 8 2" xfId="7293" xr:uid="{00000000-0005-0000-0000-0000611D0000}"/>
    <cellStyle name="Procent 2 3 8 2 2" xfId="9961" xr:uid="{F2F3F8F6-5B06-4E20-AD03-AFD9D46DAE34}"/>
    <cellStyle name="Procent 2 3 8 2 2 2" xfId="15351" xr:uid="{97939462-BACE-407E-AEFD-83121677BFC8}"/>
    <cellStyle name="Procent 2 3 8 2 3" xfId="12598" xr:uid="{92D5A929-647A-4539-A48A-8D5F49CB37B7}"/>
    <cellStyle name="Procent 2 3 8 3" xfId="8630" xr:uid="{4E016FA5-42E7-4615-887D-437BD7D269B4}"/>
    <cellStyle name="Procent 2 3 8 3 2" xfId="13989" xr:uid="{A0D41399-6779-4A61-8818-02F9B6E0B107}"/>
    <cellStyle name="Procent 2 3 8 4" xfId="11267" xr:uid="{CDB6CBCE-6FD5-4EF6-AF10-440A9C6B9F97}"/>
    <cellStyle name="Procent 2 3 9" xfId="6682" xr:uid="{00000000-0005-0000-0000-0000621D0000}"/>
    <cellStyle name="Procent 2 3 9 2" xfId="9350" xr:uid="{36E2D45F-0120-468A-899E-29A8E2F9AAC9}"/>
    <cellStyle name="Procent 2 3 9 2 2" xfId="14740" xr:uid="{5E91CC04-0B70-4B1E-9BF7-6B0AF26D99BF}"/>
    <cellStyle name="Procent 2 3 9 3" xfId="11987" xr:uid="{3C6A19EC-9AD0-435D-A167-E9B5BA3901DB}"/>
    <cellStyle name="Procent 2 4" xfId="3490" xr:uid="{00000000-0005-0000-0000-0000631D0000}"/>
    <cellStyle name="Procent 2 4 10" xfId="8030" xr:uid="{F317ED64-231F-454F-9FE4-35A6F9F45C0A}"/>
    <cellStyle name="Procent 2 4 10 2" xfId="13389" xr:uid="{374BA9B2-1157-4694-A20D-33589ACFFDD1}"/>
    <cellStyle name="Procent 2 4 11" xfId="10672" xr:uid="{0FAAE53E-A32C-465C-BA25-B53A5F7BD927}"/>
    <cellStyle name="Procent 2 4 2" xfId="4029" xr:uid="{00000000-0005-0000-0000-0000641D0000}"/>
    <cellStyle name="Procent 2 4 2 2" xfId="4030" xr:uid="{00000000-0005-0000-0000-0000651D0000}"/>
    <cellStyle name="Procent 2 4 2 2 2" xfId="4654" xr:uid="{00000000-0005-0000-0000-0000661D0000}"/>
    <cellStyle name="Procent 2 4 2 2 2 2" xfId="7822" xr:uid="{00000000-0005-0000-0000-0000671D0000}"/>
    <cellStyle name="Procent 2 4 2 2 2 2 2" xfId="10490" xr:uid="{832F30DB-E04F-4775-90E1-A6A6C254E141}"/>
    <cellStyle name="Procent 2 4 2 2 2 2 2 2" xfId="15880" xr:uid="{AEAFB406-B001-4467-B31A-69B79B27C77C}"/>
    <cellStyle name="Procent 2 4 2 2 2 2 3" xfId="13127" xr:uid="{438B1B35-E9E1-4FBF-ACB3-B5459E0F02BC}"/>
    <cellStyle name="Procent 2 4 2 2 2 3" xfId="9159" xr:uid="{39345FB1-7D5D-4C3D-9245-E0B6E327AE18}"/>
    <cellStyle name="Procent 2 4 2 2 2 3 2" xfId="14518" xr:uid="{0C4BA384-8458-45D4-82B8-015A3B0FF66A}"/>
    <cellStyle name="Procent 2 4 2 2 2 4" xfId="11796" xr:uid="{280D301F-B8E3-4D34-8D53-B0D790E3A153}"/>
    <cellStyle name="Procent 2 4 2 2 3" xfId="7198" xr:uid="{00000000-0005-0000-0000-0000681D0000}"/>
    <cellStyle name="Procent 2 4 2 2 3 2" xfId="9866" xr:uid="{40DB443C-9108-46EE-87BC-DC3F5A63AC0C}"/>
    <cellStyle name="Procent 2 4 2 2 3 2 2" xfId="15256" xr:uid="{86FB8B31-859C-404C-BBFA-1E6B8BDEDDBD}"/>
    <cellStyle name="Procent 2 4 2 2 3 3" xfId="12503" xr:uid="{D3152691-AE60-47B1-BBE4-183B45E5F78B}"/>
    <cellStyle name="Procent 2 4 2 2 4" xfId="8535" xr:uid="{25C1A888-3CD5-4366-BA1F-9EA66035A028}"/>
    <cellStyle name="Procent 2 4 2 2 4 2" xfId="13894" xr:uid="{DC341E4F-E3DC-4F01-AD27-0ED048A58E93}"/>
    <cellStyle name="Procent 2 4 2 2 5" xfId="11172" xr:uid="{CF5A4B64-58AB-4CB4-B95D-38BB585BEE50}"/>
    <cellStyle name="Procent 2 4 2 3" xfId="4031" xr:uid="{00000000-0005-0000-0000-0000691D0000}"/>
    <cellStyle name="Procent 2 4 2 3 2" xfId="4655" xr:uid="{00000000-0005-0000-0000-00006A1D0000}"/>
    <cellStyle name="Procent 2 4 2 3 2 2" xfId="7823" xr:uid="{00000000-0005-0000-0000-00006B1D0000}"/>
    <cellStyle name="Procent 2 4 2 3 2 2 2" xfId="10491" xr:uid="{1D65F245-BD17-4306-ABEA-DE6ABC33D60B}"/>
    <cellStyle name="Procent 2 4 2 3 2 2 2 2" xfId="15881" xr:uid="{1A09E5D4-BABD-4741-B201-578C69A6D5E9}"/>
    <cellStyle name="Procent 2 4 2 3 2 2 3" xfId="13128" xr:uid="{F09980FC-1718-4520-8FE9-18FCB649B05A}"/>
    <cellStyle name="Procent 2 4 2 3 2 3" xfId="9160" xr:uid="{28305BD5-DC42-4EB9-9500-CDAE6401B809}"/>
    <cellStyle name="Procent 2 4 2 3 2 3 2" xfId="14519" xr:uid="{CB52805B-D23D-413E-91A6-42D9269E972C}"/>
    <cellStyle name="Procent 2 4 2 3 2 4" xfId="11797" xr:uid="{12D8853C-DDCC-43D6-B44C-3AC4E9E940C7}"/>
    <cellStyle name="Procent 2 4 2 3 3" xfId="7199" xr:uid="{00000000-0005-0000-0000-00006C1D0000}"/>
    <cellStyle name="Procent 2 4 2 3 3 2" xfId="9867" xr:uid="{389C9116-07D2-48BE-8F15-47D731CFB3F5}"/>
    <cellStyle name="Procent 2 4 2 3 3 2 2" xfId="15257" xr:uid="{2DE1BFD8-0024-45E8-9759-E2E01E2BCD74}"/>
    <cellStyle name="Procent 2 4 2 3 3 3" xfId="12504" xr:uid="{522B3DC0-D72D-4BA1-940E-E1711CB14B4A}"/>
    <cellStyle name="Procent 2 4 2 3 4" xfId="8536" xr:uid="{FE17F3BA-9D1A-422F-8DFC-EF322BD66D26}"/>
    <cellStyle name="Procent 2 4 2 3 4 2" xfId="13895" xr:uid="{2042AD3D-47FD-4509-A0FE-52859DF2DCE1}"/>
    <cellStyle name="Procent 2 4 2 3 5" xfId="11173" xr:uid="{4B24B171-0DC0-4757-AEFF-BB7578F55417}"/>
    <cellStyle name="Procent 2 4 2 4" xfId="4653" xr:uid="{00000000-0005-0000-0000-00006D1D0000}"/>
    <cellStyle name="Procent 2 4 2 4 2" xfId="7821" xr:uid="{00000000-0005-0000-0000-00006E1D0000}"/>
    <cellStyle name="Procent 2 4 2 4 2 2" xfId="10489" xr:uid="{1B1D0BA0-CC56-490F-A347-66A762963A8A}"/>
    <cellStyle name="Procent 2 4 2 4 2 2 2" xfId="15879" xr:uid="{106770E1-3DFC-4AA8-9216-776EFA3BCC52}"/>
    <cellStyle name="Procent 2 4 2 4 2 3" xfId="13126" xr:uid="{C203DD06-5869-41F8-B99E-EA30580978A9}"/>
    <cellStyle name="Procent 2 4 2 4 3" xfId="9158" xr:uid="{860CC2BB-081F-40C5-B1B8-AB3C98465634}"/>
    <cellStyle name="Procent 2 4 2 4 3 2" xfId="14517" xr:uid="{76ED9431-FB2C-49BC-B051-4CB3C88456B5}"/>
    <cellStyle name="Procent 2 4 2 4 4" xfId="11795" xr:uid="{434E1882-A79B-4CD9-B283-0FAB93746333}"/>
    <cellStyle name="Procent 2 4 2 5" xfId="7197" xr:uid="{00000000-0005-0000-0000-00006F1D0000}"/>
    <cellStyle name="Procent 2 4 2 5 2" xfId="9865" xr:uid="{8F036B52-06BB-4365-A2AA-DB90EA7535FA}"/>
    <cellStyle name="Procent 2 4 2 5 2 2" xfId="15255" xr:uid="{749AE9A6-1DDA-4687-9607-8C1E86D867AA}"/>
    <cellStyle name="Procent 2 4 2 5 3" xfId="12502" xr:uid="{307165EE-F8C2-4C73-9DAD-69A635FD01D3}"/>
    <cellStyle name="Procent 2 4 2 6" xfId="8534" xr:uid="{6A5EF11A-AB78-4E0D-BCB3-2D976218D003}"/>
    <cellStyle name="Procent 2 4 2 6 2" xfId="13893" xr:uid="{D982A5B7-31BA-4A2F-B25D-10DFEC3723A8}"/>
    <cellStyle name="Procent 2 4 2 7" xfId="11171" xr:uid="{B62EC6AA-2C10-48B5-8B03-F68751A764FF}"/>
    <cellStyle name="Procent 2 4 3" xfId="4032" xr:uid="{00000000-0005-0000-0000-0000701D0000}"/>
    <cellStyle name="Procent 2 4 3 2" xfId="4656" xr:uid="{00000000-0005-0000-0000-0000711D0000}"/>
    <cellStyle name="Procent 2 4 3 2 2" xfId="7824" xr:uid="{00000000-0005-0000-0000-0000721D0000}"/>
    <cellStyle name="Procent 2 4 3 2 2 2" xfId="10492" xr:uid="{E4A2406D-A9A3-42E9-8527-85F741649AB9}"/>
    <cellStyle name="Procent 2 4 3 2 2 2 2" xfId="15882" xr:uid="{4F6168FF-75F2-4A9C-A618-6C32E7881A48}"/>
    <cellStyle name="Procent 2 4 3 2 2 3" xfId="13129" xr:uid="{C1F46CCA-FFF3-4B95-A099-C9F330BCED3E}"/>
    <cellStyle name="Procent 2 4 3 2 3" xfId="9161" xr:uid="{D364DF5D-B6CB-4A46-AD52-22809D68CE90}"/>
    <cellStyle name="Procent 2 4 3 2 3 2" xfId="14520" xr:uid="{EE8C0F5E-D2CC-4BFB-9DB9-1E980B340E2C}"/>
    <cellStyle name="Procent 2 4 3 2 4" xfId="11798" xr:uid="{72026C79-C853-4C55-8B58-4EBC230D2FC7}"/>
    <cellStyle name="Procent 2 4 3 3" xfId="7200" xr:uid="{00000000-0005-0000-0000-0000731D0000}"/>
    <cellStyle name="Procent 2 4 3 3 2" xfId="9868" xr:uid="{EED733D4-D34B-44C3-B2C5-D6E8325C34C1}"/>
    <cellStyle name="Procent 2 4 3 3 2 2" xfId="15258" xr:uid="{7B620C41-5B45-4E45-8183-28EF48F1B2CA}"/>
    <cellStyle name="Procent 2 4 3 3 3" xfId="12505" xr:uid="{1EE0F65F-3822-4B6A-8AA3-BC7C6F09C5EB}"/>
    <cellStyle name="Procent 2 4 3 4" xfId="8537" xr:uid="{FDF59500-9943-4811-A3FE-041C71CE051D}"/>
    <cellStyle name="Procent 2 4 3 4 2" xfId="13896" xr:uid="{22F95700-7D14-4793-AC10-9FD57FC8625C}"/>
    <cellStyle name="Procent 2 4 3 5" xfId="11174" xr:uid="{6AB9A83C-6649-4A14-882B-F52D381C743B}"/>
    <cellStyle name="Procent 2 4 4" xfId="4033" xr:uid="{00000000-0005-0000-0000-0000741D0000}"/>
    <cellStyle name="Procent 2 4 4 2" xfId="4657" xr:uid="{00000000-0005-0000-0000-0000751D0000}"/>
    <cellStyle name="Procent 2 4 4 2 2" xfId="7825" xr:uid="{00000000-0005-0000-0000-0000761D0000}"/>
    <cellStyle name="Procent 2 4 4 2 2 2" xfId="10493" xr:uid="{C46E6B2D-666E-4EBC-9CBA-CF1D48BC197B}"/>
    <cellStyle name="Procent 2 4 4 2 2 2 2" xfId="15883" xr:uid="{5CE7D0ED-B3AD-4DA1-A9ED-83E520FEBAE1}"/>
    <cellStyle name="Procent 2 4 4 2 2 3" xfId="13130" xr:uid="{C2729CCB-697E-4D89-BFC2-4F7FFE2B33CC}"/>
    <cellStyle name="Procent 2 4 4 2 3" xfId="9162" xr:uid="{A5D0C6F3-F3A3-457F-BEB7-0A18FF314DA5}"/>
    <cellStyle name="Procent 2 4 4 2 3 2" xfId="14521" xr:uid="{A9D3F5A4-4197-4343-A52D-6834A8D56037}"/>
    <cellStyle name="Procent 2 4 4 2 4" xfId="11799" xr:uid="{40901092-9894-4C5E-B6A4-597C6828218E}"/>
    <cellStyle name="Procent 2 4 4 3" xfId="7201" xr:uid="{00000000-0005-0000-0000-0000771D0000}"/>
    <cellStyle name="Procent 2 4 4 3 2" xfId="9869" xr:uid="{678D8D2F-D6A1-434E-9A7A-25B2087B500D}"/>
    <cellStyle name="Procent 2 4 4 3 2 2" xfId="15259" xr:uid="{0E41AB39-6F29-4A62-8B9B-B72A0F11E89C}"/>
    <cellStyle name="Procent 2 4 4 3 3" xfId="12506" xr:uid="{A26AF250-ECC7-45EC-9C15-0CB639D4A3CA}"/>
    <cellStyle name="Procent 2 4 4 4" xfId="8538" xr:uid="{E4EF9173-CAB9-41AE-954E-C9A406A55A04}"/>
    <cellStyle name="Procent 2 4 4 4 2" xfId="13897" xr:uid="{3D4CC81C-8753-4B9F-B533-674B2A53CE05}"/>
    <cellStyle name="Procent 2 4 4 5" xfId="11175" xr:uid="{666C1701-36C6-4B44-AEB4-CE1AE7086292}"/>
    <cellStyle name="Procent 2 4 5" xfId="4034" xr:uid="{00000000-0005-0000-0000-0000781D0000}"/>
    <cellStyle name="Procent 2 4 5 2" xfId="4658" xr:uid="{00000000-0005-0000-0000-0000791D0000}"/>
    <cellStyle name="Procent 2 4 5 2 2" xfId="7826" xr:uid="{00000000-0005-0000-0000-00007A1D0000}"/>
    <cellStyle name="Procent 2 4 5 2 2 2" xfId="10494" xr:uid="{0BEEF31E-1A39-4F8B-8544-1A4701600489}"/>
    <cellStyle name="Procent 2 4 5 2 2 2 2" xfId="15884" xr:uid="{F7035138-36AD-459E-B082-628403FFEE27}"/>
    <cellStyle name="Procent 2 4 5 2 2 3" xfId="13131" xr:uid="{EEA79F7C-DA8F-499A-9BAC-0FCE29FC2A15}"/>
    <cellStyle name="Procent 2 4 5 2 3" xfId="9163" xr:uid="{AC37D10F-9B93-493A-8798-44C4035A8F99}"/>
    <cellStyle name="Procent 2 4 5 2 3 2" xfId="14522" xr:uid="{DE2F42AB-FAE3-4933-A997-07A97D8D561D}"/>
    <cellStyle name="Procent 2 4 5 2 4" xfId="11800" xr:uid="{4FFA05FC-EDF8-41CE-85FE-9A3A653209BC}"/>
    <cellStyle name="Procent 2 4 5 3" xfId="7202" xr:uid="{00000000-0005-0000-0000-00007B1D0000}"/>
    <cellStyle name="Procent 2 4 5 3 2" xfId="9870" xr:uid="{1F1B7AC3-4715-483C-A2EE-5DD77831D511}"/>
    <cellStyle name="Procent 2 4 5 3 2 2" xfId="15260" xr:uid="{40BB23BF-E3A5-4A53-AC30-A7B521DE3A07}"/>
    <cellStyle name="Procent 2 4 5 3 3" xfId="12507" xr:uid="{D3D5ADD5-F004-4644-BC6C-46399B37F6A8}"/>
    <cellStyle name="Procent 2 4 5 4" xfId="8539" xr:uid="{217F3700-EA77-4974-B6FF-714333FECFF2}"/>
    <cellStyle name="Procent 2 4 5 4 2" xfId="13898" xr:uid="{7F1429E9-0120-40AD-B78F-9CB242C34913}"/>
    <cellStyle name="Procent 2 4 5 5" xfId="11176" xr:uid="{46E07525-8F64-45C2-A967-A95AF36D4BA2}"/>
    <cellStyle name="Procent 2 4 6" xfId="4035" xr:uid="{00000000-0005-0000-0000-00007C1D0000}"/>
    <cellStyle name="Procent 2 4 6 2" xfId="4659" xr:uid="{00000000-0005-0000-0000-00007D1D0000}"/>
    <cellStyle name="Procent 2 4 6 2 2" xfId="7827" xr:uid="{00000000-0005-0000-0000-00007E1D0000}"/>
    <cellStyle name="Procent 2 4 6 2 2 2" xfId="10495" xr:uid="{A492135B-1CC6-4AA6-9C2E-8B6A6F080776}"/>
    <cellStyle name="Procent 2 4 6 2 2 2 2" xfId="15885" xr:uid="{04D4E2EE-D9E1-4C85-9D19-2245CF66DF32}"/>
    <cellStyle name="Procent 2 4 6 2 2 3" xfId="13132" xr:uid="{C67EE376-A767-4079-A35F-1C76B3EE3552}"/>
    <cellStyle name="Procent 2 4 6 2 3" xfId="9164" xr:uid="{1BBAFDEE-5EBC-4311-A622-116AA0930D2C}"/>
    <cellStyle name="Procent 2 4 6 2 3 2" xfId="14523" xr:uid="{1C90C3D4-B99B-4833-A038-06AEDDEB9982}"/>
    <cellStyle name="Procent 2 4 6 2 4" xfId="11801" xr:uid="{9471ED10-6CE6-4C8E-8193-46DD4ECFF4C4}"/>
    <cellStyle name="Procent 2 4 6 3" xfId="7203" xr:uid="{00000000-0005-0000-0000-00007F1D0000}"/>
    <cellStyle name="Procent 2 4 6 3 2" xfId="9871" xr:uid="{7B7290AA-E7F3-4653-AE3F-BE6FA8E34D9B}"/>
    <cellStyle name="Procent 2 4 6 3 2 2" xfId="15261" xr:uid="{01CFB5B0-4CC5-487B-A045-FADAFA94B985}"/>
    <cellStyle name="Procent 2 4 6 3 3" xfId="12508" xr:uid="{5D05A0DD-9F54-4A4E-AA34-1C282826EDAF}"/>
    <cellStyle name="Procent 2 4 6 4" xfId="8540" xr:uid="{B975AE6B-E1F9-4DF8-87A6-C0BC6FF562C7}"/>
    <cellStyle name="Procent 2 4 6 4 2" xfId="13899" xr:uid="{88984C01-0961-468C-8ECD-EE7E924DAB2C}"/>
    <cellStyle name="Procent 2 4 6 5" xfId="11177" xr:uid="{C55E4D90-F4AC-4DF8-92B0-3B2B338E95A1}"/>
    <cellStyle name="Procent 2 4 7" xfId="4028" xr:uid="{00000000-0005-0000-0000-0000801D0000}"/>
    <cellStyle name="Procent 2 4 7 2" xfId="4652" xr:uid="{00000000-0005-0000-0000-0000811D0000}"/>
    <cellStyle name="Procent 2 4 7 2 2" xfId="7820" xr:uid="{00000000-0005-0000-0000-0000821D0000}"/>
    <cellStyle name="Procent 2 4 7 2 2 2" xfId="10488" xr:uid="{04120887-94BF-4402-B8B8-6FCE895D7C89}"/>
    <cellStyle name="Procent 2 4 7 2 2 2 2" xfId="15878" xr:uid="{FC838928-58D3-44E2-B4F6-E754999CD02A}"/>
    <cellStyle name="Procent 2 4 7 2 2 3" xfId="13125" xr:uid="{17EB1827-1AA0-4C97-89F2-B0B767D7054C}"/>
    <cellStyle name="Procent 2 4 7 2 3" xfId="9157" xr:uid="{DA146FB7-4BE5-4E7D-B1AE-12B94230C304}"/>
    <cellStyle name="Procent 2 4 7 2 3 2" xfId="14516" xr:uid="{F6CCBF31-9941-403F-BF8F-DEFA03381AA5}"/>
    <cellStyle name="Procent 2 4 7 2 4" xfId="11794" xr:uid="{C7BE2290-5585-4E0A-94A0-50EF9F74357B}"/>
    <cellStyle name="Procent 2 4 7 3" xfId="7196" xr:uid="{00000000-0005-0000-0000-0000831D0000}"/>
    <cellStyle name="Procent 2 4 7 3 2" xfId="9864" xr:uid="{2E915AD2-DBE0-465A-BC48-322268D9B22D}"/>
    <cellStyle name="Procent 2 4 7 3 2 2" xfId="15254" xr:uid="{70ED3389-BC5F-4FB2-A3B8-A68D4655D73A}"/>
    <cellStyle name="Procent 2 4 7 3 3" xfId="12501" xr:uid="{6B5F0818-5596-4789-9563-F0B1110273BF}"/>
    <cellStyle name="Procent 2 4 7 4" xfId="8533" xr:uid="{953CEFC9-A85F-4415-A32C-B5D8BD0367E7}"/>
    <cellStyle name="Procent 2 4 7 4 2" xfId="13892" xr:uid="{85DC9C4E-B21E-43B9-B3E4-F7147D852DEA}"/>
    <cellStyle name="Procent 2 4 7 5" xfId="11170" xr:uid="{388D8114-7450-46A3-97D0-F5DFEEAECD02}"/>
    <cellStyle name="Procent 2 4 8" xfId="4141" xr:uid="{00000000-0005-0000-0000-0000841D0000}"/>
    <cellStyle name="Procent 2 4 8 2" xfId="7309" xr:uid="{00000000-0005-0000-0000-0000851D0000}"/>
    <cellStyle name="Procent 2 4 8 2 2" xfId="9977" xr:uid="{7BC3391D-039D-46BE-BBBC-8DE804B4B837}"/>
    <cellStyle name="Procent 2 4 8 2 2 2" xfId="15367" xr:uid="{B64B1B38-B65B-4531-A6B1-E79194226E90}"/>
    <cellStyle name="Procent 2 4 8 2 3" xfId="12614" xr:uid="{5C18651C-BF07-44ED-97CD-489EEC5FBA1A}"/>
    <cellStyle name="Procent 2 4 8 3" xfId="8646" xr:uid="{FA07EC63-BD3C-4F91-BE8E-29D3C5C48033}"/>
    <cellStyle name="Procent 2 4 8 3 2" xfId="14005" xr:uid="{27BFDFD7-109A-484C-A3D7-6C61B60E1658}"/>
    <cellStyle name="Procent 2 4 8 4" xfId="11283" xr:uid="{9B5F3929-3CDF-43D0-9F07-3A1433EE5A23}"/>
    <cellStyle name="Procent 2 4 9" xfId="6698" xr:uid="{00000000-0005-0000-0000-0000861D0000}"/>
    <cellStyle name="Procent 2 4 9 2" xfId="9366" xr:uid="{B04A48FA-3CC6-4FEC-9613-E2E6857A64EE}"/>
    <cellStyle name="Procent 2 4 9 2 2" xfId="14756" xr:uid="{E80C4EFC-7490-4CAD-8734-65BA8E91F2B6}"/>
    <cellStyle name="Procent 2 4 9 3" xfId="12003" xr:uid="{38D427A6-3C35-4F8F-8706-F2D957B637AC}"/>
    <cellStyle name="Procent 2 5" xfId="3383" xr:uid="{00000000-0005-0000-0000-0000871D0000}"/>
    <cellStyle name="Procent 2 5 2" xfId="4037" xr:uid="{00000000-0005-0000-0000-0000881D0000}"/>
    <cellStyle name="Procent 2 5 2 2" xfId="4038" xr:uid="{00000000-0005-0000-0000-0000891D0000}"/>
    <cellStyle name="Procent 2 5 2 2 2" xfId="4662" xr:uid="{00000000-0005-0000-0000-00008A1D0000}"/>
    <cellStyle name="Procent 2 5 2 2 2 2" xfId="7830" xr:uid="{00000000-0005-0000-0000-00008B1D0000}"/>
    <cellStyle name="Procent 2 5 2 2 2 2 2" xfId="10498" xr:uid="{0BBD9024-9366-4847-B60A-1DBDA44FC8D7}"/>
    <cellStyle name="Procent 2 5 2 2 2 2 2 2" xfId="15888" xr:uid="{5BE76A68-01B1-48BD-ADF8-1D5C37C5C66F}"/>
    <cellStyle name="Procent 2 5 2 2 2 2 3" xfId="13135" xr:uid="{92658C9C-7255-4B6A-BF00-0958F6FABCC1}"/>
    <cellStyle name="Procent 2 5 2 2 2 3" xfId="9167" xr:uid="{F192C891-E8D7-442A-9705-4B812B9F392D}"/>
    <cellStyle name="Procent 2 5 2 2 2 3 2" xfId="14526" xr:uid="{16FDE156-8970-4999-9B37-6BB1A4802F1A}"/>
    <cellStyle name="Procent 2 5 2 2 2 4" xfId="11804" xr:uid="{0F667E14-808B-468E-BE9C-9176E979C2A5}"/>
    <cellStyle name="Procent 2 5 2 2 3" xfId="7206" xr:uid="{00000000-0005-0000-0000-00008C1D0000}"/>
    <cellStyle name="Procent 2 5 2 2 3 2" xfId="9874" xr:uid="{C5D7CB9C-6843-49B6-8DC7-896D124A3DA1}"/>
    <cellStyle name="Procent 2 5 2 2 3 2 2" xfId="15264" xr:uid="{562F26D7-0A42-4C3E-886D-102FE47D03E7}"/>
    <cellStyle name="Procent 2 5 2 2 3 3" xfId="12511" xr:uid="{761294BF-2CC8-45AB-8FED-221C834C2F5B}"/>
    <cellStyle name="Procent 2 5 2 2 4" xfId="8543" xr:uid="{A7674158-F479-4A9F-96AB-E2001955E71F}"/>
    <cellStyle name="Procent 2 5 2 2 4 2" xfId="13902" xr:uid="{17774B53-4DCD-4FB3-B4E8-60C79B413E36}"/>
    <cellStyle name="Procent 2 5 2 2 5" xfId="11180" xr:uid="{A896DA17-A6F4-42C3-AB3C-7D488541240B}"/>
    <cellStyle name="Procent 2 5 2 3" xfId="4039" xr:uid="{00000000-0005-0000-0000-00008D1D0000}"/>
    <cellStyle name="Procent 2 5 2 3 2" xfId="4663" xr:uid="{00000000-0005-0000-0000-00008E1D0000}"/>
    <cellStyle name="Procent 2 5 2 3 2 2" xfId="7831" xr:uid="{00000000-0005-0000-0000-00008F1D0000}"/>
    <cellStyle name="Procent 2 5 2 3 2 2 2" xfId="10499" xr:uid="{E1A85E0A-6985-4080-B684-DC01D9DFE999}"/>
    <cellStyle name="Procent 2 5 2 3 2 2 2 2" xfId="15889" xr:uid="{6B85F760-B5D3-4842-95E2-2855307C51F7}"/>
    <cellStyle name="Procent 2 5 2 3 2 2 3" xfId="13136" xr:uid="{FD57FA8D-6BCA-48A8-803A-7E4A1CCBF23E}"/>
    <cellStyle name="Procent 2 5 2 3 2 3" xfId="9168" xr:uid="{3E5C8C21-2AC9-4D90-AA18-9AEDA9F04180}"/>
    <cellStyle name="Procent 2 5 2 3 2 3 2" xfId="14527" xr:uid="{4F16BF2C-9E17-4F6D-8ACB-A5D6A12E120C}"/>
    <cellStyle name="Procent 2 5 2 3 2 4" xfId="11805" xr:uid="{BE5FAE95-CF0D-47FF-87C1-12E67EB136E3}"/>
    <cellStyle name="Procent 2 5 2 3 3" xfId="7207" xr:uid="{00000000-0005-0000-0000-0000901D0000}"/>
    <cellStyle name="Procent 2 5 2 3 3 2" xfId="9875" xr:uid="{7414DE99-9089-4315-963E-E9D77767195A}"/>
    <cellStyle name="Procent 2 5 2 3 3 2 2" xfId="15265" xr:uid="{8F5586C3-80A8-4DA5-9426-282D9009AB39}"/>
    <cellStyle name="Procent 2 5 2 3 3 3" xfId="12512" xr:uid="{4A97D607-14A8-43FB-984D-C70DA2AA2DE8}"/>
    <cellStyle name="Procent 2 5 2 3 4" xfId="8544" xr:uid="{C4526ACF-770D-4232-87E5-3BC822F1EF31}"/>
    <cellStyle name="Procent 2 5 2 3 4 2" xfId="13903" xr:uid="{D58A5E88-F771-41A3-B51E-C18F6EE17D48}"/>
    <cellStyle name="Procent 2 5 2 3 5" xfId="11181" xr:uid="{0F2AC588-BBF7-406F-83E8-C1AD0F7BEF4E}"/>
    <cellStyle name="Procent 2 5 2 4" xfId="4661" xr:uid="{00000000-0005-0000-0000-0000911D0000}"/>
    <cellStyle name="Procent 2 5 2 4 2" xfId="7829" xr:uid="{00000000-0005-0000-0000-0000921D0000}"/>
    <cellStyle name="Procent 2 5 2 4 2 2" xfId="10497" xr:uid="{590178B0-3717-4ADF-AF05-5599B01A642F}"/>
    <cellStyle name="Procent 2 5 2 4 2 2 2" xfId="15887" xr:uid="{F230BFD8-2D26-4016-868F-D99CF6A89CC1}"/>
    <cellStyle name="Procent 2 5 2 4 2 3" xfId="13134" xr:uid="{076E5F1F-7DA8-4CA3-84EC-4B06FE9B5493}"/>
    <cellStyle name="Procent 2 5 2 4 3" xfId="9166" xr:uid="{054E5C8D-2EA5-4EBC-B61C-579E75B775B3}"/>
    <cellStyle name="Procent 2 5 2 4 3 2" xfId="14525" xr:uid="{C9E196BA-CA68-4DC3-837E-1045DF50ACB6}"/>
    <cellStyle name="Procent 2 5 2 4 4" xfId="11803" xr:uid="{5CD73158-4F5D-4419-BDC6-B1AA0DC94905}"/>
    <cellStyle name="Procent 2 5 2 5" xfId="7205" xr:uid="{00000000-0005-0000-0000-0000931D0000}"/>
    <cellStyle name="Procent 2 5 2 5 2" xfId="9873" xr:uid="{1A4F22FA-CAFB-4E28-87DD-07E5310A507A}"/>
    <cellStyle name="Procent 2 5 2 5 2 2" xfId="15263" xr:uid="{5C9202A7-F5B7-4FA7-A80C-497681FECDE3}"/>
    <cellStyle name="Procent 2 5 2 5 3" xfId="12510" xr:uid="{63A7EFF7-FD9B-4750-83C0-2F09FBFD4422}"/>
    <cellStyle name="Procent 2 5 2 6" xfId="8542" xr:uid="{6DF36D96-5E7F-43DB-A260-742ABD537A5F}"/>
    <cellStyle name="Procent 2 5 2 6 2" xfId="13901" xr:uid="{2F3B7A0F-8CC4-470F-8274-A19F058BD53F}"/>
    <cellStyle name="Procent 2 5 2 7" xfId="11179" xr:uid="{A6D9E3EA-1E72-4F14-AB54-EF62CB7A581B}"/>
    <cellStyle name="Procent 2 5 3" xfId="4040" xr:uid="{00000000-0005-0000-0000-0000941D0000}"/>
    <cellStyle name="Procent 2 5 3 2" xfId="4664" xr:uid="{00000000-0005-0000-0000-0000951D0000}"/>
    <cellStyle name="Procent 2 5 3 2 2" xfId="7832" xr:uid="{00000000-0005-0000-0000-0000961D0000}"/>
    <cellStyle name="Procent 2 5 3 2 2 2" xfId="10500" xr:uid="{D6B9A7EF-F734-4253-AA87-BB71CF99B8B0}"/>
    <cellStyle name="Procent 2 5 3 2 2 2 2" xfId="15890" xr:uid="{A16DCA6A-DCC5-45EA-A03A-7B636FB194A7}"/>
    <cellStyle name="Procent 2 5 3 2 2 3" xfId="13137" xr:uid="{049A1945-C8AA-49A5-BB9A-2B4F1A6640A9}"/>
    <cellStyle name="Procent 2 5 3 2 3" xfId="9169" xr:uid="{AFA35E87-54BD-4885-8E00-3D328698C301}"/>
    <cellStyle name="Procent 2 5 3 2 3 2" xfId="14528" xr:uid="{80346F1E-C0AE-4E91-B9F7-036D531DA38F}"/>
    <cellStyle name="Procent 2 5 3 2 4" xfId="11806" xr:uid="{003B2061-41CA-49F0-9216-B5C7A154C1D3}"/>
    <cellStyle name="Procent 2 5 3 3" xfId="7208" xr:uid="{00000000-0005-0000-0000-0000971D0000}"/>
    <cellStyle name="Procent 2 5 3 3 2" xfId="9876" xr:uid="{25736ACC-0DC1-42C2-9953-3EDEF9AF9039}"/>
    <cellStyle name="Procent 2 5 3 3 2 2" xfId="15266" xr:uid="{37A133D4-F9B4-4B37-9D39-D7470917CC2B}"/>
    <cellStyle name="Procent 2 5 3 3 3" xfId="12513" xr:uid="{B4C46C19-208B-459D-AA8A-CFC0CEA8C14E}"/>
    <cellStyle name="Procent 2 5 3 4" xfId="8545" xr:uid="{15818A28-1EBE-4927-8824-69142ED0978A}"/>
    <cellStyle name="Procent 2 5 3 4 2" xfId="13904" xr:uid="{F481C0CD-0BAB-4B87-982A-D1E18B9E5C03}"/>
    <cellStyle name="Procent 2 5 3 5" xfId="11182" xr:uid="{4F61D8C0-C9DA-4175-8556-84101BB90478}"/>
    <cellStyle name="Procent 2 5 4" xfId="4041" xr:uid="{00000000-0005-0000-0000-0000981D0000}"/>
    <cellStyle name="Procent 2 5 4 2" xfId="4665" xr:uid="{00000000-0005-0000-0000-0000991D0000}"/>
    <cellStyle name="Procent 2 5 4 2 2" xfId="7833" xr:uid="{00000000-0005-0000-0000-00009A1D0000}"/>
    <cellStyle name="Procent 2 5 4 2 2 2" xfId="10501" xr:uid="{42454538-250D-434A-8606-97D91120DC09}"/>
    <cellStyle name="Procent 2 5 4 2 2 2 2" xfId="15891" xr:uid="{17CCBDCA-14DC-4563-A1A5-E9CCA489525D}"/>
    <cellStyle name="Procent 2 5 4 2 2 3" xfId="13138" xr:uid="{D66A2517-BFF5-4936-815B-BFC372B2825B}"/>
    <cellStyle name="Procent 2 5 4 2 3" xfId="9170" xr:uid="{45297068-6206-48C6-8321-A0CB345C1395}"/>
    <cellStyle name="Procent 2 5 4 2 3 2" xfId="14529" xr:uid="{54C3B933-A955-4691-99A5-75973C6BB9D2}"/>
    <cellStyle name="Procent 2 5 4 2 4" xfId="11807" xr:uid="{D937D4E9-F8F8-40E5-9925-89CE2F88454C}"/>
    <cellStyle name="Procent 2 5 4 3" xfId="7209" xr:uid="{00000000-0005-0000-0000-00009B1D0000}"/>
    <cellStyle name="Procent 2 5 4 3 2" xfId="9877" xr:uid="{BC19D650-203F-42B9-B243-3BD06D1D80C9}"/>
    <cellStyle name="Procent 2 5 4 3 2 2" xfId="15267" xr:uid="{79C8C6F5-7A23-426A-B750-4F7538F885D2}"/>
    <cellStyle name="Procent 2 5 4 3 3" xfId="12514" xr:uid="{82FAE2A2-8930-4AA5-B766-3AC4F3C23B55}"/>
    <cellStyle name="Procent 2 5 4 4" xfId="8546" xr:uid="{398C7853-D21F-4C3C-A65B-DC51F78A2836}"/>
    <cellStyle name="Procent 2 5 4 4 2" xfId="13905" xr:uid="{83148495-F8DF-4B01-83A7-FC799CABC65C}"/>
    <cellStyle name="Procent 2 5 4 5" xfId="11183" xr:uid="{CCF8A3D5-95CD-492D-869B-1314DBA865C6}"/>
    <cellStyle name="Procent 2 5 5" xfId="4042" xr:uid="{00000000-0005-0000-0000-00009C1D0000}"/>
    <cellStyle name="Procent 2 5 5 2" xfId="4666" xr:uid="{00000000-0005-0000-0000-00009D1D0000}"/>
    <cellStyle name="Procent 2 5 5 2 2" xfId="7834" xr:uid="{00000000-0005-0000-0000-00009E1D0000}"/>
    <cellStyle name="Procent 2 5 5 2 2 2" xfId="10502" xr:uid="{CFC02F82-7D22-4692-935C-5E4A1D84395B}"/>
    <cellStyle name="Procent 2 5 5 2 2 2 2" xfId="15892" xr:uid="{AA7B27AF-A03A-4615-9A8E-581F34EF521B}"/>
    <cellStyle name="Procent 2 5 5 2 2 3" xfId="13139" xr:uid="{A8F06FFD-D32B-4422-B1B7-FBA4DDEFA4F5}"/>
    <cellStyle name="Procent 2 5 5 2 3" xfId="9171" xr:uid="{C363B1CF-8128-449D-8E80-847CA2A53AEC}"/>
    <cellStyle name="Procent 2 5 5 2 3 2" xfId="14530" xr:uid="{CEFCA696-734D-4753-87A8-381198287E37}"/>
    <cellStyle name="Procent 2 5 5 2 4" xfId="11808" xr:uid="{CD6C7901-1DD7-4E0A-97F6-9E7C4461AF70}"/>
    <cellStyle name="Procent 2 5 5 3" xfId="7210" xr:uid="{00000000-0005-0000-0000-00009F1D0000}"/>
    <cellStyle name="Procent 2 5 5 3 2" xfId="9878" xr:uid="{03FA0968-C143-4B6D-9D28-A8E6CC83C7A2}"/>
    <cellStyle name="Procent 2 5 5 3 2 2" xfId="15268" xr:uid="{0EF76489-9E9B-4633-93AF-AB1ABA4396BB}"/>
    <cellStyle name="Procent 2 5 5 3 3" xfId="12515" xr:uid="{F86574D4-3BB7-4AA6-BFD7-07188E5DE0A4}"/>
    <cellStyle name="Procent 2 5 5 4" xfId="8547" xr:uid="{34C14A91-83EC-4D3B-82DC-7BD7BF7572FF}"/>
    <cellStyle name="Procent 2 5 5 4 2" xfId="13906" xr:uid="{828B3158-4EB4-4678-9BC2-3B25F6DF280B}"/>
    <cellStyle name="Procent 2 5 5 5" xfId="11184" xr:uid="{F2DF3347-9FA6-40CD-BCBD-3022DDC46C4B}"/>
    <cellStyle name="Procent 2 5 6" xfId="4036" xr:uid="{00000000-0005-0000-0000-0000A01D0000}"/>
    <cellStyle name="Procent 2 5 6 2" xfId="4660" xr:uid="{00000000-0005-0000-0000-0000A11D0000}"/>
    <cellStyle name="Procent 2 5 6 2 2" xfId="7828" xr:uid="{00000000-0005-0000-0000-0000A21D0000}"/>
    <cellStyle name="Procent 2 5 6 2 2 2" xfId="10496" xr:uid="{E3EF3CEE-ECFE-4831-A5B6-7F5A915BB45B}"/>
    <cellStyle name="Procent 2 5 6 2 2 2 2" xfId="15886" xr:uid="{4B7A05F0-5285-4DF8-A014-C7A7D24AE8C0}"/>
    <cellStyle name="Procent 2 5 6 2 2 3" xfId="13133" xr:uid="{D3E3C14C-4BD5-4A40-A0A7-B852F0FE00DA}"/>
    <cellStyle name="Procent 2 5 6 2 3" xfId="9165" xr:uid="{99EAF94E-D32C-471E-A19F-739CBBFE700E}"/>
    <cellStyle name="Procent 2 5 6 2 3 2" xfId="14524" xr:uid="{17B17256-38D8-4B0C-A4DC-7CBCCEF4726B}"/>
    <cellStyle name="Procent 2 5 6 2 4" xfId="11802" xr:uid="{9661E044-B780-4E1E-9B03-4302FDF44DAF}"/>
    <cellStyle name="Procent 2 5 6 3" xfId="7204" xr:uid="{00000000-0005-0000-0000-0000A31D0000}"/>
    <cellStyle name="Procent 2 5 6 3 2" xfId="9872" xr:uid="{532A4CC0-825E-4C60-8B2D-B56554AEFB18}"/>
    <cellStyle name="Procent 2 5 6 3 2 2" xfId="15262" xr:uid="{6B5834DD-F1A7-4C4C-8233-24EA2A403E64}"/>
    <cellStyle name="Procent 2 5 6 3 3" xfId="12509" xr:uid="{F7AFA563-619B-4851-8303-90D84580016A}"/>
    <cellStyle name="Procent 2 5 6 4" xfId="8541" xr:uid="{5E29811D-8035-4266-8B7B-83F554DD8195}"/>
    <cellStyle name="Procent 2 5 6 4 2" xfId="13900" xr:uid="{F566CFDD-51B1-43FD-9C18-0B71758D66E2}"/>
    <cellStyle name="Procent 2 5 6 5" xfId="11178" xr:uid="{56779451-CF3F-4E43-990E-D39956AF90C7}"/>
    <cellStyle name="Procent 2 6" xfId="4043" xr:uid="{00000000-0005-0000-0000-0000A41D0000}"/>
    <cellStyle name="Procent 2 6 2" xfId="4044" xr:uid="{00000000-0005-0000-0000-0000A51D0000}"/>
    <cellStyle name="Procent 2 6 2 2" xfId="4045" xr:uid="{00000000-0005-0000-0000-0000A61D0000}"/>
    <cellStyle name="Procent 2 6 2 2 2" xfId="4669" xr:uid="{00000000-0005-0000-0000-0000A71D0000}"/>
    <cellStyle name="Procent 2 6 2 2 2 2" xfId="7837" xr:uid="{00000000-0005-0000-0000-0000A81D0000}"/>
    <cellStyle name="Procent 2 6 2 2 2 2 2" xfId="10505" xr:uid="{4F278ECD-CB43-4DEF-A20D-8E998DF14935}"/>
    <cellStyle name="Procent 2 6 2 2 2 2 2 2" xfId="15895" xr:uid="{A2E54610-8261-4054-BC1C-28F674981FB1}"/>
    <cellStyle name="Procent 2 6 2 2 2 2 3" xfId="13142" xr:uid="{208DB44C-4466-450D-87D4-91D923E57CB5}"/>
    <cellStyle name="Procent 2 6 2 2 2 3" xfId="9174" xr:uid="{91E153D1-DFCB-45E2-AF84-8A5584F71FA7}"/>
    <cellStyle name="Procent 2 6 2 2 2 3 2" xfId="14533" xr:uid="{616EDE3F-9D60-4951-A05D-85E9E3449176}"/>
    <cellStyle name="Procent 2 6 2 2 2 4" xfId="11811" xr:uid="{7466ED78-0673-4622-A243-E4EFBB977599}"/>
    <cellStyle name="Procent 2 6 2 2 3" xfId="7213" xr:uid="{00000000-0005-0000-0000-0000A91D0000}"/>
    <cellStyle name="Procent 2 6 2 2 3 2" xfId="9881" xr:uid="{7CC0BF41-8DEC-4664-BFB7-505D6325D5F6}"/>
    <cellStyle name="Procent 2 6 2 2 3 2 2" xfId="15271" xr:uid="{38627F7B-4398-4267-BCA9-E65EB76A6B3F}"/>
    <cellStyle name="Procent 2 6 2 2 3 3" xfId="12518" xr:uid="{D5AA7069-5794-4DCF-88A9-0D5554DFE25E}"/>
    <cellStyle name="Procent 2 6 2 2 4" xfId="8550" xr:uid="{A624920A-2972-48AE-A5A0-87BFE6E37925}"/>
    <cellStyle name="Procent 2 6 2 2 4 2" xfId="13909" xr:uid="{74FAE696-7AD2-4CFD-B74B-0E1D60A2DF22}"/>
    <cellStyle name="Procent 2 6 2 2 5" xfId="11187" xr:uid="{5C26E94E-2867-4347-95DE-6008DED2029B}"/>
    <cellStyle name="Procent 2 6 2 3" xfId="4046" xr:uid="{00000000-0005-0000-0000-0000AA1D0000}"/>
    <cellStyle name="Procent 2 6 2 3 2" xfId="4670" xr:uid="{00000000-0005-0000-0000-0000AB1D0000}"/>
    <cellStyle name="Procent 2 6 2 3 2 2" xfId="7838" xr:uid="{00000000-0005-0000-0000-0000AC1D0000}"/>
    <cellStyle name="Procent 2 6 2 3 2 2 2" xfId="10506" xr:uid="{45E830AA-26E6-482C-8F0E-59BC3FFF9771}"/>
    <cellStyle name="Procent 2 6 2 3 2 2 2 2" xfId="15896" xr:uid="{87BE0539-066C-4839-BF5C-0B9E6424ED86}"/>
    <cellStyle name="Procent 2 6 2 3 2 2 3" xfId="13143" xr:uid="{6E94DD1A-228A-45DB-B92F-CC6F681CD62E}"/>
    <cellStyle name="Procent 2 6 2 3 2 3" xfId="9175" xr:uid="{0DA2148A-F683-45AC-9A2F-347ED38A7BBE}"/>
    <cellStyle name="Procent 2 6 2 3 2 3 2" xfId="14534" xr:uid="{7797C381-1D46-4229-BD14-9F8CA431E8CF}"/>
    <cellStyle name="Procent 2 6 2 3 2 4" xfId="11812" xr:uid="{6BE1363E-869E-4ACC-AE9D-F6E0F7B1F897}"/>
    <cellStyle name="Procent 2 6 2 3 3" xfId="7214" xr:uid="{00000000-0005-0000-0000-0000AD1D0000}"/>
    <cellStyle name="Procent 2 6 2 3 3 2" xfId="9882" xr:uid="{55CA6940-CDCB-4FA3-A71F-75653FD74040}"/>
    <cellStyle name="Procent 2 6 2 3 3 2 2" xfId="15272" xr:uid="{22833974-F27E-4DAC-B839-946E9D9F4EE1}"/>
    <cellStyle name="Procent 2 6 2 3 3 3" xfId="12519" xr:uid="{6213661B-2DC8-42E0-B213-A6363DC4FD2C}"/>
    <cellStyle name="Procent 2 6 2 3 4" xfId="8551" xr:uid="{69FFBAD7-71F7-4FAA-BD9A-124C4043F0A1}"/>
    <cellStyle name="Procent 2 6 2 3 4 2" xfId="13910" xr:uid="{0086B7DC-EEE3-44F5-8A71-42DA6B81B544}"/>
    <cellStyle name="Procent 2 6 2 3 5" xfId="11188" xr:uid="{CD66ADBB-0E34-46A2-A3C7-A4928DC4A38C}"/>
    <cellStyle name="Procent 2 6 2 4" xfId="4668" xr:uid="{00000000-0005-0000-0000-0000AE1D0000}"/>
    <cellStyle name="Procent 2 6 2 4 2" xfId="7836" xr:uid="{00000000-0005-0000-0000-0000AF1D0000}"/>
    <cellStyle name="Procent 2 6 2 4 2 2" xfId="10504" xr:uid="{860F31B1-3CE2-46CC-A55E-96F62BEC186F}"/>
    <cellStyle name="Procent 2 6 2 4 2 2 2" xfId="15894" xr:uid="{F8783115-0F9D-41FD-AA33-29D2B0122851}"/>
    <cellStyle name="Procent 2 6 2 4 2 3" xfId="13141" xr:uid="{D5F13894-0C3F-483E-8C4B-AAABDEF9CEF3}"/>
    <cellStyle name="Procent 2 6 2 4 3" xfId="9173" xr:uid="{A1260CFB-40F7-45F6-9C3B-989B60EC791A}"/>
    <cellStyle name="Procent 2 6 2 4 3 2" xfId="14532" xr:uid="{A82E5694-580D-44F2-AA0D-29D395B0BA87}"/>
    <cellStyle name="Procent 2 6 2 4 4" xfId="11810" xr:uid="{26616269-0FDB-48C9-8BA2-E9627F8116F2}"/>
    <cellStyle name="Procent 2 6 2 5" xfId="7212" xr:uid="{00000000-0005-0000-0000-0000B01D0000}"/>
    <cellStyle name="Procent 2 6 2 5 2" xfId="9880" xr:uid="{B629BCAD-E255-4756-B93F-2EA97C72EED3}"/>
    <cellStyle name="Procent 2 6 2 5 2 2" xfId="15270" xr:uid="{9F28A84D-3B67-4E90-A3CE-6E6C321A4971}"/>
    <cellStyle name="Procent 2 6 2 5 3" xfId="12517" xr:uid="{BE8553B5-21D7-4BF7-BA0C-BB57BBBFD03A}"/>
    <cellStyle name="Procent 2 6 2 6" xfId="8549" xr:uid="{FF3DF334-6ABF-4BF3-889B-7D94BFD4D7EE}"/>
    <cellStyle name="Procent 2 6 2 6 2" xfId="13908" xr:uid="{B1F65143-7B5F-43AD-A55A-F47AD2D3B769}"/>
    <cellStyle name="Procent 2 6 2 7" xfId="11186" xr:uid="{DA2D8520-27EE-4CEC-A79B-78CEA9CE10DB}"/>
    <cellStyle name="Procent 2 6 3" xfId="4047" xr:uid="{00000000-0005-0000-0000-0000B11D0000}"/>
    <cellStyle name="Procent 2 6 3 2" xfId="4671" xr:uid="{00000000-0005-0000-0000-0000B21D0000}"/>
    <cellStyle name="Procent 2 6 3 2 2" xfId="7839" xr:uid="{00000000-0005-0000-0000-0000B31D0000}"/>
    <cellStyle name="Procent 2 6 3 2 2 2" xfId="10507" xr:uid="{389B8B13-E4DF-4B7B-BAA7-1381E9A249D1}"/>
    <cellStyle name="Procent 2 6 3 2 2 2 2" xfId="15897" xr:uid="{9A3DA011-5A36-4EF3-A121-6D8FA0CBE3D6}"/>
    <cellStyle name="Procent 2 6 3 2 2 3" xfId="13144" xr:uid="{C28A6702-DE67-4156-851C-B4BB565A8CE9}"/>
    <cellStyle name="Procent 2 6 3 2 3" xfId="9176" xr:uid="{C3931775-D25F-4C24-85ED-203F1CB57449}"/>
    <cellStyle name="Procent 2 6 3 2 3 2" xfId="14535" xr:uid="{1F8DD94D-851A-4D73-A692-27D9423E0C00}"/>
    <cellStyle name="Procent 2 6 3 2 4" xfId="11813" xr:uid="{6472C6BB-E63B-4DCA-814E-8CC4DE96CA33}"/>
    <cellStyle name="Procent 2 6 3 3" xfId="7215" xr:uid="{00000000-0005-0000-0000-0000B41D0000}"/>
    <cellStyle name="Procent 2 6 3 3 2" xfId="9883" xr:uid="{4E8EE36C-33D6-4B75-95F2-FF89CAD2A7C7}"/>
    <cellStyle name="Procent 2 6 3 3 2 2" xfId="15273" xr:uid="{E8FEA91E-97E0-4DC9-8BAE-8560C996C4E6}"/>
    <cellStyle name="Procent 2 6 3 3 3" xfId="12520" xr:uid="{D9CBA257-E396-4E20-9C60-038C8F4F25C3}"/>
    <cellStyle name="Procent 2 6 3 4" xfId="8552" xr:uid="{6B17790A-6C7F-4643-AB8E-4890681B0FD5}"/>
    <cellStyle name="Procent 2 6 3 4 2" xfId="13911" xr:uid="{445ED55A-8CCB-4C9C-9941-83BF11293DA9}"/>
    <cellStyle name="Procent 2 6 3 5" xfId="11189" xr:uid="{29226EC4-58A5-42AE-AFB9-9A0DD7D99735}"/>
    <cellStyle name="Procent 2 6 4" xfId="4048" xr:uid="{00000000-0005-0000-0000-0000B51D0000}"/>
    <cellStyle name="Procent 2 6 4 2" xfId="4672" xr:uid="{00000000-0005-0000-0000-0000B61D0000}"/>
    <cellStyle name="Procent 2 6 4 2 2" xfId="7840" xr:uid="{00000000-0005-0000-0000-0000B71D0000}"/>
    <cellStyle name="Procent 2 6 4 2 2 2" xfId="10508" xr:uid="{A1590E7D-3F0C-4AC1-8A59-AF2C85C02C9B}"/>
    <cellStyle name="Procent 2 6 4 2 2 2 2" xfId="15898" xr:uid="{9F0BD309-5D85-4A52-A042-A20245412E67}"/>
    <cellStyle name="Procent 2 6 4 2 2 3" xfId="13145" xr:uid="{0E40B1FA-7027-4750-8EA0-E0BDE06051E9}"/>
    <cellStyle name="Procent 2 6 4 2 3" xfId="9177" xr:uid="{A68F63C7-D69A-442F-985C-BC89CF2F004F}"/>
    <cellStyle name="Procent 2 6 4 2 3 2" xfId="14536" xr:uid="{929E24C9-9017-478F-9BFD-28BF092C9448}"/>
    <cellStyle name="Procent 2 6 4 2 4" xfId="11814" xr:uid="{FC5545B7-32F8-4C78-AB85-AF19246F0893}"/>
    <cellStyle name="Procent 2 6 4 3" xfId="7216" xr:uid="{00000000-0005-0000-0000-0000B81D0000}"/>
    <cellStyle name="Procent 2 6 4 3 2" xfId="9884" xr:uid="{D6832EAF-65A9-4778-8059-4F7F5B435D3E}"/>
    <cellStyle name="Procent 2 6 4 3 2 2" xfId="15274" xr:uid="{E8FFE0C3-BD3A-4441-9C72-854260CEB249}"/>
    <cellStyle name="Procent 2 6 4 3 3" xfId="12521" xr:uid="{EF1EDAED-3360-4891-81A5-4850EDC5B8AA}"/>
    <cellStyle name="Procent 2 6 4 4" xfId="8553" xr:uid="{14580434-66FB-4514-A823-65011BFEDCB0}"/>
    <cellStyle name="Procent 2 6 4 4 2" xfId="13912" xr:uid="{B72E47B7-88F4-4739-B606-2F26CDE21CE8}"/>
    <cellStyle name="Procent 2 6 4 5" xfId="11190" xr:uid="{4DA68483-D77F-43CA-8D81-B51674E3DF2C}"/>
    <cellStyle name="Procent 2 6 5" xfId="4049" xr:uid="{00000000-0005-0000-0000-0000B91D0000}"/>
    <cellStyle name="Procent 2 6 5 2" xfId="4673" xr:uid="{00000000-0005-0000-0000-0000BA1D0000}"/>
    <cellStyle name="Procent 2 6 5 2 2" xfId="7841" xr:uid="{00000000-0005-0000-0000-0000BB1D0000}"/>
    <cellStyle name="Procent 2 6 5 2 2 2" xfId="10509" xr:uid="{FB500599-856E-42CC-9F5C-4C9317D15C23}"/>
    <cellStyle name="Procent 2 6 5 2 2 2 2" xfId="15899" xr:uid="{E9FBFD2C-C98C-45A6-8DA9-37D8B5E978D5}"/>
    <cellStyle name="Procent 2 6 5 2 2 3" xfId="13146" xr:uid="{6C6B2B07-BD7D-4AE5-A945-589B402C5252}"/>
    <cellStyle name="Procent 2 6 5 2 3" xfId="9178" xr:uid="{EA7F6AC4-04B2-4067-8F7B-4756215D50B0}"/>
    <cellStyle name="Procent 2 6 5 2 3 2" xfId="14537" xr:uid="{C11BA3E3-EF38-4930-A12C-F81FEFC952F7}"/>
    <cellStyle name="Procent 2 6 5 2 4" xfId="11815" xr:uid="{09AF35AB-96C0-41BB-9E65-A8F3ADFC9630}"/>
    <cellStyle name="Procent 2 6 5 3" xfId="7217" xr:uid="{00000000-0005-0000-0000-0000BC1D0000}"/>
    <cellStyle name="Procent 2 6 5 3 2" xfId="9885" xr:uid="{71A4DB98-CDA1-4206-999A-55A0B47241FA}"/>
    <cellStyle name="Procent 2 6 5 3 2 2" xfId="15275" xr:uid="{AC49177F-6FAC-4903-933F-DE16509D35B9}"/>
    <cellStyle name="Procent 2 6 5 3 3" xfId="12522" xr:uid="{69C8AE45-5C8E-4BA6-9FE1-BEB50BEDDBEA}"/>
    <cellStyle name="Procent 2 6 5 4" xfId="8554" xr:uid="{DE1EC676-C05F-43D3-B74C-7E8999CD27A6}"/>
    <cellStyle name="Procent 2 6 5 4 2" xfId="13913" xr:uid="{6E4EA9F4-4816-4223-9F9A-7BAF489325D6}"/>
    <cellStyle name="Procent 2 6 5 5" xfId="11191" xr:uid="{466AEFBC-B8CF-46E1-91CF-131E55349A0D}"/>
    <cellStyle name="Procent 2 6 6" xfId="4667" xr:uid="{00000000-0005-0000-0000-0000BD1D0000}"/>
    <cellStyle name="Procent 2 6 6 2" xfId="7835" xr:uid="{00000000-0005-0000-0000-0000BE1D0000}"/>
    <cellStyle name="Procent 2 6 6 2 2" xfId="10503" xr:uid="{8AB74ECB-8130-4E0D-9243-754BFF892AC4}"/>
    <cellStyle name="Procent 2 6 6 2 2 2" xfId="15893" xr:uid="{42D4E0C4-CCE2-4FF8-A184-B7720DA6767C}"/>
    <cellStyle name="Procent 2 6 6 2 3" xfId="13140" xr:uid="{7FC3F972-A29E-4CB8-960E-F3C037C3EC7B}"/>
    <cellStyle name="Procent 2 6 6 3" xfId="9172" xr:uid="{F454F22B-D4A4-4F6A-885F-D440EA944643}"/>
    <cellStyle name="Procent 2 6 6 3 2" xfId="14531" xr:uid="{FCDCF2F0-DA19-4CA6-A73C-D11C5DC2F986}"/>
    <cellStyle name="Procent 2 6 6 4" xfId="11809" xr:uid="{E9C76BF9-A939-4B7C-A577-D33D20FD91ED}"/>
    <cellStyle name="Procent 2 6 7" xfId="7211" xr:uid="{00000000-0005-0000-0000-0000BF1D0000}"/>
    <cellStyle name="Procent 2 6 7 2" xfId="9879" xr:uid="{79E3D1E6-0FBA-41A3-9602-9B413AB66D54}"/>
    <cellStyle name="Procent 2 6 7 2 2" xfId="15269" xr:uid="{3D791B2E-B08F-444B-91E4-120DF02B0B4F}"/>
    <cellStyle name="Procent 2 6 7 3" xfId="12516" xr:uid="{68C5C66A-36F7-4AFE-940F-4B29D49D1134}"/>
    <cellStyle name="Procent 2 6 8" xfId="8548" xr:uid="{57D117CA-0121-4A79-9191-81D6939CF7E7}"/>
    <cellStyle name="Procent 2 6 8 2" xfId="13907" xr:uid="{24F4C421-4503-48F0-8DB9-5A3C5DA9D4CB}"/>
    <cellStyle name="Procent 2 6 9" xfId="11185" xr:uid="{DC4A1CF4-1244-40D2-950D-6C29A015DBBB}"/>
    <cellStyle name="Procent 2 7" xfId="4050" xr:uid="{00000000-0005-0000-0000-0000C01D0000}"/>
    <cellStyle name="Procent 2 7 2" xfId="4051" xr:uid="{00000000-0005-0000-0000-0000C11D0000}"/>
    <cellStyle name="Procent 2 7 2 2" xfId="4052" xr:uid="{00000000-0005-0000-0000-0000C21D0000}"/>
    <cellStyle name="Procent 2 7 2 2 2" xfId="4676" xr:uid="{00000000-0005-0000-0000-0000C31D0000}"/>
    <cellStyle name="Procent 2 7 2 2 2 2" xfId="7844" xr:uid="{00000000-0005-0000-0000-0000C41D0000}"/>
    <cellStyle name="Procent 2 7 2 2 2 2 2" xfId="10512" xr:uid="{F075E23B-DA75-4DF8-BB56-35F13C2DEFE9}"/>
    <cellStyle name="Procent 2 7 2 2 2 2 2 2" xfId="15902" xr:uid="{FDA00186-85AC-4CFB-9F8E-3F3C4439EE28}"/>
    <cellStyle name="Procent 2 7 2 2 2 2 3" xfId="13149" xr:uid="{29C03AB1-DC5B-4E57-AF9E-7755139675FB}"/>
    <cellStyle name="Procent 2 7 2 2 2 3" xfId="9181" xr:uid="{67D08925-E59D-4603-9947-9DBBD2A041FE}"/>
    <cellStyle name="Procent 2 7 2 2 2 3 2" xfId="14540" xr:uid="{D7C590A5-66AB-4C2A-B113-48910DFE7215}"/>
    <cellStyle name="Procent 2 7 2 2 2 4" xfId="11818" xr:uid="{6F8CD5EF-CE6A-45A6-86C1-A9E8B4818EEF}"/>
    <cellStyle name="Procent 2 7 2 2 3" xfId="7220" xr:uid="{00000000-0005-0000-0000-0000C51D0000}"/>
    <cellStyle name="Procent 2 7 2 2 3 2" xfId="9888" xr:uid="{C75A3067-7F7B-47D1-8AA4-F9A8EADCE23C}"/>
    <cellStyle name="Procent 2 7 2 2 3 2 2" xfId="15278" xr:uid="{2FE728B1-06DC-41FE-8216-A9824E5FFDFD}"/>
    <cellStyle name="Procent 2 7 2 2 3 3" xfId="12525" xr:uid="{CE93E97E-8BD9-4FFF-911E-9C1D638317FD}"/>
    <cellStyle name="Procent 2 7 2 2 4" xfId="8557" xr:uid="{4AE70850-04E8-4680-8C7D-D198AB55E083}"/>
    <cellStyle name="Procent 2 7 2 2 4 2" xfId="13916" xr:uid="{C0DDB189-42BB-4D1C-AD3E-86B37E93B14A}"/>
    <cellStyle name="Procent 2 7 2 2 5" xfId="11194" xr:uid="{EBF8DB58-DBBB-42B3-ABDD-EEEB27021E48}"/>
    <cellStyle name="Procent 2 7 2 3" xfId="4053" xr:uid="{00000000-0005-0000-0000-0000C61D0000}"/>
    <cellStyle name="Procent 2 7 2 3 2" xfId="4677" xr:uid="{00000000-0005-0000-0000-0000C71D0000}"/>
    <cellStyle name="Procent 2 7 2 3 2 2" xfId="7845" xr:uid="{00000000-0005-0000-0000-0000C81D0000}"/>
    <cellStyle name="Procent 2 7 2 3 2 2 2" xfId="10513" xr:uid="{75F46C01-FE3C-4359-9B28-47E947BCE72B}"/>
    <cellStyle name="Procent 2 7 2 3 2 2 2 2" xfId="15903" xr:uid="{85B297C2-6040-448E-8681-C7198C6924F2}"/>
    <cellStyle name="Procent 2 7 2 3 2 2 3" xfId="13150" xr:uid="{E8B78813-B4D2-4D1B-B9AC-47AC7C510DBA}"/>
    <cellStyle name="Procent 2 7 2 3 2 3" xfId="9182" xr:uid="{028EA06E-D765-4CAF-8F55-BC95A8664F3B}"/>
    <cellStyle name="Procent 2 7 2 3 2 3 2" xfId="14541" xr:uid="{A50D3053-FA7E-47D1-9790-3F366F90428C}"/>
    <cellStyle name="Procent 2 7 2 3 2 4" xfId="11819" xr:uid="{B503B4C3-39BE-45E1-A52B-42609FB6826C}"/>
    <cellStyle name="Procent 2 7 2 3 3" xfId="7221" xr:uid="{00000000-0005-0000-0000-0000C91D0000}"/>
    <cellStyle name="Procent 2 7 2 3 3 2" xfId="9889" xr:uid="{CE69E3F2-34A8-47A5-8CA7-C5CDE0CC780A}"/>
    <cellStyle name="Procent 2 7 2 3 3 2 2" xfId="15279" xr:uid="{49E94E2C-86A5-4BF0-A9F6-3D7D9D3F1043}"/>
    <cellStyle name="Procent 2 7 2 3 3 3" xfId="12526" xr:uid="{CCF835C2-FDE0-4720-B667-FFE38B3C04DD}"/>
    <cellStyle name="Procent 2 7 2 3 4" xfId="8558" xr:uid="{03C54F9E-2F22-4E50-9F33-D64869718030}"/>
    <cellStyle name="Procent 2 7 2 3 4 2" xfId="13917" xr:uid="{86DDAA5B-A979-45ED-9CFE-F1F89FFDDBA8}"/>
    <cellStyle name="Procent 2 7 2 3 5" xfId="11195" xr:uid="{6218652F-CFF9-4DAB-9570-196D9450850E}"/>
    <cellStyle name="Procent 2 7 2 4" xfId="4675" xr:uid="{00000000-0005-0000-0000-0000CA1D0000}"/>
    <cellStyle name="Procent 2 7 2 4 2" xfId="7843" xr:uid="{00000000-0005-0000-0000-0000CB1D0000}"/>
    <cellStyle name="Procent 2 7 2 4 2 2" xfId="10511" xr:uid="{F710B655-075D-4CFC-BB5D-32C1D9BA572D}"/>
    <cellStyle name="Procent 2 7 2 4 2 2 2" xfId="15901" xr:uid="{030A6FF9-3C83-421D-A83E-DC9F08D16A70}"/>
    <cellStyle name="Procent 2 7 2 4 2 3" xfId="13148" xr:uid="{94DB54BD-2013-46BB-B4E7-50BCB55029E1}"/>
    <cellStyle name="Procent 2 7 2 4 3" xfId="9180" xr:uid="{17BF913C-73AA-41E3-8485-2722DFC5DC96}"/>
    <cellStyle name="Procent 2 7 2 4 3 2" xfId="14539" xr:uid="{C0178E86-6BAF-43E1-AE22-71CFCE81E6E9}"/>
    <cellStyle name="Procent 2 7 2 4 4" xfId="11817" xr:uid="{5A9A84AC-4EBA-4FC3-A9CD-F2321F25F1E3}"/>
    <cellStyle name="Procent 2 7 2 5" xfId="7219" xr:uid="{00000000-0005-0000-0000-0000CC1D0000}"/>
    <cellStyle name="Procent 2 7 2 5 2" xfId="9887" xr:uid="{A49ABCF4-E0FA-49C4-9A18-F44D5D1D32DF}"/>
    <cellStyle name="Procent 2 7 2 5 2 2" xfId="15277" xr:uid="{96E0EF38-EA41-4170-93F2-1E0F98FB6C3B}"/>
    <cellStyle name="Procent 2 7 2 5 3" xfId="12524" xr:uid="{3592BB07-E2F2-46AC-9E55-2BA539B27CF8}"/>
    <cellStyle name="Procent 2 7 2 6" xfId="8556" xr:uid="{E98C2CD5-85CB-49F4-A93E-711CBD08017A}"/>
    <cellStyle name="Procent 2 7 2 6 2" xfId="13915" xr:uid="{3C71CAE6-A973-4C82-802B-676CB4E89EDA}"/>
    <cellStyle name="Procent 2 7 2 7" xfId="11193" xr:uid="{87992AFE-F0AA-4856-94A0-829F9EB2A3B8}"/>
    <cellStyle name="Procent 2 7 3" xfId="4054" xr:uid="{00000000-0005-0000-0000-0000CD1D0000}"/>
    <cellStyle name="Procent 2 7 3 2" xfId="4678" xr:uid="{00000000-0005-0000-0000-0000CE1D0000}"/>
    <cellStyle name="Procent 2 7 3 2 2" xfId="7846" xr:uid="{00000000-0005-0000-0000-0000CF1D0000}"/>
    <cellStyle name="Procent 2 7 3 2 2 2" xfId="10514" xr:uid="{212C9B4F-2FF5-4648-AED8-52FC4D6817D5}"/>
    <cellStyle name="Procent 2 7 3 2 2 2 2" xfId="15904" xr:uid="{4463F0BF-2A41-487F-B4FB-218B5FA15D9F}"/>
    <cellStyle name="Procent 2 7 3 2 2 3" xfId="13151" xr:uid="{350DABDC-5C29-4BAB-AD8C-A5337A16AF50}"/>
    <cellStyle name="Procent 2 7 3 2 3" xfId="9183" xr:uid="{DCF9C974-0166-48F4-8165-155EFE765A89}"/>
    <cellStyle name="Procent 2 7 3 2 3 2" xfId="14542" xr:uid="{B5B586BE-281D-4DD0-8C58-67D5351C7C45}"/>
    <cellStyle name="Procent 2 7 3 2 4" xfId="11820" xr:uid="{99748B7B-3DB3-48B2-B350-079C5E6A15F0}"/>
    <cellStyle name="Procent 2 7 3 3" xfId="7222" xr:uid="{00000000-0005-0000-0000-0000D01D0000}"/>
    <cellStyle name="Procent 2 7 3 3 2" xfId="9890" xr:uid="{E90B315A-BF04-4314-96F3-A29BA82D1B49}"/>
    <cellStyle name="Procent 2 7 3 3 2 2" xfId="15280" xr:uid="{A2158F79-9736-4C19-939E-4709AAEBDBB1}"/>
    <cellStyle name="Procent 2 7 3 3 3" xfId="12527" xr:uid="{34D0E382-AAAD-4BC1-9BD3-9EB1039C7CFB}"/>
    <cellStyle name="Procent 2 7 3 4" xfId="8559" xr:uid="{6F2F2D09-D491-4800-A44C-41337361B545}"/>
    <cellStyle name="Procent 2 7 3 4 2" xfId="13918" xr:uid="{ADA03FB6-7F36-4C45-A119-46E588E745E7}"/>
    <cellStyle name="Procent 2 7 3 5" xfId="11196" xr:uid="{7C6C5148-40E2-4E5D-A331-D9DD05AFB75D}"/>
    <cellStyle name="Procent 2 7 4" xfId="4055" xr:uid="{00000000-0005-0000-0000-0000D11D0000}"/>
    <cellStyle name="Procent 2 7 4 2" xfId="4679" xr:uid="{00000000-0005-0000-0000-0000D21D0000}"/>
    <cellStyle name="Procent 2 7 4 2 2" xfId="7847" xr:uid="{00000000-0005-0000-0000-0000D31D0000}"/>
    <cellStyle name="Procent 2 7 4 2 2 2" xfId="10515" xr:uid="{0BF1DDA1-10FC-4273-B278-72071710C615}"/>
    <cellStyle name="Procent 2 7 4 2 2 2 2" xfId="15905" xr:uid="{E82C690C-63A2-4EAF-BC60-8D27A94DA674}"/>
    <cellStyle name="Procent 2 7 4 2 2 3" xfId="13152" xr:uid="{E276112F-9840-4647-AF38-AE5B885916A8}"/>
    <cellStyle name="Procent 2 7 4 2 3" xfId="9184" xr:uid="{7857E7B0-BA35-4ED7-AAE0-1B43B6C75E8F}"/>
    <cellStyle name="Procent 2 7 4 2 3 2" xfId="14543" xr:uid="{80B56EEE-2C52-48F0-9563-2045FB53067B}"/>
    <cellStyle name="Procent 2 7 4 2 4" xfId="11821" xr:uid="{EC4B7BAF-3834-412F-A1F0-B9B12CFDD7DD}"/>
    <cellStyle name="Procent 2 7 4 3" xfId="7223" xr:uid="{00000000-0005-0000-0000-0000D41D0000}"/>
    <cellStyle name="Procent 2 7 4 3 2" xfId="9891" xr:uid="{5F1D48D6-A243-4D18-A540-F55FB8C50997}"/>
    <cellStyle name="Procent 2 7 4 3 2 2" xfId="15281" xr:uid="{6E727C90-FD72-4AB5-8ACD-7BEE599401A3}"/>
    <cellStyle name="Procent 2 7 4 3 3" xfId="12528" xr:uid="{4D793164-1023-4CD8-B886-BCD3823B0FB8}"/>
    <cellStyle name="Procent 2 7 4 4" xfId="8560" xr:uid="{BF1D9026-01E6-42D8-BE3E-DEF70BA1191B}"/>
    <cellStyle name="Procent 2 7 4 4 2" xfId="13919" xr:uid="{1AC71C6D-F35E-4610-8C28-CD6299C53483}"/>
    <cellStyle name="Procent 2 7 4 5" xfId="11197" xr:uid="{C3FCA249-87E4-447E-9804-C39829AFB196}"/>
    <cellStyle name="Procent 2 7 5" xfId="4056" xr:uid="{00000000-0005-0000-0000-0000D51D0000}"/>
    <cellStyle name="Procent 2 7 5 2" xfId="4680" xr:uid="{00000000-0005-0000-0000-0000D61D0000}"/>
    <cellStyle name="Procent 2 7 5 2 2" xfId="7848" xr:uid="{00000000-0005-0000-0000-0000D71D0000}"/>
    <cellStyle name="Procent 2 7 5 2 2 2" xfId="10516" xr:uid="{BB8570CF-BE4A-4722-B7AF-528107854C74}"/>
    <cellStyle name="Procent 2 7 5 2 2 2 2" xfId="15906" xr:uid="{9CDBAC2D-601C-4E2A-9648-DE61EE9FAEF0}"/>
    <cellStyle name="Procent 2 7 5 2 2 3" xfId="13153" xr:uid="{CF1C70F2-5EAE-40E3-A871-235B3A2EC671}"/>
    <cellStyle name="Procent 2 7 5 2 3" xfId="9185" xr:uid="{66CE0258-9899-49B8-8E8C-08B0331D435A}"/>
    <cellStyle name="Procent 2 7 5 2 3 2" xfId="14544" xr:uid="{AAD5FF4A-9E17-4805-9DAC-48492B93CAB9}"/>
    <cellStyle name="Procent 2 7 5 2 4" xfId="11822" xr:uid="{A5390A1D-4676-4FA0-BB96-A296287EB284}"/>
    <cellStyle name="Procent 2 7 5 3" xfId="7224" xr:uid="{00000000-0005-0000-0000-0000D81D0000}"/>
    <cellStyle name="Procent 2 7 5 3 2" xfId="9892" xr:uid="{40ECFAD5-FD12-407C-AE23-F475894E1B7B}"/>
    <cellStyle name="Procent 2 7 5 3 2 2" xfId="15282" xr:uid="{40CA429F-6B6E-4704-AE97-1B21AD32A3A4}"/>
    <cellStyle name="Procent 2 7 5 3 3" xfId="12529" xr:uid="{6684C4EE-F7B8-430F-831E-AA1E078B6C27}"/>
    <cellStyle name="Procent 2 7 5 4" xfId="8561" xr:uid="{E93CD833-65A7-45CE-90BA-C62C24733AFF}"/>
    <cellStyle name="Procent 2 7 5 4 2" xfId="13920" xr:uid="{0BA5E740-F653-41B0-8983-FA8DCE2751E7}"/>
    <cellStyle name="Procent 2 7 5 5" xfId="11198" xr:uid="{9A675D59-D07E-4F2A-BDA7-B6B0B0A9F37D}"/>
    <cellStyle name="Procent 2 7 6" xfId="4674" xr:uid="{00000000-0005-0000-0000-0000D91D0000}"/>
    <cellStyle name="Procent 2 7 6 2" xfId="7842" xr:uid="{00000000-0005-0000-0000-0000DA1D0000}"/>
    <cellStyle name="Procent 2 7 6 2 2" xfId="10510" xr:uid="{31E225EE-DC82-450A-9C42-62872FE03200}"/>
    <cellStyle name="Procent 2 7 6 2 2 2" xfId="15900" xr:uid="{21AA18EE-B88C-43EC-B729-95F7FD42BDDF}"/>
    <cellStyle name="Procent 2 7 6 2 3" xfId="13147" xr:uid="{CA522095-5D20-4990-8255-B088BB348BC7}"/>
    <cellStyle name="Procent 2 7 6 3" xfId="9179" xr:uid="{1EF9C40A-8C7B-4BC2-96B4-125718945F7D}"/>
    <cellStyle name="Procent 2 7 6 3 2" xfId="14538" xr:uid="{0FCE6D0F-32BF-414A-B2EC-0BCDD4A599F4}"/>
    <cellStyle name="Procent 2 7 6 4" xfId="11816" xr:uid="{C754DF4D-10AA-4F0B-9FC7-5CD34E70BE92}"/>
    <cellStyle name="Procent 2 7 7" xfId="7218" xr:uid="{00000000-0005-0000-0000-0000DB1D0000}"/>
    <cellStyle name="Procent 2 7 7 2" xfId="9886" xr:uid="{8AAA9524-C960-4A21-A54E-1FDA735A2CF2}"/>
    <cellStyle name="Procent 2 7 7 2 2" xfId="15276" xr:uid="{912834B9-E00C-487C-A147-5C51BAAC78ED}"/>
    <cellStyle name="Procent 2 7 7 3" xfId="12523" xr:uid="{361E3807-E8A3-4938-B13A-6F55C04604EC}"/>
    <cellStyle name="Procent 2 7 8" xfId="8555" xr:uid="{F6256020-D598-4480-B606-3FF9755CD0A9}"/>
    <cellStyle name="Procent 2 7 8 2" xfId="13914" xr:uid="{23990DA6-58C6-46DC-8844-16AB5854B898}"/>
    <cellStyle name="Procent 2 7 9" xfId="11192" xr:uid="{14E5866D-6A1A-49AE-9B8B-FACC8D64A142}"/>
    <cellStyle name="Procent 2 8" xfId="4057" xr:uid="{00000000-0005-0000-0000-0000DC1D0000}"/>
    <cellStyle name="Procent 2 8 2" xfId="4058" xr:uid="{00000000-0005-0000-0000-0000DD1D0000}"/>
    <cellStyle name="Procent 2 8 2 2" xfId="4059" xr:uid="{00000000-0005-0000-0000-0000DE1D0000}"/>
    <cellStyle name="Procent 2 8 2 2 2" xfId="4683" xr:uid="{00000000-0005-0000-0000-0000DF1D0000}"/>
    <cellStyle name="Procent 2 8 2 2 2 2" xfId="7851" xr:uid="{00000000-0005-0000-0000-0000E01D0000}"/>
    <cellStyle name="Procent 2 8 2 2 2 2 2" xfId="10519" xr:uid="{CDA234CA-16A8-469F-9B7F-90153B480642}"/>
    <cellStyle name="Procent 2 8 2 2 2 2 2 2" xfId="15909" xr:uid="{6D9DE7A9-B316-43A2-989E-AE0370097C39}"/>
    <cellStyle name="Procent 2 8 2 2 2 2 3" xfId="13156" xr:uid="{68FE956D-EFA2-4D76-A7C8-EDD95B2A8B51}"/>
    <cellStyle name="Procent 2 8 2 2 2 3" xfId="9188" xr:uid="{3522CCD6-C298-4FDB-A516-FED900A695B4}"/>
    <cellStyle name="Procent 2 8 2 2 2 3 2" xfId="14547" xr:uid="{BD27FED2-20E4-4362-ADBB-897E6337381B}"/>
    <cellStyle name="Procent 2 8 2 2 2 4" xfId="11825" xr:uid="{FDDE216F-89CB-412A-BA28-E3FDE38444A4}"/>
    <cellStyle name="Procent 2 8 2 2 3" xfId="7227" xr:uid="{00000000-0005-0000-0000-0000E11D0000}"/>
    <cellStyle name="Procent 2 8 2 2 3 2" xfId="9895" xr:uid="{532E7D69-3F9C-4278-9FD0-2E644AC0DD56}"/>
    <cellStyle name="Procent 2 8 2 2 3 2 2" xfId="15285" xr:uid="{EAAC66EE-90B2-4075-AD35-D364F8F25B1A}"/>
    <cellStyle name="Procent 2 8 2 2 3 3" xfId="12532" xr:uid="{769C3556-706A-40A8-8529-05C990F35156}"/>
    <cellStyle name="Procent 2 8 2 2 4" xfId="8564" xr:uid="{6FEFEA86-DC52-4FB9-AFA5-84DC560475CC}"/>
    <cellStyle name="Procent 2 8 2 2 4 2" xfId="13923" xr:uid="{084A4E6C-FA68-4FB7-A826-F4F5B4FF4F68}"/>
    <cellStyle name="Procent 2 8 2 2 5" xfId="11201" xr:uid="{25C8BEB2-5376-41F6-B2FE-3166FF393455}"/>
    <cellStyle name="Procent 2 8 2 3" xfId="4060" xr:uid="{00000000-0005-0000-0000-0000E21D0000}"/>
    <cellStyle name="Procent 2 8 2 3 2" xfId="4684" xr:uid="{00000000-0005-0000-0000-0000E31D0000}"/>
    <cellStyle name="Procent 2 8 2 3 2 2" xfId="7852" xr:uid="{00000000-0005-0000-0000-0000E41D0000}"/>
    <cellStyle name="Procent 2 8 2 3 2 2 2" xfId="10520" xr:uid="{CADD1E65-91F8-4DE8-8D38-6922BDCD433E}"/>
    <cellStyle name="Procent 2 8 2 3 2 2 2 2" xfId="15910" xr:uid="{48C9099A-C13C-440B-9199-10690345D540}"/>
    <cellStyle name="Procent 2 8 2 3 2 2 3" xfId="13157" xr:uid="{A14F3916-65F7-4C57-8A69-6D8A31D5A7D8}"/>
    <cellStyle name="Procent 2 8 2 3 2 3" xfId="9189" xr:uid="{F89E2A93-3408-4AB8-8BFE-DD400515CA5C}"/>
    <cellStyle name="Procent 2 8 2 3 2 3 2" xfId="14548" xr:uid="{CDA3C67B-63E2-44F1-B64B-0FE48B36C645}"/>
    <cellStyle name="Procent 2 8 2 3 2 4" xfId="11826" xr:uid="{2C8DA5DE-E38F-44CF-B9D6-96D7E3ACB93E}"/>
    <cellStyle name="Procent 2 8 2 3 3" xfId="7228" xr:uid="{00000000-0005-0000-0000-0000E51D0000}"/>
    <cellStyle name="Procent 2 8 2 3 3 2" xfId="9896" xr:uid="{7794EDCB-5F61-42F2-AFB3-6A946990247C}"/>
    <cellStyle name="Procent 2 8 2 3 3 2 2" xfId="15286" xr:uid="{C48881E7-50B7-4FA3-A082-AB8C8C46D179}"/>
    <cellStyle name="Procent 2 8 2 3 3 3" xfId="12533" xr:uid="{F3FFC2D3-709A-4A5F-A209-11CE24C944BB}"/>
    <cellStyle name="Procent 2 8 2 3 4" xfId="8565" xr:uid="{F00AD329-16B7-4B81-8847-126251C47CFC}"/>
    <cellStyle name="Procent 2 8 2 3 4 2" xfId="13924" xr:uid="{E079B0F9-0920-41F0-BEEF-C32A5D926071}"/>
    <cellStyle name="Procent 2 8 2 3 5" xfId="11202" xr:uid="{A10A5C1F-190B-49C7-AA95-2AE92E79A99B}"/>
    <cellStyle name="Procent 2 8 2 4" xfId="4682" xr:uid="{00000000-0005-0000-0000-0000E61D0000}"/>
    <cellStyle name="Procent 2 8 2 4 2" xfId="7850" xr:uid="{00000000-0005-0000-0000-0000E71D0000}"/>
    <cellStyle name="Procent 2 8 2 4 2 2" xfId="10518" xr:uid="{586C652D-CF63-4FD5-9EAC-7885538129D3}"/>
    <cellStyle name="Procent 2 8 2 4 2 2 2" xfId="15908" xr:uid="{410141A1-5676-41E5-9C61-1D0AFEF9BC5F}"/>
    <cellStyle name="Procent 2 8 2 4 2 3" xfId="13155" xr:uid="{C55901AB-B281-47AF-86BA-0F017F732689}"/>
    <cellStyle name="Procent 2 8 2 4 3" xfId="9187" xr:uid="{EA13222F-DE8B-4FB8-B756-8219BDF0A9D7}"/>
    <cellStyle name="Procent 2 8 2 4 3 2" xfId="14546" xr:uid="{25305EBA-3FC9-4422-A651-70A6B6B863C7}"/>
    <cellStyle name="Procent 2 8 2 4 4" xfId="11824" xr:uid="{AC656B66-43A9-4E60-91FE-C5429C2682CA}"/>
    <cellStyle name="Procent 2 8 2 5" xfId="7226" xr:uid="{00000000-0005-0000-0000-0000E81D0000}"/>
    <cellStyle name="Procent 2 8 2 5 2" xfId="9894" xr:uid="{582E96DB-221B-4273-8AF1-E104A40A7F7E}"/>
    <cellStyle name="Procent 2 8 2 5 2 2" xfId="15284" xr:uid="{7459FFA3-12B8-4D46-AE59-B31509EDDE6C}"/>
    <cellStyle name="Procent 2 8 2 5 3" xfId="12531" xr:uid="{C05B3C80-5BA3-4A9B-8ACC-B2C00274F724}"/>
    <cellStyle name="Procent 2 8 2 6" xfId="8563" xr:uid="{F7DA6FFE-0AFF-4155-837C-4CC7193092B5}"/>
    <cellStyle name="Procent 2 8 2 6 2" xfId="13922" xr:uid="{3284E765-7FC4-47C7-9DB8-6257995B9286}"/>
    <cellStyle name="Procent 2 8 2 7" xfId="11200" xr:uid="{B16ED798-6741-4F20-BC76-16F58E09C13A}"/>
    <cellStyle name="Procent 2 8 3" xfId="4061" xr:uid="{00000000-0005-0000-0000-0000E91D0000}"/>
    <cellStyle name="Procent 2 8 3 2" xfId="4685" xr:uid="{00000000-0005-0000-0000-0000EA1D0000}"/>
    <cellStyle name="Procent 2 8 3 2 2" xfId="7853" xr:uid="{00000000-0005-0000-0000-0000EB1D0000}"/>
    <cellStyle name="Procent 2 8 3 2 2 2" xfId="10521" xr:uid="{34FD75E1-5D67-4652-8A17-A1751C5FEAE5}"/>
    <cellStyle name="Procent 2 8 3 2 2 2 2" xfId="15911" xr:uid="{496AF809-F933-4278-BFF3-09EA29BCA0F9}"/>
    <cellStyle name="Procent 2 8 3 2 2 3" xfId="13158" xr:uid="{3B815561-8D74-4B0E-8323-4ECC4FE7A50B}"/>
    <cellStyle name="Procent 2 8 3 2 3" xfId="9190" xr:uid="{0A4725B9-B7B1-4919-8A06-2F46D2AD2165}"/>
    <cellStyle name="Procent 2 8 3 2 3 2" xfId="14549" xr:uid="{F23A3E0B-E509-406C-8898-32BA8E518C2B}"/>
    <cellStyle name="Procent 2 8 3 2 4" xfId="11827" xr:uid="{A74A5A81-BDE8-4CAC-B41C-01CA22F70C29}"/>
    <cellStyle name="Procent 2 8 3 3" xfId="7229" xr:uid="{00000000-0005-0000-0000-0000EC1D0000}"/>
    <cellStyle name="Procent 2 8 3 3 2" xfId="9897" xr:uid="{65911D09-3903-495B-8473-7534A4CDB7FD}"/>
    <cellStyle name="Procent 2 8 3 3 2 2" xfId="15287" xr:uid="{E9BEE40B-F22D-468F-9CE4-E50415CB9A47}"/>
    <cellStyle name="Procent 2 8 3 3 3" xfId="12534" xr:uid="{050C5B14-AA9F-4690-8271-F5CF01DFC94A}"/>
    <cellStyle name="Procent 2 8 3 4" xfId="8566" xr:uid="{FE29BA72-CF69-422B-BA6C-233148BE7BAD}"/>
    <cellStyle name="Procent 2 8 3 4 2" xfId="13925" xr:uid="{00CEFF3A-3D05-441C-A53B-58A58EC87B4D}"/>
    <cellStyle name="Procent 2 8 3 5" xfId="11203" xr:uid="{9D0D2694-611D-47C6-8082-19657BADB0EE}"/>
    <cellStyle name="Procent 2 8 4" xfId="4062" xr:uid="{00000000-0005-0000-0000-0000ED1D0000}"/>
    <cellStyle name="Procent 2 8 4 2" xfId="4686" xr:uid="{00000000-0005-0000-0000-0000EE1D0000}"/>
    <cellStyle name="Procent 2 8 4 2 2" xfId="7854" xr:uid="{00000000-0005-0000-0000-0000EF1D0000}"/>
    <cellStyle name="Procent 2 8 4 2 2 2" xfId="10522" xr:uid="{9EFACC7F-A34E-4E65-99BC-ABA009549466}"/>
    <cellStyle name="Procent 2 8 4 2 2 2 2" xfId="15912" xr:uid="{CF3F8D8A-D030-4B5A-920D-7664E43D18D1}"/>
    <cellStyle name="Procent 2 8 4 2 2 3" xfId="13159" xr:uid="{A8CDA131-2CAD-44A2-80BD-DC804CCBE4DE}"/>
    <cellStyle name="Procent 2 8 4 2 3" xfId="9191" xr:uid="{C86DB19C-8186-4113-9556-30528A4982FE}"/>
    <cellStyle name="Procent 2 8 4 2 3 2" xfId="14550" xr:uid="{E7DC3176-BC39-4E0D-80F4-B138156C6B45}"/>
    <cellStyle name="Procent 2 8 4 2 4" xfId="11828" xr:uid="{C41E871E-2DFA-4A53-AD52-4B47ABC51FFE}"/>
    <cellStyle name="Procent 2 8 4 3" xfId="7230" xr:uid="{00000000-0005-0000-0000-0000F01D0000}"/>
    <cellStyle name="Procent 2 8 4 3 2" xfId="9898" xr:uid="{0259D1D0-7DC6-4A09-9737-51E5C3A04819}"/>
    <cellStyle name="Procent 2 8 4 3 2 2" xfId="15288" xr:uid="{6CDAD099-F248-40CF-A4DD-2902CB1F8C21}"/>
    <cellStyle name="Procent 2 8 4 3 3" xfId="12535" xr:uid="{1F7BB43D-82D6-4580-A061-50DE38FD4E2B}"/>
    <cellStyle name="Procent 2 8 4 4" xfId="8567" xr:uid="{994500A9-B560-45A5-8043-21C4996AFC70}"/>
    <cellStyle name="Procent 2 8 4 4 2" xfId="13926" xr:uid="{B1155F8A-9475-4E44-A9D2-C1E03D212988}"/>
    <cellStyle name="Procent 2 8 4 5" xfId="11204" xr:uid="{29E5C0BE-0CF2-4C00-B244-E3CE8D115722}"/>
    <cellStyle name="Procent 2 8 5" xfId="4063" xr:uid="{00000000-0005-0000-0000-0000F11D0000}"/>
    <cellStyle name="Procent 2 8 5 2" xfId="4687" xr:uid="{00000000-0005-0000-0000-0000F21D0000}"/>
    <cellStyle name="Procent 2 8 5 2 2" xfId="7855" xr:uid="{00000000-0005-0000-0000-0000F31D0000}"/>
    <cellStyle name="Procent 2 8 5 2 2 2" xfId="10523" xr:uid="{9A729FA0-9FCD-41AD-AB8E-199662CFE1A8}"/>
    <cellStyle name="Procent 2 8 5 2 2 2 2" xfId="15913" xr:uid="{00F5C918-225E-48F0-8A04-D8F5730D2379}"/>
    <cellStyle name="Procent 2 8 5 2 2 3" xfId="13160" xr:uid="{798CD346-9363-4EFA-92E5-93C95991E904}"/>
    <cellStyle name="Procent 2 8 5 2 3" xfId="9192" xr:uid="{C27C0E06-129E-4AED-8CE2-0E7C8C850E57}"/>
    <cellStyle name="Procent 2 8 5 2 3 2" xfId="14551" xr:uid="{5FE11DD5-4857-43C6-A93D-A81DF71A76D6}"/>
    <cellStyle name="Procent 2 8 5 2 4" xfId="11829" xr:uid="{32EE2176-58BD-4920-A487-18EB1D68EAF8}"/>
    <cellStyle name="Procent 2 8 5 3" xfId="7231" xr:uid="{00000000-0005-0000-0000-0000F41D0000}"/>
    <cellStyle name="Procent 2 8 5 3 2" xfId="9899" xr:uid="{096F31C0-3937-4617-AA4F-24FA71313BAF}"/>
    <cellStyle name="Procent 2 8 5 3 2 2" xfId="15289" xr:uid="{3951B5C2-F10B-4FF7-B984-70F802E31B1B}"/>
    <cellStyle name="Procent 2 8 5 3 3" xfId="12536" xr:uid="{F52029AA-6D64-495D-952A-8E415D2CEDA3}"/>
    <cellStyle name="Procent 2 8 5 4" xfId="8568" xr:uid="{3ECD4E0A-2776-40C0-B176-9EAF08C7FB0D}"/>
    <cellStyle name="Procent 2 8 5 4 2" xfId="13927" xr:uid="{603343C9-D753-4D88-8B62-998E017E7CBA}"/>
    <cellStyle name="Procent 2 8 5 5" xfId="11205" xr:uid="{10DBD88E-6622-45A1-B881-9C52E02D1CFA}"/>
    <cellStyle name="Procent 2 8 6" xfId="4681" xr:uid="{00000000-0005-0000-0000-0000F51D0000}"/>
    <cellStyle name="Procent 2 8 6 2" xfId="7849" xr:uid="{00000000-0005-0000-0000-0000F61D0000}"/>
    <cellStyle name="Procent 2 8 6 2 2" xfId="10517" xr:uid="{5ACBACCD-1132-486E-BEC3-9D4A617B18D5}"/>
    <cellStyle name="Procent 2 8 6 2 2 2" xfId="15907" xr:uid="{07F6338D-C07F-490B-AC8A-9AEE0A2EBA21}"/>
    <cellStyle name="Procent 2 8 6 2 3" xfId="13154" xr:uid="{EFC56FD3-2D58-4CE4-8236-06E38A262C20}"/>
    <cellStyle name="Procent 2 8 6 3" xfId="9186" xr:uid="{40EF9146-5AD1-4A44-83CC-A9EB1E9115C8}"/>
    <cellStyle name="Procent 2 8 6 3 2" xfId="14545" xr:uid="{E621CA30-6BA8-4A12-975F-176D7D6608D4}"/>
    <cellStyle name="Procent 2 8 6 4" xfId="11823" xr:uid="{8EABF94D-0A8D-48CF-AE46-BCE82CE55283}"/>
    <cellStyle name="Procent 2 8 7" xfId="7225" xr:uid="{00000000-0005-0000-0000-0000F71D0000}"/>
    <cellStyle name="Procent 2 8 7 2" xfId="9893" xr:uid="{9E9203FD-BC16-49B9-9D79-9F53AE1B806C}"/>
    <cellStyle name="Procent 2 8 7 2 2" xfId="15283" xr:uid="{D6E61DC3-9CFC-4ACC-8FA3-A708A6FF2028}"/>
    <cellStyle name="Procent 2 8 7 3" xfId="12530" xr:uid="{FF978E6F-CD12-47EF-9F3D-BF3AFE4AF6F5}"/>
    <cellStyle name="Procent 2 8 8" xfId="8562" xr:uid="{FE0D3FCB-8C5C-48BE-AD77-A8D708479CDB}"/>
    <cellStyle name="Procent 2 8 8 2" xfId="13921" xr:uid="{E563837B-31C9-415D-A9E0-ABC7FA8E60FE}"/>
    <cellStyle name="Procent 2 8 9" xfId="11199" xr:uid="{26410295-E6F9-4815-8828-BAABCF0BA3B8}"/>
    <cellStyle name="Procent 2 9" xfId="4064" xr:uid="{00000000-0005-0000-0000-0000F81D0000}"/>
    <cellStyle name="Procent 2 9 2" xfId="4065" xr:uid="{00000000-0005-0000-0000-0000F91D0000}"/>
    <cellStyle name="Procent 2 9 2 2" xfId="4689" xr:uid="{00000000-0005-0000-0000-0000FA1D0000}"/>
    <cellStyle name="Procent 2 9 2 2 2" xfId="7857" xr:uid="{00000000-0005-0000-0000-0000FB1D0000}"/>
    <cellStyle name="Procent 2 9 2 2 2 2" xfId="10525" xr:uid="{022D8913-5CBE-4960-9937-7682FE5E0D29}"/>
    <cellStyle name="Procent 2 9 2 2 2 2 2" xfId="15915" xr:uid="{BF78EB84-7DBB-4B5E-BED8-A229A058A06B}"/>
    <cellStyle name="Procent 2 9 2 2 2 3" xfId="13162" xr:uid="{72DAD4B0-482D-4C5B-8E1D-756E5C14E803}"/>
    <cellStyle name="Procent 2 9 2 2 3" xfId="9194" xr:uid="{C8A9E45C-35A6-4AEC-BBC6-5AA933EB4393}"/>
    <cellStyle name="Procent 2 9 2 2 3 2" xfId="14553" xr:uid="{EB82BD3F-B0EB-4BE2-8573-2A638D860B3E}"/>
    <cellStyle name="Procent 2 9 2 2 4" xfId="11831" xr:uid="{116B7BFE-64B1-4395-BF17-4A18062FAAF7}"/>
    <cellStyle name="Procent 2 9 2 3" xfId="7233" xr:uid="{00000000-0005-0000-0000-0000FC1D0000}"/>
    <cellStyle name="Procent 2 9 2 3 2" xfId="9901" xr:uid="{B8D398D0-69AA-4C19-8641-8603357CC054}"/>
    <cellStyle name="Procent 2 9 2 3 2 2" xfId="15291" xr:uid="{91D4C1C8-0495-4147-9546-D6E6FD67B7B8}"/>
    <cellStyle name="Procent 2 9 2 3 3" xfId="12538" xr:uid="{CD34D398-8FEF-4FF4-9A43-A9214300CE57}"/>
    <cellStyle name="Procent 2 9 2 4" xfId="8570" xr:uid="{397A290D-0B32-4DEC-B3E2-2CFB3BF54D3C}"/>
    <cellStyle name="Procent 2 9 2 4 2" xfId="13929" xr:uid="{82872EEB-E3F3-4927-8280-FA2D4742B723}"/>
    <cellStyle name="Procent 2 9 2 5" xfId="11207" xr:uid="{A3CD9E0F-522B-42A5-8C26-D00D0E568AE8}"/>
    <cellStyle name="Procent 2 9 3" xfId="4066" xr:uid="{00000000-0005-0000-0000-0000FD1D0000}"/>
    <cellStyle name="Procent 2 9 3 2" xfId="4690" xr:uid="{00000000-0005-0000-0000-0000FE1D0000}"/>
    <cellStyle name="Procent 2 9 3 2 2" xfId="7858" xr:uid="{00000000-0005-0000-0000-0000FF1D0000}"/>
    <cellStyle name="Procent 2 9 3 2 2 2" xfId="10526" xr:uid="{ACDDD329-D20B-4758-8999-EAD2DAEC315D}"/>
    <cellStyle name="Procent 2 9 3 2 2 2 2" xfId="15916" xr:uid="{C5603880-36EF-49C8-B068-87A5C8DC58C5}"/>
    <cellStyle name="Procent 2 9 3 2 2 3" xfId="13163" xr:uid="{3ED2DD78-2EBC-4F8A-BFC8-DFA9811D8015}"/>
    <cellStyle name="Procent 2 9 3 2 3" xfId="9195" xr:uid="{D439AC7E-544A-4FEF-ADD1-BAFF59A24598}"/>
    <cellStyle name="Procent 2 9 3 2 3 2" xfId="14554" xr:uid="{F3E85861-8524-4B88-9710-04EFB720D61A}"/>
    <cellStyle name="Procent 2 9 3 2 4" xfId="11832" xr:uid="{45AE1359-07C7-451A-B38C-F981A181D39E}"/>
    <cellStyle name="Procent 2 9 3 3" xfId="7234" xr:uid="{00000000-0005-0000-0000-0000001E0000}"/>
    <cellStyle name="Procent 2 9 3 3 2" xfId="9902" xr:uid="{23EED2E5-7A30-41C2-B7B4-15CFF301DFE7}"/>
    <cellStyle name="Procent 2 9 3 3 2 2" xfId="15292" xr:uid="{A9C5F0EA-7A43-4682-B230-BA9CA0AFA022}"/>
    <cellStyle name="Procent 2 9 3 3 3" xfId="12539" xr:uid="{C6A82DF6-A90A-4414-BD36-BBDF0D263F2C}"/>
    <cellStyle name="Procent 2 9 3 4" xfId="8571" xr:uid="{BFF4C8D8-8838-4449-8020-78723DF899BF}"/>
    <cellStyle name="Procent 2 9 3 4 2" xfId="13930" xr:uid="{F221DFDC-AF7A-4903-8E30-F4B6497F11CD}"/>
    <cellStyle name="Procent 2 9 3 5" xfId="11208" xr:uid="{2B68C2D2-AA1F-4C2D-931C-E03BFB696811}"/>
    <cellStyle name="Procent 2 9 4" xfId="4688" xr:uid="{00000000-0005-0000-0000-0000011E0000}"/>
    <cellStyle name="Procent 2 9 4 2" xfId="7856" xr:uid="{00000000-0005-0000-0000-0000021E0000}"/>
    <cellStyle name="Procent 2 9 4 2 2" xfId="10524" xr:uid="{36F0A261-B042-4D36-B669-285806162D92}"/>
    <cellStyle name="Procent 2 9 4 2 2 2" xfId="15914" xr:uid="{2D3154D8-703B-4B2D-BEEA-4BDC6D1B80C7}"/>
    <cellStyle name="Procent 2 9 4 2 3" xfId="13161" xr:uid="{924EEBEB-9A64-49BA-BD10-062FD64A9C38}"/>
    <cellStyle name="Procent 2 9 4 3" xfId="9193" xr:uid="{54EE026C-C06A-497F-B08B-A84EA2B07A7E}"/>
    <cellStyle name="Procent 2 9 4 3 2" xfId="14552" xr:uid="{05A74A60-BE75-4E81-B3DF-330ADD94D88B}"/>
    <cellStyle name="Procent 2 9 4 4" xfId="11830" xr:uid="{134D3E52-0620-41CA-B3C4-141C8464F0A9}"/>
    <cellStyle name="Procent 2 9 5" xfId="7232" xr:uid="{00000000-0005-0000-0000-0000031E0000}"/>
    <cellStyle name="Procent 2 9 5 2" xfId="9900" xr:uid="{BF735357-5959-4242-8C1C-6D4B7179EC83}"/>
    <cellStyle name="Procent 2 9 5 2 2" xfId="15290" xr:uid="{DD4303C3-694B-4095-BE8A-5DA05CE2DD4C}"/>
    <cellStyle name="Procent 2 9 5 3" xfId="12537" xr:uid="{A22BF931-7110-4932-BFA2-1C762EB3677A}"/>
    <cellStyle name="Procent 2 9 6" xfId="8569" xr:uid="{5440F63B-CC06-40FC-9274-F35C8679692B}"/>
    <cellStyle name="Procent 2 9 6 2" xfId="13928" xr:uid="{EC5AAD4F-605C-4EC6-9333-6A86C4E00EF7}"/>
    <cellStyle name="Procent 2 9 7" xfId="11206" xr:uid="{D8B738FC-C519-48D8-9D81-0209B842E02F}"/>
    <cellStyle name="Procent 3" xfId="1988" xr:uid="{00000000-0005-0000-0000-0000041E0000}"/>
    <cellStyle name="Procent 3 2" xfId="1989" xr:uid="{00000000-0005-0000-0000-0000051E0000}"/>
    <cellStyle name="Procent 3 2 2" xfId="3479" xr:uid="{00000000-0005-0000-0000-0000061E0000}"/>
    <cellStyle name="Procent 3 2 2 2" xfId="4130" xr:uid="{00000000-0005-0000-0000-0000071E0000}"/>
    <cellStyle name="Procent 3 2 2 2 2" xfId="7298" xr:uid="{00000000-0005-0000-0000-0000081E0000}"/>
    <cellStyle name="Procent 3 2 2 2 2 2" xfId="9966" xr:uid="{5AD67300-A3D0-4962-B7FB-285E8F7F57FF}"/>
    <cellStyle name="Procent 3 2 2 2 2 2 2" xfId="15356" xr:uid="{3D5D39EF-49F1-4723-A101-C4BD3054473D}"/>
    <cellStyle name="Procent 3 2 2 2 2 3" xfId="12603" xr:uid="{4C686D81-B037-4B5D-BC49-AB5372156BD1}"/>
    <cellStyle name="Procent 3 2 2 2 3" xfId="8635" xr:uid="{F9D59098-D72A-45DA-B12E-A889F20FEC58}"/>
    <cellStyle name="Procent 3 2 2 2 3 2" xfId="13994" xr:uid="{A11FDFCF-149C-47A5-A7ED-DF90B9AC51E9}"/>
    <cellStyle name="Procent 3 2 2 2 4" xfId="11272" xr:uid="{FD2BFFA6-7BB4-4473-9A5D-E1540C3991BE}"/>
    <cellStyle name="Procent 3 2 2 3" xfId="6687" xr:uid="{00000000-0005-0000-0000-0000091E0000}"/>
    <cellStyle name="Procent 3 2 2 3 2" xfId="9355" xr:uid="{BA0B3E96-E3BF-42FB-A015-DE33BC254B27}"/>
    <cellStyle name="Procent 3 2 2 3 2 2" xfId="14745" xr:uid="{86ABE6FE-6EF1-4B1E-92CF-97A837EB11C5}"/>
    <cellStyle name="Procent 3 2 2 3 3" xfId="11992" xr:uid="{16A472F7-2713-4A55-8CA6-34457CD767ED}"/>
    <cellStyle name="Procent 3 2 2 4" xfId="8019" xr:uid="{A2BA9918-30DC-4297-B1C5-0EBECB66A9B8}"/>
    <cellStyle name="Procent 3 2 2 4 2" xfId="13378" xr:uid="{CD78B05F-FD40-4E2B-90BF-276272D8C5E4}"/>
    <cellStyle name="Procent 3 2 2 5" xfId="10661" xr:uid="{15B66E88-8DBA-404C-B4B7-24711894750A}"/>
    <cellStyle name="Procent 3 2 3" xfId="3495" xr:uid="{00000000-0005-0000-0000-00000A1E0000}"/>
    <cellStyle name="Procent 3 2 3 2" xfId="4146" xr:uid="{00000000-0005-0000-0000-00000B1E0000}"/>
    <cellStyle name="Procent 3 2 3 2 2" xfId="7314" xr:uid="{00000000-0005-0000-0000-00000C1E0000}"/>
    <cellStyle name="Procent 3 2 3 2 2 2" xfId="9982" xr:uid="{0DCA5411-FF7E-4F0D-845C-1BA69079AD8A}"/>
    <cellStyle name="Procent 3 2 3 2 2 2 2" xfId="15372" xr:uid="{335BB05A-350C-4DB0-82CC-50981A9379C6}"/>
    <cellStyle name="Procent 3 2 3 2 2 3" xfId="12619" xr:uid="{E4E8C2B9-7253-4B22-AFF6-CCC48715B741}"/>
    <cellStyle name="Procent 3 2 3 2 3" xfId="8651" xr:uid="{86ACC211-3C35-4F42-B3A7-6A954C713ACC}"/>
    <cellStyle name="Procent 3 2 3 2 3 2" xfId="14010" xr:uid="{484460AA-8AF8-4AD1-AB56-6A9EA0A7490D}"/>
    <cellStyle name="Procent 3 2 3 2 4" xfId="11288" xr:uid="{F9221797-B386-45DC-B160-E2D3D1025D79}"/>
    <cellStyle name="Procent 3 2 3 3" xfId="6703" xr:uid="{00000000-0005-0000-0000-00000D1E0000}"/>
    <cellStyle name="Procent 3 2 3 3 2" xfId="9371" xr:uid="{E086EFB9-1714-4649-AD09-5EE192C99BE9}"/>
    <cellStyle name="Procent 3 2 3 3 2 2" xfId="14761" xr:uid="{56A0C42E-AEEB-495A-A9D9-57C574CF5251}"/>
    <cellStyle name="Procent 3 2 3 3 3" xfId="12008" xr:uid="{5277CA3A-6874-4A79-B388-61819181D478}"/>
    <cellStyle name="Procent 3 2 3 4" xfId="8035" xr:uid="{BC2E3A61-6AB4-4473-9636-788A7E3618C8}"/>
    <cellStyle name="Procent 3 2 3 4 2" xfId="13394" xr:uid="{9778758C-9F0B-4888-9BD7-0364264696D8}"/>
    <cellStyle name="Procent 3 2 3 5" xfId="10677" xr:uid="{4EAF4CA7-8185-4D6A-B3B0-3686737AE6AA}"/>
    <cellStyle name="Procent 3 2 4" xfId="4114" xr:uid="{00000000-0005-0000-0000-00000E1E0000}"/>
    <cellStyle name="Procent 3 2 4 2" xfId="7282" xr:uid="{00000000-0005-0000-0000-00000F1E0000}"/>
    <cellStyle name="Procent 3 2 4 2 2" xfId="9950" xr:uid="{1E2D095C-FEC0-4377-A384-8514460DCD33}"/>
    <cellStyle name="Procent 3 2 4 2 2 2" xfId="15340" xr:uid="{A7C8A314-05D5-4402-B54D-8F3F30CB8052}"/>
    <cellStyle name="Procent 3 2 4 2 3" xfId="12587" xr:uid="{5B8354A6-8DE6-402F-8726-07348E180682}"/>
    <cellStyle name="Procent 3 2 4 3" xfId="8619" xr:uid="{A739F59F-4C39-463B-ACCA-CA363E66188B}"/>
    <cellStyle name="Procent 3 2 4 3 2" xfId="13978" xr:uid="{C5F44040-799C-48C9-ACFF-5BC70263DF45}"/>
    <cellStyle name="Procent 3 2 4 4" xfId="11256" xr:uid="{BE6987D4-71B9-4BEE-B09D-0844FBFD8371}"/>
    <cellStyle name="Procent 3 2 5" xfId="3463" xr:uid="{00000000-0005-0000-0000-0000101E0000}"/>
    <cellStyle name="Procent 3 2 5 2" xfId="6671" xr:uid="{00000000-0005-0000-0000-0000111E0000}"/>
    <cellStyle name="Procent 3 2 5 2 2" xfId="9339" xr:uid="{3BAAC22A-254B-41A1-A560-8F6DCF6C0655}"/>
    <cellStyle name="Procent 3 2 5 2 2 2" xfId="14729" xr:uid="{F10E6996-2B05-4997-AA5A-5EA86DCF8112}"/>
    <cellStyle name="Procent 3 2 5 2 3" xfId="11976" xr:uid="{391669D8-14CA-4B3C-8F0D-4F57504F4835}"/>
    <cellStyle name="Procent 3 2 5 3" xfId="8003" xr:uid="{F37666B1-5CE2-4CDD-B6EE-495A16B44B62}"/>
    <cellStyle name="Procent 3 2 5 3 2" xfId="13362" xr:uid="{3F98A1F9-4B5B-4F13-B2B8-B64D00BE8FDF}"/>
    <cellStyle name="Procent 3 2 5 4" xfId="10645" xr:uid="{FD064027-528E-40BD-98AB-53C2AE481CA1}"/>
    <cellStyle name="Procent 3 3" xfId="3471" xr:uid="{00000000-0005-0000-0000-0000121E0000}"/>
    <cellStyle name="Procent 3 3 2" xfId="4122" xr:uid="{00000000-0005-0000-0000-0000131E0000}"/>
    <cellStyle name="Procent 3 3 2 2" xfId="7290" xr:uid="{00000000-0005-0000-0000-0000141E0000}"/>
    <cellStyle name="Procent 3 3 2 2 2" xfId="9958" xr:uid="{D4B3814E-3A08-439C-88BF-86D3B13A9C57}"/>
    <cellStyle name="Procent 3 3 2 2 2 2" xfId="15348" xr:uid="{00658584-35FE-4B0F-9F23-D9F94B617D15}"/>
    <cellStyle name="Procent 3 3 2 2 3" xfId="12595" xr:uid="{96CFFB68-8EA5-4D77-A24B-108EC0A10E6C}"/>
    <cellStyle name="Procent 3 3 2 3" xfId="8627" xr:uid="{338CD889-FB66-4665-9A7F-58D8639C9CDB}"/>
    <cellStyle name="Procent 3 3 2 3 2" xfId="13986" xr:uid="{68843D8B-6108-4430-ACED-E4C5B1F96BD5}"/>
    <cellStyle name="Procent 3 3 2 4" xfId="11264" xr:uid="{DC602FE1-2093-4377-B524-8175905BBEEC}"/>
    <cellStyle name="Procent 3 3 3" xfId="6679" xr:uid="{00000000-0005-0000-0000-0000151E0000}"/>
    <cellStyle name="Procent 3 3 3 2" xfId="9347" xr:uid="{FF8BCACD-7BB2-4B00-ACDE-6F4703A9D78F}"/>
    <cellStyle name="Procent 3 3 3 2 2" xfId="14737" xr:uid="{92F7F1BF-4CA6-4B26-82E8-2FDC602C8D98}"/>
    <cellStyle name="Procent 3 3 3 3" xfId="11984" xr:uid="{F1925A8B-4AB3-41BC-916E-C12500DD0898}"/>
    <cellStyle name="Procent 3 3 4" xfId="8011" xr:uid="{62557662-2A73-4558-82DA-3BB9D98DCFFF}"/>
    <cellStyle name="Procent 3 3 4 2" xfId="13370" xr:uid="{B20DED55-96EE-45CF-96BB-A44C2ED997D4}"/>
    <cellStyle name="Procent 3 3 5" xfId="10653" xr:uid="{1D0DD462-D590-4915-96C6-4EB5BB200A27}"/>
    <cellStyle name="Procent 3 4" xfId="3487" xr:uid="{00000000-0005-0000-0000-0000161E0000}"/>
    <cellStyle name="Procent 3 4 2" xfId="4138" xr:uid="{00000000-0005-0000-0000-0000171E0000}"/>
    <cellStyle name="Procent 3 4 2 2" xfId="7306" xr:uid="{00000000-0005-0000-0000-0000181E0000}"/>
    <cellStyle name="Procent 3 4 2 2 2" xfId="9974" xr:uid="{6F757ADF-3A79-4311-897E-457819C81BA2}"/>
    <cellStyle name="Procent 3 4 2 2 2 2" xfId="15364" xr:uid="{80B643FD-FA72-4EE5-A8EA-405F3B820369}"/>
    <cellStyle name="Procent 3 4 2 2 3" xfId="12611" xr:uid="{650E3748-E997-4C47-A2D2-906D57327DA4}"/>
    <cellStyle name="Procent 3 4 2 3" xfId="8643" xr:uid="{5C44EF29-AC63-4EEA-8560-BE9E5271A101}"/>
    <cellStyle name="Procent 3 4 2 3 2" xfId="14002" xr:uid="{C9B11A48-DF67-4A71-95C1-7CE114B593D5}"/>
    <cellStyle name="Procent 3 4 2 4" xfId="11280" xr:uid="{5911640B-238C-432E-A78A-E18FE932DF9B}"/>
    <cellStyle name="Procent 3 4 3" xfId="6695" xr:uid="{00000000-0005-0000-0000-0000191E0000}"/>
    <cellStyle name="Procent 3 4 3 2" xfId="9363" xr:uid="{39CFA5BB-5B54-402B-8C09-38AC6DC18BBA}"/>
    <cellStyle name="Procent 3 4 3 2 2" xfId="14753" xr:uid="{BA0EF88C-7031-4EE9-924C-54CE68AF5680}"/>
    <cellStyle name="Procent 3 4 3 3" xfId="12000" xr:uid="{5685B7B6-1792-4D30-90BC-2D5E45E90553}"/>
    <cellStyle name="Procent 3 4 4" xfId="8027" xr:uid="{E27426D9-1EBE-47A1-8190-0214929256D3}"/>
    <cellStyle name="Procent 3 4 4 2" xfId="13386" xr:uid="{74D43260-A069-4D6F-BBAF-E60DD3DB51EA}"/>
    <cellStyle name="Procent 3 4 5" xfId="10669" xr:uid="{1E7570EC-2025-412D-84AF-30EC1CB1EBC8}"/>
    <cellStyle name="Procent 3 5" xfId="3508" xr:uid="{00000000-0005-0000-0000-00001A1E0000}"/>
    <cellStyle name="Procent 3 6" xfId="4106" xr:uid="{00000000-0005-0000-0000-00001B1E0000}"/>
    <cellStyle name="Procent 3 6 2" xfId="7274" xr:uid="{00000000-0005-0000-0000-00001C1E0000}"/>
    <cellStyle name="Procent 3 6 2 2" xfId="9942" xr:uid="{BF86D560-16AB-41DF-82A2-55A56718B91E}"/>
    <cellStyle name="Procent 3 6 2 2 2" xfId="15332" xr:uid="{52B5D204-0CF6-4113-861D-321BDCCA01BE}"/>
    <cellStyle name="Procent 3 6 2 3" xfId="12579" xr:uid="{658E98E3-5A20-42D4-ACD0-E1443949759B}"/>
    <cellStyle name="Procent 3 6 3" xfId="8611" xr:uid="{5B640CEA-98AE-4FCD-A7DC-EA758DD75F23}"/>
    <cellStyle name="Procent 3 6 3 2" xfId="13970" xr:uid="{68DDCBDD-DCFE-4685-9FC1-B3642999A4EC}"/>
    <cellStyle name="Procent 3 6 4" xfId="11248" xr:uid="{6B739CAB-7C31-4C62-B365-611CD2074D80}"/>
    <cellStyle name="Procent 3 7" xfId="3387" xr:uid="{00000000-0005-0000-0000-00001D1E0000}"/>
    <cellStyle name="Procent 3 7 2" xfId="6655" xr:uid="{00000000-0005-0000-0000-00001E1E0000}"/>
    <cellStyle name="Procent 3 7 2 2" xfId="9331" xr:uid="{C846B155-1F6A-45AC-8CE8-907DA63DE188}"/>
    <cellStyle name="Procent 3 7 2 2 2" xfId="14721" xr:uid="{95055372-6BDD-4B53-A46D-8EE8D291A9AB}"/>
    <cellStyle name="Procent 3 7 2 3" xfId="11968" xr:uid="{5ED3F5BA-F2E3-470E-BA1C-DD1C186843DD}"/>
    <cellStyle name="Procent 3 7 3" xfId="7991" xr:uid="{58BD578C-61BC-4AC5-89BA-018EF72EF288}"/>
    <cellStyle name="Procent 3 7 3 2" xfId="13351" xr:uid="{B6332802-9948-4643-ACB0-DBC48AE17889}"/>
    <cellStyle name="Procent 3 7 4" xfId="10637" xr:uid="{E63CF1AE-778B-46E9-843F-A915CDB606D7}"/>
    <cellStyle name="Procent 4" xfId="1990" xr:uid="{00000000-0005-0000-0000-00001F1E0000}"/>
    <cellStyle name="Procent 4 10" xfId="7918" xr:uid="{6D674DD6-3053-4043-9F05-A25692D9F24C}"/>
    <cellStyle name="Procent 4 10 2" xfId="13256" xr:uid="{BD2C4029-C7A4-4712-B7A2-188C47ABD97E}"/>
    <cellStyle name="Procent 4 11" xfId="10571" xr:uid="{A2AC1113-D27C-49DB-8A98-ACBDDCAD8C12}"/>
    <cellStyle name="Procent 4 2" xfId="3260" xr:uid="{00000000-0005-0000-0000-0000201E0000}"/>
    <cellStyle name="Procent 4 2 2" xfId="3309" xr:uid="{00000000-0005-0000-0000-0000211E0000}"/>
    <cellStyle name="Procent 4 2 2 2" xfId="4693" xr:uid="{00000000-0005-0000-0000-0000221E0000}"/>
    <cellStyle name="Procent 4 2 2 2 2" xfId="7861" xr:uid="{00000000-0005-0000-0000-0000231E0000}"/>
    <cellStyle name="Procent 4 2 2 2 2 2" xfId="10529" xr:uid="{013FF6E2-D9E3-4066-B9A1-D252564020BE}"/>
    <cellStyle name="Procent 4 2 2 2 2 2 2" xfId="15919" xr:uid="{4CF6F578-37EC-42D7-8BB9-2702246D8C6D}"/>
    <cellStyle name="Procent 4 2 2 2 2 3" xfId="13166" xr:uid="{FCD7ED9E-536B-4311-A72A-B8B8CCE4B3A8}"/>
    <cellStyle name="Procent 4 2 2 2 3" xfId="9198" xr:uid="{FAB86C0D-17A8-4F8A-A6ED-538B61889AAF}"/>
    <cellStyle name="Procent 4 2 2 2 3 2" xfId="14557" xr:uid="{33B99183-0EBB-4F31-96E6-FB0C4D8BA82B}"/>
    <cellStyle name="Procent 4 2 2 2 4" xfId="11835" xr:uid="{997AA124-CEC1-4833-B099-1705096D3A73}"/>
    <cellStyle name="Procent 4 2 2 3" xfId="4069" xr:uid="{00000000-0005-0000-0000-0000241E0000}"/>
    <cellStyle name="Procent 4 2 2 3 2" xfId="7237" xr:uid="{00000000-0005-0000-0000-0000251E0000}"/>
    <cellStyle name="Procent 4 2 2 3 2 2" xfId="9905" xr:uid="{B9D291EF-A73A-4C03-A153-2AEDCF9194A3}"/>
    <cellStyle name="Procent 4 2 2 3 2 2 2" xfId="15295" xr:uid="{01797101-31CA-488B-868D-F1AA432B2678}"/>
    <cellStyle name="Procent 4 2 2 3 2 3" xfId="12542" xr:uid="{E98F89E1-8D76-492A-B881-3A6CD96ED43B}"/>
    <cellStyle name="Procent 4 2 2 3 3" xfId="8574" xr:uid="{F9107597-B207-48F5-A694-E51FCA2967A1}"/>
    <cellStyle name="Procent 4 2 2 3 3 2" xfId="13933" xr:uid="{6B8D7010-763D-4A3A-BD2B-3212A5755374}"/>
    <cellStyle name="Procent 4 2 2 3 4" xfId="11211" xr:uid="{0E54BC63-7BD8-426F-87D3-49D43A03B316}"/>
    <cellStyle name="Procent 4 2 2 4" xfId="6618" xr:uid="{00000000-0005-0000-0000-0000261E0000}"/>
    <cellStyle name="Procent 4 2 2 4 2" xfId="9295" xr:uid="{FAE82FE4-9634-4202-B6FD-A04D9400CF79}"/>
    <cellStyle name="Procent 4 2 2 4 2 2" xfId="14685" xr:uid="{5B97DC6A-53F0-43E2-8B40-19535C388289}"/>
    <cellStyle name="Procent 4 2 2 4 3" xfId="11932" xr:uid="{5C3F86B4-C0FF-4669-848E-7C3FC8466DA3}"/>
    <cellStyle name="Procent 4 2 2 5" xfId="7955" xr:uid="{FD35AABA-57D7-45C1-A2AC-C2F0A842A2F6}"/>
    <cellStyle name="Procent 4 2 2 5 2" xfId="13315" xr:uid="{4CEC497F-8916-4D33-A4CD-94C929C0E6BE}"/>
    <cellStyle name="Procent 4 2 2 6" xfId="10601" xr:uid="{EBCD8FE3-1431-4377-B087-1905FCED9D49}"/>
    <cellStyle name="Procent 4 2 3" xfId="4070" xr:uid="{00000000-0005-0000-0000-0000271E0000}"/>
    <cellStyle name="Procent 4 2 3 2" xfId="4694" xr:uid="{00000000-0005-0000-0000-0000281E0000}"/>
    <cellStyle name="Procent 4 2 3 2 2" xfId="7862" xr:uid="{00000000-0005-0000-0000-0000291E0000}"/>
    <cellStyle name="Procent 4 2 3 2 2 2" xfId="10530" xr:uid="{495B1296-7919-4159-A51A-01701D0C7CD4}"/>
    <cellStyle name="Procent 4 2 3 2 2 2 2" xfId="15920" xr:uid="{9253316F-24AD-47A5-BFCC-B445DE50CF42}"/>
    <cellStyle name="Procent 4 2 3 2 2 3" xfId="13167" xr:uid="{8F0F8B49-FB0E-432F-84B8-AA39289FFB54}"/>
    <cellStyle name="Procent 4 2 3 2 3" xfId="9199" xr:uid="{95FB8D25-D860-4ECB-A4E0-6C8038AA31EB}"/>
    <cellStyle name="Procent 4 2 3 2 3 2" xfId="14558" xr:uid="{47C37128-CCA6-4F0E-BA69-0C744C344A2B}"/>
    <cellStyle name="Procent 4 2 3 2 4" xfId="11836" xr:uid="{503865CD-3E25-4F07-A505-3EC696CBBD72}"/>
    <cellStyle name="Procent 4 2 3 3" xfId="7238" xr:uid="{00000000-0005-0000-0000-00002A1E0000}"/>
    <cellStyle name="Procent 4 2 3 3 2" xfId="9906" xr:uid="{D0EDBA46-7E9B-4C0F-96C6-D80814D9A20C}"/>
    <cellStyle name="Procent 4 2 3 3 2 2" xfId="15296" xr:uid="{F8FB088F-DB70-448B-B0E2-9EAA87A6DE24}"/>
    <cellStyle name="Procent 4 2 3 3 3" xfId="12543" xr:uid="{AE63C831-74F7-472D-A4CA-48D46AA2754A}"/>
    <cellStyle name="Procent 4 2 3 4" xfId="8575" xr:uid="{7391D25B-90E1-4CA8-BFCF-0CD533C8C3D1}"/>
    <cellStyle name="Procent 4 2 3 4 2" xfId="13934" xr:uid="{E217B089-51A1-42E6-8D5C-39E969AFE365}"/>
    <cellStyle name="Procent 4 2 3 5" xfId="11212" xr:uid="{7600AFC4-221A-47BF-81E9-DF107B5210AD}"/>
    <cellStyle name="Procent 4 2 4" xfId="4692" xr:uid="{00000000-0005-0000-0000-00002B1E0000}"/>
    <cellStyle name="Procent 4 2 4 2" xfId="7860" xr:uid="{00000000-0005-0000-0000-00002C1E0000}"/>
    <cellStyle name="Procent 4 2 4 2 2" xfId="10528" xr:uid="{F8632F94-4C98-4F34-A5A4-B4E70E74BA28}"/>
    <cellStyle name="Procent 4 2 4 2 2 2" xfId="15918" xr:uid="{ECFE4E26-4F05-40B5-86A9-9553B67D2E22}"/>
    <cellStyle name="Procent 4 2 4 2 3" xfId="13165" xr:uid="{84DDD99A-1796-4792-B613-D4ACDC4A6555}"/>
    <cellStyle name="Procent 4 2 4 3" xfId="9197" xr:uid="{683BD298-0289-4AC9-B7D4-51E3773E7F46}"/>
    <cellStyle name="Procent 4 2 4 3 2" xfId="14556" xr:uid="{E24590A9-497C-4592-9D50-1AD17F8792AD}"/>
    <cellStyle name="Procent 4 2 4 4" xfId="11834" xr:uid="{857A470C-51B3-420B-8F0A-57A282AFD948}"/>
    <cellStyle name="Procent 4 2 5" xfId="4068" xr:uid="{00000000-0005-0000-0000-00002D1E0000}"/>
    <cellStyle name="Procent 4 2 5 2" xfId="7236" xr:uid="{00000000-0005-0000-0000-00002E1E0000}"/>
    <cellStyle name="Procent 4 2 5 2 2" xfId="9904" xr:uid="{C1BC0569-42A7-4C72-8DDE-E0C3A2975875}"/>
    <cellStyle name="Procent 4 2 5 2 2 2" xfId="15294" xr:uid="{CAAD3FA0-2C5B-4502-BCAD-FC8AA5F3FE16}"/>
    <cellStyle name="Procent 4 2 5 2 3" xfId="12541" xr:uid="{504D9BD6-0936-4EC7-8415-37D5136142A3}"/>
    <cellStyle name="Procent 4 2 5 3" xfId="8573" xr:uid="{6D379306-9A6F-42D7-AB40-D5F93E70666A}"/>
    <cellStyle name="Procent 4 2 5 3 2" xfId="13932" xr:uid="{73B67CBA-28BC-4957-80CB-E9A4033386CF}"/>
    <cellStyle name="Procent 4 2 5 4" xfId="11210" xr:uid="{B588A3B6-E6BE-4A63-90EC-1F4F65E4DA25}"/>
    <cellStyle name="Procent 4 2 6" xfId="5675" xr:uid="{00000000-0005-0000-0000-00002F1E0000}"/>
    <cellStyle name="Procent 4 2 6 2" xfId="9255" xr:uid="{45D38DFC-B9C9-4256-B511-AE2F8A43B0CE}"/>
    <cellStyle name="Procent 4 2 6 2 2" xfId="14628" xr:uid="{A3BE5CFF-7604-4488-896A-51C7327DFBCB}"/>
    <cellStyle name="Procent 4 2 6 3" xfId="11892" xr:uid="{E4B66ACF-8987-47BF-9BD2-D68DFEFF6FA8}"/>
    <cellStyle name="Procent 4 2 7" xfId="6597" xr:uid="{00000000-0005-0000-0000-0000301E0000}"/>
    <cellStyle name="Procent 4 2 7 2" xfId="9275" xr:uid="{20073080-D22E-4777-9D6A-F004A82B7C80}"/>
    <cellStyle name="Procent 4 2 7 2 2" xfId="14664" xr:uid="{70AB6F1F-FEEB-4A38-90E9-E0BDBD377E0E}"/>
    <cellStyle name="Procent 4 2 7 3" xfId="11912" xr:uid="{C568C56F-F394-4BDC-B11B-841C6FE66FA2}"/>
    <cellStyle name="Procent 4 2 8" xfId="7935" xr:uid="{0C727732-B5AD-45E7-90C1-82E37C36B52A}"/>
    <cellStyle name="Procent 4 2 8 2" xfId="13295" xr:uid="{DE57915B-5A33-4376-A16E-0A3383B07F43}"/>
    <cellStyle name="Procent 4 2 9" xfId="10581" xr:uid="{F8DE4B93-973E-440F-9C44-5CE6FBFDA34F}"/>
    <cellStyle name="Procent 4 3" xfId="3290" xr:uid="{00000000-0005-0000-0000-0000311E0000}"/>
    <cellStyle name="Procent 4 3 2" xfId="4695" xr:uid="{00000000-0005-0000-0000-0000321E0000}"/>
    <cellStyle name="Procent 4 3 2 2" xfId="7863" xr:uid="{00000000-0005-0000-0000-0000331E0000}"/>
    <cellStyle name="Procent 4 3 2 2 2" xfId="10531" xr:uid="{EAEF60FC-09BE-4868-83C5-EC6B29624919}"/>
    <cellStyle name="Procent 4 3 2 2 2 2" xfId="15921" xr:uid="{92562971-3017-41F9-AA2E-85C120363B1E}"/>
    <cellStyle name="Procent 4 3 2 2 3" xfId="13168" xr:uid="{FDB47923-3427-4442-BD6F-0D194BD84A9C}"/>
    <cellStyle name="Procent 4 3 2 3" xfId="9200" xr:uid="{52E38991-BA7A-4111-8EA1-BC27A483C813}"/>
    <cellStyle name="Procent 4 3 2 3 2" xfId="14559" xr:uid="{38900A32-FA06-454D-AE78-F2E2CB05850F}"/>
    <cellStyle name="Procent 4 3 2 4" xfId="11837" xr:uid="{FA5C0B53-2831-4867-A757-71A3451BA198}"/>
    <cellStyle name="Procent 4 3 3" xfId="4071" xr:uid="{00000000-0005-0000-0000-0000341E0000}"/>
    <cellStyle name="Procent 4 3 3 2" xfId="7239" xr:uid="{00000000-0005-0000-0000-0000351E0000}"/>
    <cellStyle name="Procent 4 3 3 2 2" xfId="9907" xr:uid="{44FB791C-E01B-4FE0-AD95-0E81003DDD31}"/>
    <cellStyle name="Procent 4 3 3 2 2 2" xfId="15297" xr:uid="{53F34691-D753-40CC-A275-F837D4F10062}"/>
    <cellStyle name="Procent 4 3 3 2 3" xfId="12544" xr:uid="{B2E1CCD7-007A-445D-9E7D-C2D98DE3ACF7}"/>
    <cellStyle name="Procent 4 3 3 3" xfId="8576" xr:uid="{987822D9-4398-45CF-8F81-BFB939D6AB87}"/>
    <cellStyle name="Procent 4 3 3 3 2" xfId="13935" xr:uid="{2543C53C-D13D-42E0-BB16-7E6597A718EB}"/>
    <cellStyle name="Procent 4 3 3 4" xfId="11213" xr:uid="{E2F6853E-A0D5-40EF-99BA-4099D9E92711}"/>
    <cellStyle name="Procent 4 3 4" xfId="6608" xr:uid="{00000000-0005-0000-0000-0000361E0000}"/>
    <cellStyle name="Procent 4 3 4 2" xfId="9285" xr:uid="{B48163BE-8168-4E2D-AD53-F98AB24B7E69}"/>
    <cellStyle name="Procent 4 3 4 2 2" xfId="14675" xr:uid="{AF19DAB5-8D3D-45E8-96C5-F68DF049B1EF}"/>
    <cellStyle name="Procent 4 3 4 3" xfId="11922" xr:uid="{A2A48C13-2D98-42FE-88EF-7AF88906597A}"/>
    <cellStyle name="Procent 4 3 5" xfId="7945" xr:uid="{DEEBD2B1-6073-44DD-9751-F94ACEAD32FB}"/>
    <cellStyle name="Procent 4 3 5 2" xfId="13305" xr:uid="{A56D97B4-7B6E-4177-A72E-AFD049C5A722}"/>
    <cellStyle name="Procent 4 3 6" xfId="10591" xr:uid="{61207613-8A73-4908-87AE-3685DD488F8F}"/>
    <cellStyle name="Procent 4 4" xfId="4072" xr:uid="{00000000-0005-0000-0000-0000371E0000}"/>
    <cellStyle name="Procent 4 4 2" xfId="4696" xr:uid="{00000000-0005-0000-0000-0000381E0000}"/>
    <cellStyle name="Procent 4 4 2 2" xfId="7864" xr:uid="{00000000-0005-0000-0000-0000391E0000}"/>
    <cellStyle name="Procent 4 4 2 2 2" xfId="10532" xr:uid="{78DE2B17-DE91-424E-AEF5-3E0211E67DF4}"/>
    <cellStyle name="Procent 4 4 2 2 2 2" xfId="15922" xr:uid="{14B8B51E-B769-42E8-9F3B-DD5346CAFC95}"/>
    <cellStyle name="Procent 4 4 2 2 3" xfId="13169" xr:uid="{66BB12CA-3563-4B30-B294-05491ED8ED8C}"/>
    <cellStyle name="Procent 4 4 2 3" xfId="9201" xr:uid="{F750AC1C-AFF9-41D0-836B-516AD4A60382}"/>
    <cellStyle name="Procent 4 4 2 3 2" xfId="14560" xr:uid="{A0EF3AD1-865F-4148-B16C-46A2BDDDF71B}"/>
    <cellStyle name="Procent 4 4 2 4" xfId="11838" xr:uid="{CDEE3658-FD83-4860-9E1E-9C923C2BCEDE}"/>
    <cellStyle name="Procent 4 4 3" xfId="7240" xr:uid="{00000000-0005-0000-0000-00003A1E0000}"/>
    <cellStyle name="Procent 4 4 3 2" xfId="9908" xr:uid="{5A14AC65-D0CC-444D-8B6B-3AC5E98A4626}"/>
    <cellStyle name="Procent 4 4 3 2 2" xfId="15298" xr:uid="{17EB6BEA-E385-46AF-B5C4-75FD8122114B}"/>
    <cellStyle name="Procent 4 4 3 3" xfId="12545" xr:uid="{70891075-3463-42F5-B93F-5AA677B82623}"/>
    <cellStyle name="Procent 4 4 4" xfId="8577" xr:uid="{587CFB34-E9C3-4E2A-9F8A-133E5E8686B5}"/>
    <cellStyle name="Procent 4 4 4 2" xfId="13936" xr:uid="{966497CB-DE5A-4B5B-8DC2-DEC84B669749}"/>
    <cellStyle name="Procent 4 4 5" xfId="11214" xr:uid="{78BD486C-D67A-47D4-A42D-1F49A6CE6289}"/>
    <cellStyle name="Procent 4 5" xfId="4073" xr:uid="{00000000-0005-0000-0000-00003B1E0000}"/>
    <cellStyle name="Procent 4 5 2" xfId="4697" xr:uid="{00000000-0005-0000-0000-00003C1E0000}"/>
    <cellStyle name="Procent 4 5 2 2" xfId="7865" xr:uid="{00000000-0005-0000-0000-00003D1E0000}"/>
    <cellStyle name="Procent 4 5 2 2 2" xfId="10533" xr:uid="{7E75CAFC-1421-43AF-B471-0A189F7EFAE7}"/>
    <cellStyle name="Procent 4 5 2 2 2 2" xfId="15923" xr:uid="{C3C1FEBD-45F5-4046-858E-233734105FC2}"/>
    <cellStyle name="Procent 4 5 2 2 3" xfId="13170" xr:uid="{63A89564-D820-471A-9CCF-6F4414244197}"/>
    <cellStyle name="Procent 4 5 2 3" xfId="9202" xr:uid="{03905610-DE93-4B8C-A730-BA90E53C4D00}"/>
    <cellStyle name="Procent 4 5 2 3 2" xfId="14561" xr:uid="{A0EAF423-4DD1-49D6-91A7-E0D866CFA089}"/>
    <cellStyle name="Procent 4 5 2 4" xfId="11839" xr:uid="{81A7607C-6229-4B13-9C60-0C5231231504}"/>
    <cellStyle name="Procent 4 5 3" xfId="7241" xr:uid="{00000000-0005-0000-0000-00003E1E0000}"/>
    <cellStyle name="Procent 4 5 3 2" xfId="9909" xr:uid="{4B85B5B0-C5D5-497F-856D-0490F5E79B79}"/>
    <cellStyle name="Procent 4 5 3 2 2" xfId="15299" xr:uid="{2F917683-8DDD-4F4B-8DAD-CC0FA898DD5A}"/>
    <cellStyle name="Procent 4 5 3 3" xfId="12546" xr:uid="{F2EDC38C-CC42-4EA3-9A14-BB1CFFB64533}"/>
    <cellStyle name="Procent 4 5 4" xfId="8578" xr:uid="{B23BF3FE-10EA-46D8-9FC4-45CF08E54D83}"/>
    <cellStyle name="Procent 4 5 4 2" xfId="13937" xr:uid="{53A379B4-A338-4F07-9016-32C63E4EE56D}"/>
    <cellStyle name="Procent 4 5 5" xfId="11215" xr:uid="{CD7DBD14-AA3D-4B53-9314-81350176011F}"/>
    <cellStyle name="Procent 4 6" xfId="4691" xr:uid="{00000000-0005-0000-0000-00003F1E0000}"/>
    <cellStyle name="Procent 4 6 2" xfId="7859" xr:uid="{00000000-0005-0000-0000-0000401E0000}"/>
    <cellStyle name="Procent 4 6 2 2" xfId="10527" xr:uid="{D3498400-2C79-4843-B0FC-371A78B093B4}"/>
    <cellStyle name="Procent 4 6 2 2 2" xfId="15917" xr:uid="{EDFF50D9-CBB8-4222-A95D-0D02BD1428C9}"/>
    <cellStyle name="Procent 4 6 2 3" xfId="13164" xr:uid="{214FFF6F-FE66-4281-B026-3C4CFCB4E194}"/>
    <cellStyle name="Procent 4 6 3" xfId="9196" xr:uid="{24E9D79B-CFFA-4636-9458-C8FD81B8A9ED}"/>
    <cellStyle name="Procent 4 6 3 2" xfId="14555" xr:uid="{CC9C7265-D852-43B5-ACDF-CC4906D94762}"/>
    <cellStyle name="Procent 4 6 4" xfId="11833" xr:uid="{A17C5C06-D256-4C40-9964-4986E7623DCB}"/>
    <cellStyle name="Procent 4 7" xfId="4067" xr:uid="{00000000-0005-0000-0000-0000411E0000}"/>
    <cellStyle name="Procent 4 7 2" xfId="7235" xr:uid="{00000000-0005-0000-0000-0000421E0000}"/>
    <cellStyle name="Procent 4 7 2 2" xfId="9903" xr:uid="{88413B17-71F5-48C3-9B6D-DD3396754C40}"/>
    <cellStyle name="Procent 4 7 2 2 2" xfId="15293" xr:uid="{D8961098-65AC-4AE9-8288-A0FFDFACF18C}"/>
    <cellStyle name="Procent 4 7 2 3" xfId="12540" xr:uid="{B318532A-08EE-4C7D-8533-EA033DD7082F}"/>
    <cellStyle name="Procent 4 7 3" xfId="8572" xr:uid="{3F51BC48-1112-4F07-B70C-5EA81DBF7450}"/>
    <cellStyle name="Procent 4 7 3 2" xfId="13931" xr:uid="{832BC732-AEFD-4524-A6AF-52F9B2564586}"/>
    <cellStyle name="Procent 4 7 4" xfId="11209" xr:uid="{95F0C8CC-43A3-44F3-8629-8661EC936066}"/>
    <cellStyle name="Procent 4 8" xfId="5306" xr:uid="{00000000-0005-0000-0000-0000431E0000}"/>
    <cellStyle name="Procent 4 8 2" xfId="9245" xr:uid="{B8890867-31D1-4009-92DF-C09936D67BB3}"/>
    <cellStyle name="Procent 4 8 2 2" xfId="14614" xr:uid="{3C0D5677-1B48-49D7-8760-DC726AA5C3CE}"/>
    <cellStyle name="Procent 4 8 3" xfId="11882" xr:uid="{F5FC08B9-37E8-4842-8900-568CF75F9D6B}"/>
    <cellStyle name="Procent 4 9" xfId="6228" xr:uid="{00000000-0005-0000-0000-0000441E0000}"/>
    <cellStyle name="Procent 4 9 2" xfId="9265" xr:uid="{636F26A9-6065-4E97-9264-7A67B1C7E0A8}"/>
    <cellStyle name="Procent 4 9 2 2" xfId="14647" xr:uid="{D3EABF87-4DAC-4836-9D66-B67EF3DA51E5}"/>
    <cellStyle name="Procent 4 9 3" xfId="11902" xr:uid="{28CDD7A7-CC69-48D1-844C-66F9E070E21D}"/>
    <cellStyle name="Procent 5" xfId="3313" xr:uid="{00000000-0005-0000-0000-0000451E0000}"/>
    <cellStyle name="Procent 5 10" xfId="10605" xr:uid="{1DE2308C-58C9-453C-AC48-2D18EEDCCE51}"/>
    <cellStyle name="Procent 5 2" xfId="4075" xr:uid="{00000000-0005-0000-0000-0000461E0000}"/>
    <cellStyle name="Procent 5 2 2" xfId="4076" xr:uid="{00000000-0005-0000-0000-0000471E0000}"/>
    <cellStyle name="Procent 5 2 2 2" xfId="4700" xr:uid="{00000000-0005-0000-0000-0000481E0000}"/>
    <cellStyle name="Procent 5 2 2 2 2" xfId="7868" xr:uid="{00000000-0005-0000-0000-0000491E0000}"/>
    <cellStyle name="Procent 5 2 2 2 2 2" xfId="10536" xr:uid="{BC64119E-CD44-4AA1-9D54-A0AA8AB5B384}"/>
    <cellStyle name="Procent 5 2 2 2 2 2 2" xfId="15926" xr:uid="{B0C9A190-571D-4E48-BE35-B09C99C7CF1C}"/>
    <cellStyle name="Procent 5 2 2 2 2 3" xfId="13173" xr:uid="{FEEC10B5-8B7E-4D05-8FAA-B5C00F83905F}"/>
    <cellStyle name="Procent 5 2 2 2 3" xfId="9205" xr:uid="{C1174979-E850-430A-A938-47099F2BAC6B}"/>
    <cellStyle name="Procent 5 2 2 2 3 2" xfId="14564" xr:uid="{FC41EB34-EB16-40D2-9053-93C562E35D6C}"/>
    <cellStyle name="Procent 5 2 2 2 4" xfId="11842" xr:uid="{519BF595-33D7-49D7-A1F1-4C7E3552241D}"/>
    <cellStyle name="Procent 5 2 2 3" xfId="7244" xr:uid="{00000000-0005-0000-0000-00004A1E0000}"/>
    <cellStyle name="Procent 5 2 2 3 2" xfId="9912" xr:uid="{B25143BA-718A-4B00-8425-4A10FBD1FD28}"/>
    <cellStyle name="Procent 5 2 2 3 2 2" xfId="15302" xr:uid="{5329AD96-369C-4603-B795-370A17C3EA69}"/>
    <cellStyle name="Procent 5 2 2 3 3" xfId="12549" xr:uid="{FEC917FF-0E3C-496C-AE6B-7F8134FC9064}"/>
    <cellStyle name="Procent 5 2 2 4" xfId="8581" xr:uid="{260C3D76-7131-45E6-92EA-351BF1EBFEC2}"/>
    <cellStyle name="Procent 5 2 2 4 2" xfId="13940" xr:uid="{61FD9386-5554-4C24-9680-3B80421EE1AE}"/>
    <cellStyle name="Procent 5 2 2 5" xfId="11218" xr:uid="{DFDDE3B0-14CC-4132-BF98-78AF405D8B63}"/>
    <cellStyle name="Procent 5 2 3" xfId="4077" xr:uid="{00000000-0005-0000-0000-00004B1E0000}"/>
    <cellStyle name="Procent 5 2 3 2" xfId="4701" xr:uid="{00000000-0005-0000-0000-00004C1E0000}"/>
    <cellStyle name="Procent 5 2 3 2 2" xfId="7869" xr:uid="{00000000-0005-0000-0000-00004D1E0000}"/>
    <cellStyle name="Procent 5 2 3 2 2 2" xfId="10537" xr:uid="{609987AE-960C-4445-B63E-CDD80BC9E8E4}"/>
    <cellStyle name="Procent 5 2 3 2 2 2 2" xfId="15927" xr:uid="{D417A8BB-FBF5-4C8A-99ED-19F8319C1ABC}"/>
    <cellStyle name="Procent 5 2 3 2 2 3" xfId="13174" xr:uid="{1E0CAF22-2C5E-4D51-8467-9A277081266E}"/>
    <cellStyle name="Procent 5 2 3 2 3" xfId="9206" xr:uid="{F0AEB4E8-98AF-475A-AC98-C014486319AA}"/>
    <cellStyle name="Procent 5 2 3 2 3 2" xfId="14565" xr:uid="{07E31858-4D82-4431-9967-AAD7AF6F216C}"/>
    <cellStyle name="Procent 5 2 3 2 4" xfId="11843" xr:uid="{F17590E5-72AD-4313-9D71-9428F9164318}"/>
    <cellStyle name="Procent 5 2 3 3" xfId="7245" xr:uid="{00000000-0005-0000-0000-00004E1E0000}"/>
    <cellStyle name="Procent 5 2 3 3 2" xfId="9913" xr:uid="{A08D9B44-69F2-4C14-8F5B-D400E11E1E96}"/>
    <cellStyle name="Procent 5 2 3 3 2 2" xfId="15303" xr:uid="{2B2CDF25-5A2F-497E-B3F0-C060E2E4E9B6}"/>
    <cellStyle name="Procent 5 2 3 3 3" xfId="12550" xr:uid="{4CEDCC0D-161B-4816-970E-C5FAC4FDAF28}"/>
    <cellStyle name="Procent 5 2 3 4" xfId="8582" xr:uid="{BF1A964F-5209-4B8C-8734-30651EE360A4}"/>
    <cellStyle name="Procent 5 2 3 4 2" xfId="13941" xr:uid="{5693D4D7-E92F-415A-986B-1626F11FECAE}"/>
    <cellStyle name="Procent 5 2 3 5" xfId="11219" xr:uid="{915507A1-E5D8-43E2-990A-923E6C9531BB}"/>
    <cellStyle name="Procent 5 2 4" xfId="4699" xr:uid="{00000000-0005-0000-0000-00004F1E0000}"/>
    <cellStyle name="Procent 5 2 4 2" xfId="7867" xr:uid="{00000000-0005-0000-0000-0000501E0000}"/>
    <cellStyle name="Procent 5 2 4 2 2" xfId="10535" xr:uid="{88820006-EFC3-432B-A0C1-4E4254244B5B}"/>
    <cellStyle name="Procent 5 2 4 2 2 2" xfId="15925" xr:uid="{AD2737BB-EEAA-4961-ADA8-9C39820CB4EF}"/>
    <cellStyle name="Procent 5 2 4 2 3" xfId="13172" xr:uid="{1E2B1DCF-7F47-4094-A4C3-D72F2B9A0FF4}"/>
    <cellStyle name="Procent 5 2 4 3" xfId="9204" xr:uid="{9339B913-21CE-4F08-894E-F641F5DD3033}"/>
    <cellStyle name="Procent 5 2 4 3 2" xfId="14563" xr:uid="{C819EAB2-3CE9-4930-B2F2-2C09DDDAAD91}"/>
    <cellStyle name="Procent 5 2 4 4" xfId="11841" xr:uid="{BE40EDCC-B181-419E-88F3-E00DDC315ECB}"/>
    <cellStyle name="Procent 5 2 5" xfId="7243" xr:uid="{00000000-0005-0000-0000-0000511E0000}"/>
    <cellStyle name="Procent 5 2 5 2" xfId="9911" xr:uid="{DDAF5087-AEE3-4D2A-BBDD-3207F19AC308}"/>
    <cellStyle name="Procent 5 2 5 2 2" xfId="15301" xr:uid="{7FB4F9B1-9E46-4A84-A795-A8AECE3AD80B}"/>
    <cellStyle name="Procent 5 2 5 3" xfId="12548" xr:uid="{83D33AE1-3664-479A-AB5C-BF5E91A21501}"/>
    <cellStyle name="Procent 5 2 6" xfId="8580" xr:uid="{6289B5B5-1726-4AB9-88F7-FEDBB425B4AD}"/>
    <cellStyle name="Procent 5 2 6 2" xfId="13939" xr:uid="{623E6D13-D43C-4E33-B4C3-D306411D5CA6}"/>
    <cellStyle name="Procent 5 2 7" xfId="11217" xr:uid="{2DCAFFB3-6B88-480C-9EF4-0203012C73F8}"/>
    <cellStyle name="Procent 5 3" xfId="4078" xr:uid="{00000000-0005-0000-0000-0000521E0000}"/>
    <cellStyle name="Procent 5 3 2" xfId="4702" xr:uid="{00000000-0005-0000-0000-0000531E0000}"/>
    <cellStyle name="Procent 5 3 2 2" xfId="7870" xr:uid="{00000000-0005-0000-0000-0000541E0000}"/>
    <cellStyle name="Procent 5 3 2 2 2" xfId="10538" xr:uid="{C17AA8D4-CC30-4E0E-9256-B0B02D13C595}"/>
    <cellStyle name="Procent 5 3 2 2 2 2" xfId="15928" xr:uid="{D2F0341A-DD5C-4D92-9791-C925E59F1F0A}"/>
    <cellStyle name="Procent 5 3 2 2 3" xfId="13175" xr:uid="{A235CADD-2588-41F3-9E65-F4401B0A7369}"/>
    <cellStyle name="Procent 5 3 2 3" xfId="9207" xr:uid="{FC4E18C7-479C-41B9-97CC-1CEC4EA81179}"/>
    <cellStyle name="Procent 5 3 2 3 2" xfId="14566" xr:uid="{F44D0528-8114-466A-B6CE-F249B06E734D}"/>
    <cellStyle name="Procent 5 3 2 4" xfId="11844" xr:uid="{B086E0C5-F8C2-493E-9F99-5B78BE620CF9}"/>
    <cellStyle name="Procent 5 3 3" xfId="7246" xr:uid="{00000000-0005-0000-0000-0000551E0000}"/>
    <cellStyle name="Procent 5 3 3 2" xfId="9914" xr:uid="{F5582376-EA94-4885-B175-3A14D237C4A7}"/>
    <cellStyle name="Procent 5 3 3 2 2" xfId="15304" xr:uid="{1E2472FC-1322-484D-8901-DBD6DE492495}"/>
    <cellStyle name="Procent 5 3 3 3" xfId="12551" xr:uid="{FB8736A4-99AD-4B28-8BAD-645ABB83492F}"/>
    <cellStyle name="Procent 5 3 4" xfId="8583" xr:uid="{ABB419B2-88DD-482A-834D-D3EED79AE012}"/>
    <cellStyle name="Procent 5 3 4 2" xfId="13942" xr:uid="{4B7E5BD9-92EE-44CF-8708-702A6699BC6A}"/>
    <cellStyle name="Procent 5 3 5" xfId="11220" xr:uid="{0E424661-F987-44D0-B9E7-2612D5D6D89D}"/>
    <cellStyle name="Procent 5 4" xfId="4079" xr:uid="{00000000-0005-0000-0000-0000561E0000}"/>
    <cellStyle name="Procent 5 4 2" xfId="4703" xr:uid="{00000000-0005-0000-0000-0000571E0000}"/>
    <cellStyle name="Procent 5 4 2 2" xfId="7871" xr:uid="{00000000-0005-0000-0000-0000581E0000}"/>
    <cellStyle name="Procent 5 4 2 2 2" xfId="10539" xr:uid="{0766380C-6800-49D5-945F-4E5DFF91E561}"/>
    <cellStyle name="Procent 5 4 2 2 2 2" xfId="15929" xr:uid="{0E0605DC-E017-41D7-BA7B-E838251E20A7}"/>
    <cellStyle name="Procent 5 4 2 2 3" xfId="13176" xr:uid="{F482D490-21C3-47F8-838B-ECFB6D0605DF}"/>
    <cellStyle name="Procent 5 4 2 3" xfId="9208" xr:uid="{D93788C7-275E-4980-8D7B-C21255A1110F}"/>
    <cellStyle name="Procent 5 4 2 3 2" xfId="14567" xr:uid="{E59CB053-B290-42DF-A2FA-70162A72EF0F}"/>
    <cellStyle name="Procent 5 4 2 4" xfId="11845" xr:uid="{1892714E-5F69-46CE-AAE6-A2214EA00BD3}"/>
    <cellStyle name="Procent 5 4 3" xfId="7247" xr:uid="{00000000-0005-0000-0000-0000591E0000}"/>
    <cellStyle name="Procent 5 4 3 2" xfId="9915" xr:uid="{F7186AF3-C36E-4921-9C3C-EE25EA2F8E79}"/>
    <cellStyle name="Procent 5 4 3 2 2" xfId="15305" xr:uid="{395B9339-6D26-4942-A94E-D0AF2414CE81}"/>
    <cellStyle name="Procent 5 4 3 3" xfId="12552" xr:uid="{FEADAC5A-3EFE-463F-BD41-EC0DBC37CB9D}"/>
    <cellStyle name="Procent 5 4 4" xfId="8584" xr:uid="{ACB0F27C-C4E8-4D83-A729-F0C54AB8F426}"/>
    <cellStyle name="Procent 5 4 4 2" xfId="13943" xr:uid="{DBD2F8DB-990A-4210-BA2B-E283D1802AC0}"/>
    <cellStyle name="Procent 5 4 5" xfId="11221" xr:uid="{1F977872-0E9D-41B1-87C6-BF2C01AA7C92}"/>
    <cellStyle name="Procent 5 5" xfId="4080" xr:uid="{00000000-0005-0000-0000-00005A1E0000}"/>
    <cellStyle name="Procent 5 5 2" xfId="4704" xr:uid="{00000000-0005-0000-0000-00005B1E0000}"/>
    <cellStyle name="Procent 5 5 2 2" xfId="7872" xr:uid="{00000000-0005-0000-0000-00005C1E0000}"/>
    <cellStyle name="Procent 5 5 2 2 2" xfId="10540" xr:uid="{EAE17153-CA07-4CA6-806A-B8A8E8531D47}"/>
    <cellStyle name="Procent 5 5 2 2 2 2" xfId="15930" xr:uid="{8A3DCFEE-9542-4EFE-ADF1-257060FD2D0B}"/>
    <cellStyle name="Procent 5 5 2 2 3" xfId="13177" xr:uid="{BBD737F1-BE8F-4CF7-A6EF-40749C337124}"/>
    <cellStyle name="Procent 5 5 2 3" xfId="9209" xr:uid="{59769D50-9CD5-4F19-A2BB-951A187BFF4F}"/>
    <cellStyle name="Procent 5 5 2 3 2" xfId="14568" xr:uid="{8A64B78D-0C25-49B9-B398-AB222A9C6996}"/>
    <cellStyle name="Procent 5 5 2 4" xfId="11846" xr:uid="{B12041F5-E07E-4CE6-B02E-EDC6FE322D9A}"/>
    <cellStyle name="Procent 5 5 3" xfId="7248" xr:uid="{00000000-0005-0000-0000-00005D1E0000}"/>
    <cellStyle name="Procent 5 5 3 2" xfId="9916" xr:uid="{FF691900-A946-4CD6-AD62-02CFB596D2B9}"/>
    <cellStyle name="Procent 5 5 3 2 2" xfId="15306" xr:uid="{FD1733AC-7537-4912-BE79-65900425B6B7}"/>
    <cellStyle name="Procent 5 5 3 3" xfId="12553" xr:uid="{E2E18E01-9335-4D6F-8EE1-8AE9C0EED20D}"/>
    <cellStyle name="Procent 5 5 4" xfId="8585" xr:uid="{04BA1741-2DDD-4525-89CF-6FCBE0634D09}"/>
    <cellStyle name="Procent 5 5 4 2" xfId="13944" xr:uid="{D807FAA8-E307-4B9A-9266-D2C25C662148}"/>
    <cellStyle name="Procent 5 5 5" xfId="11222" xr:uid="{3785A33A-7A1B-4E17-9821-D0D2DE95D9E5}"/>
    <cellStyle name="Procent 5 6" xfId="4698" xr:uid="{00000000-0005-0000-0000-00005E1E0000}"/>
    <cellStyle name="Procent 5 6 2" xfId="7866" xr:uid="{00000000-0005-0000-0000-00005F1E0000}"/>
    <cellStyle name="Procent 5 6 2 2" xfId="10534" xr:uid="{01C8319A-43B8-4A44-88C4-D25BCFBC131B}"/>
    <cellStyle name="Procent 5 6 2 2 2" xfId="15924" xr:uid="{E2B8FBB9-3343-40DC-800B-921B24588B9F}"/>
    <cellStyle name="Procent 5 6 2 3" xfId="13171" xr:uid="{73285B14-ACAA-43E1-A051-34B09D75B8A2}"/>
    <cellStyle name="Procent 5 6 3" xfId="9203" xr:uid="{4C54DCDF-B56D-41BC-8657-07E06EB0D50E}"/>
    <cellStyle name="Procent 5 6 3 2" xfId="14562" xr:uid="{F34D1F7B-A1EB-41E7-ABF7-75B8BF59A588}"/>
    <cellStyle name="Procent 5 6 4" xfId="11840" xr:uid="{061A9CE9-8950-4BFA-B920-70F5787BB616}"/>
    <cellStyle name="Procent 5 7" xfId="4074" xr:uid="{00000000-0005-0000-0000-0000601E0000}"/>
    <cellStyle name="Procent 5 7 2" xfId="7242" xr:uid="{00000000-0005-0000-0000-0000611E0000}"/>
    <cellStyle name="Procent 5 7 2 2" xfId="9910" xr:uid="{FD431B64-D114-4768-8311-F979E2ED86C7}"/>
    <cellStyle name="Procent 5 7 2 2 2" xfId="15300" xr:uid="{7031EFF4-E4FC-46AB-B718-5028490BABB1}"/>
    <cellStyle name="Procent 5 7 2 3" xfId="12547" xr:uid="{7CC7BEDD-8B40-4617-A4FA-3E2E0943F90D}"/>
    <cellStyle name="Procent 5 7 3" xfId="8579" xr:uid="{245BACC4-D35F-4C5B-BB81-2DCFAC522BB2}"/>
    <cellStyle name="Procent 5 7 3 2" xfId="13938" xr:uid="{3DF70600-F5ED-4D04-A791-D041A9C02AA1}"/>
    <cellStyle name="Procent 5 7 4" xfId="11216" xr:uid="{A2B21A57-C945-4C8A-8CE0-B511070E2D99}"/>
    <cellStyle name="Procent 5 8" xfId="6622" xr:uid="{00000000-0005-0000-0000-0000621E0000}"/>
    <cellStyle name="Procent 5 8 2" xfId="9299" xr:uid="{72AE3D8B-67BF-4CD1-B4DB-1E87D29879C0}"/>
    <cellStyle name="Procent 5 8 2 2" xfId="14689" xr:uid="{7DD33F82-2C97-4C09-B1CE-953A74493477}"/>
    <cellStyle name="Procent 5 8 3" xfId="11936" xr:uid="{DE4C97C2-C673-40FC-9F02-6C65D2435888}"/>
    <cellStyle name="Procent 5 9" xfId="7959" xr:uid="{5F2A582E-E74B-49A7-B8B0-1B35DF8CFCA8}"/>
    <cellStyle name="Procent 5 9 2" xfId="13319" xr:uid="{81EFD3FF-C1B4-4775-8882-636A6BC4D0A5}"/>
    <cellStyle name="Procent 6" xfId="3364" xr:uid="{00000000-0005-0000-0000-0000631E0000}"/>
    <cellStyle name="Procent 6 2" xfId="4081" xr:uid="{00000000-0005-0000-0000-0000641E0000}"/>
    <cellStyle name="Procent 6 2 2" xfId="4082" xr:uid="{00000000-0005-0000-0000-0000651E0000}"/>
    <cellStyle name="Procent 6 2 2 2" xfId="4707" xr:uid="{00000000-0005-0000-0000-0000661E0000}"/>
    <cellStyle name="Procent 6 2 2 2 2" xfId="7875" xr:uid="{00000000-0005-0000-0000-0000671E0000}"/>
    <cellStyle name="Procent 6 2 2 2 2 2" xfId="10543" xr:uid="{397B4AE4-97A3-4659-9D74-7F2D84EDB3BB}"/>
    <cellStyle name="Procent 6 2 2 2 2 2 2" xfId="15933" xr:uid="{B1702B4D-CBEE-418B-92F2-40258BE5084B}"/>
    <cellStyle name="Procent 6 2 2 2 2 3" xfId="13180" xr:uid="{2FCC226E-A69F-4027-B6C2-7976B1C390EE}"/>
    <cellStyle name="Procent 6 2 2 2 3" xfId="9212" xr:uid="{DF2CD389-1918-4846-91F2-51995602A3ED}"/>
    <cellStyle name="Procent 6 2 2 2 3 2" xfId="14571" xr:uid="{5790C7CF-D717-45DB-A20D-14627BA0781A}"/>
    <cellStyle name="Procent 6 2 2 2 4" xfId="11849" xr:uid="{DF8F7514-CF15-490C-BAD4-A69440AFC8F6}"/>
    <cellStyle name="Procent 6 2 2 3" xfId="7250" xr:uid="{00000000-0005-0000-0000-0000681E0000}"/>
    <cellStyle name="Procent 6 2 2 3 2" xfId="9918" xr:uid="{8809C70D-ABE1-4E1D-ADDB-1E92D13D10CF}"/>
    <cellStyle name="Procent 6 2 2 3 2 2" xfId="15308" xr:uid="{D42485B1-6D6C-43AE-8EF9-21E08C1DB6FD}"/>
    <cellStyle name="Procent 6 2 2 3 3" xfId="12555" xr:uid="{4733AE8F-8A38-471A-8062-E0CC14F1E2CA}"/>
    <cellStyle name="Procent 6 2 2 4" xfId="8587" xr:uid="{29742668-9821-4D8D-837E-145897190A19}"/>
    <cellStyle name="Procent 6 2 2 4 2" xfId="13946" xr:uid="{381364E2-029A-40F6-80FF-AE67235F0369}"/>
    <cellStyle name="Procent 6 2 2 5" xfId="11224" xr:uid="{491B4A8A-CD8E-4BCD-BD0D-E101FF9E2C56}"/>
    <cellStyle name="Procent 6 2 3" xfId="4083" xr:uid="{00000000-0005-0000-0000-0000691E0000}"/>
    <cellStyle name="Procent 6 2 3 2" xfId="4708" xr:uid="{00000000-0005-0000-0000-00006A1E0000}"/>
    <cellStyle name="Procent 6 2 3 2 2" xfId="7876" xr:uid="{00000000-0005-0000-0000-00006B1E0000}"/>
    <cellStyle name="Procent 6 2 3 2 2 2" xfId="10544" xr:uid="{6C36C7E4-9487-4964-BB56-0F7B663511CC}"/>
    <cellStyle name="Procent 6 2 3 2 2 2 2" xfId="15934" xr:uid="{3E398889-5ABE-4842-817A-5B7EF51114D9}"/>
    <cellStyle name="Procent 6 2 3 2 2 3" xfId="13181" xr:uid="{881855E1-7347-420D-9928-8176BF8C443F}"/>
    <cellStyle name="Procent 6 2 3 2 3" xfId="9213" xr:uid="{A0BA3CCC-34FE-41EC-BB7F-D16C5B4A2669}"/>
    <cellStyle name="Procent 6 2 3 2 3 2" xfId="14572" xr:uid="{178A0FCE-0DF7-45A0-91BE-E587E9F8C183}"/>
    <cellStyle name="Procent 6 2 3 2 4" xfId="11850" xr:uid="{07F10375-DFC2-49C6-B2A8-E90E489DEA3E}"/>
    <cellStyle name="Procent 6 2 3 3" xfId="7251" xr:uid="{00000000-0005-0000-0000-00006C1E0000}"/>
    <cellStyle name="Procent 6 2 3 3 2" xfId="9919" xr:uid="{ABD957C9-C0C4-4044-A842-1BE1C053F65C}"/>
    <cellStyle name="Procent 6 2 3 3 2 2" xfId="15309" xr:uid="{CF50C205-9C40-4782-82C1-B5B3709A0831}"/>
    <cellStyle name="Procent 6 2 3 3 3" xfId="12556" xr:uid="{F4439ACF-A9CB-45E5-8914-A09A5C82E532}"/>
    <cellStyle name="Procent 6 2 3 4" xfId="8588" xr:uid="{BCD648FD-86E3-4B6F-9BC5-ED7F7F89229B}"/>
    <cellStyle name="Procent 6 2 3 4 2" xfId="13947" xr:uid="{490D4D50-4877-4DA9-97B5-83B0C467C99F}"/>
    <cellStyle name="Procent 6 2 3 5" xfId="11225" xr:uid="{B8A0BA75-636F-492C-8ECB-3B38F0304C40}"/>
    <cellStyle name="Procent 6 2 4" xfId="4706" xr:uid="{00000000-0005-0000-0000-00006D1E0000}"/>
    <cellStyle name="Procent 6 2 4 2" xfId="7874" xr:uid="{00000000-0005-0000-0000-00006E1E0000}"/>
    <cellStyle name="Procent 6 2 4 2 2" xfId="10542" xr:uid="{CD8A3A8E-5D42-47E8-9123-321A1B8A2C98}"/>
    <cellStyle name="Procent 6 2 4 2 2 2" xfId="15932" xr:uid="{620FB342-BB58-464A-8822-D3D119AE4025}"/>
    <cellStyle name="Procent 6 2 4 2 3" xfId="13179" xr:uid="{2E581F2F-05E7-428A-AC13-012EF15FC9DF}"/>
    <cellStyle name="Procent 6 2 4 3" xfId="9211" xr:uid="{4B9A0247-189E-41B6-AFDF-EEAFEFCF264C}"/>
    <cellStyle name="Procent 6 2 4 3 2" xfId="14570" xr:uid="{5AE83C49-42C9-4191-9078-64F580252BF7}"/>
    <cellStyle name="Procent 6 2 4 4" xfId="11848" xr:uid="{3EF77431-8FBC-4D38-9363-0EDA5CB8D730}"/>
    <cellStyle name="Procent 6 2 5" xfId="7249" xr:uid="{00000000-0005-0000-0000-00006F1E0000}"/>
    <cellStyle name="Procent 6 2 5 2" xfId="9917" xr:uid="{2BCA75D6-55B2-4876-BF63-722BBD8A4DF2}"/>
    <cellStyle name="Procent 6 2 5 2 2" xfId="15307" xr:uid="{F20130E0-9A5D-4950-95F0-0FEFF84C8A5A}"/>
    <cellStyle name="Procent 6 2 5 3" xfId="12554" xr:uid="{770FD920-CD7E-4057-BEC8-7BF73B5884B5}"/>
    <cellStyle name="Procent 6 2 6" xfId="8586" xr:uid="{0E2C5B43-2F6E-48F7-96A9-9449C475FDE1}"/>
    <cellStyle name="Procent 6 2 6 2" xfId="13945" xr:uid="{4A18B9F4-E32A-4956-A2C4-DAB122BE3E11}"/>
    <cellStyle name="Procent 6 2 7" xfId="11223" xr:uid="{6D3ED7F4-27D1-4D99-B711-8DB109ECF28B}"/>
    <cellStyle name="Procent 6 3" xfId="4084" xr:uid="{00000000-0005-0000-0000-0000701E0000}"/>
    <cellStyle name="Procent 6 3 2" xfId="4709" xr:uid="{00000000-0005-0000-0000-0000711E0000}"/>
    <cellStyle name="Procent 6 3 2 2" xfId="7877" xr:uid="{00000000-0005-0000-0000-0000721E0000}"/>
    <cellStyle name="Procent 6 3 2 2 2" xfId="10545" xr:uid="{81EF4754-63F9-4F71-A008-339DC532D403}"/>
    <cellStyle name="Procent 6 3 2 2 2 2" xfId="15935" xr:uid="{EA76A043-276B-4CF0-9B09-19E4397AE1EB}"/>
    <cellStyle name="Procent 6 3 2 2 3" xfId="13182" xr:uid="{4BD1D5B8-456D-4BA4-8A28-B553FA0C275D}"/>
    <cellStyle name="Procent 6 3 2 3" xfId="9214" xr:uid="{1C035E19-F31A-481E-928E-03F0871BF980}"/>
    <cellStyle name="Procent 6 3 2 3 2" xfId="14573" xr:uid="{807F286B-BD28-4FA9-8CAE-5CC296CDC219}"/>
    <cellStyle name="Procent 6 3 2 4" xfId="11851" xr:uid="{974F8C23-C28B-4988-A4BC-C0AADC521AAF}"/>
    <cellStyle name="Procent 6 3 3" xfId="7252" xr:uid="{00000000-0005-0000-0000-0000731E0000}"/>
    <cellStyle name="Procent 6 3 3 2" xfId="9920" xr:uid="{CFA0C5F1-91DF-4103-A5E0-0757295E87DA}"/>
    <cellStyle name="Procent 6 3 3 2 2" xfId="15310" xr:uid="{B9866505-E941-44D3-8957-4F42ABAF9610}"/>
    <cellStyle name="Procent 6 3 3 3" xfId="12557" xr:uid="{2D801D78-F850-480B-977F-BE7E7D4498A5}"/>
    <cellStyle name="Procent 6 3 4" xfId="8589" xr:uid="{3B5FCAF2-7D1E-4AB9-9FB2-D1CC350B4866}"/>
    <cellStyle name="Procent 6 3 4 2" xfId="13948" xr:uid="{0A3FC33C-1815-4E64-A1AC-737590F9E926}"/>
    <cellStyle name="Procent 6 3 5" xfId="11226" xr:uid="{9FF754D7-E8CC-4497-B274-64782199AA23}"/>
    <cellStyle name="Procent 6 4" xfId="4085" xr:uid="{00000000-0005-0000-0000-0000741E0000}"/>
    <cellStyle name="Procent 6 4 2" xfId="4710" xr:uid="{00000000-0005-0000-0000-0000751E0000}"/>
    <cellStyle name="Procent 6 4 2 2" xfId="7878" xr:uid="{00000000-0005-0000-0000-0000761E0000}"/>
    <cellStyle name="Procent 6 4 2 2 2" xfId="10546" xr:uid="{F38C3EBB-2E33-42D6-A610-FD333DFF2337}"/>
    <cellStyle name="Procent 6 4 2 2 2 2" xfId="15936" xr:uid="{5293571B-522C-4137-A4B3-1C8C285B8882}"/>
    <cellStyle name="Procent 6 4 2 2 3" xfId="13183" xr:uid="{3F9B78B7-4D98-4985-B81F-E01CA3103FF7}"/>
    <cellStyle name="Procent 6 4 2 3" xfId="9215" xr:uid="{009BCE83-4EEE-448C-90DA-68E3C11C6BAA}"/>
    <cellStyle name="Procent 6 4 2 3 2" xfId="14574" xr:uid="{48A037C7-F273-494F-92B1-4F78FCD97F9F}"/>
    <cellStyle name="Procent 6 4 2 4" xfId="11852" xr:uid="{1BA3A75A-8CD3-48D7-B9EC-7E038C7C30AA}"/>
    <cellStyle name="Procent 6 4 3" xfId="7253" xr:uid="{00000000-0005-0000-0000-0000771E0000}"/>
    <cellStyle name="Procent 6 4 3 2" xfId="9921" xr:uid="{70F53572-F4A6-4D14-B5E3-1859D1C8D0FD}"/>
    <cellStyle name="Procent 6 4 3 2 2" xfId="15311" xr:uid="{A7B94943-1C71-4393-BD53-1D73306002CE}"/>
    <cellStyle name="Procent 6 4 3 3" xfId="12558" xr:uid="{0E2E3336-0BB7-4DC1-A0F5-5E54F8646377}"/>
    <cellStyle name="Procent 6 4 4" xfId="8590" xr:uid="{042A8F15-6B4B-43DE-85EF-6B46FE3E6E6F}"/>
    <cellStyle name="Procent 6 4 4 2" xfId="13949" xr:uid="{29110776-003C-4CDA-B6E4-19012BC667FA}"/>
    <cellStyle name="Procent 6 4 5" xfId="11227" xr:uid="{A3DD0CEC-8FC1-436C-B86D-DE30ABBDEB4C}"/>
    <cellStyle name="Procent 6 5" xfId="4086" xr:uid="{00000000-0005-0000-0000-0000781E0000}"/>
    <cellStyle name="Procent 6 5 2" xfId="4711" xr:uid="{00000000-0005-0000-0000-0000791E0000}"/>
    <cellStyle name="Procent 6 5 2 2" xfId="7879" xr:uid="{00000000-0005-0000-0000-00007A1E0000}"/>
    <cellStyle name="Procent 6 5 2 2 2" xfId="10547" xr:uid="{D9595FA5-069B-46F7-9339-85155DD56C8B}"/>
    <cellStyle name="Procent 6 5 2 2 2 2" xfId="15937" xr:uid="{3266B065-B1F9-422D-B159-C19493507785}"/>
    <cellStyle name="Procent 6 5 2 2 3" xfId="13184" xr:uid="{F06B0052-60B5-4B9C-8D58-280E8A68E27E}"/>
    <cellStyle name="Procent 6 5 2 3" xfId="9216" xr:uid="{AB9D497A-0522-4A7B-AB60-6A30743A5D73}"/>
    <cellStyle name="Procent 6 5 2 3 2" xfId="14575" xr:uid="{D6F33262-D2C7-4146-8C39-C2B379075E9B}"/>
    <cellStyle name="Procent 6 5 2 4" xfId="11853" xr:uid="{9E5A5B87-6A3D-4528-ADE2-4AA3CFA567DA}"/>
    <cellStyle name="Procent 6 5 3" xfId="7254" xr:uid="{00000000-0005-0000-0000-00007B1E0000}"/>
    <cellStyle name="Procent 6 5 3 2" xfId="9922" xr:uid="{40A84D46-7424-4895-9422-1250F43D074C}"/>
    <cellStyle name="Procent 6 5 3 2 2" xfId="15312" xr:uid="{B0D1FE85-E091-486C-A74D-BE6726534699}"/>
    <cellStyle name="Procent 6 5 3 3" xfId="12559" xr:uid="{4046AEB4-A822-4590-BBFD-BA92292BAFC6}"/>
    <cellStyle name="Procent 6 5 4" xfId="8591" xr:uid="{99542568-3495-4887-B2D3-E7C4F7BE8A1A}"/>
    <cellStyle name="Procent 6 5 4 2" xfId="13950" xr:uid="{0B1AC9B6-F990-46B9-A6D1-3E0B148FC959}"/>
    <cellStyle name="Procent 6 5 5" xfId="11228" xr:uid="{8AFBBB69-EE6D-4B79-B16D-C181420B140D}"/>
    <cellStyle name="Procent 6 6" xfId="4705" xr:uid="{00000000-0005-0000-0000-00007C1E0000}"/>
    <cellStyle name="Procent 6 6 2" xfId="7873" xr:uid="{00000000-0005-0000-0000-00007D1E0000}"/>
    <cellStyle name="Procent 6 6 2 2" xfId="10541" xr:uid="{F38553F4-79A6-45CE-A979-CECF0C0CF6FE}"/>
    <cellStyle name="Procent 6 6 2 2 2" xfId="15931" xr:uid="{41D45023-E5D4-4F1B-BF04-2F8AADD45C0A}"/>
    <cellStyle name="Procent 6 6 2 3" xfId="13178" xr:uid="{66713248-B84B-4C7B-83BE-ED3C514E70CF}"/>
    <cellStyle name="Procent 6 6 3" xfId="9210" xr:uid="{F4289D4F-FCF4-43D6-A8AE-5B1AC673C4BC}"/>
    <cellStyle name="Procent 6 6 3 2" xfId="14569" xr:uid="{21B0F3AD-40EB-4EB9-BC40-951E242FB792}"/>
    <cellStyle name="Procent 6 6 4" xfId="11847" xr:uid="{CFC9286D-79FD-429A-BB2D-9DA3192F83DA}"/>
    <cellStyle name="Procent 6 7" xfId="6648" xr:uid="{00000000-0005-0000-0000-00007E1E0000}"/>
    <cellStyle name="Procent 6 7 2" xfId="9325" xr:uid="{E2BA293E-C100-4A5A-9234-B244B2181248}"/>
    <cellStyle name="Procent 6 7 2 2" xfId="14715" xr:uid="{DD51553D-2328-49DF-8F6D-016B18C194CB}"/>
    <cellStyle name="Procent 6 7 3" xfId="11962" xr:uid="{03997409-47F5-42FF-B044-D67C889E0652}"/>
    <cellStyle name="Procent 6 8" xfId="7985" xr:uid="{6628E126-BC97-44B5-879A-A993A2B5A85E}"/>
    <cellStyle name="Procent 6 8 2" xfId="13345" xr:uid="{1031C401-595C-42FC-91B8-85C07CDD3CB7}"/>
    <cellStyle name="Procent 6 9" xfId="10631" xr:uid="{2E61D93F-606D-4EDE-86D5-B48B1E4BADDE}"/>
    <cellStyle name="Procent 7" xfId="4087" xr:uid="{00000000-0005-0000-0000-00007F1E0000}"/>
    <cellStyle name="Procent 7 2" xfId="4088" xr:uid="{00000000-0005-0000-0000-0000801E0000}"/>
    <cellStyle name="Procent 7 2 2" xfId="4089" xr:uid="{00000000-0005-0000-0000-0000811E0000}"/>
    <cellStyle name="Procent 7 2 2 2" xfId="4714" xr:uid="{00000000-0005-0000-0000-0000821E0000}"/>
    <cellStyle name="Procent 7 2 2 2 2" xfId="7882" xr:uid="{00000000-0005-0000-0000-0000831E0000}"/>
    <cellStyle name="Procent 7 2 2 2 2 2" xfId="10550" xr:uid="{1952A75E-6F64-4D43-B168-70BD727548A7}"/>
    <cellStyle name="Procent 7 2 2 2 2 2 2" xfId="15940" xr:uid="{9458AE1B-76F8-46FB-AB62-16222042E700}"/>
    <cellStyle name="Procent 7 2 2 2 2 3" xfId="13187" xr:uid="{D25763B8-1E2D-47C9-8647-B77F6237F07B}"/>
    <cellStyle name="Procent 7 2 2 2 3" xfId="9219" xr:uid="{8364CE13-034D-4294-B63F-D785B61DEE1B}"/>
    <cellStyle name="Procent 7 2 2 2 3 2" xfId="14578" xr:uid="{E09F43CC-99EC-4C68-ADB6-74971EB6D3BC}"/>
    <cellStyle name="Procent 7 2 2 2 4" xfId="11856" xr:uid="{C75F0DAA-6E0C-428C-B185-7343CD668BFC}"/>
    <cellStyle name="Procent 7 2 2 3" xfId="7257" xr:uid="{00000000-0005-0000-0000-0000841E0000}"/>
    <cellStyle name="Procent 7 2 2 3 2" xfId="9925" xr:uid="{F5D280D1-5DDF-4D97-8503-964DAE6778CD}"/>
    <cellStyle name="Procent 7 2 2 3 2 2" xfId="15315" xr:uid="{27B5D645-D9E4-43BC-9183-D063DC370B28}"/>
    <cellStyle name="Procent 7 2 2 3 3" xfId="12562" xr:uid="{77B8B5C3-9DBE-42FB-B01B-61B939BDCD2A}"/>
    <cellStyle name="Procent 7 2 2 4" xfId="8594" xr:uid="{32AE8AA7-7B87-4C9E-96B0-CF003131EA10}"/>
    <cellStyle name="Procent 7 2 2 4 2" xfId="13953" xr:uid="{672569AF-9682-4879-9EC4-8AFEA646E433}"/>
    <cellStyle name="Procent 7 2 2 5" xfId="11231" xr:uid="{2B060C73-DD56-4FD6-9BD0-9F4A45C68B2D}"/>
    <cellStyle name="Procent 7 2 3" xfId="4090" xr:uid="{00000000-0005-0000-0000-0000851E0000}"/>
    <cellStyle name="Procent 7 2 3 2" xfId="4715" xr:uid="{00000000-0005-0000-0000-0000861E0000}"/>
    <cellStyle name="Procent 7 2 3 2 2" xfId="7883" xr:uid="{00000000-0005-0000-0000-0000871E0000}"/>
    <cellStyle name="Procent 7 2 3 2 2 2" xfId="10551" xr:uid="{FD12F889-C8D6-4E5D-9C47-46108C6605EC}"/>
    <cellStyle name="Procent 7 2 3 2 2 2 2" xfId="15941" xr:uid="{C4E564D8-0216-4B06-94E1-E08BB0280319}"/>
    <cellStyle name="Procent 7 2 3 2 2 3" xfId="13188" xr:uid="{4BA6343D-7C80-4741-A544-0ED9EB4F303C}"/>
    <cellStyle name="Procent 7 2 3 2 3" xfId="9220" xr:uid="{BA9AE697-1FFF-4CBE-8B61-6F93BE6083C2}"/>
    <cellStyle name="Procent 7 2 3 2 3 2" xfId="14579" xr:uid="{5465B7C3-40AF-420D-8581-58A46CAE066F}"/>
    <cellStyle name="Procent 7 2 3 2 4" xfId="11857" xr:uid="{4E723F3D-1D04-4F57-861C-48557C67991C}"/>
    <cellStyle name="Procent 7 2 3 3" xfId="7258" xr:uid="{00000000-0005-0000-0000-0000881E0000}"/>
    <cellStyle name="Procent 7 2 3 3 2" xfId="9926" xr:uid="{53B05456-398F-4610-8B80-4B6D619BC512}"/>
    <cellStyle name="Procent 7 2 3 3 2 2" xfId="15316" xr:uid="{16A91A14-AD5A-48D6-B1EE-58BE56B25ACB}"/>
    <cellStyle name="Procent 7 2 3 3 3" xfId="12563" xr:uid="{7315D4FA-2DF7-4270-A6C6-6FE85C493347}"/>
    <cellStyle name="Procent 7 2 3 4" xfId="8595" xr:uid="{63736B29-4B8F-4A51-8B6F-5B524A046FF8}"/>
    <cellStyle name="Procent 7 2 3 4 2" xfId="13954" xr:uid="{01BC526E-E0CC-4103-BFEE-78F7F7FA0485}"/>
    <cellStyle name="Procent 7 2 3 5" xfId="11232" xr:uid="{FDABE1B1-9452-4C85-9702-727070A351EC}"/>
    <cellStyle name="Procent 7 2 4" xfId="4713" xr:uid="{00000000-0005-0000-0000-0000891E0000}"/>
    <cellStyle name="Procent 7 2 4 2" xfId="7881" xr:uid="{00000000-0005-0000-0000-00008A1E0000}"/>
    <cellStyle name="Procent 7 2 4 2 2" xfId="10549" xr:uid="{35E476CB-D0C3-491B-AF27-DC96F4CB71D9}"/>
    <cellStyle name="Procent 7 2 4 2 2 2" xfId="15939" xr:uid="{C10149A3-8DC0-4914-BC86-9836B064FA7B}"/>
    <cellStyle name="Procent 7 2 4 2 3" xfId="13186" xr:uid="{7352A4D3-2E63-4EA4-B9D1-EFC8D38C200E}"/>
    <cellStyle name="Procent 7 2 4 3" xfId="9218" xr:uid="{9ACD78FD-2406-4BFC-8FCF-5B850CA2F7C8}"/>
    <cellStyle name="Procent 7 2 4 3 2" xfId="14577" xr:uid="{CE95DE26-A0C5-452F-AD95-29B66AC1BAAD}"/>
    <cellStyle name="Procent 7 2 4 4" xfId="11855" xr:uid="{C90A21EF-1C0B-4F93-A344-729FD5F14159}"/>
    <cellStyle name="Procent 7 2 5" xfId="7256" xr:uid="{00000000-0005-0000-0000-00008B1E0000}"/>
    <cellStyle name="Procent 7 2 5 2" xfId="9924" xr:uid="{B65FAA9C-E721-47A8-AE46-C42C9CBD95DD}"/>
    <cellStyle name="Procent 7 2 5 2 2" xfId="15314" xr:uid="{3930DF08-3456-4965-9BBB-CD438DAE6CFC}"/>
    <cellStyle name="Procent 7 2 5 3" xfId="12561" xr:uid="{45FCEB5A-9B04-4689-9232-4523898B7F85}"/>
    <cellStyle name="Procent 7 2 6" xfId="8593" xr:uid="{8ABB9CA2-C7A1-4E77-A7FA-ADF78FC2F9A9}"/>
    <cellStyle name="Procent 7 2 6 2" xfId="13952" xr:uid="{54EEC9FE-75B7-428E-A7AC-5F7B9372159C}"/>
    <cellStyle name="Procent 7 2 7" xfId="11230" xr:uid="{F13EFCE7-64FE-4302-8DC2-CECDEA351743}"/>
    <cellStyle name="Procent 7 3" xfId="4091" xr:uid="{00000000-0005-0000-0000-00008C1E0000}"/>
    <cellStyle name="Procent 7 3 2" xfId="4716" xr:uid="{00000000-0005-0000-0000-00008D1E0000}"/>
    <cellStyle name="Procent 7 3 2 2" xfId="7884" xr:uid="{00000000-0005-0000-0000-00008E1E0000}"/>
    <cellStyle name="Procent 7 3 2 2 2" xfId="10552" xr:uid="{46ACAD15-18B2-4CDD-BAE6-E464862AA910}"/>
    <cellStyle name="Procent 7 3 2 2 2 2" xfId="15942" xr:uid="{44203E88-F558-4662-B67F-A4D56D657FD5}"/>
    <cellStyle name="Procent 7 3 2 2 3" xfId="13189" xr:uid="{50A928B8-75F0-434A-9D75-159DD26FE86D}"/>
    <cellStyle name="Procent 7 3 2 3" xfId="9221" xr:uid="{A295D357-79A1-4F48-9142-F6A3C2CFFF14}"/>
    <cellStyle name="Procent 7 3 2 3 2" xfId="14580" xr:uid="{268BB448-3457-4279-8424-824244DBFB3E}"/>
    <cellStyle name="Procent 7 3 2 4" xfId="11858" xr:uid="{5F14964D-5EC6-42FE-A74C-39316641AB17}"/>
    <cellStyle name="Procent 7 3 3" xfId="7259" xr:uid="{00000000-0005-0000-0000-00008F1E0000}"/>
    <cellStyle name="Procent 7 3 3 2" xfId="9927" xr:uid="{DE28E1DF-D469-42AC-8E64-2F951B093B70}"/>
    <cellStyle name="Procent 7 3 3 2 2" xfId="15317" xr:uid="{5EED02B4-FC9B-4FEF-BDAF-DF28D3F44C7E}"/>
    <cellStyle name="Procent 7 3 3 3" xfId="12564" xr:uid="{FC8DF268-EECD-48FA-8AF6-D6F94377205B}"/>
    <cellStyle name="Procent 7 3 4" xfId="8596" xr:uid="{B74B0D18-FA77-48AA-A1C7-C4E879ABC8BD}"/>
    <cellStyle name="Procent 7 3 4 2" xfId="13955" xr:uid="{2E657568-727A-4D83-B745-D315CF722F53}"/>
    <cellStyle name="Procent 7 3 5" xfId="11233" xr:uid="{5A30740E-A6EE-4225-B449-7D0F639646BA}"/>
    <cellStyle name="Procent 7 4" xfId="4092" xr:uid="{00000000-0005-0000-0000-0000901E0000}"/>
    <cellStyle name="Procent 7 4 2" xfId="4717" xr:uid="{00000000-0005-0000-0000-0000911E0000}"/>
    <cellStyle name="Procent 7 4 2 2" xfId="7885" xr:uid="{00000000-0005-0000-0000-0000921E0000}"/>
    <cellStyle name="Procent 7 4 2 2 2" xfId="10553" xr:uid="{1FBD0930-55E0-4BEE-A99E-A229959AB427}"/>
    <cellStyle name="Procent 7 4 2 2 2 2" xfId="15943" xr:uid="{FC6E89A4-4282-4615-AFA6-64AC3A111AE0}"/>
    <cellStyle name="Procent 7 4 2 2 3" xfId="13190" xr:uid="{318C6083-484C-4537-9A62-FA2A05573792}"/>
    <cellStyle name="Procent 7 4 2 3" xfId="9222" xr:uid="{4DB9BE70-7875-4A77-B90B-54082C48F631}"/>
    <cellStyle name="Procent 7 4 2 3 2" xfId="14581" xr:uid="{D57E7F59-A28F-45D4-9064-7BB6FFBF232D}"/>
    <cellStyle name="Procent 7 4 2 4" xfId="11859" xr:uid="{39FA5510-0A9A-4D24-9804-51EAC62B8F06}"/>
    <cellStyle name="Procent 7 4 3" xfId="7260" xr:uid="{00000000-0005-0000-0000-0000931E0000}"/>
    <cellStyle name="Procent 7 4 3 2" xfId="9928" xr:uid="{19AC7CAD-93CA-4A92-B114-DAA8B86913B6}"/>
    <cellStyle name="Procent 7 4 3 2 2" xfId="15318" xr:uid="{CE480D06-5322-4DD7-BF91-0C8C16695DE1}"/>
    <cellStyle name="Procent 7 4 3 3" xfId="12565" xr:uid="{E7F9D1EA-41E1-40CF-A639-096C58D6C1A7}"/>
    <cellStyle name="Procent 7 4 4" xfId="8597" xr:uid="{B1960FA2-72C5-447A-95FC-4C7EAD1B86A9}"/>
    <cellStyle name="Procent 7 4 4 2" xfId="13956" xr:uid="{619BD612-8B07-4363-BE29-5223513AEA9B}"/>
    <cellStyle name="Procent 7 4 5" xfId="11234" xr:uid="{9EF9EB79-C00F-4EF5-A70A-E50FA1C93F27}"/>
    <cellStyle name="Procent 7 5" xfId="4093" xr:uid="{00000000-0005-0000-0000-0000941E0000}"/>
    <cellStyle name="Procent 7 5 2" xfId="4718" xr:uid="{00000000-0005-0000-0000-0000951E0000}"/>
    <cellStyle name="Procent 7 5 2 2" xfId="7886" xr:uid="{00000000-0005-0000-0000-0000961E0000}"/>
    <cellStyle name="Procent 7 5 2 2 2" xfId="10554" xr:uid="{14AEB74A-E28E-4E9A-ABD9-9803ECDAA859}"/>
    <cellStyle name="Procent 7 5 2 2 2 2" xfId="15944" xr:uid="{32A2F8B4-1373-425D-A893-47BCA9E990FA}"/>
    <cellStyle name="Procent 7 5 2 2 3" xfId="13191" xr:uid="{8E7E33C2-B1E9-437D-84A8-D276DB0D4803}"/>
    <cellStyle name="Procent 7 5 2 3" xfId="9223" xr:uid="{7B821D31-EE9B-49F0-825F-3D1795B1EAAB}"/>
    <cellStyle name="Procent 7 5 2 3 2" xfId="14582" xr:uid="{00A966EF-A4AB-45A7-A197-981FA57CE836}"/>
    <cellStyle name="Procent 7 5 2 4" xfId="11860" xr:uid="{03B5E54D-923A-4B04-A584-236852F2F725}"/>
    <cellStyle name="Procent 7 5 3" xfId="7261" xr:uid="{00000000-0005-0000-0000-0000971E0000}"/>
    <cellStyle name="Procent 7 5 3 2" xfId="9929" xr:uid="{16FCB874-65B8-4766-AB30-F46AD33B2935}"/>
    <cellStyle name="Procent 7 5 3 2 2" xfId="15319" xr:uid="{81317AE7-602D-4A0F-96F0-916D778F11DD}"/>
    <cellStyle name="Procent 7 5 3 3" xfId="12566" xr:uid="{A126493A-6878-4D14-B1E7-762805CF431E}"/>
    <cellStyle name="Procent 7 5 4" xfId="8598" xr:uid="{1525A1C1-BFCE-45AB-B59E-4496901D3031}"/>
    <cellStyle name="Procent 7 5 4 2" xfId="13957" xr:uid="{3E45B7A4-BF03-4060-90D8-0A148EA7481E}"/>
    <cellStyle name="Procent 7 5 5" xfId="11235" xr:uid="{229475F0-1D24-44CD-957D-6940CBE8FAB8}"/>
    <cellStyle name="Procent 7 6" xfId="4712" xr:uid="{00000000-0005-0000-0000-0000981E0000}"/>
    <cellStyle name="Procent 7 6 2" xfId="7880" xr:uid="{00000000-0005-0000-0000-0000991E0000}"/>
    <cellStyle name="Procent 7 6 2 2" xfId="10548" xr:uid="{898BB869-1C15-4651-A8C6-0A540CD425B6}"/>
    <cellStyle name="Procent 7 6 2 2 2" xfId="15938" xr:uid="{D69A49F5-C973-4417-8C42-1FAE9351B958}"/>
    <cellStyle name="Procent 7 6 2 3" xfId="13185" xr:uid="{C1120CCA-60AB-43CB-B2B3-279198A94FAA}"/>
    <cellStyle name="Procent 7 6 3" xfId="9217" xr:uid="{60928B71-AAB3-489E-8A24-AD05D938BD7E}"/>
    <cellStyle name="Procent 7 6 3 2" xfId="14576" xr:uid="{2E76B95E-CB0D-4759-81AB-324AFEEA0B2D}"/>
    <cellStyle name="Procent 7 6 4" xfId="11854" xr:uid="{37FC9EEA-C659-47FA-998F-16DD978B2D80}"/>
    <cellStyle name="Procent 7 7" xfId="7255" xr:uid="{00000000-0005-0000-0000-00009A1E0000}"/>
    <cellStyle name="Procent 7 7 2" xfId="9923" xr:uid="{8D549F47-326B-4937-9E90-6E29F1DF8285}"/>
    <cellStyle name="Procent 7 7 2 2" xfId="15313" xr:uid="{1CE97E8A-2AF3-45A4-B3F3-F7D1BF55EE00}"/>
    <cellStyle name="Procent 7 7 3" xfId="12560" xr:uid="{DF2A31FE-A862-487B-A708-2330BF83D372}"/>
    <cellStyle name="Procent 7 8" xfId="8592" xr:uid="{AA71F8D0-C803-40C1-AF6A-16148F575290}"/>
    <cellStyle name="Procent 7 8 2" xfId="13951" xr:uid="{F1AF1BDA-E525-4598-976C-92985484AEE6}"/>
    <cellStyle name="Procent 7 9" xfId="11229" xr:uid="{61DDB5C4-E41E-488B-BF70-3631FD37C96A}"/>
    <cellStyle name="Procent 8" xfId="4094" xr:uid="{00000000-0005-0000-0000-00009B1E0000}"/>
    <cellStyle name="Procent 8 2" xfId="4095" xr:uid="{00000000-0005-0000-0000-00009C1E0000}"/>
    <cellStyle name="Procent 8 2 2" xfId="4096" xr:uid="{00000000-0005-0000-0000-00009D1E0000}"/>
    <cellStyle name="Procent 8 2 2 2" xfId="4721" xr:uid="{00000000-0005-0000-0000-00009E1E0000}"/>
    <cellStyle name="Procent 8 2 2 2 2" xfId="7889" xr:uid="{00000000-0005-0000-0000-00009F1E0000}"/>
    <cellStyle name="Procent 8 2 2 2 2 2" xfId="10557" xr:uid="{607EA849-F219-4CD0-BD62-3B2BA19DF544}"/>
    <cellStyle name="Procent 8 2 2 2 2 2 2" xfId="15947" xr:uid="{E9C694E6-5074-4DF1-BC2D-05BB240EF465}"/>
    <cellStyle name="Procent 8 2 2 2 2 3" xfId="13194" xr:uid="{03F1CB64-3A03-4DFD-B226-3C32D7A2DE75}"/>
    <cellStyle name="Procent 8 2 2 2 3" xfId="9226" xr:uid="{701AE438-188E-4DC7-B136-98D5B98140CF}"/>
    <cellStyle name="Procent 8 2 2 2 3 2" xfId="14585" xr:uid="{50E7A386-32C4-41BD-8165-2ADEC90099A1}"/>
    <cellStyle name="Procent 8 2 2 2 4" xfId="11863" xr:uid="{5A65C158-E914-4F2B-9893-7D1794C5393D}"/>
    <cellStyle name="Procent 8 2 2 3" xfId="7264" xr:uid="{00000000-0005-0000-0000-0000A01E0000}"/>
    <cellStyle name="Procent 8 2 2 3 2" xfId="9932" xr:uid="{BD0F992D-F468-4EBB-8F87-5BFFB591240C}"/>
    <cellStyle name="Procent 8 2 2 3 2 2" xfId="15322" xr:uid="{1FE676DA-D000-406B-AF3A-BC0076B1BFF1}"/>
    <cellStyle name="Procent 8 2 2 3 3" xfId="12569" xr:uid="{659DA443-C57A-42B2-9197-3705B5B57424}"/>
    <cellStyle name="Procent 8 2 2 4" xfId="8601" xr:uid="{EE2B7CC2-689D-41BA-9322-72317EA675A8}"/>
    <cellStyle name="Procent 8 2 2 4 2" xfId="13960" xr:uid="{FBDB5D09-7BA1-4531-AC4F-E1EBE75AC0F0}"/>
    <cellStyle name="Procent 8 2 2 5" xfId="11238" xr:uid="{6B70E554-DCDA-4B14-89C1-20CCFAC86BA1}"/>
    <cellStyle name="Procent 8 2 3" xfId="4097" xr:uid="{00000000-0005-0000-0000-0000A11E0000}"/>
    <cellStyle name="Procent 8 2 3 2" xfId="4722" xr:uid="{00000000-0005-0000-0000-0000A21E0000}"/>
    <cellStyle name="Procent 8 2 3 2 2" xfId="7890" xr:uid="{00000000-0005-0000-0000-0000A31E0000}"/>
    <cellStyle name="Procent 8 2 3 2 2 2" xfId="10558" xr:uid="{0F8A94B2-25D3-479F-B638-94E47E86A505}"/>
    <cellStyle name="Procent 8 2 3 2 2 2 2" xfId="15948" xr:uid="{1F5A4FB5-B0F5-4EC5-AE9B-53D0217BDA65}"/>
    <cellStyle name="Procent 8 2 3 2 2 3" xfId="13195" xr:uid="{10908E29-72EB-4490-83C9-8BC5D67E56B0}"/>
    <cellStyle name="Procent 8 2 3 2 3" xfId="9227" xr:uid="{607EA6B3-A9DC-4D31-A811-D2AE3A0F2377}"/>
    <cellStyle name="Procent 8 2 3 2 3 2" xfId="14586" xr:uid="{22994CDD-2BF3-4A46-8C76-6C1F2EE775F7}"/>
    <cellStyle name="Procent 8 2 3 2 4" xfId="11864" xr:uid="{F0C83100-E43A-4FC4-A981-3B570D1A2447}"/>
    <cellStyle name="Procent 8 2 3 3" xfId="7265" xr:uid="{00000000-0005-0000-0000-0000A41E0000}"/>
    <cellStyle name="Procent 8 2 3 3 2" xfId="9933" xr:uid="{71C96419-F67A-4B42-9215-5D7C23F5DFF5}"/>
    <cellStyle name="Procent 8 2 3 3 2 2" xfId="15323" xr:uid="{CB4A1B98-E4D0-4761-8884-1B1626190B16}"/>
    <cellStyle name="Procent 8 2 3 3 3" xfId="12570" xr:uid="{3DB4426E-B0B3-4D01-9A01-561FF3B359D3}"/>
    <cellStyle name="Procent 8 2 3 4" xfId="8602" xr:uid="{4758A94C-050D-4B2A-827A-6842B703DA4D}"/>
    <cellStyle name="Procent 8 2 3 4 2" xfId="13961" xr:uid="{16785240-6DEB-48A5-BCED-09F8D6BEB5C1}"/>
    <cellStyle name="Procent 8 2 3 5" xfId="11239" xr:uid="{B1C47A4A-2813-40ED-BB66-B2F8550DF419}"/>
    <cellStyle name="Procent 8 2 4" xfId="4720" xr:uid="{00000000-0005-0000-0000-0000A51E0000}"/>
    <cellStyle name="Procent 8 2 4 2" xfId="7888" xr:uid="{00000000-0005-0000-0000-0000A61E0000}"/>
    <cellStyle name="Procent 8 2 4 2 2" xfId="10556" xr:uid="{4CD3536C-B02A-4C02-BC39-94A862C284B5}"/>
    <cellStyle name="Procent 8 2 4 2 2 2" xfId="15946" xr:uid="{D0046EB7-5CAA-461C-96C5-D41E37FAB4A8}"/>
    <cellStyle name="Procent 8 2 4 2 3" xfId="13193" xr:uid="{6C1E5991-B68F-4C50-A397-627635842C60}"/>
    <cellStyle name="Procent 8 2 4 3" xfId="9225" xr:uid="{7209FDFC-BF7C-40B7-9B2E-2A9BC8B813E0}"/>
    <cellStyle name="Procent 8 2 4 3 2" xfId="14584" xr:uid="{0DF15DEE-A6AF-4E18-BE2D-CA2A0C74A4BB}"/>
    <cellStyle name="Procent 8 2 4 4" xfId="11862" xr:uid="{63CF92AC-63C2-4C94-B58A-ACF71FA70367}"/>
    <cellStyle name="Procent 8 2 5" xfId="7263" xr:uid="{00000000-0005-0000-0000-0000A71E0000}"/>
    <cellStyle name="Procent 8 2 5 2" xfId="9931" xr:uid="{CEA71CA7-3714-47F1-AA32-67B7A855F0FA}"/>
    <cellStyle name="Procent 8 2 5 2 2" xfId="15321" xr:uid="{50899396-DCC6-4C4B-BB82-355CDF611368}"/>
    <cellStyle name="Procent 8 2 5 3" xfId="12568" xr:uid="{ECD72906-F347-4CBB-96B7-BA6C87398E17}"/>
    <cellStyle name="Procent 8 2 6" xfId="8600" xr:uid="{CAAA18D0-EFEE-4BFC-B329-0E5913A0F29E}"/>
    <cellStyle name="Procent 8 2 6 2" xfId="13959" xr:uid="{9EC92DE0-D8EC-4D34-962A-0AF56649622F}"/>
    <cellStyle name="Procent 8 2 7" xfId="11237" xr:uid="{D623B863-5A76-4159-A891-63EF5027E3B0}"/>
    <cellStyle name="Procent 8 3" xfId="4098" xr:uid="{00000000-0005-0000-0000-0000A81E0000}"/>
    <cellStyle name="Procent 8 3 2" xfId="4723" xr:uid="{00000000-0005-0000-0000-0000A91E0000}"/>
    <cellStyle name="Procent 8 3 2 2" xfId="7891" xr:uid="{00000000-0005-0000-0000-0000AA1E0000}"/>
    <cellStyle name="Procent 8 3 2 2 2" xfId="10559" xr:uid="{A9B68C72-AC76-49F9-A206-A73267A77500}"/>
    <cellStyle name="Procent 8 3 2 2 2 2" xfId="15949" xr:uid="{5963482D-9B13-49BE-8822-3FEA02FA024F}"/>
    <cellStyle name="Procent 8 3 2 2 3" xfId="13196" xr:uid="{C853B2DF-C2F2-4FAD-B44B-EA033FD33B49}"/>
    <cellStyle name="Procent 8 3 2 3" xfId="9228" xr:uid="{DBE27AA0-4F1C-4A19-B75D-AE2CE8860124}"/>
    <cellStyle name="Procent 8 3 2 3 2" xfId="14587" xr:uid="{D74440B0-35C9-4C43-A27D-E326EF39FE31}"/>
    <cellStyle name="Procent 8 3 2 4" xfId="11865" xr:uid="{DE58B6B9-11C9-4F05-ADF5-86B5145C2B32}"/>
    <cellStyle name="Procent 8 3 3" xfId="7266" xr:uid="{00000000-0005-0000-0000-0000AB1E0000}"/>
    <cellStyle name="Procent 8 3 3 2" xfId="9934" xr:uid="{D4830BB7-96F5-4AFA-A8DE-6A1BF0F4548E}"/>
    <cellStyle name="Procent 8 3 3 2 2" xfId="15324" xr:uid="{C8A35FAD-C57B-4C9C-9A03-5CCB7065BF47}"/>
    <cellStyle name="Procent 8 3 3 3" xfId="12571" xr:uid="{81EB21BD-EC30-4A0F-B904-6CE1508725B2}"/>
    <cellStyle name="Procent 8 3 4" xfId="8603" xr:uid="{E5A3DA27-DEE5-4AA7-A071-02D2D82F0B6A}"/>
    <cellStyle name="Procent 8 3 4 2" xfId="13962" xr:uid="{B9AECB02-C850-46F7-8350-38FC73A7F008}"/>
    <cellStyle name="Procent 8 3 5" xfId="11240" xr:uid="{FFA42E51-1D62-4079-8541-3158E0900BC1}"/>
    <cellStyle name="Procent 8 4" xfId="4099" xr:uid="{00000000-0005-0000-0000-0000AC1E0000}"/>
    <cellStyle name="Procent 8 4 2" xfId="4724" xr:uid="{00000000-0005-0000-0000-0000AD1E0000}"/>
    <cellStyle name="Procent 8 4 2 2" xfId="7892" xr:uid="{00000000-0005-0000-0000-0000AE1E0000}"/>
    <cellStyle name="Procent 8 4 2 2 2" xfId="10560" xr:uid="{5C8714C8-71C9-4D15-A9EA-6FE93611A439}"/>
    <cellStyle name="Procent 8 4 2 2 2 2" xfId="15950" xr:uid="{CFD5759D-9D0D-42AD-A62C-24EC366CCC73}"/>
    <cellStyle name="Procent 8 4 2 2 3" xfId="13197" xr:uid="{6404B30C-12E4-44D8-AFB2-BCF5AE90654D}"/>
    <cellStyle name="Procent 8 4 2 3" xfId="9229" xr:uid="{27560DCD-AC69-410B-AC52-3D2FC1BFE0ED}"/>
    <cellStyle name="Procent 8 4 2 3 2" xfId="14588" xr:uid="{636046FD-7C0D-41B5-A9A1-3135641F45EF}"/>
    <cellStyle name="Procent 8 4 2 4" xfId="11866" xr:uid="{5FCDAC50-96AD-4F67-8F88-13AC5BF00056}"/>
    <cellStyle name="Procent 8 4 3" xfId="7267" xr:uid="{00000000-0005-0000-0000-0000AF1E0000}"/>
    <cellStyle name="Procent 8 4 3 2" xfId="9935" xr:uid="{9F9EAC21-B1D0-45FA-BB8C-F199E672924A}"/>
    <cellStyle name="Procent 8 4 3 2 2" xfId="15325" xr:uid="{68DD17CD-4B9A-4F0B-BAC1-B36D2A339392}"/>
    <cellStyle name="Procent 8 4 3 3" xfId="12572" xr:uid="{30174A4B-80CD-4AE4-B030-A3B53AEF5D57}"/>
    <cellStyle name="Procent 8 4 4" xfId="8604" xr:uid="{27A31C73-2667-4911-9CBE-CB4DD788D9E6}"/>
    <cellStyle name="Procent 8 4 4 2" xfId="13963" xr:uid="{B77356EF-A9EC-47C0-9A4E-6C05C562EA02}"/>
    <cellStyle name="Procent 8 4 5" xfId="11241" xr:uid="{33BE9DAE-5B6C-4444-8401-0826C64C0FD5}"/>
    <cellStyle name="Procent 8 5" xfId="4719" xr:uid="{00000000-0005-0000-0000-0000B01E0000}"/>
    <cellStyle name="Procent 8 5 2" xfId="7887" xr:uid="{00000000-0005-0000-0000-0000B11E0000}"/>
    <cellStyle name="Procent 8 5 2 2" xfId="10555" xr:uid="{337BEDE1-0045-4CE5-8D6B-6CA2364FCEFC}"/>
    <cellStyle name="Procent 8 5 2 2 2" xfId="15945" xr:uid="{6197A9E4-6F7F-4873-87EE-EC2EEA20D30D}"/>
    <cellStyle name="Procent 8 5 2 3" xfId="13192" xr:uid="{B9C955B4-0395-4865-8DFF-F44DD6AA7774}"/>
    <cellStyle name="Procent 8 5 3" xfId="9224" xr:uid="{955020C8-4888-4858-8768-C213EC30E575}"/>
    <cellStyle name="Procent 8 5 3 2" xfId="14583" xr:uid="{D5EEEDC4-40BB-4E17-B75C-0BA293E8046A}"/>
    <cellStyle name="Procent 8 5 4" xfId="11861" xr:uid="{674FD6C3-AC9A-41C8-BE97-3DCC618EE5A9}"/>
    <cellStyle name="Procent 8 6" xfId="7262" xr:uid="{00000000-0005-0000-0000-0000B21E0000}"/>
    <cellStyle name="Procent 8 6 2" xfId="9930" xr:uid="{6350B7C5-986F-4293-973D-28FF1CBF6FA8}"/>
    <cellStyle name="Procent 8 6 2 2" xfId="15320" xr:uid="{AE0E4FA8-EC53-4D4E-8439-38F031D8E186}"/>
    <cellStyle name="Procent 8 6 3" xfId="12567" xr:uid="{251BC08E-D629-419A-88B1-842CA669D22D}"/>
    <cellStyle name="Procent 8 7" xfId="8599" xr:uid="{92427257-1F32-4F99-B2F8-4E44D3631FC6}"/>
    <cellStyle name="Procent 8 7 2" xfId="13958" xr:uid="{2FEE7EB8-08D5-4913-9FCA-FAC745F8F61D}"/>
    <cellStyle name="Procent 8 8" xfId="11236" xr:uid="{5D79AF03-E292-4925-8AE0-93DDC9409133}"/>
    <cellStyle name="Procent 9" xfId="4100" xr:uid="{00000000-0005-0000-0000-0000B31E0000}"/>
    <cellStyle name="Procent 9 2" xfId="4101" xr:uid="{00000000-0005-0000-0000-0000B41E0000}"/>
    <cellStyle name="Procent 9 2 2" xfId="4726" xr:uid="{00000000-0005-0000-0000-0000B51E0000}"/>
    <cellStyle name="Procent 9 2 2 2" xfId="7894" xr:uid="{00000000-0005-0000-0000-0000B61E0000}"/>
    <cellStyle name="Procent 9 2 2 2 2" xfId="10562" xr:uid="{3032F78A-D9FE-475E-BA06-740A5F8ABCD5}"/>
    <cellStyle name="Procent 9 2 2 2 2 2" xfId="15952" xr:uid="{0D366AE9-19C3-42A4-BFFB-7486ACD6198C}"/>
    <cellStyle name="Procent 9 2 2 2 3" xfId="13199" xr:uid="{A70F7B98-44D8-44BC-9A53-03DBDE82D9C1}"/>
    <cellStyle name="Procent 9 2 2 3" xfId="9231" xr:uid="{1926E13A-19C9-40E0-B0FB-0FDABF4CFDBA}"/>
    <cellStyle name="Procent 9 2 2 3 2" xfId="14590" xr:uid="{4AE01265-B30E-4B89-B42D-7B91F108101D}"/>
    <cellStyle name="Procent 9 2 2 4" xfId="11868" xr:uid="{573A5C84-B55D-42C4-8733-43B637DEA59B}"/>
    <cellStyle name="Procent 9 2 3" xfId="7269" xr:uid="{00000000-0005-0000-0000-0000B71E0000}"/>
    <cellStyle name="Procent 9 2 3 2" xfId="9937" xr:uid="{356E8012-D34A-47D3-8876-A5BF44B9B576}"/>
    <cellStyle name="Procent 9 2 3 2 2" xfId="15327" xr:uid="{5874CAFC-9896-40A2-B15C-9153CC40ACFA}"/>
    <cellStyle name="Procent 9 2 3 3" xfId="12574" xr:uid="{93A5DA5F-6276-4C3F-A268-286BAC715243}"/>
    <cellStyle name="Procent 9 2 4" xfId="8606" xr:uid="{93535316-6768-431E-A169-AB2AB043D240}"/>
    <cellStyle name="Procent 9 2 4 2" xfId="13965" xr:uid="{27EE35F5-6D6D-4173-9168-D94175CDB142}"/>
    <cellStyle name="Procent 9 2 5" xfId="11243" xr:uid="{77C17748-6E58-4F4D-B82F-BEB481DDF575}"/>
    <cellStyle name="Procent 9 3" xfId="4102" xr:uid="{00000000-0005-0000-0000-0000B81E0000}"/>
    <cellStyle name="Procent 9 3 2" xfId="4727" xr:uid="{00000000-0005-0000-0000-0000B91E0000}"/>
    <cellStyle name="Procent 9 3 2 2" xfId="7895" xr:uid="{00000000-0005-0000-0000-0000BA1E0000}"/>
    <cellStyle name="Procent 9 3 2 2 2" xfId="10563" xr:uid="{1E9BC94A-656D-4C81-BB02-4C132ABFCCCC}"/>
    <cellStyle name="Procent 9 3 2 2 2 2" xfId="15953" xr:uid="{115C4F40-688D-48FF-A937-DFEAC8CA3952}"/>
    <cellStyle name="Procent 9 3 2 2 3" xfId="13200" xr:uid="{8B2EE8E5-DDB6-4D4E-9B07-D5C92373D3F0}"/>
    <cellStyle name="Procent 9 3 2 3" xfId="9232" xr:uid="{6FA4E46C-5A65-4D9F-AD1C-2720DA5B9CFF}"/>
    <cellStyle name="Procent 9 3 2 3 2" xfId="14591" xr:uid="{F6803722-CA91-470A-8F94-6C0F9A2B895B}"/>
    <cellStyle name="Procent 9 3 2 4" xfId="11869" xr:uid="{A50F61BE-8192-4F18-A931-095BB946FD7E}"/>
    <cellStyle name="Procent 9 3 3" xfId="7270" xr:uid="{00000000-0005-0000-0000-0000BB1E0000}"/>
    <cellStyle name="Procent 9 3 3 2" xfId="9938" xr:uid="{AE56CAEE-927E-4644-BB7D-8C3863259742}"/>
    <cellStyle name="Procent 9 3 3 2 2" xfId="15328" xr:uid="{8129AC48-B258-41FD-9F84-15967E975366}"/>
    <cellStyle name="Procent 9 3 3 3" xfId="12575" xr:uid="{400BE21A-DC80-49A4-A8CB-6701989C64DB}"/>
    <cellStyle name="Procent 9 3 4" xfId="8607" xr:uid="{8E133EB2-B90F-4756-9928-097080FD4D13}"/>
    <cellStyle name="Procent 9 3 4 2" xfId="13966" xr:uid="{C8502876-E331-4F7D-A4BE-744A075AB016}"/>
    <cellStyle name="Procent 9 3 5" xfId="11244" xr:uid="{BAC2053B-5978-458F-A72D-E0B650D6783F}"/>
    <cellStyle name="Procent 9 4" xfId="4725" xr:uid="{00000000-0005-0000-0000-0000BC1E0000}"/>
    <cellStyle name="Procent 9 4 2" xfId="7893" xr:uid="{00000000-0005-0000-0000-0000BD1E0000}"/>
    <cellStyle name="Procent 9 4 2 2" xfId="10561" xr:uid="{37D78B66-A435-4BAB-88A3-6E8C9FC737F7}"/>
    <cellStyle name="Procent 9 4 2 2 2" xfId="15951" xr:uid="{79197EF8-B936-4CD6-8004-697FD3BD31EF}"/>
    <cellStyle name="Procent 9 4 2 3" xfId="13198" xr:uid="{A7DB9997-4635-4251-90B7-D38107ABE016}"/>
    <cellStyle name="Procent 9 4 3" xfId="9230" xr:uid="{2F6D2AEE-1D27-4821-9CCA-4BF285C959B3}"/>
    <cellStyle name="Procent 9 4 3 2" xfId="14589" xr:uid="{8B6486DF-9F17-4A36-965C-142CE3CCEE1D}"/>
    <cellStyle name="Procent 9 4 4" xfId="11867" xr:uid="{52FB4465-959A-454D-AC04-F57128006D2F}"/>
    <cellStyle name="Procent 9 5" xfId="7268" xr:uid="{00000000-0005-0000-0000-0000BE1E0000}"/>
    <cellStyle name="Procent 9 5 2" xfId="9936" xr:uid="{F8052F99-6439-4BBC-A3D4-D55698AF802E}"/>
    <cellStyle name="Procent 9 5 2 2" xfId="15326" xr:uid="{FA1D6F98-D826-4FE6-B8CB-68721D8B6051}"/>
    <cellStyle name="Procent 9 5 3" xfId="12573" xr:uid="{65C706D4-D498-4D07-A152-04743BB7B2EC}"/>
    <cellStyle name="Procent 9 6" xfId="8605" xr:uid="{3D6844E0-0070-4BE9-8EEF-14980713546B}"/>
    <cellStyle name="Procent 9 6 2" xfId="13964" xr:uid="{E5D81D55-3734-45E9-B41C-03074E5A9B61}"/>
    <cellStyle name="Procent 9 7" xfId="11242" xr:uid="{8FE8FE3F-7CB2-4C55-BA79-2E5C57BA20DA}"/>
    <cellStyle name="Standard_Sce_D_Extraction" xfId="1991" xr:uid="{00000000-0005-0000-0000-0000BF1E0000}"/>
    <cellStyle name="Testo avviso" xfId="1992" xr:uid="{00000000-0005-0000-0000-0000C01E0000}"/>
    <cellStyle name="Testo descrittivo" xfId="1993" xr:uid="{00000000-0005-0000-0000-0000C11E0000}"/>
    <cellStyle name="Titel 2" xfId="3453" xr:uid="{00000000-0005-0000-0000-0000C21E0000}"/>
    <cellStyle name="Title" xfId="3330" builtinId="15" customBuiltin="1"/>
    <cellStyle name="Title 2" xfId="3454" xr:uid="{00000000-0005-0000-0000-0000C41E0000}"/>
    <cellStyle name="Titolo" xfId="1994" xr:uid="{00000000-0005-0000-0000-0000C51E0000}"/>
    <cellStyle name="Titolo 1" xfId="1995" xr:uid="{00000000-0005-0000-0000-0000C61E0000}"/>
    <cellStyle name="Titolo 2" xfId="1996" xr:uid="{00000000-0005-0000-0000-0000C71E0000}"/>
    <cellStyle name="Titolo 3" xfId="1997" xr:uid="{00000000-0005-0000-0000-0000C81E0000}"/>
    <cellStyle name="Titolo 3 2" xfId="7919" xr:uid="{EA15E9DD-B620-485F-9E8E-93D0743B54BB}"/>
    <cellStyle name="Titolo 4" xfId="1998" xr:uid="{00000000-0005-0000-0000-0000C91E0000}"/>
    <cellStyle name="Total" xfId="3337" builtinId="25" customBuiltin="1"/>
    <cellStyle name="Total 2" xfId="3455" xr:uid="{00000000-0005-0000-0000-0000CB1E0000}"/>
    <cellStyle name="Total 2 2" xfId="3524" xr:uid="{00000000-0005-0000-0000-0000CC1E0000}"/>
    <cellStyle name="Total 2 2 2" xfId="8052" xr:uid="{9934F5D2-692A-4DDD-B3BB-5F8600B1B697}"/>
    <cellStyle name="Total 2 2 2 2" xfId="13411" xr:uid="{9E5E31ED-3BC3-4F76-8994-A3A66F3C653E}"/>
    <cellStyle name="Total 2 2 3" xfId="14604" xr:uid="{03096B2B-858A-41DD-A13B-9A96955C2BC3}"/>
    <cellStyle name="Total 2 2 4" xfId="14650" xr:uid="{3266B1BF-83BC-4CB3-A234-4C701A1F7D2A}"/>
    <cellStyle name="Total 2 2 5" xfId="13260" xr:uid="{4814BE41-92D7-4BCB-A077-37A96674479B}"/>
    <cellStyle name="Total 2 2 6" xfId="15963" xr:uid="{81EBDB2C-34C9-4F74-A383-5CC01299BD6E}"/>
    <cellStyle name="Total 2 3" xfId="7998" xr:uid="{D66F737F-3E53-4E49-A6C6-A78D3DE803AF}"/>
    <cellStyle name="Total 2 3 2" xfId="13357" xr:uid="{BF9D420C-C64C-4C90-A0A0-EDD854F36824}"/>
    <cellStyle name="Total 2 4" xfId="14621" xr:uid="{D083C522-DD2C-4951-AF2F-B90D013DF363}"/>
    <cellStyle name="Total 2 5" xfId="15983" xr:uid="{65B4C7CC-1335-4A94-A2DF-BA68A2EBB8E2}"/>
    <cellStyle name="Total 2 6" xfId="15980" xr:uid="{502EB2C2-6996-4951-B2E9-4EB2663F55B3}"/>
    <cellStyle name="Total 2 7" xfId="13218" xr:uid="{5BA39F85-209C-47E5-B497-7C2C9DBD10C5}"/>
    <cellStyle name="Totale" xfId="1999" xr:uid="{00000000-0005-0000-0000-0000CD1E0000}"/>
    <cellStyle name="Totale 2" xfId="7920" xr:uid="{B3B48F53-6182-4B71-9E33-6B156E773867}"/>
    <cellStyle name="Totale 2 2" xfId="13257" xr:uid="{7C918968-7319-419C-94E9-7CB9F698D552}"/>
    <cellStyle name="Totale 3" xfId="14659" xr:uid="{44961D14-27F4-48E1-9911-A76714574B29}"/>
    <cellStyle name="Totale 4" xfId="13245" xr:uid="{2AA7B687-52D5-407F-96EB-C3E41667C421}"/>
    <cellStyle name="Totale 5" xfId="13225" xr:uid="{4A886578-8012-4C06-8804-F056A645CEE4}"/>
    <cellStyle name="Totale 6" xfId="13239" xr:uid="{00BE34E5-41CE-4113-A105-F54446817398}"/>
    <cellStyle name="Ugyldig 2" xfId="3318" xr:uid="{00000000-0005-0000-0000-0000CE1E0000}"/>
    <cellStyle name="Uncertain" xfId="2000" xr:uid="{00000000-0005-0000-0000-0000CF1E0000}"/>
    <cellStyle name="Valore non valido" xfId="2001" xr:uid="{00000000-0005-0000-0000-0000D01E0000}"/>
    <cellStyle name="Valore valido" xfId="2002" xr:uid="{00000000-0005-0000-0000-0000D11E0000}"/>
    <cellStyle name="Warning Text" xfId="3335" builtinId="11" customBuiltin="1"/>
    <cellStyle name="Warning Text 2" xfId="3456" xr:uid="{00000000-0005-0000-0000-0000D31E0000}"/>
    <cellStyle name="X08_Total Oil" xfId="3457" xr:uid="{00000000-0005-0000-0000-0000D41E0000}"/>
    <cellStyle name="X12_Total Figs 1 dec" xfId="3458" xr:uid="{00000000-0005-0000-0000-0000D51E0000}"/>
    <cellStyle name="Years" xfId="2003" xr:uid="{00000000-0005-0000-0000-0000D61E0000}"/>
    <cellStyle name="Обычный_CRF2002 (1)" xfId="2004" xr:uid="{00000000-0005-0000-0000-0000D71E0000}"/>
    <cellStyle name="Обычный_CRF2002 (1) 2" xfId="15994" xr:uid="{85DCE1F0-FD7E-4114-A9AB-B503A3A29251}"/>
  </cellStyles>
  <dxfs count="55">
    <dxf>
      <fill>
        <patternFill>
          <bgColor theme="4" tint="0.79998168889431442"/>
        </patternFill>
      </fill>
    </dxf>
    <dxf>
      <fill>
        <patternFill>
          <bgColor theme="4"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006100"/>
      </font>
      <fill>
        <patternFill>
          <bgColor rgb="FFC6EFCE"/>
        </patternFill>
      </fill>
    </dxf>
    <dxf>
      <font>
        <condense val="0"/>
        <extend val="0"/>
        <color rgb="FF9C0006"/>
      </font>
      <fill>
        <patternFill>
          <bgColor rgb="FFFFC7CE"/>
        </patternFill>
      </fill>
    </dxf>
    <dxf>
      <font>
        <condense val="0"/>
        <extend val="0"/>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26" Type="http://schemas.openxmlformats.org/officeDocument/2006/relationships/externalLink" Target="externalLinks/externalLink11.xml"/><Relationship Id="rId3" Type="http://schemas.openxmlformats.org/officeDocument/2006/relationships/worksheet" Target="worksheets/sheet3.xml"/><Relationship Id="rId21" Type="http://schemas.openxmlformats.org/officeDocument/2006/relationships/externalLink" Target="externalLinks/externalLink6.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5" Type="http://schemas.openxmlformats.org/officeDocument/2006/relationships/externalLink" Target="externalLinks/externalLink10.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externalLink" Target="externalLinks/externalLink5.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9.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8.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7.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1" Type="http://schemas.openxmlformats.org/officeDocument/2006/relationships/hyperlink" Target="#'Hovedmenu - Main Menu'!A1"/></Relationships>
</file>

<file path=xl/drawings/_rels/drawing4.xml.rels><?xml version="1.0" encoding="UTF-8" standalone="yes"?>
<Relationships xmlns="http://schemas.openxmlformats.org/package/2006/relationships"><Relationship Id="rId1" Type="http://schemas.openxmlformats.org/officeDocument/2006/relationships/hyperlink" Target="#'Hovedmenu - Main Menu'!A1"/></Relationships>
</file>

<file path=xl/drawings/drawing1.xml><?xml version="1.0" encoding="utf-8"?>
<xdr:wsDr xmlns:xdr="http://schemas.openxmlformats.org/drawingml/2006/spreadsheetDrawing" xmlns:a="http://schemas.openxmlformats.org/drawingml/2006/main">
  <xdr:twoCellAnchor editAs="oneCell">
    <xdr:from>
      <xdr:col>10</xdr:col>
      <xdr:colOff>47625</xdr:colOff>
      <xdr:row>118</xdr:row>
      <xdr:rowOff>47626</xdr:rowOff>
    </xdr:from>
    <xdr:to>
      <xdr:col>17</xdr:col>
      <xdr:colOff>711995</xdr:colOff>
      <xdr:row>143</xdr:row>
      <xdr:rowOff>114301</xdr:rowOff>
    </xdr:to>
    <xdr:pic>
      <xdr:nvPicPr>
        <xdr:cNvPr id="4" name="Picture 3">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167563" y="12465845"/>
          <a:ext cx="5700713" cy="423386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23810</xdr:colOff>
      <xdr:row>92</xdr:row>
      <xdr:rowOff>71437</xdr:rowOff>
    </xdr:from>
    <xdr:to>
      <xdr:col>18</xdr:col>
      <xdr:colOff>161923</xdr:colOff>
      <xdr:row>114</xdr:row>
      <xdr:rowOff>52387</xdr:rowOff>
    </xdr:to>
    <xdr:pic>
      <xdr:nvPicPr>
        <xdr:cNvPr id="6" name="Picture 5">
          <a:extLst>
            <a:ext uri="{FF2B5EF4-FFF2-40B4-BE49-F238E27FC236}">
              <a16:creationId xmlns:a16="http://schemas.microsoft.com/office/drawing/2014/main" id="{00000000-0008-0000-06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143748" y="8155781"/>
          <a:ext cx="5912644" cy="36480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14</xdr:col>
      <xdr:colOff>0</xdr:colOff>
      <xdr:row>14</xdr:row>
      <xdr:rowOff>0</xdr:rowOff>
    </xdr:from>
    <xdr:to>
      <xdr:col>23</xdr:col>
      <xdr:colOff>348279</xdr:colOff>
      <xdr:row>33</xdr:row>
      <xdr:rowOff>83483</xdr:rowOff>
    </xdr:to>
    <xdr:sp macro="" textlink="">
      <xdr:nvSpPr>
        <xdr:cNvPr id="2" name="TextBox 1">
          <a:extLst>
            <a:ext uri="{FF2B5EF4-FFF2-40B4-BE49-F238E27FC236}">
              <a16:creationId xmlns:a16="http://schemas.microsoft.com/office/drawing/2014/main" id="{727C6037-582B-4B42-A4E5-5075172862F4}"/>
            </a:ext>
          </a:extLst>
        </xdr:cNvPr>
        <xdr:cNvSpPr txBox="1"/>
      </xdr:nvSpPr>
      <xdr:spPr>
        <a:xfrm>
          <a:off x="7924800" y="2438400"/>
          <a:ext cx="5834679" cy="316005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Rafs 25 Jan 2018</a:t>
          </a:r>
        </a:p>
        <a:p>
          <a:pPr marL="0" marR="0" lvl="0" indent="0" defTabSz="914400" eaLnBrk="1" fontAlgn="auto" latinLnBrk="0" hangingPunct="1">
            <a:lnSpc>
              <a:spcPct val="100000"/>
            </a:lnSpc>
            <a:spcBef>
              <a:spcPts val="0"/>
            </a:spcBef>
            <a:spcAft>
              <a:spcPts val="0"/>
            </a:spcAft>
            <a:buClrTx/>
            <a:buSzTx/>
            <a:buFontTx/>
            <a:buNone/>
            <a:tabLst/>
            <a:defRPr/>
          </a:pPr>
          <a:endParaRPr lang="en-US" sz="1100"/>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table contained in the TIMES-DK version was disabled because not clear its function. We can define emissions linked to the activity of refineries and to the activity of oil and gas extraction (flares), but so far, this is neglected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Martin Hagberg 2019-10-01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a:t>Activated table . In</a:t>
          </a:r>
          <a:r>
            <a:rPr lang="en-US" sz="1100" baseline="0"/>
            <a:t> other files there are SUP* fuel production technologies using fossil fuels that should give CO2 emissions.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aseline="0"/>
            <a:t>Put "0" for WST because this waste fraction represents organic waste for biogas production.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p>
        <a:p>
          <a:r>
            <a:rPr lang="en-US" sz="1100" b="1">
              <a:solidFill>
                <a:schemeClr val="dk1"/>
              </a:solidFill>
              <a:effectLst/>
              <a:latin typeface="+mn-lt"/>
              <a:ea typeface="+mn-ea"/>
              <a:cs typeface="+mn-cs"/>
            </a:rPr>
            <a:t>Mibsi 11/10-19</a:t>
          </a:r>
          <a:endParaRPr lang="en-GB">
            <a:effectLst/>
          </a:endParaRPr>
        </a:p>
        <a:p>
          <a:pPr eaLnBrk="1" fontAlgn="auto" latinLnBrk="0" hangingPunct="1"/>
          <a:r>
            <a:rPr lang="en-GB" sz="1100">
              <a:solidFill>
                <a:schemeClr val="dk1"/>
              </a:solidFill>
              <a:effectLst/>
              <a:latin typeface="+mn-lt"/>
              <a:ea typeface="+mn-ea"/>
              <a:cs typeface="+mn-cs"/>
            </a:rPr>
            <a:t>The table is used from TIMES-DK,</a:t>
          </a:r>
          <a:r>
            <a:rPr lang="en-GB" sz="1100" baseline="0">
              <a:solidFill>
                <a:schemeClr val="dk1"/>
              </a:solidFill>
              <a:effectLst/>
              <a:latin typeface="+mn-lt"/>
              <a:ea typeface="+mn-ea"/>
              <a:cs typeface="+mn-cs"/>
            </a:rPr>
            <a:t> Simplified to have seperate SUP fuelsand allocated SUP emissions</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2</xdr:row>
      <xdr:rowOff>0</xdr:rowOff>
    </xdr:to>
    <xdr:sp macro="" textlink="">
      <xdr:nvSpPr>
        <xdr:cNvPr id="2" name="Facet 1">
          <a:hlinkClick xmlns:r="http://schemas.openxmlformats.org/officeDocument/2006/relationships" r:id="rId1"/>
          <a:extLst>
            <a:ext uri="{FF2B5EF4-FFF2-40B4-BE49-F238E27FC236}">
              <a16:creationId xmlns:a16="http://schemas.microsoft.com/office/drawing/2014/main" id="{1A1747E9-946C-4668-9CF2-54E1A7039A30}"/>
            </a:ext>
          </a:extLst>
        </xdr:cNvPr>
        <xdr:cNvSpPr/>
      </xdr:nvSpPr>
      <xdr:spPr bwMode="auto">
        <a:xfrm>
          <a:off x="0" y="304800"/>
          <a:ext cx="2705100" cy="257175"/>
        </a:xfrm>
        <a:prstGeom prst="bevel">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Hovedmenu</a:t>
          </a:r>
        </a:p>
      </xdr:txBody>
    </xdr:sp>
    <xdr:clientData/>
  </xdr:twoCellAnchor>
  <xdr:twoCellAnchor>
    <xdr:from>
      <xdr:col>1</xdr:col>
      <xdr:colOff>0</xdr:colOff>
      <xdr:row>1</xdr:row>
      <xdr:rowOff>0</xdr:rowOff>
    </xdr:from>
    <xdr:to>
      <xdr:col>2</xdr:col>
      <xdr:colOff>0</xdr:colOff>
      <xdr:row>2</xdr:row>
      <xdr:rowOff>0</xdr:rowOff>
    </xdr:to>
    <xdr:sp macro="" textlink="">
      <xdr:nvSpPr>
        <xdr:cNvPr id="3" name="Facet 2">
          <a:hlinkClick xmlns:r="http://schemas.openxmlformats.org/officeDocument/2006/relationships" r:id="rId1"/>
          <a:extLst>
            <a:ext uri="{FF2B5EF4-FFF2-40B4-BE49-F238E27FC236}">
              <a16:creationId xmlns:a16="http://schemas.microsoft.com/office/drawing/2014/main" id="{F695812E-B481-457E-BBA6-4AC7DE99702B}"/>
            </a:ext>
          </a:extLst>
        </xdr:cNvPr>
        <xdr:cNvSpPr/>
      </xdr:nvSpPr>
      <xdr:spPr bwMode="auto">
        <a:xfrm>
          <a:off x="2705100" y="304800"/>
          <a:ext cx="2705100" cy="257175"/>
        </a:xfrm>
        <a:prstGeom prst="bevel">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Main Menu</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1</xdr:row>
      <xdr:rowOff>0</xdr:rowOff>
    </xdr:from>
    <xdr:to>
      <xdr:col>1</xdr:col>
      <xdr:colOff>0</xdr:colOff>
      <xdr:row>2</xdr:row>
      <xdr:rowOff>0</xdr:rowOff>
    </xdr:to>
    <xdr:sp macro="" textlink="">
      <xdr:nvSpPr>
        <xdr:cNvPr id="2" name="Facet 1">
          <a:hlinkClick xmlns:r="http://schemas.openxmlformats.org/officeDocument/2006/relationships" r:id="rId1"/>
          <a:extLst>
            <a:ext uri="{FF2B5EF4-FFF2-40B4-BE49-F238E27FC236}">
              <a16:creationId xmlns:a16="http://schemas.microsoft.com/office/drawing/2014/main" id="{72D1E425-8F1C-4B3E-B41D-EEC41C34EE1E}"/>
            </a:ext>
          </a:extLst>
        </xdr:cNvPr>
        <xdr:cNvSpPr/>
      </xdr:nvSpPr>
      <xdr:spPr bwMode="auto">
        <a:xfrm>
          <a:off x="0" y="257175"/>
          <a:ext cx="2847975" cy="257175"/>
        </a:xfrm>
        <a:prstGeom prst="bevel">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Hovedmenu</a:t>
          </a:r>
        </a:p>
      </xdr:txBody>
    </xdr:sp>
    <xdr:clientData/>
  </xdr:twoCellAnchor>
  <xdr:twoCellAnchor>
    <xdr:from>
      <xdr:col>1</xdr:col>
      <xdr:colOff>0</xdr:colOff>
      <xdr:row>1</xdr:row>
      <xdr:rowOff>0</xdr:rowOff>
    </xdr:from>
    <xdr:to>
      <xdr:col>2</xdr:col>
      <xdr:colOff>0</xdr:colOff>
      <xdr:row>2</xdr:row>
      <xdr:rowOff>0</xdr:rowOff>
    </xdr:to>
    <xdr:sp macro="" textlink="">
      <xdr:nvSpPr>
        <xdr:cNvPr id="3" name="Facet 2">
          <a:hlinkClick xmlns:r="http://schemas.openxmlformats.org/officeDocument/2006/relationships" r:id="rId1"/>
          <a:extLst>
            <a:ext uri="{FF2B5EF4-FFF2-40B4-BE49-F238E27FC236}">
              <a16:creationId xmlns:a16="http://schemas.microsoft.com/office/drawing/2014/main" id="{AA5CAFFE-28E9-4201-A4D4-8313685718DE}"/>
            </a:ext>
          </a:extLst>
        </xdr:cNvPr>
        <xdr:cNvSpPr/>
      </xdr:nvSpPr>
      <xdr:spPr bwMode="auto">
        <a:xfrm>
          <a:off x="2847975" y="257175"/>
          <a:ext cx="3048000" cy="257175"/>
        </a:xfrm>
        <a:prstGeom prst="bevel">
          <a:avLst/>
        </a:prstGeom>
        <a:ln>
          <a:headEnd type="none" w="med" len="med"/>
          <a:tailEnd type="none" w="med" len="med"/>
        </a:ln>
      </xdr:spPr>
      <xdr:style>
        <a:lnRef idx="1">
          <a:schemeClr val="accent3"/>
        </a:lnRef>
        <a:fillRef idx="2">
          <a:schemeClr val="accent3"/>
        </a:fillRef>
        <a:effectRef idx="1">
          <a:schemeClr val="accent3"/>
        </a:effectRef>
        <a:fontRef idx="minor">
          <a:schemeClr val="dk1"/>
        </a:fontRef>
      </xdr:style>
      <xdr:txBody>
        <a:bodyPr vertOverflow="clip" wrap="square" lIns="18288" tIns="0" rIns="0" bIns="0" rtlCol="0" anchor="ctr" upright="1"/>
        <a:lstStyle/>
        <a:p>
          <a:pPr algn="ctr"/>
          <a:r>
            <a:rPr lang="da-DK" sz="1200" b="1">
              <a:solidFill>
                <a:sysClr val="windowText" lastClr="000000"/>
              </a:solidFill>
            </a:rPr>
            <a:t>Main</a:t>
          </a:r>
          <a:r>
            <a:rPr lang="da-DK" sz="1200" b="1" baseline="0">
              <a:solidFill>
                <a:sysClr val="windowText" lastClr="000000"/>
              </a:solidFill>
            </a:rPr>
            <a:t> Menu</a:t>
          </a:r>
          <a:endParaRPr lang="da-DK" sz="1200" b="1">
            <a:solidFill>
              <a:sysClr val="windowText" lastClr="00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F:\KEO\Statistik\14Stat\Tab2014.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Lame12/f$/Documents%20and%20Settings/labriet/Local%20Settings/Temp/TMPL_RES.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cumentation/Energy%20Balance/Energy%20Balance%20Nordic_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RAMSES/RAMSES%20Data.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C:/Users/B003206/AppData/Local/Microsoft/Windows/Temporary%20Internet%20Files/Content.Outlook/I9492QGX/Alternativ%20Drivmiddelmodel%20v%20%203%200%20MHO%202014-12-02.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C:/VEDA/VEDA_Models/TIMES-DK-TRA_20140623/TIMES-DK-TRA_20140623/SubRES_TMPL/ad_beregningsmodel_version_2_1_maj_2013_(4)(1).xlsm"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O:/03%20Team%20Modeller%20og%20analyser/Br&#230;ndselspriser/Br&#230;ndselspriser%202012/Regneark/Br&#230;ndselspriser%202012%20-%2020120628.xlsm"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Spot/Office/temphold/TMPL_RES.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C:/VEDA/VEDA_Models/Denmark/TIMES-DK_Power_master/_VT_DK_SUP_V1p9.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C:/VEDA/VEDA_Models/TIMES-DK-TRA_20140623/TIMES-DK-TRA_20140623/Supply-Use_OilProduct.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C:/RAMSES/Simuleringer/2012/2012-08-27/Rettelser_foretaget_i_DATA69_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vedmenu"/>
      <sheetName val="Bruttoenergiforbrug (k)"/>
      <sheetName val="Forbrug i alt (k)"/>
      <sheetName val="Produktionserhverv (k)"/>
      <sheetName val="Handel &amp; service (k)"/>
      <sheetName val="Husholdninger (k)"/>
      <sheetName val="Opvarmning (k)"/>
      <sheetName val="Netto opvarmning (k)"/>
      <sheetName val="Forbrug af el (k)"/>
      <sheetName val="Emissioner (k)"/>
      <sheetName val="Bruttoenergiforbrug (f)"/>
      <sheetName val="Brændselsforbrug"/>
      <sheetName val="Energisektor"/>
      <sheetName val="Forbrug i alt (f)"/>
      <sheetName val="Transport (f)"/>
      <sheetName val="Produktionserhverv (f)"/>
      <sheetName val="Handel &amp; service (f)"/>
      <sheetName val="Husholdninger (f)"/>
      <sheetName val="Opvarmning (f)"/>
      <sheetName val="Netto opvarmning (f)"/>
      <sheetName val="Forbrug af el (f)"/>
      <sheetName val="Emissioner (f)"/>
      <sheetName val="Produktion af primær energi"/>
      <sheetName val="Vedvarende energi"/>
      <sheetName val="El produktion"/>
      <sheetName val="Brændselsforbrug ved el prod."/>
      <sheetName val="Fjv produktion"/>
      <sheetName val="Brændselsforbrug ved fjv prod."/>
      <sheetName val="Produktion af bygas"/>
      <sheetName val="Oversigt energibalance"/>
      <sheetName val="Detaljeret opgørelse"/>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16">
          <cell r="A16" t="str">
            <v>-  el</v>
          </cell>
          <cell r="G16">
            <v>356.40000000000003</v>
          </cell>
          <cell r="H16">
            <v>0</v>
          </cell>
          <cell r="I16">
            <v>0</v>
          </cell>
          <cell r="J16">
            <v>360</v>
          </cell>
          <cell r="K16">
            <v>410.40000000000003</v>
          </cell>
          <cell r="L16">
            <v>421.2</v>
          </cell>
          <cell r="M16">
            <v>421.2</v>
          </cell>
          <cell r="N16">
            <v>428.40000000000003</v>
          </cell>
          <cell r="O16">
            <v>478.8</v>
          </cell>
          <cell r="P16">
            <v>482.40000000000003</v>
          </cell>
          <cell r="Q16">
            <v>482.40000000000003</v>
          </cell>
          <cell r="R16">
            <v>475.2</v>
          </cell>
          <cell r="S16">
            <v>468</v>
          </cell>
          <cell r="T16">
            <v>493.2</v>
          </cell>
          <cell r="U16">
            <v>496.8</v>
          </cell>
          <cell r="V16">
            <v>540</v>
          </cell>
          <cell r="W16">
            <v>568.80000000000007</v>
          </cell>
          <cell r="X16">
            <v>738</v>
          </cell>
          <cell r="Y16">
            <v>735.84</v>
          </cell>
          <cell r="Z16">
            <v>716.76</v>
          </cell>
          <cell r="AA16">
            <v>701.28000000000009</v>
          </cell>
          <cell r="AB16">
            <v>761.4</v>
          </cell>
          <cell r="AC16">
            <v>815.04000000000008</v>
          </cell>
          <cell r="AD16">
            <v>853.56</v>
          </cell>
          <cell r="AE16">
            <v>923.4</v>
          </cell>
          <cell r="AF16">
            <v>1015.5600000000001</v>
          </cell>
          <cell r="AG16">
            <v>1169.6399999999999</v>
          </cell>
          <cell r="AH16">
            <v>1226.1600000000001</v>
          </cell>
          <cell r="AI16">
            <v>1252.8</v>
          </cell>
          <cell r="AJ16">
            <v>1252.44</v>
          </cell>
          <cell r="AK16">
            <v>1311.84</v>
          </cell>
          <cell r="AL16">
            <v>1269.72</v>
          </cell>
          <cell r="AM16">
            <v>1333.0800000000002</v>
          </cell>
          <cell r="AN16">
            <v>1350.72</v>
          </cell>
          <cell r="AO16">
            <v>1352.52</v>
          </cell>
          <cell r="AP16">
            <v>1281.6000000000001</v>
          </cell>
          <cell r="AQ16">
            <v>1360.44</v>
          </cell>
          <cell r="AR16">
            <v>1422</v>
          </cell>
          <cell r="AS16">
            <v>1455.12</v>
          </cell>
          <cell r="AT16">
            <v>1428.84</v>
          </cell>
          <cell r="AU16">
            <v>1387.44</v>
          </cell>
          <cell r="AV16">
            <v>1390.68</v>
          </cell>
          <cell r="AW16">
            <v>1387.44</v>
          </cell>
          <cell r="AY16">
            <v>-0.23297954957287592</v>
          </cell>
        </row>
      </sheetData>
      <sheetData sheetId="15">
        <row r="11">
          <cell r="A11" t="str">
            <v>-  el</v>
          </cell>
          <cell r="G11">
            <v>20598.67577680244</v>
          </cell>
          <cell r="H11">
            <v>0</v>
          </cell>
          <cell r="I11">
            <v>0</v>
          </cell>
          <cell r="J11">
            <v>21485.99627547156</v>
          </cell>
          <cell r="K11">
            <v>23399.850662004828</v>
          </cell>
          <cell r="L11">
            <v>25491.836394046739</v>
          </cell>
          <cell r="M11">
            <v>27137.299293510765</v>
          </cell>
          <cell r="N11">
            <v>28199.875801501981</v>
          </cell>
          <cell r="O11">
            <v>27743.861135704654</v>
          </cell>
          <cell r="P11">
            <v>27286.542296661351</v>
          </cell>
          <cell r="Q11">
            <v>28078.728310605915</v>
          </cell>
          <cell r="R11">
            <v>28500.31937087265</v>
          </cell>
          <cell r="S11">
            <v>30065.164707002485</v>
          </cell>
          <cell r="T11">
            <v>31670.627336295991</v>
          </cell>
          <cell r="U11">
            <v>33276.85512449214</v>
          </cell>
          <cell r="V11">
            <v>33991.711513855611</v>
          </cell>
          <cell r="W11">
            <v>34831.164043420402</v>
          </cell>
          <cell r="X11">
            <v>35464.671215598239</v>
          </cell>
          <cell r="Y11">
            <v>36544.392429631975</v>
          </cell>
          <cell r="Z11">
            <v>37348.690713619049</v>
          </cell>
          <cell r="AA11">
            <v>38268.202303876918</v>
          </cell>
          <cell r="AB11">
            <v>38691.648493331995</v>
          </cell>
          <cell r="AC11">
            <v>39644.389043999181</v>
          </cell>
          <cell r="AD11">
            <v>40436.009323635466</v>
          </cell>
          <cell r="AE11">
            <v>41409.287753085475</v>
          </cell>
          <cell r="AF11">
            <v>42672.556064549921</v>
          </cell>
          <cell r="AG11">
            <v>42516.980655775878</v>
          </cell>
          <cell r="AH11">
            <v>42625.507094393033</v>
          </cell>
          <cell r="AI11">
            <v>43203.126290218519</v>
          </cell>
          <cell r="AJ11">
            <v>42993.223455359592</v>
          </cell>
          <cell r="AK11">
            <v>42400.98215573909</v>
          </cell>
          <cell r="AL11">
            <v>41865.463282534576</v>
          </cell>
          <cell r="AM11">
            <v>42985.626888190178</v>
          </cell>
          <cell r="AN11">
            <v>44059.613490995835</v>
          </cell>
          <cell r="AO11">
            <v>43855.592431817211</v>
          </cell>
          <cell r="AP11">
            <v>42751.237133549766</v>
          </cell>
          <cell r="AQ11">
            <v>41647.170174261621</v>
          </cell>
          <cell r="AR11">
            <v>37184.502094422467</v>
          </cell>
          <cell r="AS11">
            <v>37746.362826842473</v>
          </cell>
          <cell r="AT11">
            <v>38018.040211841682</v>
          </cell>
          <cell r="AU11">
            <v>37487.779010970131</v>
          </cell>
          <cell r="AV11">
            <v>36932.741135986776</v>
          </cell>
          <cell r="AW11">
            <v>36168.197504354503</v>
          </cell>
          <cell r="AY11">
            <v>-2.0700971769661347E-2</v>
          </cell>
        </row>
      </sheetData>
      <sheetData sheetId="16">
        <row r="11">
          <cell r="A11" t="str">
            <v>-  el</v>
          </cell>
          <cell r="G11">
            <v>13577.260536</v>
          </cell>
          <cell r="H11">
            <v>0</v>
          </cell>
          <cell r="I11">
            <v>0</v>
          </cell>
          <cell r="J11">
            <v>15531.585054999625</v>
          </cell>
          <cell r="K11">
            <v>17394.344972861116</v>
          </cell>
          <cell r="L11">
            <v>18744.641293168301</v>
          </cell>
          <cell r="M11">
            <v>20541.603485066255</v>
          </cell>
          <cell r="N11">
            <v>21531.894460975418</v>
          </cell>
          <cell r="O11">
            <v>21808.12707328434</v>
          </cell>
          <cell r="P11">
            <v>21896.284461106748</v>
          </cell>
          <cell r="Q11">
            <v>22439.002909067796</v>
          </cell>
          <cell r="R11">
            <v>22753.010809387819</v>
          </cell>
          <cell r="S11">
            <v>23882.301787303189</v>
          </cell>
          <cell r="T11">
            <v>25290.836208027511</v>
          </cell>
          <cell r="U11">
            <v>26480.938223771169</v>
          </cell>
          <cell r="V11">
            <v>27961.464805502255</v>
          </cell>
          <cell r="W11">
            <v>28711.769708396045</v>
          </cell>
          <cell r="X11">
            <v>29001.105033402913</v>
          </cell>
          <cell r="Y11">
            <v>30046.962918944548</v>
          </cell>
          <cell r="Z11">
            <v>30765.726295803397</v>
          </cell>
          <cell r="AA11">
            <v>31378.028314584615</v>
          </cell>
          <cell r="AB11">
            <v>31934.560400000009</v>
          </cell>
          <cell r="AC11">
            <v>32719.244316000004</v>
          </cell>
          <cell r="AD11">
            <v>32829.745724682456</v>
          </cell>
          <cell r="AE11">
            <v>33673.738750000004</v>
          </cell>
          <cell r="AF11">
            <v>33954.962228999997</v>
          </cell>
          <cell r="AG11">
            <v>34767.55796795692</v>
          </cell>
          <cell r="AH11">
            <v>34994.133993263713</v>
          </cell>
          <cell r="AI11">
            <v>35620.216993086986</v>
          </cell>
          <cell r="AJ11">
            <v>36421.885290148522</v>
          </cell>
          <cell r="AK11">
            <v>36659.169344665293</v>
          </cell>
          <cell r="AL11">
            <v>36438.240914915543</v>
          </cell>
          <cell r="AM11">
            <v>37188.798879028342</v>
          </cell>
          <cell r="AN11">
            <v>37439.174731981686</v>
          </cell>
          <cell r="AO11">
            <v>38355.428949270732</v>
          </cell>
          <cell r="AP11">
            <v>39230.371231523088</v>
          </cell>
          <cell r="AQ11">
            <v>39233.847293011226</v>
          </cell>
          <cell r="AR11">
            <v>38250.799311725757</v>
          </cell>
          <cell r="AS11">
            <v>38808.526317453972</v>
          </cell>
          <cell r="AT11">
            <v>38126.052664339993</v>
          </cell>
          <cell r="AU11">
            <v>37417.080210799999</v>
          </cell>
          <cell r="AV11">
            <v>36933.407847792179</v>
          </cell>
          <cell r="AW11">
            <v>36319.452647999999</v>
          </cell>
          <cell r="AY11">
            <v>-1.6623302196276502E-2</v>
          </cell>
        </row>
      </sheetData>
      <sheetData sheetId="17">
        <row r="10">
          <cell r="A10" t="str">
            <v>-  el</v>
          </cell>
          <cell r="G10">
            <v>22025.536289773245</v>
          </cell>
          <cell r="H10">
            <v>0</v>
          </cell>
          <cell r="I10">
            <v>0</v>
          </cell>
          <cell r="J10">
            <v>22508.820020528445</v>
          </cell>
          <cell r="K10">
            <v>23696.599337995176</v>
          </cell>
          <cell r="L10">
            <v>25449.769605953257</v>
          </cell>
          <cell r="M10">
            <v>27095.827706489239</v>
          </cell>
          <cell r="N10">
            <v>28947.943198498026</v>
          </cell>
          <cell r="O10">
            <v>28582.232864295347</v>
          </cell>
          <cell r="P10">
            <v>28426.103703338649</v>
          </cell>
          <cell r="Q10">
            <v>28823.983689394085</v>
          </cell>
          <cell r="R10">
            <v>28944.158629127349</v>
          </cell>
          <cell r="S10">
            <v>30463.308292997517</v>
          </cell>
          <cell r="T10">
            <v>32887.870663704016</v>
          </cell>
          <cell r="U10">
            <v>34490.766875507863</v>
          </cell>
          <cell r="V10">
            <v>35874.154486144391</v>
          </cell>
          <cell r="W10">
            <v>35791.4499565796</v>
          </cell>
          <cell r="X10">
            <v>35642.215784401757</v>
          </cell>
          <cell r="Y10">
            <v>34811.935570368034</v>
          </cell>
          <cell r="Z10">
            <v>36486.927286380953</v>
          </cell>
          <cell r="AA10">
            <v>36751.12869612308</v>
          </cell>
          <cell r="AB10">
            <v>37194.036506668002</v>
          </cell>
          <cell r="AC10">
            <v>37541.300556000824</v>
          </cell>
          <cell r="AD10">
            <v>37062.003627049475</v>
          </cell>
          <cell r="AE10">
            <v>38145.239719999998</v>
          </cell>
          <cell r="AF10">
            <v>37142.523729</v>
          </cell>
          <cell r="AG10">
            <v>36946.981901119827</v>
          </cell>
          <cell r="AH10">
            <v>37021.105142760716</v>
          </cell>
          <cell r="AI10">
            <v>36773.255962134615</v>
          </cell>
          <cell r="AJ10">
            <v>36573.183134391562</v>
          </cell>
          <cell r="AK10">
            <v>36682.361291889611</v>
          </cell>
          <cell r="AL10">
            <v>36942.953993003423</v>
          </cell>
          <cell r="AM10">
            <v>37194.982461536412</v>
          </cell>
          <cell r="AN10">
            <v>37617.974703180364</v>
          </cell>
          <cell r="AO10">
            <v>38063.772637844915</v>
          </cell>
          <cell r="AP10">
            <v>37256.366853231142</v>
          </cell>
          <cell r="AQ10">
            <v>37006.893051693507</v>
          </cell>
          <cell r="AR10">
            <v>36347.318160089046</v>
          </cell>
          <cell r="AS10">
            <v>37400.643107906893</v>
          </cell>
          <cell r="AT10">
            <v>36398.666431878315</v>
          </cell>
          <cell r="AU10">
            <v>35960.520367192497</v>
          </cell>
          <cell r="AV10">
            <v>37105.77496643913</v>
          </cell>
          <cell r="AW10">
            <v>36373.608555446895</v>
          </cell>
          <cell r="AY10">
            <v>-1.9731872239683867</v>
          </cell>
        </row>
      </sheetData>
      <sheetData sheetId="18"/>
      <sheetData sheetId="19"/>
      <sheetData sheetId="20"/>
      <sheetData sheetId="21"/>
      <sheetData sheetId="22"/>
      <sheetData sheetId="23">
        <row r="5">
          <cell r="A5" t="str">
            <v>Vedvarende energi</v>
          </cell>
          <cell r="G5">
            <v>11138.331914186334</v>
          </cell>
          <cell r="H5">
            <v>0</v>
          </cell>
          <cell r="I5">
            <v>0</v>
          </cell>
          <cell r="J5">
            <v>11548.530850284571</v>
          </cell>
          <cell r="K5">
            <v>12128.440467585435</v>
          </cell>
          <cell r="L5">
            <v>12204.130907517523</v>
          </cell>
          <cell r="M5">
            <v>13788.617183251303</v>
          </cell>
          <cell r="N5">
            <v>17643.132779453197</v>
          </cell>
          <cell r="O5">
            <v>22699.448896694041</v>
          </cell>
          <cell r="P5">
            <v>28356.429214212974</v>
          </cell>
          <cell r="Q5">
            <v>30879.717070742881</v>
          </cell>
          <cell r="R5">
            <v>32497.288066691086</v>
          </cell>
          <cell r="S5">
            <v>34194.708091162182</v>
          </cell>
          <cell r="T5">
            <v>35201.002991441244</v>
          </cell>
          <cell r="U5">
            <v>38352.941850600706</v>
          </cell>
          <cell r="V5">
            <v>42057.533851194719</v>
          </cell>
          <cell r="W5">
            <v>42577.284672144793</v>
          </cell>
          <cell r="X5">
            <v>43547.37984672263</v>
          </cell>
          <cell r="Y5">
            <v>45461.381462528916</v>
          </cell>
          <cell r="Z5">
            <v>49353.069199668316</v>
          </cell>
          <cell r="AA5">
            <v>52261.75268922987</v>
          </cell>
          <cell r="AB5">
            <v>54698.80320567116</v>
          </cell>
          <cell r="AC5">
            <v>54194.274636132206</v>
          </cell>
          <cell r="AD5">
            <v>56571.563477008553</v>
          </cell>
          <cell r="AE5">
            <v>59797.179033680623</v>
          </cell>
          <cell r="AF5">
            <v>64229.521636977195</v>
          </cell>
          <cell r="AG5">
            <v>67076.987768098887</v>
          </cell>
          <cell r="AH5">
            <v>69861.240024182101</v>
          </cell>
          <cell r="AI5">
            <v>76016.485765940379</v>
          </cell>
          <cell r="AJ5">
            <v>80243.514548834064</v>
          </cell>
          <cell r="AK5">
            <v>85021.08128206346</v>
          </cell>
          <cell r="AL5">
            <v>95607.020356512308</v>
          </cell>
          <cell r="AM5">
            <v>102859.83728733</v>
          </cell>
          <cell r="AN5">
            <v>105584.87167156038</v>
          </cell>
          <cell r="AO5">
            <v>106768.49033461287</v>
          </cell>
          <cell r="AP5">
            <v>119212.36862236312</v>
          </cell>
          <cell r="AQ5">
            <v>117024.42154100799</v>
          </cell>
          <cell r="AR5">
            <v>117338.16291632081</v>
          </cell>
          <cell r="AS5">
            <v>131306.01167147871</v>
          </cell>
          <cell r="AT5">
            <v>130625.95524684498</v>
          </cell>
          <cell r="AU5">
            <v>130066.99355350935</v>
          </cell>
          <cell r="AV5">
            <v>135245.91525110326</v>
          </cell>
          <cell r="AW5">
            <v>138972.02780965835</v>
          </cell>
          <cell r="AY5">
            <v>2.7550647660131045</v>
          </cell>
        </row>
      </sheetData>
      <sheetData sheetId="24"/>
      <sheetData sheetId="25"/>
      <sheetData sheetId="26"/>
      <sheetData sheetId="27"/>
      <sheetData sheetId="28"/>
      <sheetData sheetId="29"/>
      <sheetData sheetId="3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DE"/>
      <sheetName val="Refineries"/>
      <sheetName val="Refinery_data"/>
      <sheetName val="OTHRefineries"/>
      <sheetName val="Eurostats"/>
      <sheetName val="Translation"/>
    </sheetNames>
    <sheetDataSet>
      <sheetData sheetId="0"/>
      <sheetData sheetId="1">
        <row r="47">
          <cell r="E47">
            <v>-311578</v>
          </cell>
          <cell r="F47">
            <v>-328004</v>
          </cell>
          <cell r="G47">
            <v>-314963.89800000004</v>
          </cell>
          <cell r="H47">
            <v>-302498.84700000001</v>
          </cell>
        </row>
        <row r="48">
          <cell r="E48">
            <v>16486.5</v>
          </cell>
          <cell r="F48">
            <v>9657</v>
          </cell>
          <cell r="G48">
            <v>6284.1409999999996</v>
          </cell>
          <cell r="H48">
            <v>5099.6360000000004</v>
          </cell>
        </row>
        <row r="49">
          <cell r="E49">
            <v>0</v>
          </cell>
          <cell r="F49">
            <v>-263.2</v>
          </cell>
          <cell r="G49">
            <v>0</v>
          </cell>
          <cell r="H49">
            <v>0</v>
          </cell>
        </row>
        <row r="50">
          <cell r="E50">
            <v>13676</v>
          </cell>
          <cell r="F50">
            <v>15652</v>
          </cell>
          <cell r="G50">
            <v>16580.407999999999</v>
          </cell>
          <cell r="H50">
            <v>15662.451999999999</v>
          </cell>
        </row>
        <row r="51">
          <cell r="E51">
            <v>7038</v>
          </cell>
          <cell r="F51">
            <v>7682</v>
          </cell>
          <cell r="G51">
            <v>5341.5659999999998</v>
          </cell>
          <cell r="H51">
            <v>5555.1440000000002</v>
          </cell>
        </row>
        <row r="52">
          <cell r="E52">
            <v>1824.5</v>
          </cell>
          <cell r="F52">
            <v>0</v>
          </cell>
          <cell r="G52">
            <v>0</v>
          </cell>
          <cell r="H52">
            <v>0</v>
          </cell>
        </row>
        <row r="53">
          <cell r="E53">
            <v>80285.399999999994</v>
          </cell>
          <cell r="F53">
            <v>88257</v>
          </cell>
          <cell r="G53">
            <v>86927.275999999998</v>
          </cell>
          <cell r="H53">
            <v>88102.736000000004</v>
          </cell>
        </row>
        <row r="54">
          <cell r="E54">
            <v>129722.6</v>
          </cell>
          <cell r="F54">
            <v>145649.70000000001</v>
          </cell>
          <cell r="G54">
            <v>137714.076</v>
          </cell>
          <cell r="H54">
            <v>138640.66600000003</v>
          </cell>
        </row>
        <row r="55">
          <cell r="E55">
            <v>51631.199999999997</v>
          </cell>
          <cell r="F55">
            <v>52964.4</v>
          </cell>
          <cell r="G55">
            <v>53732.646999999997</v>
          </cell>
          <cell r="H55">
            <v>47523.975000000006</v>
          </cell>
        </row>
        <row r="56">
          <cell r="E56">
            <v>0</v>
          </cell>
          <cell r="F56">
            <v>0</v>
          </cell>
          <cell r="G56">
            <v>0</v>
          </cell>
          <cell r="H56">
            <v>0</v>
          </cell>
        </row>
        <row r="63">
          <cell r="D63">
            <v>0.6179775280898876</v>
          </cell>
        </row>
        <row r="64">
          <cell r="D64">
            <v>0.38202247191011235</v>
          </cell>
        </row>
      </sheetData>
      <sheetData sheetId="2">
        <row r="92">
          <cell r="AM92">
            <v>-1.0571132194939785</v>
          </cell>
        </row>
      </sheetData>
      <sheetData sheetId="3"/>
      <sheetData sheetId="4"/>
      <sheetData sheetId="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Data fra Sammenfatningsmodellen"/>
      <sheetName val="Vind- &amp; Biogasprognoser"/>
      <sheetName val="Udtræk Elkapaciteter"/>
    </sheetNames>
    <sheetDataSet>
      <sheetData sheetId="0">
        <row r="1">
          <cell r="A1" t="str">
            <v>RAMSES version 6.12 DATA SET</v>
          </cell>
        </row>
      </sheetData>
      <sheetData sheetId="1"/>
      <sheetData sheetId="2"/>
      <sheetData sheetId="3"/>
      <sheetData sheetId="4">
        <row r="2">
          <cell r="H2">
            <v>2004</v>
          </cell>
          <cell r="J2">
            <v>2035</v>
          </cell>
        </row>
        <row r="4">
          <cell r="J4" t="b">
            <v>1</v>
          </cell>
        </row>
        <row r="5">
          <cell r="J5" t="b">
            <v>1</v>
          </cell>
        </row>
        <row r="6">
          <cell r="J6">
            <v>1000</v>
          </cell>
        </row>
      </sheetData>
      <sheetData sheetId="5">
        <row r="11">
          <cell r="F11">
            <v>247</v>
          </cell>
        </row>
        <row r="14">
          <cell r="A14" t="str">
            <v>BiomassLargeCHP</v>
          </cell>
          <cell r="B14" t="str">
            <v>Eff.</v>
          </cell>
          <cell r="C14" t="str">
            <v>Cb</v>
          </cell>
          <cell r="D14" t="str">
            <v>Cv</v>
          </cell>
          <cell r="E14" t="str">
            <v>POutage</v>
          </cell>
          <cell r="F14" t="str">
            <v>UPOutage</v>
          </cell>
          <cell r="G14" t="str">
            <v>Invest</v>
          </cell>
          <cell r="H14" t="str">
            <v>O&amp;Mfixed</v>
          </cell>
          <cell r="I14" t="str">
            <v>O&amp;Mvar</v>
          </cell>
          <cell r="J14" t="str">
            <v>Desulp</v>
          </cell>
          <cell r="K14" t="str">
            <v>NO2</v>
          </cell>
          <cell r="L14" t="str">
            <v>CH4</v>
          </cell>
          <cell r="M14" t="str">
            <v>N2O</v>
          </cell>
          <cell r="O14" t="str">
            <v>OnshoreWindPark</v>
          </cell>
          <cell r="P14" t="str">
            <v>Eff.</v>
          </cell>
          <cell r="Q14" t="str">
            <v>Cb</v>
          </cell>
          <cell r="R14" t="str">
            <v>Cv</v>
          </cell>
          <cell r="S14" t="str">
            <v>POutage</v>
          </cell>
          <cell r="T14" t="str">
            <v>UPOutage</v>
          </cell>
          <cell r="U14" t="str">
            <v>Invest</v>
          </cell>
          <cell r="V14" t="str">
            <v>O&amp;Mfixed</v>
          </cell>
          <cell r="W14" t="str">
            <v>O&amp;Mvar</v>
          </cell>
          <cell r="X14" t="str">
            <v>Desulp</v>
          </cell>
          <cell r="Y14" t="str">
            <v>NO2</v>
          </cell>
          <cell r="Z14" t="str">
            <v>CH4</v>
          </cell>
          <cell r="AA14" t="str">
            <v>N2O</v>
          </cell>
        </row>
        <row r="15">
          <cell r="A15" t="str">
            <v>Investeringsår</v>
          </cell>
          <cell r="B15" t="str">
            <v>%</v>
          </cell>
          <cell r="C15" t="str">
            <v>p.u.</v>
          </cell>
          <cell r="D15" t="str">
            <v>p.u.</v>
          </cell>
          <cell r="E15" t="str">
            <v>%</v>
          </cell>
          <cell r="F15" t="str">
            <v>%</v>
          </cell>
          <cell r="G15" t="str">
            <v>Mkr./MW</v>
          </cell>
          <cell r="H15" t="str">
            <v>Mkr/MWy</v>
          </cell>
          <cell r="I15" t="str">
            <v>kr/MWh</v>
          </cell>
          <cell r="J15" t="str">
            <v>p.u</v>
          </cell>
          <cell r="K15" t="str">
            <v>g/GJ</v>
          </cell>
          <cell r="L15" t="str">
            <v>g/GJ</v>
          </cell>
          <cell r="M15" t="str">
            <v>g/GJ</v>
          </cell>
          <cell r="O15" t="str">
            <v>Investeringsår</v>
          </cell>
          <cell r="P15" t="str">
            <v>%</v>
          </cell>
          <cell r="Q15" t="str">
            <v>p.u.</v>
          </cell>
          <cell r="R15" t="str">
            <v>p.u.</v>
          </cell>
          <cell r="S15" t="str">
            <v>%</v>
          </cell>
          <cell r="T15" t="str">
            <v>%</v>
          </cell>
          <cell r="U15" t="str">
            <v>Mkr./MW</v>
          </cell>
          <cell r="V15" t="str">
            <v>Mkr/MWy</v>
          </cell>
          <cell r="W15" t="str">
            <v>kr/MWh</v>
          </cell>
          <cell r="X15" t="str">
            <v>p.u</v>
          </cell>
          <cell r="Y15" t="str">
            <v>g/GJ</v>
          </cell>
          <cell r="Z15" t="str">
            <v>g/GJ</v>
          </cell>
          <cell r="AA15" t="str">
            <v>g/GJ</v>
          </cell>
        </row>
        <row r="16">
          <cell r="A16">
            <v>2010</v>
          </cell>
          <cell r="B16">
            <v>0.437</v>
          </cell>
          <cell r="C16">
            <v>0.75</v>
          </cell>
          <cell r="D16">
            <v>0.15</v>
          </cell>
          <cell r="E16">
            <v>7.0000000000000007E-2</v>
          </cell>
          <cell r="F16">
            <v>7.0000000000000007E-2</v>
          </cell>
          <cell r="G16">
            <v>15.198</v>
          </cell>
          <cell r="H16">
            <v>0.42614000000000002</v>
          </cell>
          <cell r="I16">
            <v>14.9</v>
          </cell>
          <cell r="J16">
            <v>0.97</v>
          </cell>
          <cell r="K16">
            <v>38</v>
          </cell>
          <cell r="L16">
            <v>2</v>
          </cell>
          <cell r="M16">
            <v>0.8</v>
          </cell>
          <cell r="O16">
            <v>2010</v>
          </cell>
          <cell r="P16">
            <v>1</v>
          </cell>
          <cell r="Q16">
            <v>0</v>
          </cell>
          <cell r="R16">
            <v>0</v>
          </cell>
          <cell r="S16">
            <v>0</v>
          </cell>
          <cell r="T16">
            <v>0</v>
          </cell>
          <cell r="U16">
            <v>10.43</v>
          </cell>
          <cell r="V16">
            <v>0.15645000000000001</v>
          </cell>
          <cell r="W16">
            <v>52.15</v>
          </cell>
          <cell r="X16">
            <v>0</v>
          </cell>
          <cell r="Y16">
            <v>0</v>
          </cell>
          <cell r="Z16">
            <v>0</v>
          </cell>
          <cell r="AA16">
            <v>0</v>
          </cell>
        </row>
        <row r="17">
          <cell r="A17">
            <v>2011</v>
          </cell>
          <cell r="B17">
            <v>0.437</v>
          </cell>
          <cell r="C17">
            <v>0.75</v>
          </cell>
          <cell r="D17">
            <v>0.15</v>
          </cell>
          <cell r="E17">
            <v>7.0000000000000007E-2</v>
          </cell>
          <cell r="F17">
            <v>7.0000000000000007E-2</v>
          </cell>
          <cell r="G17">
            <v>15.198</v>
          </cell>
          <cell r="H17">
            <v>0.42614000000000002</v>
          </cell>
          <cell r="I17">
            <v>14.9</v>
          </cell>
          <cell r="J17">
            <v>0.97</v>
          </cell>
          <cell r="K17">
            <v>38</v>
          </cell>
          <cell r="L17">
            <v>2</v>
          </cell>
          <cell r="M17">
            <v>0.8</v>
          </cell>
          <cell r="O17">
            <v>2011</v>
          </cell>
          <cell r="P17">
            <v>1</v>
          </cell>
          <cell r="Q17">
            <v>0</v>
          </cell>
          <cell r="R17">
            <v>0</v>
          </cell>
          <cell r="S17">
            <v>0</v>
          </cell>
          <cell r="T17">
            <v>0</v>
          </cell>
          <cell r="U17">
            <v>10.43</v>
          </cell>
          <cell r="V17">
            <v>0.15645000000000001</v>
          </cell>
          <cell r="W17">
            <v>52.15</v>
          </cell>
          <cell r="X17">
            <v>0</v>
          </cell>
          <cell r="Y17">
            <v>0</v>
          </cell>
          <cell r="Z17">
            <v>0</v>
          </cell>
          <cell r="AA17">
            <v>0</v>
          </cell>
        </row>
        <row r="18">
          <cell r="A18">
            <v>2012</v>
          </cell>
          <cell r="B18">
            <v>0.437</v>
          </cell>
          <cell r="C18">
            <v>0.75</v>
          </cell>
          <cell r="D18">
            <v>0.15</v>
          </cell>
          <cell r="E18">
            <v>7.0000000000000007E-2</v>
          </cell>
          <cell r="F18">
            <v>7.0000000000000007E-2</v>
          </cell>
          <cell r="G18">
            <v>15.198</v>
          </cell>
          <cell r="H18">
            <v>0.42614000000000002</v>
          </cell>
          <cell r="I18">
            <v>14.9</v>
          </cell>
          <cell r="J18">
            <v>0.97</v>
          </cell>
          <cell r="K18">
            <v>38</v>
          </cell>
          <cell r="L18">
            <v>2</v>
          </cell>
          <cell r="M18">
            <v>0.8</v>
          </cell>
          <cell r="O18">
            <v>2012</v>
          </cell>
          <cell r="P18">
            <v>1</v>
          </cell>
          <cell r="Q18">
            <v>0</v>
          </cell>
          <cell r="R18">
            <v>0</v>
          </cell>
          <cell r="S18">
            <v>0</v>
          </cell>
          <cell r="T18">
            <v>0</v>
          </cell>
          <cell r="U18">
            <v>10.43</v>
          </cell>
          <cell r="V18">
            <v>0.15645000000000001</v>
          </cell>
          <cell r="W18">
            <v>52.15</v>
          </cell>
          <cell r="X18">
            <v>0</v>
          </cell>
          <cell r="Y18">
            <v>0</v>
          </cell>
          <cell r="Z18">
            <v>0</v>
          </cell>
          <cell r="AA18">
            <v>0</v>
          </cell>
        </row>
        <row r="19">
          <cell r="A19">
            <v>2013</v>
          </cell>
          <cell r="B19">
            <v>0.437</v>
          </cell>
          <cell r="C19">
            <v>0.75</v>
          </cell>
          <cell r="D19">
            <v>0.15</v>
          </cell>
          <cell r="E19">
            <v>7.0000000000000007E-2</v>
          </cell>
          <cell r="F19">
            <v>7.0000000000000007E-2</v>
          </cell>
          <cell r="G19">
            <v>15.198</v>
          </cell>
          <cell r="H19">
            <v>0.42614000000000002</v>
          </cell>
          <cell r="I19">
            <v>14.9</v>
          </cell>
          <cell r="J19">
            <v>0.97</v>
          </cell>
          <cell r="K19">
            <v>38</v>
          </cell>
          <cell r="L19">
            <v>2</v>
          </cell>
          <cell r="M19">
            <v>0.8</v>
          </cell>
          <cell r="O19">
            <v>2013</v>
          </cell>
          <cell r="P19">
            <v>1</v>
          </cell>
          <cell r="Q19">
            <v>0</v>
          </cell>
          <cell r="R19">
            <v>0</v>
          </cell>
          <cell r="S19">
            <v>0</v>
          </cell>
          <cell r="T19">
            <v>0</v>
          </cell>
          <cell r="U19">
            <v>10.43</v>
          </cell>
          <cell r="V19">
            <v>0.15645000000000001</v>
          </cell>
          <cell r="W19">
            <v>52.15</v>
          </cell>
          <cell r="X19">
            <v>0</v>
          </cell>
          <cell r="Y19">
            <v>0</v>
          </cell>
          <cell r="Z19">
            <v>0</v>
          </cell>
          <cell r="AA19">
            <v>0</v>
          </cell>
        </row>
        <row r="20">
          <cell r="A20">
            <v>2014</v>
          </cell>
          <cell r="B20">
            <v>0.437</v>
          </cell>
          <cell r="C20">
            <v>0.75</v>
          </cell>
          <cell r="D20">
            <v>0.15</v>
          </cell>
          <cell r="E20">
            <v>7.0000000000000007E-2</v>
          </cell>
          <cell r="F20">
            <v>7.0000000000000007E-2</v>
          </cell>
          <cell r="G20">
            <v>15.198</v>
          </cell>
          <cell r="H20">
            <v>0.42614000000000002</v>
          </cell>
          <cell r="I20">
            <v>14.9</v>
          </cell>
          <cell r="J20">
            <v>0.97</v>
          </cell>
          <cell r="K20">
            <v>38</v>
          </cell>
          <cell r="L20">
            <v>2</v>
          </cell>
          <cell r="M20">
            <v>0.8</v>
          </cell>
          <cell r="O20">
            <v>2014</v>
          </cell>
          <cell r="P20">
            <v>1</v>
          </cell>
          <cell r="Q20">
            <v>0</v>
          </cell>
          <cell r="R20">
            <v>0</v>
          </cell>
          <cell r="S20">
            <v>0</v>
          </cell>
          <cell r="T20">
            <v>0</v>
          </cell>
          <cell r="U20">
            <v>10.43</v>
          </cell>
          <cell r="V20">
            <v>0.15645000000000001</v>
          </cell>
          <cell r="W20">
            <v>52.15</v>
          </cell>
          <cell r="X20">
            <v>0</v>
          </cell>
          <cell r="Y20">
            <v>0</v>
          </cell>
          <cell r="Z20">
            <v>0</v>
          </cell>
          <cell r="AA20">
            <v>0</v>
          </cell>
        </row>
        <row r="21">
          <cell r="A21">
            <v>2015</v>
          </cell>
          <cell r="B21">
            <v>0.437</v>
          </cell>
          <cell r="C21">
            <v>0.75</v>
          </cell>
          <cell r="D21">
            <v>0.15</v>
          </cell>
          <cell r="E21">
            <v>7.0000000000000007E-2</v>
          </cell>
          <cell r="F21">
            <v>7.0000000000000007E-2</v>
          </cell>
          <cell r="G21">
            <v>15.198</v>
          </cell>
          <cell r="H21">
            <v>0.42614000000000002</v>
          </cell>
          <cell r="I21">
            <v>14.9</v>
          </cell>
          <cell r="J21">
            <v>0.97</v>
          </cell>
          <cell r="K21">
            <v>38</v>
          </cell>
          <cell r="L21">
            <v>2</v>
          </cell>
          <cell r="M21">
            <v>0.8</v>
          </cell>
          <cell r="O21">
            <v>2015</v>
          </cell>
          <cell r="P21">
            <v>1</v>
          </cell>
          <cell r="Q21">
            <v>0</v>
          </cell>
          <cell r="R21">
            <v>0</v>
          </cell>
          <cell r="S21">
            <v>0</v>
          </cell>
          <cell r="T21">
            <v>0</v>
          </cell>
          <cell r="U21">
            <v>10.43</v>
          </cell>
          <cell r="V21">
            <v>0.15645000000000001</v>
          </cell>
          <cell r="W21">
            <v>52.15</v>
          </cell>
          <cell r="X21">
            <v>0</v>
          </cell>
          <cell r="Y21">
            <v>0</v>
          </cell>
          <cell r="Z21">
            <v>0</v>
          </cell>
          <cell r="AA21">
            <v>0</v>
          </cell>
        </row>
        <row r="22">
          <cell r="A22">
            <v>2016</v>
          </cell>
          <cell r="B22">
            <v>0.44174999999999998</v>
          </cell>
          <cell r="C22">
            <v>0.76800000000000002</v>
          </cell>
          <cell r="D22">
            <v>0.15</v>
          </cell>
          <cell r="E22">
            <v>7.0000000000000007E-2</v>
          </cell>
          <cell r="F22">
            <v>7.0000000000000007E-2</v>
          </cell>
          <cell r="G22">
            <v>15.1831</v>
          </cell>
          <cell r="H22">
            <v>0.43269600000000003</v>
          </cell>
          <cell r="I22">
            <v>15.198</v>
          </cell>
          <cell r="J22">
            <v>0.97</v>
          </cell>
          <cell r="K22">
            <v>37.4</v>
          </cell>
          <cell r="L22">
            <v>2</v>
          </cell>
          <cell r="M22">
            <v>0.8</v>
          </cell>
          <cell r="O22">
            <v>2016</v>
          </cell>
          <cell r="P22">
            <v>1</v>
          </cell>
          <cell r="Q22">
            <v>0</v>
          </cell>
          <cell r="R22">
            <v>0</v>
          </cell>
          <cell r="S22">
            <v>0</v>
          </cell>
          <cell r="T22">
            <v>0</v>
          </cell>
          <cell r="U22">
            <v>10.3108</v>
          </cell>
          <cell r="V22">
            <v>0.15421499999999999</v>
          </cell>
          <cell r="W22">
            <v>51.405000000000001</v>
          </cell>
          <cell r="X22">
            <v>0</v>
          </cell>
          <cell r="Y22">
            <v>0</v>
          </cell>
          <cell r="Z22">
            <v>0</v>
          </cell>
          <cell r="AA22">
            <v>0</v>
          </cell>
        </row>
        <row r="23">
          <cell r="A23">
            <v>2017</v>
          </cell>
          <cell r="B23">
            <v>0.44649999999999995</v>
          </cell>
          <cell r="C23">
            <v>0.78600000000000003</v>
          </cell>
          <cell r="D23">
            <v>0.15</v>
          </cell>
          <cell r="E23">
            <v>7.0000000000000007E-2</v>
          </cell>
          <cell r="F23">
            <v>7.0000000000000007E-2</v>
          </cell>
          <cell r="G23">
            <v>15.168199999999999</v>
          </cell>
          <cell r="H23">
            <v>0.43925200000000003</v>
          </cell>
          <cell r="I23">
            <v>15.496</v>
          </cell>
          <cell r="J23">
            <v>0.97</v>
          </cell>
          <cell r="K23">
            <v>36.799999999999997</v>
          </cell>
          <cell r="L23">
            <v>2</v>
          </cell>
          <cell r="M23">
            <v>0.8</v>
          </cell>
          <cell r="O23">
            <v>2017</v>
          </cell>
          <cell r="P23">
            <v>1</v>
          </cell>
          <cell r="Q23">
            <v>0</v>
          </cell>
          <cell r="R23">
            <v>0</v>
          </cell>
          <cell r="S23">
            <v>0</v>
          </cell>
          <cell r="T23">
            <v>0</v>
          </cell>
          <cell r="U23">
            <v>10.191600000000001</v>
          </cell>
          <cell r="V23">
            <v>0.15197999999999998</v>
          </cell>
          <cell r="W23">
            <v>50.660000000000004</v>
          </cell>
          <cell r="X23">
            <v>0</v>
          </cell>
          <cell r="Y23">
            <v>0</v>
          </cell>
          <cell r="Z23">
            <v>0</v>
          </cell>
          <cell r="AA23">
            <v>0</v>
          </cell>
        </row>
        <row r="24">
          <cell r="A24">
            <v>2018</v>
          </cell>
          <cell r="B24">
            <v>0.45124999999999993</v>
          </cell>
          <cell r="C24">
            <v>0.80400000000000005</v>
          </cell>
          <cell r="D24">
            <v>0.15</v>
          </cell>
          <cell r="E24">
            <v>7.0000000000000007E-2</v>
          </cell>
          <cell r="F24">
            <v>7.0000000000000007E-2</v>
          </cell>
          <cell r="G24">
            <v>15.153299999999998</v>
          </cell>
          <cell r="H24">
            <v>0.44580800000000004</v>
          </cell>
          <cell r="I24">
            <v>15.794</v>
          </cell>
          <cell r="J24">
            <v>0.97</v>
          </cell>
          <cell r="K24">
            <v>36.199999999999996</v>
          </cell>
          <cell r="L24">
            <v>2</v>
          </cell>
          <cell r="M24">
            <v>0.8</v>
          </cell>
          <cell r="O24">
            <v>2018</v>
          </cell>
          <cell r="P24">
            <v>1</v>
          </cell>
          <cell r="Q24">
            <v>0</v>
          </cell>
          <cell r="R24">
            <v>0</v>
          </cell>
          <cell r="S24">
            <v>0</v>
          </cell>
          <cell r="T24">
            <v>0</v>
          </cell>
          <cell r="U24">
            <v>10.072400000000002</v>
          </cell>
          <cell r="V24">
            <v>0.14974499999999996</v>
          </cell>
          <cell r="W24">
            <v>49.915000000000006</v>
          </cell>
          <cell r="X24">
            <v>0</v>
          </cell>
          <cell r="Y24">
            <v>0</v>
          </cell>
          <cell r="Z24">
            <v>0</v>
          </cell>
          <cell r="AA24">
            <v>0</v>
          </cell>
        </row>
        <row r="25">
          <cell r="A25">
            <v>2019</v>
          </cell>
          <cell r="B25">
            <v>0.45599999999999991</v>
          </cell>
          <cell r="C25">
            <v>0.82200000000000006</v>
          </cell>
          <cell r="D25">
            <v>0.15</v>
          </cell>
          <cell r="E25">
            <v>7.0000000000000007E-2</v>
          </cell>
          <cell r="F25">
            <v>7.0000000000000007E-2</v>
          </cell>
          <cell r="G25">
            <v>15.138399999999997</v>
          </cell>
          <cell r="H25">
            <v>0.45236400000000004</v>
          </cell>
          <cell r="I25">
            <v>16.091999999999999</v>
          </cell>
          <cell r="J25">
            <v>0.97</v>
          </cell>
          <cell r="K25">
            <v>35.599999999999994</v>
          </cell>
          <cell r="L25">
            <v>2</v>
          </cell>
          <cell r="M25">
            <v>0.8</v>
          </cell>
          <cell r="O25">
            <v>2019</v>
          </cell>
          <cell r="P25">
            <v>1</v>
          </cell>
          <cell r="Q25">
            <v>0</v>
          </cell>
          <cell r="R25">
            <v>0</v>
          </cell>
          <cell r="S25">
            <v>0</v>
          </cell>
          <cell r="T25">
            <v>0</v>
          </cell>
          <cell r="U25">
            <v>9.9532000000000025</v>
          </cell>
          <cell r="V25">
            <v>0.14750999999999995</v>
          </cell>
          <cell r="W25">
            <v>49.170000000000009</v>
          </cell>
          <cell r="X25">
            <v>0</v>
          </cell>
          <cell r="Y25">
            <v>0</v>
          </cell>
          <cell r="Z25">
            <v>0</v>
          </cell>
          <cell r="AA25">
            <v>0</v>
          </cell>
        </row>
        <row r="26">
          <cell r="A26">
            <v>2020</v>
          </cell>
          <cell r="B26">
            <v>0.46074999999999999</v>
          </cell>
          <cell r="C26">
            <v>0.84</v>
          </cell>
          <cell r="D26">
            <v>0.15</v>
          </cell>
          <cell r="E26">
            <v>7.0000000000000007E-2</v>
          </cell>
          <cell r="F26">
            <v>7.0000000000000007E-2</v>
          </cell>
          <cell r="G26">
            <v>15.123499999999998</v>
          </cell>
          <cell r="H26">
            <v>0.45891999999999999</v>
          </cell>
          <cell r="I26">
            <v>16.39</v>
          </cell>
          <cell r="J26">
            <v>0.97</v>
          </cell>
          <cell r="K26">
            <v>35</v>
          </cell>
          <cell r="L26">
            <v>2</v>
          </cell>
          <cell r="M26">
            <v>0.8</v>
          </cell>
          <cell r="O26">
            <v>2020</v>
          </cell>
          <cell r="P26">
            <v>1</v>
          </cell>
          <cell r="Q26">
            <v>0</v>
          </cell>
          <cell r="R26">
            <v>0</v>
          </cell>
          <cell r="S26">
            <v>0</v>
          </cell>
          <cell r="T26">
            <v>0</v>
          </cell>
          <cell r="U26">
            <v>9.8340000000000014</v>
          </cell>
          <cell r="V26">
            <v>0.14527499999999999</v>
          </cell>
          <cell r="W26">
            <v>48.425000000000004</v>
          </cell>
          <cell r="X26">
            <v>0</v>
          </cell>
          <cell r="Y26">
            <v>0</v>
          </cell>
          <cell r="Z26">
            <v>0</v>
          </cell>
          <cell r="AA26">
            <v>0</v>
          </cell>
        </row>
        <row r="27">
          <cell r="A27">
            <v>2021</v>
          </cell>
          <cell r="B27">
            <v>0.46407500000000002</v>
          </cell>
          <cell r="C27">
            <v>0.85699999999999998</v>
          </cell>
          <cell r="D27">
            <v>0.15</v>
          </cell>
          <cell r="E27">
            <v>7.0000000000000007E-2</v>
          </cell>
          <cell r="F27">
            <v>7.0000000000000007E-2</v>
          </cell>
          <cell r="G27">
            <v>15.093699999999998</v>
          </cell>
          <cell r="H27">
            <v>0.45891999999999999</v>
          </cell>
          <cell r="I27">
            <v>16.39</v>
          </cell>
          <cell r="J27">
            <v>0.97</v>
          </cell>
          <cell r="K27">
            <v>35</v>
          </cell>
          <cell r="L27">
            <v>2</v>
          </cell>
          <cell r="M27">
            <v>0.8</v>
          </cell>
          <cell r="O27">
            <v>2021</v>
          </cell>
          <cell r="P27">
            <v>1</v>
          </cell>
          <cell r="Q27">
            <v>0</v>
          </cell>
          <cell r="R27">
            <v>0</v>
          </cell>
          <cell r="S27">
            <v>0</v>
          </cell>
          <cell r="T27">
            <v>0</v>
          </cell>
          <cell r="U27">
            <v>9.811650000000002</v>
          </cell>
          <cell r="V27">
            <v>0.14415749999999999</v>
          </cell>
          <cell r="W27">
            <v>48.052500000000002</v>
          </cell>
          <cell r="X27">
            <v>0</v>
          </cell>
          <cell r="Y27">
            <v>0</v>
          </cell>
          <cell r="Z27">
            <v>0</v>
          </cell>
          <cell r="AA27">
            <v>0</v>
          </cell>
        </row>
        <row r="28">
          <cell r="A28">
            <v>2022</v>
          </cell>
          <cell r="B28">
            <v>0.46740000000000004</v>
          </cell>
          <cell r="C28">
            <v>0.874</v>
          </cell>
          <cell r="D28">
            <v>0.15</v>
          </cell>
          <cell r="E28">
            <v>7.0000000000000007E-2</v>
          </cell>
          <cell r="F28">
            <v>7.0000000000000007E-2</v>
          </cell>
          <cell r="G28">
            <v>15.063899999999999</v>
          </cell>
          <cell r="H28">
            <v>0.45891999999999999</v>
          </cell>
          <cell r="I28">
            <v>16.39</v>
          </cell>
          <cell r="J28">
            <v>0.97</v>
          </cell>
          <cell r="K28">
            <v>35</v>
          </cell>
          <cell r="L28">
            <v>2</v>
          </cell>
          <cell r="M28">
            <v>0.8</v>
          </cell>
          <cell r="O28">
            <v>2022</v>
          </cell>
          <cell r="P28">
            <v>1</v>
          </cell>
          <cell r="Q28">
            <v>0</v>
          </cell>
          <cell r="R28">
            <v>0</v>
          </cell>
          <cell r="S28">
            <v>0</v>
          </cell>
          <cell r="T28">
            <v>0</v>
          </cell>
          <cell r="U28">
            <v>9.7893000000000026</v>
          </cell>
          <cell r="V28">
            <v>0.14304</v>
          </cell>
          <cell r="W28">
            <v>47.68</v>
          </cell>
          <cell r="X28">
            <v>0</v>
          </cell>
          <cell r="Y28">
            <v>0</v>
          </cell>
          <cell r="Z28">
            <v>0</v>
          </cell>
          <cell r="AA28">
            <v>0</v>
          </cell>
        </row>
        <row r="29">
          <cell r="A29">
            <v>2023</v>
          </cell>
          <cell r="B29">
            <v>0.47072500000000006</v>
          </cell>
          <cell r="C29">
            <v>0.89100000000000001</v>
          </cell>
          <cell r="D29">
            <v>0.15</v>
          </cell>
          <cell r="E29">
            <v>7.0000000000000007E-2</v>
          </cell>
          <cell r="F29">
            <v>7.0000000000000007E-2</v>
          </cell>
          <cell r="G29">
            <v>15.034099999999999</v>
          </cell>
          <cell r="H29">
            <v>0.45891999999999999</v>
          </cell>
          <cell r="I29">
            <v>16.39</v>
          </cell>
          <cell r="J29">
            <v>0.97</v>
          </cell>
          <cell r="K29">
            <v>35</v>
          </cell>
          <cell r="L29">
            <v>2</v>
          </cell>
          <cell r="M29">
            <v>0.8</v>
          </cell>
          <cell r="O29">
            <v>2023</v>
          </cell>
          <cell r="P29">
            <v>1</v>
          </cell>
          <cell r="Q29">
            <v>0</v>
          </cell>
          <cell r="R29">
            <v>0</v>
          </cell>
          <cell r="S29">
            <v>0</v>
          </cell>
          <cell r="T29">
            <v>0</v>
          </cell>
          <cell r="U29">
            <v>9.7669500000000031</v>
          </cell>
          <cell r="V29">
            <v>0.14192250000000001</v>
          </cell>
          <cell r="W29">
            <v>47.307499999999997</v>
          </cell>
          <cell r="X29">
            <v>0</v>
          </cell>
          <cell r="Y29">
            <v>0</v>
          </cell>
          <cell r="Z29">
            <v>0</v>
          </cell>
          <cell r="AA29">
            <v>0</v>
          </cell>
        </row>
        <row r="30">
          <cell r="A30">
            <v>2024</v>
          </cell>
          <cell r="B30">
            <v>0.47405000000000008</v>
          </cell>
          <cell r="C30">
            <v>0.90800000000000003</v>
          </cell>
          <cell r="D30">
            <v>0.15</v>
          </cell>
          <cell r="E30">
            <v>7.0000000000000007E-2</v>
          </cell>
          <cell r="F30">
            <v>7.0000000000000007E-2</v>
          </cell>
          <cell r="G30">
            <v>15.004299999999999</v>
          </cell>
          <cell r="H30">
            <v>0.45891999999999999</v>
          </cell>
          <cell r="I30">
            <v>16.39</v>
          </cell>
          <cell r="J30">
            <v>0.97</v>
          </cell>
          <cell r="K30">
            <v>35</v>
          </cell>
          <cell r="L30">
            <v>2</v>
          </cell>
          <cell r="M30">
            <v>0.8</v>
          </cell>
          <cell r="O30">
            <v>2024</v>
          </cell>
          <cell r="P30">
            <v>1</v>
          </cell>
          <cell r="Q30">
            <v>0</v>
          </cell>
          <cell r="R30">
            <v>0</v>
          </cell>
          <cell r="S30">
            <v>0</v>
          </cell>
          <cell r="T30">
            <v>0</v>
          </cell>
          <cell r="U30">
            <v>9.7446000000000037</v>
          </cell>
          <cell r="V30">
            <v>0.14080500000000001</v>
          </cell>
          <cell r="W30">
            <v>46.934999999999995</v>
          </cell>
          <cell r="X30">
            <v>0</v>
          </cell>
          <cell r="Y30">
            <v>0</v>
          </cell>
          <cell r="Z30">
            <v>0</v>
          </cell>
          <cell r="AA30">
            <v>0</v>
          </cell>
        </row>
        <row r="31">
          <cell r="A31">
            <v>2025</v>
          </cell>
          <cell r="B31">
            <v>0.4773750000000001</v>
          </cell>
          <cell r="C31">
            <v>0.92500000000000004</v>
          </cell>
          <cell r="D31">
            <v>0.15</v>
          </cell>
          <cell r="E31">
            <v>7.0000000000000007E-2</v>
          </cell>
          <cell r="F31">
            <v>7.0000000000000007E-2</v>
          </cell>
          <cell r="G31">
            <v>14.974499999999999</v>
          </cell>
          <cell r="H31">
            <v>0.45891999999999999</v>
          </cell>
          <cell r="I31">
            <v>16.39</v>
          </cell>
          <cell r="J31">
            <v>0.97</v>
          </cell>
          <cell r="K31">
            <v>35</v>
          </cell>
          <cell r="L31">
            <v>2</v>
          </cell>
          <cell r="M31">
            <v>0.8</v>
          </cell>
          <cell r="O31">
            <v>2025</v>
          </cell>
          <cell r="P31">
            <v>1</v>
          </cell>
          <cell r="Q31">
            <v>0</v>
          </cell>
          <cell r="R31">
            <v>0</v>
          </cell>
          <cell r="S31">
            <v>0</v>
          </cell>
          <cell r="T31">
            <v>0</v>
          </cell>
          <cell r="U31">
            <v>9.7222500000000043</v>
          </cell>
          <cell r="V31">
            <v>0.13968750000000002</v>
          </cell>
          <cell r="W31">
            <v>46.562499999999993</v>
          </cell>
          <cell r="X31">
            <v>0</v>
          </cell>
          <cell r="Y31">
            <v>0</v>
          </cell>
          <cell r="Z31">
            <v>0</v>
          </cell>
          <cell r="AA31">
            <v>0</v>
          </cell>
        </row>
        <row r="32">
          <cell r="A32">
            <v>2026</v>
          </cell>
          <cell r="B32">
            <v>0.48070000000000013</v>
          </cell>
          <cell r="C32">
            <v>0.94200000000000006</v>
          </cell>
          <cell r="D32">
            <v>0.15</v>
          </cell>
          <cell r="E32">
            <v>7.0000000000000007E-2</v>
          </cell>
          <cell r="F32">
            <v>7.0000000000000007E-2</v>
          </cell>
          <cell r="G32">
            <v>14.944699999999999</v>
          </cell>
          <cell r="H32">
            <v>0.45891999999999999</v>
          </cell>
          <cell r="I32">
            <v>16.39</v>
          </cell>
          <cell r="J32">
            <v>0.97</v>
          </cell>
          <cell r="K32">
            <v>35</v>
          </cell>
          <cell r="L32">
            <v>2</v>
          </cell>
          <cell r="M32">
            <v>0.8</v>
          </cell>
          <cell r="O32">
            <v>2026</v>
          </cell>
          <cell r="P32">
            <v>1</v>
          </cell>
          <cell r="Q32">
            <v>0</v>
          </cell>
          <cell r="R32">
            <v>0</v>
          </cell>
          <cell r="S32">
            <v>0</v>
          </cell>
          <cell r="T32">
            <v>0</v>
          </cell>
          <cell r="U32">
            <v>9.6999000000000049</v>
          </cell>
          <cell r="V32">
            <v>0.13857000000000003</v>
          </cell>
          <cell r="W32">
            <v>46.189999999999991</v>
          </cell>
          <cell r="X32">
            <v>0</v>
          </cell>
          <cell r="Y32">
            <v>0</v>
          </cell>
          <cell r="Z32">
            <v>0</v>
          </cell>
          <cell r="AA32">
            <v>0</v>
          </cell>
        </row>
        <row r="33">
          <cell r="A33">
            <v>2027</v>
          </cell>
          <cell r="B33">
            <v>0.48402500000000015</v>
          </cell>
          <cell r="C33">
            <v>0.95900000000000007</v>
          </cell>
          <cell r="D33">
            <v>0.15</v>
          </cell>
          <cell r="E33">
            <v>7.0000000000000007E-2</v>
          </cell>
          <cell r="F33">
            <v>7.0000000000000007E-2</v>
          </cell>
          <cell r="G33">
            <v>14.914899999999999</v>
          </cell>
          <cell r="H33">
            <v>0.45891999999999999</v>
          </cell>
          <cell r="I33">
            <v>16.39</v>
          </cell>
          <cell r="J33">
            <v>0.97</v>
          </cell>
          <cell r="K33">
            <v>35</v>
          </cell>
          <cell r="L33">
            <v>2</v>
          </cell>
          <cell r="M33">
            <v>0.8</v>
          </cell>
          <cell r="O33">
            <v>2027</v>
          </cell>
          <cell r="P33">
            <v>1</v>
          </cell>
          <cell r="Q33">
            <v>0</v>
          </cell>
          <cell r="R33">
            <v>0</v>
          </cell>
          <cell r="S33">
            <v>0</v>
          </cell>
          <cell r="T33">
            <v>0</v>
          </cell>
          <cell r="U33">
            <v>9.6775500000000054</v>
          </cell>
          <cell r="V33">
            <v>0.13745250000000003</v>
          </cell>
          <cell r="W33">
            <v>45.817499999999988</v>
          </cell>
          <cell r="X33">
            <v>0</v>
          </cell>
          <cell r="Y33">
            <v>0</v>
          </cell>
          <cell r="Z33">
            <v>0</v>
          </cell>
          <cell r="AA33">
            <v>0</v>
          </cell>
        </row>
        <row r="34">
          <cell r="A34">
            <v>2028</v>
          </cell>
          <cell r="B34">
            <v>0.48735000000000017</v>
          </cell>
          <cell r="C34">
            <v>0.97600000000000009</v>
          </cell>
          <cell r="D34">
            <v>0.15</v>
          </cell>
          <cell r="E34">
            <v>7.0000000000000007E-2</v>
          </cell>
          <cell r="F34">
            <v>7.0000000000000007E-2</v>
          </cell>
          <cell r="G34">
            <v>14.8851</v>
          </cell>
          <cell r="H34">
            <v>0.45891999999999999</v>
          </cell>
          <cell r="I34">
            <v>16.39</v>
          </cell>
          <cell r="J34">
            <v>0.97</v>
          </cell>
          <cell r="K34">
            <v>35</v>
          </cell>
          <cell r="L34">
            <v>2</v>
          </cell>
          <cell r="M34">
            <v>0.8</v>
          </cell>
          <cell r="O34">
            <v>2028</v>
          </cell>
          <cell r="P34">
            <v>1</v>
          </cell>
          <cell r="Q34">
            <v>0</v>
          </cell>
          <cell r="R34">
            <v>0</v>
          </cell>
          <cell r="S34">
            <v>0</v>
          </cell>
          <cell r="T34">
            <v>0</v>
          </cell>
          <cell r="U34">
            <v>9.655200000000006</v>
          </cell>
          <cell r="V34">
            <v>0.13633500000000004</v>
          </cell>
          <cell r="W34">
            <v>45.444999999999986</v>
          </cell>
          <cell r="X34">
            <v>0</v>
          </cell>
          <cell r="Y34">
            <v>0</v>
          </cell>
          <cell r="Z34">
            <v>0</v>
          </cell>
          <cell r="AA34">
            <v>0</v>
          </cell>
        </row>
        <row r="35">
          <cell r="A35">
            <v>2029</v>
          </cell>
          <cell r="B35">
            <v>0.49067500000000019</v>
          </cell>
          <cell r="C35">
            <v>0.9930000000000001</v>
          </cell>
          <cell r="D35">
            <v>0.15</v>
          </cell>
          <cell r="E35">
            <v>7.0000000000000007E-2</v>
          </cell>
          <cell r="F35">
            <v>7.0000000000000007E-2</v>
          </cell>
          <cell r="G35">
            <v>14.8553</v>
          </cell>
          <cell r="H35">
            <v>0.45891999999999999</v>
          </cell>
          <cell r="I35">
            <v>16.39</v>
          </cell>
          <cell r="J35">
            <v>0.97</v>
          </cell>
          <cell r="K35">
            <v>35</v>
          </cell>
          <cell r="L35">
            <v>2</v>
          </cell>
          <cell r="M35">
            <v>0.8</v>
          </cell>
          <cell r="O35">
            <v>2029</v>
          </cell>
          <cell r="P35">
            <v>1</v>
          </cell>
          <cell r="Q35">
            <v>0</v>
          </cell>
          <cell r="R35">
            <v>0</v>
          </cell>
          <cell r="S35">
            <v>0</v>
          </cell>
          <cell r="T35">
            <v>0</v>
          </cell>
          <cell r="U35">
            <v>9.6328500000000066</v>
          </cell>
          <cell r="V35">
            <v>0.13521750000000005</v>
          </cell>
          <cell r="W35">
            <v>45.072499999999984</v>
          </cell>
          <cell r="X35">
            <v>0</v>
          </cell>
          <cell r="Y35">
            <v>0</v>
          </cell>
          <cell r="Z35">
            <v>0</v>
          </cell>
          <cell r="AA35">
            <v>0</v>
          </cell>
        </row>
        <row r="36">
          <cell r="A36">
            <v>2030</v>
          </cell>
          <cell r="B36">
            <v>0.49399999999999999</v>
          </cell>
          <cell r="C36">
            <v>1.01</v>
          </cell>
          <cell r="D36">
            <v>0.15</v>
          </cell>
          <cell r="E36">
            <v>7.0000000000000007E-2</v>
          </cell>
          <cell r="F36">
            <v>7.0000000000000007E-2</v>
          </cell>
          <cell r="G36">
            <v>14.8255</v>
          </cell>
          <cell r="H36">
            <v>0.45891999999999999</v>
          </cell>
          <cell r="I36">
            <v>16.39</v>
          </cell>
          <cell r="J36">
            <v>0.97</v>
          </cell>
          <cell r="K36">
            <v>35</v>
          </cell>
          <cell r="L36">
            <v>2</v>
          </cell>
          <cell r="M36">
            <v>0.8</v>
          </cell>
          <cell r="O36">
            <v>2030</v>
          </cell>
          <cell r="P36">
            <v>1</v>
          </cell>
          <cell r="Q36">
            <v>0</v>
          </cell>
          <cell r="R36">
            <v>0</v>
          </cell>
          <cell r="S36">
            <v>0</v>
          </cell>
          <cell r="T36">
            <v>0</v>
          </cell>
          <cell r="U36">
            <v>9.6105</v>
          </cell>
          <cell r="V36">
            <v>0.1341</v>
          </cell>
          <cell r="W36">
            <v>44.7</v>
          </cell>
          <cell r="X36">
            <v>0</v>
          </cell>
          <cell r="Y36">
            <v>0</v>
          </cell>
          <cell r="Z36">
            <v>0</v>
          </cell>
          <cell r="AA36">
            <v>0</v>
          </cell>
        </row>
        <row r="37">
          <cell r="A37">
            <v>2031</v>
          </cell>
          <cell r="B37">
            <v>0.49399999999999999</v>
          </cell>
          <cell r="C37">
            <v>1.01</v>
          </cell>
          <cell r="D37">
            <v>0.15</v>
          </cell>
          <cell r="E37">
            <v>7.0000000000000007E-2</v>
          </cell>
          <cell r="F37">
            <v>7.0000000000000007E-2</v>
          </cell>
          <cell r="G37">
            <v>14.8255</v>
          </cell>
          <cell r="H37">
            <v>0.45891999999999999</v>
          </cell>
          <cell r="I37">
            <v>16.39</v>
          </cell>
          <cell r="J37">
            <v>0.97</v>
          </cell>
          <cell r="K37">
            <v>35</v>
          </cell>
          <cell r="L37">
            <v>2</v>
          </cell>
          <cell r="M37">
            <v>0.8</v>
          </cell>
          <cell r="O37">
            <v>2031</v>
          </cell>
          <cell r="P37">
            <v>1</v>
          </cell>
          <cell r="Q37">
            <v>0</v>
          </cell>
          <cell r="R37">
            <v>0</v>
          </cell>
          <cell r="S37">
            <v>0</v>
          </cell>
          <cell r="T37">
            <v>0</v>
          </cell>
          <cell r="U37">
            <v>9.6105</v>
          </cell>
          <cell r="V37">
            <v>0.1341</v>
          </cell>
          <cell r="W37">
            <v>44.7</v>
          </cell>
          <cell r="X37">
            <v>0</v>
          </cell>
          <cell r="Y37">
            <v>0</v>
          </cell>
          <cell r="Z37">
            <v>0</v>
          </cell>
          <cell r="AA37">
            <v>0</v>
          </cell>
        </row>
        <row r="38">
          <cell r="A38">
            <v>2032</v>
          </cell>
          <cell r="B38">
            <v>0.49399999999999999</v>
          </cell>
          <cell r="C38">
            <v>1.01</v>
          </cell>
          <cell r="D38">
            <v>0.15</v>
          </cell>
          <cell r="E38">
            <v>7.0000000000000007E-2</v>
          </cell>
          <cell r="F38">
            <v>7.0000000000000007E-2</v>
          </cell>
          <cell r="G38">
            <v>14.8255</v>
          </cell>
          <cell r="H38">
            <v>0.45891999999999999</v>
          </cell>
          <cell r="I38">
            <v>16.39</v>
          </cell>
          <cell r="J38">
            <v>0.97</v>
          </cell>
          <cell r="K38">
            <v>35</v>
          </cell>
          <cell r="L38">
            <v>2</v>
          </cell>
          <cell r="M38">
            <v>0.8</v>
          </cell>
          <cell r="O38">
            <v>2032</v>
          </cell>
          <cell r="P38">
            <v>1</v>
          </cell>
          <cell r="Q38">
            <v>0</v>
          </cell>
          <cell r="R38">
            <v>0</v>
          </cell>
          <cell r="S38">
            <v>0</v>
          </cell>
          <cell r="T38">
            <v>0</v>
          </cell>
          <cell r="U38">
            <v>9.6105</v>
          </cell>
          <cell r="V38">
            <v>0.1341</v>
          </cell>
          <cell r="W38">
            <v>44.7</v>
          </cell>
          <cell r="X38">
            <v>0</v>
          </cell>
          <cell r="Y38">
            <v>0</v>
          </cell>
          <cell r="Z38">
            <v>0</v>
          </cell>
          <cell r="AA38">
            <v>0</v>
          </cell>
        </row>
        <row r="39">
          <cell r="A39">
            <v>2033</v>
          </cell>
          <cell r="B39">
            <v>0.49399999999999999</v>
          </cell>
          <cell r="C39">
            <v>1.01</v>
          </cell>
          <cell r="D39">
            <v>0.15</v>
          </cell>
          <cell r="E39">
            <v>7.0000000000000007E-2</v>
          </cell>
          <cell r="F39">
            <v>7.0000000000000007E-2</v>
          </cell>
          <cell r="G39">
            <v>14.8255</v>
          </cell>
          <cell r="H39">
            <v>0.45891999999999999</v>
          </cell>
          <cell r="I39">
            <v>16.39</v>
          </cell>
          <cell r="J39">
            <v>0.97</v>
          </cell>
          <cell r="K39">
            <v>35</v>
          </cell>
          <cell r="L39">
            <v>2</v>
          </cell>
          <cell r="M39">
            <v>0.8</v>
          </cell>
          <cell r="O39">
            <v>2033</v>
          </cell>
          <cell r="P39">
            <v>1</v>
          </cell>
          <cell r="Q39">
            <v>0</v>
          </cell>
          <cell r="R39">
            <v>0</v>
          </cell>
          <cell r="S39">
            <v>0</v>
          </cell>
          <cell r="T39">
            <v>0</v>
          </cell>
          <cell r="U39">
            <v>9.6105</v>
          </cell>
          <cell r="V39">
            <v>0.1341</v>
          </cell>
          <cell r="W39">
            <v>44.7</v>
          </cell>
          <cell r="X39">
            <v>0</v>
          </cell>
          <cell r="Y39">
            <v>0</v>
          </cell>
          <cell r="Z39">
            <v>0</v>
          </cell>
          <cell r="AA39">
            <v>0</v>
          </cell>
        </row>
        <row r="40">
          <cell r="A40">
            <v>2034</v>
          </cell>
          <cell r="B40">
            <v>0.49399999999999999</v>
          </cell>
          <cell r="C40">
            <v>1.01</v>
          </cell>
          <cell r="D40">
            <v>0.15</v>
          </cell>
          <cell r="E40">
            <v>7.0000000000000007E-2</v>
          </cell>
          <cell r="F40">
            <v>7.0000000000000007E-2</v>
          </cell>
          <cell r="G40">
            <v>14.8255</v>
          </cell>
          <cell r="H40">
            <v>0.45891999999999999</v>
          </cell>
          <cell r="I40">
            <v>16.39</v>
          </cell>
          <cell r="J40">
            <v>0.97</v>
          </cell>
          <cell r="K40">
            <v>35</v>
          </cell>
          <cell r="L40">
            <v>2</v>
          </cell>
          <cell r="M40">
            <v>0.8</v>
          </cell>
          <cell r="O40">
            <v>2034</v>
          </cell>
          <cell r="P40">
            <v>1</v>
          </cell>
          <cell r="Q40">
            <v>0</v>
          </cell>
          <cell r="R40">
            <v>0</v>
          </cell>
          <cell r="S40">
            <v>0</v>
          </cell>
          <cell r="T40">
            <v>0</v>
          </cell>
          <cell r="U40">
            <v>9.6105</v>
          </cell>
          <cell r="V40">
            <v>0.1341</v>
          </cell>
          <cell r="W40">
            <v>44.7</v>
          </cell>
          <cell r="X40">
            <v>0</v>
          </cell>
          <cell r="Y40">
            <v>0</v>
          </cell>
          <cell r="Z40">
            <v>0</v>
          </cell>
          <cell r="AA40">
            <v>0</v>
          </cell>
        </row>
        <row r="41">
          <cell r="A41">
            <v>2035</v>
          </cell>
          <cell r="B41">
            <v>0.49399999999999999</v>
          </cell>
          <cell r="C41">
            <v>1.01</v>
          </cell>
          <cell r="D41">
            <v>0.15</v>
          </cell>
          <cell r="E41">
            <v>7.0000000000000007E-2</v>
          </cell>
          <cell r="F41">
            <v>7.0000000000000007E-2</v>
          </cell>
          <cell r="G41">
            <v>14.8255</v>
          </cell>
          <cell r="H41">
            <v>0.45891999999999999</v>
          </cell>
          <cell r="I41">
            <v>16.39</v>
          </cell>
          <cell r="J41">
            <v>0.97</v>
          </cell>
          <cell r="K41">
            <v>35</v>
          </cell>
          <cell r="L41">
            <v>2</v>
          </cell>
          <cell r="M41">
            <v>0.8</v>
          </cell>
          <cell r="O41">
            <v>2035</v>
          </cell>
          <cell r="P41">
            <v>1</v>
          </cell>
          <cell r="Q41">
            <v>0</v>
          </cell>
          <cell r="R41">
            <v>0</v>
          </cell>
          <cell r="S41">
            <v>0</v>
          </cell>
          <cell r="T41">
            <v>0</v>
          </cell>
          <cell r="U41">
            <v>9.6105</v>
          </cell>
          <cell r="V41">
            <v>0.1341</v>
          </cell>
          <cell r="W41">
            <v>44.7</v>
          </cell>
          <cell r="X41">
            <v>0</v>
          </cell>
          <cell r="Y41">
            <v>0</v>
          </cell>
          <cell r="Z41">
            <v>0</v>
          </cell>
          <cell r="AA41">
            <v>0</v>
          </cell>
        </row>
        <row r="43">
          <cell r="A43" t="str">
            <v>RefurbishedCoalBioCHP</v>
          </cell>
          <cell r="B43" t="str">
            <v>Eff.</v>
          </cell>
          <cell r="C43" t="str">
            <v>Cb</v>
          </cell>
          <cell r="D43" t="str">
            <v>Cv</v>
          </cell>
          <cell r="E43" t="str">
            <v>POutage</v>
          </cell>
          <cell r="F43" t="str">
            <v>UPOutage</v>
          </cell>
          <cell r="G43" t="str">
            <v>Invest</v>
          </cell>
          <cell r="H43" t="str">
            <v>O&amp;Mfixed</v>
          </cell>
          <cell r="I43" t="str">
            <v>O&amp;Mvar</v>
          </cell>
          <cell r="J43" t="str">
            <v>Desulp</v>
          </cell>
          <cell r="K43" t="str">
            <v>NO2</v>
          </cell>
          <cell r="L43" t="str">
            <v>CH4</v>
          </cell>
          <cell r="M43" t="str">
            <v>N2O</v>
          </cell>
          <cell r="O43" t="str">
            <v>OffshoreWindPark</v>
          </cell>
          <cell r="P43" t="str">
            <v>Eff.</v>
          </cell>
          <cell r="Q43" t="str">
            <v>Cb</v>
          </cell>
          <cell r="R43" t="str">
            <v>Cv</v>
          </cell>
          <cell r="S43" t="str">
            <v>POutage</v>
          </cell>
          <cell r="T43" t="str">
            <v>UPOutage</v>
          </cell>
          <cell r="U43" t="str">
            <v>Invest</v>
          </cell>
          <cell r="V43" t="str">
            <v>O&amp;Mfixed</v>
          </cell>
          <cell r="W43" t="str">
            <v>O&amp;Mvar</v>
          </cell>
          <cell r="X43" t="str">
            <v>Desulp</v>
          </cell>
          <cell r="Y43" t="str">
            <v>NO2</v>
          </cell>
          <cell r="Z43" t="str">
            <v>CH4</v>
          </cell>
          <cell r="AA43" t="str">
            <v>N2O</v>
          </cell>
        </row>
        <row r="44">
          <cell r="A44" t="str">
            <v>Investeringsår</v>
          </cell>
          <cell r="B44" t="str">
            <v>%</v>
          </cell>
          <cell r="C44" t="str">
            <v>p.u.</v>
          </cell>
          <cell r="D44" t="str">
            <v>p.u.</v>
          </cell>
          <cell r="E44" t="str">
            <v>%</v>
          </cell>
          <cell r="F44" t="str">
            <v>%</v>
          </cell>
          <cell r="G44" t="str">
            <v>Mkr./MW</v>
          </cell>
          <cell r="H44" t="str">
            <v>Mkr/MWy</v>
          </cell>
          <cell r="I44" t="str">
            <v>kr/MWh</v>
          </cell>
          <cell r="J44" t="str">
            <v>p.u</v>
          </cell>
          <cell r="K44" t="str">
            <v>g/GJ</v>
          </cell>
          <cell r="L44" t="str">
            <v>g/GJ</v>
          </cell>
          <cell r="M44" t="str">
            <v>g/GJ</v>
          </cell>
          <cell r="O44" t="str">
            <v>Investeringsår</v>
          </cell>
          <cell r="P44" t="str">
            <v>%</v>
          </cell>
          <cell r="Q44" t="str">
            <v>p.u.</v>
          </cell>
          <cell r="R44" t="str">
            <v>p.u.</v>
          </cell>
          <cell r="S44" t="str">
            <v>%</v>
          </cell>
          <cell r="T44" t="str">
            <v>%</v>
          </cell>
          <cell r="U44" t="str">
            <v>Mkr./MW</v>
          </cell>
          <cell r="V44" t="str">
            <v>Mkr/MWy</v>
          </cell>
          <cell r="W44" t="str">
            <v>kr/MWh</v>
          </cell>
          <cell r="X44" t="str">
            <v>p.u</v>
          </cell>
          <cell r="Y44" t="str">
            <v>g/GJ</v>
          </cell>
          <cell r="Z44" t="str">
            <v>g/GJ</v>
          </cell>
          <cell r="AA44" t="str">
            <v>g/GJ</v>
          </cell>
        </row>
        <row r="45">
          <cell r="A45">
            <v>2010</v>
          </cell>
          <cell r="E45">
            <v>7.0000000000000007E-2</v>
          </cell>
          <cell r="F45">
            <v>7.0000000000000007E-2</v>
          </cell>
          <cell r="G45">
            <v>1.341</v>
          </cell>
          <cell r="H45">
            <v>0</v>
          </cell>
          <cell r="I45">
            <v>0</v>
          </cell>
          <cell r="J45">
            <v>0.97</v>
          </cell>
          <cell r="K45">
            <v>38</v>
          </cell>
          <cell r="L45">
            <v>2</v>
          </cell>
          <cell r="M45">
            <v>0.8</v>
          </cell>
          <cell r="O45">
            <v>2010</v>
          </cell>
          <cell r="P45">
            <v>1</v>
          </cell>
          <cell r="Q45">
            <v>0</v>
          </cell>
          <cell r="R45">
            <v>0</v>
          </cell>
          <cell r="S45">
            <v>0</v>
          </cell>
          <cell r="T45">
            <v>0</v>
          </cell>
          <cell r="U45">
            <v>23.095000000000002</v>
          </cell>
          <cell r="V45">
            <v>0.28310000000000002</v>
          </cell>
          <cell r="W45">
            <v>70.775000000000006</v>
          </cell>
          <cell r="X45">
            <v>0</v>
          </cell>
          <cell r="Y45">
            <v>0</v>
          </cell>
          <cell r="Z45">
            <v>0</v>
          </cell>
          <cell r="AA45">
            <v>0</v>
          </cell>
        </row>
        <row r="46">
          <cell r="A46">
            <v>2011</v>
          </cell>
          <cell r="B46">
            <v>0</v>
          </cell>
          <cell r="C46">
            <v>0</v>
          </cell>
          <cell r="D46">
            <v>0</v>
          </cell>
          <cell r="E46">
            <v>7.0000000000000007E-2</v>
          </cell>
          <cell r="F46">
            <v>7.0000000000000007E-2</v>
          </cell>
          <cell r="G46">
            <v>1.341</v>
          </cell>
          <cell r="H46">
            <v>0</v>
          </cell>
          <cell r="I46">
            <v>0</v>
          </cell>
          <cell r="J46">
            <v>0.97</v>
          </cell>
          <cell r="K46">
            <v>38</v>
          </cell>
          <cell r="L46">
            <v>2</v>
          </cell>
          <cell r="M46">
            <v>0.8</v>
          </cell>
          <cell r="O46">
            <v>2011</v>
          </cell>
          <cell r="P46">
            <v>1</v>
          </cell>
          <cell r="Q46">
            <v>0</v>
          </cell>
          <cell r="R46">
            <v>0</v>
          </cell>
          <cell r="S46">
            <v>0</v>
          </cell>
          <cell r="T46">
            <v>0</v>
          </cell>
          <cell r="U46">
            <v>23.095000000000002</v>
          </cell>
          <cell r="V46">
            <v>0.28310000000000002</v>
          </cell>
          <cell r="W46">
            <v>70.775000000000006</v>
          </cell>
          <cell r="X46">
            <v>0</v>
          </cell>
          <cell r="Y46">
            <v>0</v>
          </cell>
          <cell r="Z46">
            <v>0</v>
          </cell>
          <cell r="AA46">
            <v>0</v>
          </cell>
        </row>
        <row r="47">
          <cell r="A47">
            <v>2012</v>
          </cell>
          <cell r="B47">
            <v>0</v>
          </cell>
          <cell r="C47">
            <v>0</v>
          </cell>
          <cell r="D47">
            <v>0</v>
          </cell>
          <cell r="E47">
            <v>7.0000000000000007E-2</v>
          </cell>
          <cell r="F47">
            <v>7.0000000000000007E-2</v>
          </cell>
          <cell r="G47">
            <v>1.341</v>
          </cell>
          <cell r="H47">
            <v>0</v>
          </cell>
          <cell r="I47">
            <v>0</v>
          </cell>
          <cell r="J47">
            <v>0.97</v>
          </cell>
          <cell r="K47">
            <v>38</v>
          </cell>
          <cell r="L47">
            <v>2</v>
          </cell>
          <cell r="M47">
            <v>0.8</v>
          </cell>
          <cell r="O47">
            <v>2012</v>
          </cell>
          <cell r="P47">
            <v>1</v>
          </cell>
          <cell r="Q47">
            <v>0</v>
          </cell>
          <cell r="R47">
            <v>0</v>
          </cell>
          <cell r="S47">
            <v>0</v>
          </cell>
          <cell r="T47">
            <v>0</v>
          </cell>
          <cell r="U47">
            <v>23.095000000000002</v>
          </cell>
          <cell r="V47">
            <v>0.28310000000000002</v>
          </cell>
          <cell r="W47">
            <v>70.775000000000006</v>
          </cell>
          <cell r="X47">
            <v>0</v>
          </cell>
          <cell r="Y47">
            <v>0</v>
          </cell>
          <cell r="Z47">
            <v>0</v>
          </cell>
          <cell r="AA47">
            <v>0</v>
          </cell>
        </row>
        <row r="48">
          <cell r="A48">
            <v>2013</v>
          </cell>
          <cell r="B48">
            <v>0</v>
          </cell>
          <cell r="C48">
            <v>0</v>
          </cell>
          <cell r="D48">
            <v>0</v>
          </cell>
          <cell r="E48">
            <v>7.0000000000000007E-2</v>
          </cell>
          <cell r="F48">
            <v>7.0000000000000007E-2</v>
          </cell>
          <cell r="G48">
            <v>1.341</v>
          </cell>
          <cell r="H48">
            <v>0</v>
          </cell>
          <cell r="I48">
            <v>0</v>
          </cell>
          <cell r="J48">
            <v>0.97</v>
          </cell>
          <cell r="K48">
            <v>38</v>
          </cell>
          <cell r="L48">
            <v>2</v>
          </cell>
          <cell r="M48">
            <v>0.8</v>
          </cell>
          <cell r="O48">
            <v>2013</v>
          </cell>
          <cell r="P48">
            <v>1</v>
          </cell>
          <cell r="Q48">
            <v>0</v>
          </cell>
          <cell r="R48">
            <v>0</v>
          </cell>
          <cell r="S48">
            <v>0</v>
          </cell>
          <cell r="T48">
            <v>0</v>
          </cell>
          <cell r="U48">
            <v>23.095000000000002</v>
          </cell>
          <cell r="V48">
            <v>0.28310000000000002</v>
          </cell>
          <cell r="W48">
            <v>70.775000000000006</v>
          </cell>
          <cell r="X48">
            <v>0</v>
          </cell>
          <cell r="Y48">
            <v>0</v>
          </cell>
          <cell r="Z48">
            <v>0</v>
          </cell>
          <cell r="AA48">
            <v>0</v>
          </cell>
        </row>
        <row r="49">
          <cell r="A49">
            <v>2014</v>
          </cell>
          <cell r="B49">
            <v>0</v>
          </cell>
          <cell r="C49">
            <v>0</v>
          </cell>
          <cell r="D49">
            <v>0</v>
          </cell>
          <cell r="E49">
            <v>7.0000000000000007E-2</v>
          </cell>
          <cell r="F49">
            <v>7.0000000000000007E-2</v>
          </cell>
          <cell r="G49">
            <v>1.341</v>
          </cell>
          <cell r="H49">
            <v>0</v>
          </cell>
          <cell r="I49">
            <v>0</v>
          </cell>
          <cell r="J49">
            <v>0.97</v>
          </cell>
          <cell r="K49">
            <v>38</v>
          </cell>
          <cell r="L49">
            <v>2</v>
          </cell>
          <cell r="M49">
            <v>0.8</v>
          </cell>
          <cell r="O49">
            <v>2014</v>
          </cell>
          <cell r="P49">
            <v>1</v>
          </cell>
          <cell r="Q49">
            <v>0</v>
          </cell>
          <cell r="R49">
            <v>0</v>
          </cell>
          <cell r="S49">
            <v>0</v>
          </cell>
          <cell r="T49">
            <v>0</v>
          </cell>
          <cell r="U49">
            <v>23.095000000000002</v>
          </cell>
          <cell r="V49">
            <v>0.28310000000000002</v>
          </cell>
          <cell r="W49">
            <v>70.775000000000006</v>
          </cell>
          <cell r="X49">
            <v>0</v>
          </cell>
          <cell r="Y49">
            <v>0</v>
          </cell>
          <cell r="Z49">
            <v>0</v>
          </cell>
          <cell r="AA49">
            <v>0</v>
          </cell>
        </row>
        <row r="50">
          <cell r="A50">
            <v>2015</v>
          </cell>
          <cell r="E50">
            <v>7.0000000000000007E-2</v>
          </cell>
          <cell r="F50">
            <v>7.0000000000000007E-2</v>
          </cell>
          <cell r="G50">
            <v>1.341</v>
          </cell>
          <cell r="H50">
            <v>0</v>
          </cell>
          <cell r="I50">
            <v>0</v>
          </cell>
          <cell r="J50">
            <v>0.97</v>
          </cell>
          <cell r="K50">
            <v>38</v>
          </cell>
          <cell r="L50">
            <v>2</v>
          </cell>
          <cell r="M50">
            <v>0.8</v>
          </cell>
          <cell r="O50">
            <v>2015</v>
          </cell>
          <cell r="P50">
            <v>1</v>
          </cell>
          <cell r="Q50">
            <v>0</v>
          </cell>
          <cell r="R50">
            <v>0</v>
          </cell>
          <cell r="S50">
            <v>0</v>
          </cell>
          <cell r="T50">
            <v>0</v>
          </cell>
          <cell r="U50">
            <v>23.095000000000002</v>
          </cell>
          <cell r="V50">
            <v>0.28310000000000002</v>
          </cell>
          <cell r="W50">
            <v>70.775000000000006</v>
          </cell>
          <cell r="X50">
            <v>0</v>
          </cell>
          <cell r="Y50">
            <v>0</v>
          </cell>
          <cell r="Z50">
            <v>0</v>
          </cell>
          <cell r="AA50">
            <v>0</v>
          </cell>
        </row>
        <row r="51">
          <cell r="A51">
            <v>2016</v>
          </cell>
          <cell r="B51">
            <v>0</v>
          </cell>
          <cell r="C51">
            <v>0</v>
          </cell>
          <cell r="D51">
            <v>0</v>
          </cell>
          <cell r="E51">
            <v>7.0000000000000007E-2</v>
          </cell>
          <cell r="F51">
            <v>7.0000000000000007E-2</v>
          </cell>
          <cell r="G51">
            <v>1.341</v>
          </cell>
          <cell r="H51">
            <v>0</v>
          </cell>
          <cell r="I51">
            <v>0</v>
          </cell>
          <cell r="J51">
            <v>0.97</v>
          </cell>
          <cell r="K51">
            <v>37.4</v>
          </cell>
          <cell r="L51">
            <v>2</v>
          </cell>
          <cell r="M51">
            <v>0.8</v>
          </cell>
          <cell r="O51">
            <v>2016</v>
          </cell>
          <cell r="P51">
            <v>1</v>
          </cell>
          <cell r="Q51">
            <v>0</v>
          </cell>
          <cell r="R51">
            <v>0</v>
          </cell>
          <cell r="S51">
            <v>0</v>
          </cell>
          <cell r="T51">
            <v>0</v>
          </cell>
          <cell r="U51">
            <v>22.052000000000003</v>
          </cell>
          <cell r="V51">
            <v>0.27714</v>
          </cell>
          <cell r="W51">
            <v>69.285000000000011</v>
          </cell>
          <cell r="X51">
            <v>0</v>
          </cell>
          <cell r="Y51">
            <v>0</v>
          </cell>
          <cell r="Z51">
            <v>0</v>
          </cell>
          <cell r="AA51">
            <v>0</v>
          </cell>
        </row>
        <row r="52">
          <cell r="A52">
            <v>2017</v>
          </cell>
          <cell r="B52">
            <v>0</v>
          </cell>
          <cell r="C52">
            <v>0</v>
          </cell>
          <cell r="D52">
            <v>0</v>
          </cell>
          <cell r="E52">
            <v>7.0000000000000007E-2</v>
          </cell>
          <cell r="F52">
            <v>7.0000000000000007E-2</v>
          </cell>
          <cell r="G52">
            <v>1.341</v>
          </cell>
          <cell r="H52">
            <v>0</v>
          </cell>
          <cell r="I52">
            <v>0</v>
          </cell>
          <cell r="J52">
            <v>0.97</v>
          </cell>
          <cell r="K52">
            <v>36.799999999999997</v>
          </cell>
          <cell r="L52">
            <v>2</v>
          </cell>
          <cell r="M52">
            <v>0.8</v>
          </cell>
          <cell r="O52">
            <v>2017</v>
          </cell>
          <cell r="P52">
            <v>1</v>
          </cell>
          <cell r="Q52">
            <v>0</v>
          </cell>
          <cell r="R52">
            <v>0</v>
          </cell>
          <cell r="S52">
            <v>0</v>
          </cell>
          <cell r="T52">
            <v>0</v>
          </cell>
          <cell r="U52">
            <v>21.009000000000004</v>
          </cell>
          <cell r="V52">
            <v>0.27117999999999998</v>
          </cell>
          <cell r="W52">
            <v>67.795000000000016</v>
          </cell>
          <cell r="X52">
            <v>0</v>
          </cell>
          <cell r="Y52">
            <v>0</v>
          </cell>
          <cell r="Z52">
            <v>0</v>
          </cell>
          <cell r="AA52">
            <v>0</v>
          </cell>
        </row>
        <row r="53">
          <cell r="A53">
            <v>2018</v>
          </cell>
          <cell r="B53">
            <v>0</v>
          </cell>
          <cell r="C53">
            <v>0</v>
          </cell>
          <cell r="D53">
            <v>0</v>
          </cell>
          <cell r="E53">
            <v>7.0000000000000007E-2</v>
          </cell>
          <cell r="F53">
            <v>7.0000000000000007E-2</v>
          </cell>
          <cell r="G53">
            <v>1.341</v>
          </cell>
          <cell r="H53">
            <v>0</v>
          </cell>
          <cell r="I53">
            <v>0</v>
          </cell>
          <cell r="J53">
            <v>0.97</v>
          </cell>
          <cell r="K53">
            <v>36.199999999999996</v>
          </cell>
          <cell r="L53">
            <v>2</v>
          </cell>
          <cell r="M53">
            <v>0.8</v>
          </cell>
          <cell r="O53">
            <v>2018</v>
          </cell>
          <cell r="P53">
            <v>1</v>
          </cell>
          <cell r="Q53">
            <v>0</v>
          </cell>
          <cell r="R53">
            <v>0</v>
          </cell>
          <cell r="S53">
            <v>0</v>
          </cell>
          <cell r="T53">
            <v>0</v>
          </cell>
          <cell r="U53">
            <v>19.966000000000005</v>
          </cell>
          <cell r="V53">
            <v>0.26521999999999996</v>
          </cell>
          <cell r="W53">
            <v>66.305000000000021</v>
          </cell>
          <cell r="X53">
            <v>0</v>
          </cell>
          <cell r="Y53">
            <v>0</v>
          </cell>
          <cell r="Z53">
            <v>0</v>
          </cell>
          <cell r="AA53">
            <v>0</v>
          </cell>
        </row>
        <row r="54">
          <cell r="A54">
            <v>2019</v>
          </cell>
          <cell r="B54">
            <v>0</v>
          </cell>
          <cell r="C54">
            <v>0</v>
          </cell>
          <cell r="D54">
            <v>0</v>
          </cell>
          <cell r="E54">
            <v>7.0000000000000007E-2</v>
          </cell>
          <cell r="F54">
            <v>7.0000000000000007E-2</v>
          </cell>
          <cell r="G54">
            <v>1.341</v>
          </cell>
          <cell r="H54">
            <v>0</v>
          </cell>
          <cell r="I54">
            <v>0</v>
          </cell>
          <cell r="J54">
            <v>0.97</v>
          </cell>
          <cell r="K54">
            <v>35.599999999999994</v>
          </cell>
          <cell r="L54">
            <v>2</v>
          </cell>
          <cell r="M54">
            <v>0.8</v>
          </cell>
          <cell r="O54">
            <v>2019</v>
          </cell>
          <cell r="P54">
            <v>1</v>
          </cell>
          <cell r="Q54">
            <v>0</v>
          </cell>
          <cell r="R54">
            <v>0</v>
          </cell>
          <cell r="S54">
            <v>0</v>
          </cell>
          <cell r="T54">
            <v>0</v>
          </cell>
          <cell r="U54">
            <v>18.923000000000005</v>
          </cell>
          <cell r="V54">
            <v>0.25925999999999993</v>
          </cell>
          <cell r="W54">
            <v>64.815000000000026</v>
          </cell>
          <cell r="X54">
            <v>0</v>
          </cell>
          <cell r="Y54">
            <v>0</v>
          </cell>
          <cell r="Z54">
            <v>0</v>
          </cell>
          <cell r="AA54">
            <v>0</v>
          </cell>
        </row>
        <row r="55">
          <cell r="A55">
            <v>2020</v>
          </cell>
          <cell r="E55">
            <v>7.0000000000000007E-2</v>
          </cell>
          <cell r="F55">
            <v>7.0000000000000007E-2</v>
          </cell>
          <cell r="G55">
            <v>1.341</v>
          </cell>
          <cell r="H55">
            <v>0</v>
          </cell>
          <cell r="I55">
            <v>0</v>
          </cell>
          <cell r="J55">
            <v>0.97</v>
          </cell>
          <cell r="K55">
            <v>35</v>
          </cell>
          <cell r="L55">
            <v>2</v>
          </cell>
          <cell r="M55">
            <v>0.8</v>
          </cell>
          <cell r="O55">
            <v>2020</v>
          </cell>
          <cell r="P55">
            <v>1</v>
          </cell>
          <cell r="Q55">
            <v>0</v>
          </cell>
          <cell r="R55">
            <v>0</v>
          </cell>
          <cell r="S55">
            <v>0</v>
          </cell>
          <cell r="T55">
            <v>0</v>
          </cell>
          <cell r="U55">
            <v>17.88</v>
          </cell>
          <cell r="V55">
            <v>0.25330000000000003</v>
          </cell>
          <cell r="W55">
            <v>63.325000000000003</v>
          </cell>
          <cell r="X55">
            <v>0</v>
          </cell>
          <cell r="Y55">
            <v>0</v>
          </cell>
          <cell r="Z55">
            <v>0</v>
          </cell>
          <cell r="AA55">
            <v>0</v>
          </cell>
        </row>
        <row r="56">
          <cell r="A56">
            <v>2021</v>
          </cell>
          <cell r="B56">
            <v>0</v>
          </cell>
          <cell r="C56">
            <v>0</v>
          </cell>
          <cell r="D56">
            <v>0</v>
          </cell>
          <cell r="E56">
            <v>7.0000000000000007E-2</v>
          </cell>
          <cell r="F56">
            <v>7.0000000000000007E-2</v>
          </cell>
          <cell r="G56">
            <v>1.341</v>
          </cell>
          <cell r="H56">
            <v>0</v>
          </cell>
          <cell r="I56">
            <v>0</v>
          </cell>
          <cell r="J56">
            <v>0.97</v>
          </cell>
          <cell r="K56">
            <v>35</v>
          </cell>
          <cell r="L56">
            <v>2</v>
          </cell>
          <cell r="M56">
            <v>0.8</v>
          </cell>
          <cell r="O56">
            <v>2021</v>
          </cell>
          <cell r="P56">
            <v>1</v>
          </cell>
          <cell r="Q56">
            <v>0</v>
          </cell>
          <cell r="R56">
            <v>0</v>
          </cell>
          <cell r="S56">
            <v>0</v>
          </cell>
          <cell r="T56">
            <v>0</v>
          </cell>
          <cell r="U56">
            <v>17.805499999999999</v>
          </cell>
          <cell r="V56">
            <v>0.25181000000000003</v>
          </cell>
          <cell r="W56">
            <v>62.952500000000001</v>
          </cell>
          <cell r="X56">
            <v>0</v>
          </cell>
          <cell r="Y56">
            <v>0</v>
          </cell>
          <cell r="Z56">
            <v>0</v>
          </cell>
          <cell r="AA56">
            <v>0</v>
          </cell>
        </row>
        <row r="57">
          <cell r="A57">
            <v>2022</v>
          </cell>
          <cell r="B57">
            <v>0</v>
          </cell>
          <cell r="C57">
            <v>0</v>
          </cell>
          <cell r="D57">
            <v>0</v>
          </cell>
          <cell r="E57">
            <v>7.0000000000000007E-2</v>
          </cell>
          <cell r="F57">
            <v>7.0000000000000007E-2</v>
          </cell>
          <cell r="G57">
            <v>1.341</v>
          </cell>
          <cell r="H57">
            <v>0</v>
          </cell>
          <cell r="I57">
            <v>0</v>
          </cell>
          <cell r="J57">
            <v>0.97</v>
          </cell>
          <cell r="K57">
            <v>35</v>
          </cell>
          <cell r="L57">
            <v>2</v>
          </cell>
          <cell r="M57">
            <v>0.8</v>
          </cell>
          <cell r="O57">
            <v>2022</v>
          </cell>
          <cell r="P57">
            <v>1</v>
          </cell>
          <cell r="Q57">
            <v>0</v>
          </cell>
          <cell r="R57">
            <v>0</v>
          </cell>
          <cell r="S57">
            <v>0</v>
          </cell>
          <cell r="T57">
            <v>0</v>
          </cell>
          <cell r="U57">
            <v>17.730999999999998</v>
          </cell>
          <cell r="V57">
            <v>0.25032000000000004</v>
          </cell>
          <cell r="W57">
            <v>62.58</v>
          </cell>
          <cell r="X57">
            <v>0</v>
          </cell>
          <cell r="Y57">
            <v>0</v>
          </cell>
          <cell r="Z57">
            <v>0</v>
          </cell>
          <cell r="AA57">
            <v>0</v>
          </cell>
        </row>
        <row r="58">
          <cell r="A58">
            <v>2023</v>
          </cell>
          <cell r="B58">
            <v>0</v>
          </cell>
          <cell r="C58">
            <v>0</v>
          </cell>
          <cell r="D58">
            <v>0</v>
          </cell>
          <cell r="E58">
            <v>7.0000000000000007E-2</v>
          </cell>
          <cell r="F58">
            <v>7.0000000000000007E-2</v>
          </cell>
          <cell r="G58">
            <v>1.341</v>
          </cell>
          <cell r="H58">
            <v>0</v>
          </cell>
          <cell r="I58">
            <v>0</v>
          </cell>
          <cell r="J58">
            <v>0.97</v>
          </cell>
          <cell r="K58">
            <v>35</v>
          </cell>
          <cell r="L58">
            <v>2</v>
          </cell>
          <cell r="M58">
            <v>0.8</v>
          </cell>
          <cell r="O58">
            <v>2023</v>
          </cell>
          <cell r="P58">
            <v>1</v>
          </cell>
          <cell r="Q58">
            <v>0</v>
          </cell>
          <cell r="R58">
            <v>0</v>
          </cell>
          <cell r="S58">
            <v>0</v>
          </cell>
          <cell r="T58">
            <v>0</v>
          </cell>
          <cell r="U58">
            <v>17.656499999999998</v>
          </cell>
          <cell r="V58">
            <v>0.24883000000000005</v>
          </cell>
          <cell r="W58">
            <v>62.207499999999996</v>
          </cell>
          <cell r="X58">
            <v>0</v>
          </cell>
          <cell r="Y58">
            <v>0</v>
          </cell>
          <cell r="Z58">
            <v>0</v>
          </cell>
          <cell r="AA58">
            <v>0</v>
          </cell>
        </row>
        <row r="59">
          <cell r="A59">
            <v>2024</v>
          </cell>
          <cell r="B59">
            <v>0</v>
          </cell>
          <cell r="C59">
            <v>0</v>
          </cell>
          <cell r="D59">
            <v>0</v>
          </cell>
          <cell r="E59">
            <v>7.0000000000000007E-2</v>
          </cell>
          <cell r="F59">
            <v>7.0000000000000007E-2</v>
          </cell>
          <cell r="G59">
            <v>1.341</v>
          </cell>
          <cell r="H59">
            <v>0</v>
          </cell>
          <cell r="I59">
            <v>0</v>
          </cell>
          <cell r="J59">
            <v>0.97</v>
          </cell>
          <cell r="K59">
            <v>35</v>
          </cell>
          <cell r="L59">
            <v>2</v>
          </cell>
          <cell r="M59">
            <v>0.8</v>
          </cell>
          <cell r="O59">
            <v>2024</v>
          </cell>
          <cell r="P59">
            <v>1</v>
          </cell>
          <cell r="Q59">
            <v>0</v>
          </cell>
          <cell r="R59">
            <v>0</v>
          </cell>
          <cell r="S59">
            <v>0</v>
          </cell>
          <cell r="T59">
            <v>0</v>
          </cell>
          <cell r="U59">
            <v>17.581999999999997</v>
          </cell>
          <cell r="V59">
            <v>0.24734000000000006</v>
          </cell>
          <cell r="W59">
            <v>61.834999999999994</v>
          </cell>
          <cell r="X59">
            <v>0</v>
          </cell>
          <cell r="Y59">
            <v>0</v>
          </cell>
          <cell r="Z59">
            <v>0</v>
          </cell>
          <cell r="AA59">
            <v>0</v>
          </cell>
        </row>
        <row r="60">
          <cell r="A60">
            <v>2025</v>
          </cell>
          <cell r="B60">
            <v>0</v>
          </cell>
          <cell r="C60">
            <v>0</v>
          </cell>
          <cell r="D60">
            <v>0</v>
          </cell>
          <cell r="E60">
            <v>7.0000000000000007E-2</v>
          </cell>
          <cell r="F60">
            <v>7.0000000000000007E-2</v>
          </cell>
          <cell r="G60">
            <v>1.341</v>
          </cell>
          <cell r="H60">
            <v>0</v>
          </cell>
          <cell r="I60">
            <v>0</v>
          </cell>
          <cell r="J60">
            <v>0.97</v>
          </cell>
          <cell r="K60">
            <v>35</v>
          </cell>
          <cell r="L60">
            <v>2</v>
          </cell>
          <cell r="M60">
            <v>0.8</v>
          </cell>
          <cell r="O60">
            <v>2025</v>
          </cell>
          <cell r="P60">
            <v>1</v>
          </cell>
          <cell r="Q60">
            <v>0</v>
          </cell>
          <cell r="R60">
            <v>0</v>
          </cell>
          <cell r="S60">
            <v>0</v>
          </cell>
          <cell r="T60">
            <v>0</v>
          </cell>
          <cell r="U60">
            <v>17.507499999999997</v>
          </cell>
          <cell r="V60">
            <v>0.24585000000000007</v>
          </cell>
          <cell r="W60">
            <v>61.462499999999991</v>
          </cell>
          <cell r="X60">
            <v>0</v>
          </cell>
          <cell r="Y60">
            <v>0</v>
          </cell>
          <cell r="Z60">
            <v>0</v>
          </cell>
          <cell r="AA60">
            <v>0</v>
          </cell>
        </row>
        <row r="61">
          <cell r="A61">
            <v>2026</v>
          </cell>
          <cell r="B61">
            <v>0</v>
          </cell>
          <cell r="C61">
            <v>0</v>
          </cell>
          <cell r="D61">
            <v>0</v>
          </cell>
          <cell r="E61">
            <v>7.0000000000000007E-2</v>
          </cell>
          <cell r="F61">
            <v>7.0000000000000007E-2</v>
          </cell>
          <cell r="G61">
            <v>1.341</v>
          </cell>
          <cell r="H61">
            <v>0</v>
          </cell>
          <cell r="I61">
            <v>0</v>
          </cell>
          <cell r="J61">
            <v>0.97</v>
          </cell>
          <cell r="K61">
            <v>35</v>
          </cell>
          <cell r="L61">
            <v>2</v>
          </cell>
          <cell r="M61">
            <v>0.8</v>
          </cell>
          <cell r="O61">
            <v>2026</v>
          </cell>
          <cell r="P61">
            <v>1</v>
          </cell>
          <cell r="Q61">
            <v>0</v>
          </cell>
          <cell r="R61">
            <v>0</v>
          </cell>
          <cell r="S61">
            <v>0</v>
          </cell>
          <cell r="T61">
            <v>0</v>
          </cell>
          <cell r="U61">
            <v>17.432999999999996</v>
          </cell>
          <cell r="V61">
            <v>0.24436000000000008</v>
          </cell>
          <cell r="W61">
            <v>61.089999999999989</v>
          </cell>
          <cell r="X61">
            <v>0</v>
          </cell>
          <cell r="Y61">
            <v>0</v>
          </cell>
          <cell r="Z61">
            <v>0</v>
          </cell>
          <cell r="AA61">
            <v>0</v>
          </cell>
        </row>
        <row r="62">
          <cell r="A62">
            <v>2027</v>
          </cell>
          <cell r="B62">
            <v>0</v>
          </cell>
          <cell r="C62">
            <v>0</v>
          </cell>
          <cell r="D62">
            <v>0</v>
          </cell>
          <cell r="E62">
            <v>7.0000000000000007E-2</v>
          </cell>
          <cell r="F62">
            <v>7.0000000000000007E-2</v>
          </cell>
          <cell r="G62">
            <v>1.341</v>
          </cell>
          <cell r="H62">
            <v>0</v>
          </cell>
          <cell r="I62">
            <v>0</v>
          </cell>
          <cell r="J62">
            <v>0.97</v>
          </cell>
          <cell r="K62">
            <v>35</v>
          </cell>
          <cell r="L62">
            <v>2</v>
          </cell>
          <cell r="M62">
            <v>0.8</v>
          </cell>
          <cell r="O62">
            <v>2027</v>
          </cell>
          <cell r="P62">
            <v>1</v>
          </cell>
          <cell r="Q62">
            <v>0</v>
          </cell>
          <cell r="R62">
            <v>0</v>
          </cell>
          <cell r="S62">
            <v>0</v>
          </cell>
          <cell r="T62">
            <v>0</v>
          </cell>
          <cell r="U62">
            <v>17.358499999999996</v>
          </cell>
          <cell r="V62">
            <v>0.24287000000000009</v>
          </cell>
          <cell r="W62">
            <v>60.717499999999987</v>
          </cell>
          <cell r="X62">
            <v>0</v>
          </cell>
          <cell r="Y62">
            <v>0</v>
          </cell>
          <cell r="Z62">
            <v>0</v>
          </cell>
          <cell r="AA62">
            <v>0</v>
          </cell>
        </row>
        <row r="63">
          <cell r="A63">
            <v>2028</v>
          </cell>
          <cell r="B63">
            <v>0</v>
          </cell>
          <cell r="C63">
            <v>0</v>
          </cell>
          <cell r="D63">
            <v>0</v>
          </cell>
          <cell r="E63">
            <v>7.0000000000000007E-2</v>
          </cell>
          <cell r="F63">
            <v>7.0000000000000007E-2</v>
          </cell>
          <cell r="G63">
            <v>1.341</v>
          </cell>
          <cell r="H63">
            <v>0</v>
          </cell>
          <cell r="I63">
            <v>0</v>
          </cell>
          <cell r="J63">
            <v>0.97</v>
          </cell>
          <cell r="K63">
            <v>35</v>
          </cell>
          <cell r="L63">
            <v>2</v>
          </cell>
          <cell r="M63">
            <v>0.8</v>
          </cell>
          <cell r="O63">
            <v>2028</v>
          </cell>
          <cell r="P63">
            <v>1</v>
          </cell>
          <cell r="Q63">
            <v>0</v>
          </cell>
          <cell r="R63">
            <v>0</v>
          </cell>
          <cell r="S63">
            <v>0</v>
          </cell>
          <cell r="T63">
            <v>0</v>
          </cell>
          <cell r="U63">
            <v>17.283999999999995</v>
          </cell>
          <cell r="V63">
            <v>0.24138000000000009</v>
          </cell>
          <cell r="W63">
            <v>60.344999999999985</v>
          </cell>
          <cell r="X63">
            <v>0</v>
          </cell>
          <cell r="Y63">
            <v>0</v>
          </cell>
          <cell r="Z63">
            <v>0</v>
          </cell>
          <cell r="AA63">
            <v>0</v>
          </cell>
        </row>
        <row r="64">
          <cell r="A64">
            <v>2029</v>
          </cell>
          <cell r="B64">
            <v>0</v>
          </cell>
          <cell r="C64">
            <v>0</v>
          </cell>
          <cell r="D64">
            <v>0</v>
          </cell>
          <cell r="E64">
            <v>7.0000000000000007E-2</v>
          </cell>
          <cell r="F64">
            <v>7.0000000000000007E-2</v>
          </cell>
          <cell r="G64">
            <v>1.341</v>
          </cell>
          <cell r="H64">
            <v>0</v>
          </cell>
          <cell r="I64">
            <v>0</v>
          </cell>
          <cell r="J64">
            <v>0.97</v>
          </cell>
          <cell r="K64">
            <v>35</v>
          </cell>
          <cell r="L64">
            <v>2</v>
          </cell>
          <cell r="M64">
            <v>0.8</v>
          </cell>
          <cell r="O64">
            <v>2029</v>
          </cell>
          <cell r="P64">
            <v>1</v>
          </cell>
          <cell r="Q64">
            <v>0</v>
          </cell>
          <cell r="R64">
            <v>0</v>
          </cell>
          <cell r="S64">
            <v>0</v>
          </cell>
          <cell r="T64">
            <v>0</v>
          </cell>
          <cell r="U64">
            <v>17.209499999999995</v>
          </cell>
          <cell r="V64">
            <v>0.2398900000000001</v>
          </cell>
          <cell r="W64">
            <v>59.972499999999982</v>
          </cell>
          <cell r="X64">
            <v>0</v>
          </cell>
          <cell r="Y64">
            <v>0</v>
          </cell>
          <cell r="Z64">
            <v>0</v>
          </cell>
          <cell r="AA64">
            <v>0</v>
          </cell>
        </row>
        <row r="65">
          <cell r="A65">
            <v>2030</v>
          </cell>
          <cell r="E65">
            <v>7.0000000000000007E-2</v>
          </cell>
          <cell r="F65">
            <v>7.0000000000000007E-2</v>
          </cell>
          <cell r="G65">
            <v>1.341</v>
          </cell>
          <cell r="H65">
            <v>0</v>
          </cell>
          <cell r="I65">
            <v>0</v>
          </cell>
          <cell r="J65">
            <v>0.97</v>
          </cell>
          <cell r="K65">
            <v>35</v>
          </cell>
          <cell r="L65">
            <v>2</v>
          </cell>
          <cell r="M65">
            <v>0.8</v>
          </cell>
          <cell r="O65">
            <v>2030</v>
          </cell>
          <cell r="P65">
            <v>1</v>
          </cell>
          <cell r="Q65">
            <v>0</v>
          </cell>
          <cell r="R65">
            <v>0</v>
          </cell>
          <cell r="S65">
            <v>0</v>
          </cell>
          <cell r="T65">
            <v>0</v>
          </cell>
          <cell r="U65">
            <v>17.134999999999998</v>
          </cell>
          <cell r="V65">
            <v>0.2384</v>
          </cell>
          <cell r="W65">
            <v>59.6</v>
          </cell>
          <cell r="X65">
            <v>0</v>
          </cell>
          <cell r="Y65">
            <v>0</v>
          </cell>
          <cell r="Z65">
            <v>0</v>
          </cell>
          <cell r="AA65">
            <v>0</v>
          </cell>
        </row>
        <row r="66">
          <cell r="A66">
            <v>2031</v>
          </cell>
          <cell r="B66">
            <v>0</v>
          </cell>
          <cell r="C66">
            <v>0</v>
          </cell>
          <cell r="D66">
            <v>0</v>
          </cell>
          <cell r="E66">
            <v>7.0000000000000007E-2</v>
          </cell>
          <cell r="F66">
            <v>7.0000000000000007E-2</v>
          </cell>
          <cell r="G66">
            <v>1.341</v>
          </cell>
          <cell r="H66">
            <v>0</v>
          </cell>
          <cell r="I66">
            <v>0</v>
          </cell>
          <cell r="J66">
            <v>0.97</v>
          </cell>
          <cell r="K66">
            <v>35</v>
          </cell>
          <cell r="L66">
            <v>2</v>
          </cell>
          <cell r="M66">
            <v>0.8</v>
          </cell>
          <cell r="O66">
            <v>2031</v>
          </cell>
          <cell r="P66">
            <v>1</v>
          </cell>
          <cell r="Q66">
            <v>0</v>
          </cell>
          <cell r="R66">
            <v>0</v>
          </cell>
          <cell r="S66">
            <v>0</v>
          </cell>
          <cell r="T66">
            <v>0</v>
          </cell>
          <cell r="U66">
            <v>17.134999999999998</v>
          </cell>
          <cell r="V66">
            <v>0.2384</v>
          </cell>
          <cell r="W66">
            <v>59.6</v>
          </cell>
          <cell r="X66">
            <v>0</v>
          </cell>
          <cell r="Y66">
            <v>0</v>
          </cell>
          <cell r="Z66">
            <v>0</v>
          </cell>
          <cell r="AA66">
            <v>0</v>
          </cell>
        </row>
        <row r="67">
          <cell r="A67">
            <v>2032</v>
          </cell>
          <cell r="B67">
            <v>0</v>
          </cell>
          <cell r="C67">
            <v>0</v>
          </cell>
          <cell r="D67">
            <v>0</v>
          </cell>
          <cell r="E67">
            <v>7.0000000000000007E-2</v>
          </cell>
          <cell r="F67">
            <v>7.0000000000000007E-2</v>
          </cell>
          <cell r="G67">
            <v>1.341</v>
          </cell>
          <cell r="H67">
            <v>0</v>
          </cell>
          <cell r="I67">
            <v>0</v>
          </cell>
          <cell r="J67">
            <v>0.97</v>
          </cell>
          <cell r="K67">
            <v>35</v>
          </cell>
          <cell r="L67">
            <v>2</v>
          </cell>
          <cell r="M67">
            <v>0.8</v>
          </cell>
          <cell r="O67">
            <v>2032</v>
          </cell>
          <cell r="P67">
            <v>1</v>
          </cell>
          <cell r="Q67">
            <v>0</v>
          </cell>
          <cell r="R67">
            <v>0</v>
          </cell>
          <cell r="S67">
            <v>0</v>
          </cell>
          <cell r="T67">
            <v>0</v>
          </cell>
          <cell r="U67">
            <v>17.134999999999998</v>
          </cell>
          <cell r="V67">
            <v>0.2384</v>
          </cell>
          <cell r="W67">
            <v>59.6</v>
          </cell>
          <cell r="X67">
            <v>0</v>
          </cell>
          <cell r="Y67">
            <v>0</v>
          </cell>
          <cell r="Z67">
            <v>0</v>
          </cell>
          <cell r="AA67">
            <v>0</v>
          </cell>
        </row>
        <row r="68">
          <cell r="A68">
            <v>2033</v>
          </cell>
          <cell r="B68">
            <v>0</v>
          </cell>
          <cell r="C68">
            <v>0</v>
          </cell>
          <cell r="D68">
            <v>0</v>
          </cell>
          <cell r="E68">
            <v>7.0000000000000007E-2</v>
          </cell>
          <cell r="F68">
            <v>7.0000000000000007E-2</v>
          </cell>
          <cell r="G68">
            <v>1.341</v>
          </cell>
          <cell r="H68">
            <v>0</v>
          </cell>
          <cell r="I68">
            <v>0</v>
          </cell>
          <cell r="J68">
            <v>0.97</v>
          </cell>
          <cell r="K68">
            <v>35</v>
          </cell>
          <cell r="L68">
            <v>2</v>
          </cell>
          <cell r="M68">
            <v>0.8</v>
          </cell>
          <cell r="O68">
            <v>2033</v>
          </cell>
          <cell r="P68">
            <v>1</v>
          </cell>
          <cell r="Q68">
            <v>0</v>
          </cell>
          <cell r="R68">
            <v>0</v>
          </cell>
          <cell r="S68">
            <v>0</v>
          </cell>
          <cell r="T68">
            <v>0</v>
          </cell>
          <cell r="U68">
            <v>17.134999999999998</v>
          </cell>
          <cell r="V68">
            <v>0.2384</v>
          </cell>
          <cell r="W68">
            <v>59.6</v>
          </cell>
          <cell r="X68">
            <v>0</v>
          </cell>
          <cell r="Y68">
            <v>0</v>
          </cell>
          <cell r="Z68">
            <v>0</v>
          </cell>
          <cell r="AA68">
            <v>0</v>
          </cell>
        </row>
        <row r="69">
          <cell r="A69">
            <v>2034</v>
          </cell>
          <cell r="B69">
            <v>0</v>
          </cell>
          <cell r="C69">
            <v>0</v>
          </cell>
          <cell r="D69">
            <v>0</v>
          </cell>
          <cell r="E69">
            <v>7.0000000000000007E-2</v>
          </cell>
          <cell r="F69">
            <v>7.0000000000000007E-2</v>
          </cell>
          <cell r="G69">
            <v>1.341</v>
          </cell>
          <cell r="H69">
            <v>0</v>
          </cell>
          <cell r="I69">
            <v>0</v>
          </cell>
          <cell r="J69">
            <v>0.97</v>
          </cell>
          <cell r="K69">
            <v>35</v>
          </cell>
          <cell r="L69">
            <v>2</v>
          </cell>
          <cell r="M69">
            <v>0.8</v>
          </cell>
          <cell r="O69">
            <v>2034</v>
          </cell>
          <cell r="P69">
            <v>1</v>
          </cell>
          <cell r="Q69">
            <v>0</v>
          </cell>
          <cell r="R69">
            <v>0</v>
          </cell>
          <cell r="S69">
            <v>0</v>
          </cell>
          <cell r="T69">
            <v>0</v>
          </cell>
          <cell r="U69">
            <v>17.134999999999998</v>
          </cell>
          <cell r="V69">
            <v>0.2384</v>
          </cell>
          <cell r="W69">
            <v>59.6</v>
          </cell>
          <cell r="X69">
            <v>0</v>
          </cell>
          <cell r="Y69">
            <v>0</v>
          </cell>
          <cell r="Z69">
            <v>0</v>
          </cell>
          <cell r="AA69">
            <v>0</v>
          </cell>
        </row>
        <row r="70">
          <cell r="A70">
            <v>2035</v>
          </cell>
          <cell r="B70">
            <v>0</v>
          </cell>
          <cell r="C70">
            <v>0</v>
          </cell>
          <cell r="D70">
            <v>0</v>
          </cell>
          <cell r="E70">
            <v>7.0000000000000007E-2</v>
          </cell>
          <cell r="F70">
            <v>7.0000000000000007E-2</v>
          </cell>
          <cell r="G70">
            <v>1.341</v>
          </cell>
          <cell r="H70">
            <v>0</v>
          </cell>
          <cell r="I70">
            <v>0</v>
          </cell>
          <cell r="J70">
            <v>0.97</v>
          </cell>
          <cell r="K70">
            <v>35</v>
          </cell>
          <cell r="L70">
            <v>2</v>
          </cell>
          <cell r="M70">
            <v>0.8</v>
          </cell>
          <cell r="O70">
            <v>2035</v>
          </cell>
          <cell r="P70">
            <v>1</v>
          </cell>
          <cell r="Q70">
            <v>0</v>
          </cell>
          <cell r="R70">
            <v>0</v>
          </cell>
          <cell r="S70">
            <v>0</v>
          </cell>
          <cell r="T70">
            <v>0</v>
          </cell>
          <cell r="U70">
            <v>17.134999999999998</v>
          </cell>
          <cell r="V70">
            <v>0.2384</v>
          </cell>
          <cell r="W70">
            <v>59.6</v>
          </cell>
          <cell r="X70">
            <v>0</v>
          </cell>
          <cell r="Y70">
            <v>0</v>
          </cell>
          <cell r="Z70">
            <v>0</v>
          </cell>
          <cell r="AA70">
            <v>0</v>
          </cell>
        </row>
        <row r="72">
          <cell r="A72" t="str">
            <v>NGCC_SmallBP</v>
          </cell>
          <cell r="B72" t="str">
            <v>Eff.</v>
          </cell>
          <cell r="C72" t="str">
            <v>Cb</v>
          </cell>
          <cell r="D72" t="str">
            <v>Cv</v>
          </cell>
          <cell r="E72" t="str">
            <v>POutage</v>
          </cell>
          <cell r="F72" t="str">
            <v>UPOutage</v>
          </cell>
          <cell r="G72" t="str">
            <v>Invest</v>
          </cell>
          <cell r="H72" t="str">
            <v>O&amp;Mfixed</v>
          </cell>
          <cell r="I72" t="str">
            <v>O&amp;Mvar</v>
          </cell>
          <cell r="J72" t="str">
            <v>Desulp</v>
          </cell>
          <cell r="K72" t="str">
            <v>NO2</v>
          </cell>
          <cell r="L72" t="str">
            <v>CH4</v>
          </cell>
          <cell r="M72" t="str">
            <v>N2O</v>
          </cell>
          <cell r="O72" t="str">
            <v>ElBoiler</v>
          </cell>
          <cell r="P72" t="str">
            <v>Eff.</v>
          </cell>
          <cell r="Q72" t="str">
            <v>Cb</v>
          </cell>
          <cell r="R72" t="str">
            <v>Cv</v>
          </cell>
          <cell r="S72" t="str">
            <v>POutage</v>
          </cell>
          <cell r="T72" t="str">
            <v>UPOutage</v>
          </cell>
          <cell r="U72" t="str">
            <v>Invest</v>
          </cell>
          <cell r="V72" t="str">
            <v>O&amp;Mfixed</v>
          </cell>
          <cell r="W72" t="str">
            <v>O&amp;Mvar</v>
          </cell>
          <cell r="X72" t="str">
            <v>Desulp</v>
          </cell>
          <cell r="Y72" t="str">
            <v>NO2</v>
          </cell>
          <cell r="Z72" t="str">
            <v>CH4</v>
          </cell>
          <cell r="AA72" t="str">
            <v>N2O</v>
          </cell>
        </row>
        <row r="73">
          <cell r="A73" t="str">
            <v>Investeringsår</v>
          </cell>
          <cell r="B73" t="str">
            <v>%</v>
          </cell>
          <cell r="C73" t="str">
            <v>p.u.</v>
          </cell>
          <cell r="D73" t="str">
            <v>p.u.</v>
          </cell>
          <cell r="E73" t="str">
            <v>%</v>
          </cell>
          <cell r="F73" t="str">
            <v>%</v>
          </cell>
          <cell r="G73" t="str">
            <v>Mkr./MW</v>
          </cell>
          <cell r="H73" t="str">
            <v>Mkr/MWy</v>
          </cell>
          <cell r="I73" t="str">
            <v>kr/MWh</v>
          </cell>
          <cell r="J73" t="str">
            <v>p.u</v>
          </cell>
          <cell r="K73" t="str">
            <v>g/GJ</v>
          </cell>
          <cell r="L73" t="str">
            <v>g/GJ</v>
          </cell>
          <cell r="M73" t="str">
            <v>g/GJ</v>
          </cell>
          <cell r="O73" t="str">
            <v>Investeringsår</v>
          </cell>
          <cell r="P73" t="str">
            <v>%</v>
          </cell>
          <cell r="Q73" t="str">
            <v>p.u.</v>
          </cell>
          <cell r="R73" t="str">
            <v>p.u.</v>
          </cell>
          <cell r="S73" t="str">
            <v>%</v>
          </cell>
          <cell r="T73" t="str">
            <v>%</v>
          </cell>
          <cell r="U73" t="str">
            <v>Mkr./MW</v>
          </cell>
          <cell r="V73" t="str">
            <v>Mkr/MWy</v>
          </cell>
          <cell r="W73" t="str">
            <v>kr/MWh</v>
          </cell>
          <cell r="X73" t="str">
            <v>p.u</v>
          </cell>
          <cell r="Y73" t="str">
            <v>g/GJ</v>
          </cell>
          <cell r="Z73" t="str">
            <v>g/GJ</v>
          </cell>
          <cell r="AA73" t="str">
            <v>g/GJ</v>
          </cell>
        </row>
        <row r="74">
          <cell r="A74">
            <v>2010</v>
          </cell>
          <cell r="B74">
            <v>0.45599999999999996</v>
          </cell>
          <cell r="C74">
            <v>1.28</v>
          </cell>
          <cell r="D74">
            <v>0</v>
          </cell>
          <cell r="E74">
            <v>0.05</v>
          </cell>
          <cell r="F74">
            <v>0.05</v>
          </cell>
          <cell r="G74">
            <v>10.057500000000001</v>
          </cell>
          <cell r="H74">
            <v>0</v>
          </cell>
          <cell r="I74">
            <v>18.625</v>
          </cell>
          <cell r="J74">
            <v>0</v>
          </cell>
          <cell r="K74">
            <v>48</v>
          </cell>
          <cell r="L74">
            <v>1.5</v>
          </cell>
          <cell r="M74">
            <v>1</v>
          </cell>
          <cell r="O74">
            <v>2010</v>
          </cell>
          <cell r="P74">
            <v>0.99</v>
          </cell>
          <cell r="Q74">
            <v>-1.0101010101010102</v>
          </cell>
          <cell r="R74">
            <v>0</v>
          </cell>
          <cell r="S74">
            <v>0.01</v>
          </cell>
          <cell r="T74">
            <v>0.01</v>
          </cell>
          <cell r="U74">
            <v>0.44700000000000001</v>
          </cell>
          <cell r="V74">
            <v>8.1949999999999992E-3</v>
          </cell>
          <cell r="W74">
            <v>250.72499999999999</v>
          </cell>
          <cell r="X74">
            <v>0</v>
          </cell>
          <cell r="Y74">
            <v>0</v>
          </cell>
          <cell r="Z74">
            <v>0</v>
          </cell>
          <cell r="AA74">
            <v>0</v>
          </cell>
        </row>
        <row r="75">
          <cell r="A75">
            <v>2011</v>
          </cell>
          <cell r="B75">
            <v>0.45599999999999996</v>
          </cell>
          <cell r="C75">
            <v>1.28</v>
          </cell>
          <cell r="D75">
            <v>0</v>
          </cell>
          <cell r="E75">
            <v>0.05</v>
          </cell>
          <cell r="F75">
            <v>0.05</v>
          </cell>
          <cell r="G75">
            <v>10.057500000000001</v>
          </cell>
          <cell r="H75">
            <v>0</v>
          </cell>
          <cell r="I75">
            <v>18.625</v>
          </cell>
          <cell r="J75">
            <v>0</v>
          </cell>
          <cell r="K75">
            <v>48</v>
          </cell>
          <cell r="L75">
            <v>1.5</v>
          </cell>
          <cell r="M75">
            <v>1</v>
          </cell>
          <cell r="O75">
            <v>2011</v>
          </cell>
          <cell r="P75">
            <v>0.99</v>
          </cell>
          <cell r="Q75">
            <v>-1.0101010101010102</v>
          </cell>
          <cell r="R75">
            <v>0</v>
          </cell>
          <cell r="S75">
            <v>0.01</v>
          </cell>
          <cell r="T75">
            <v>0.01</v>
          </cell>
          <cell r="U75">
            <v>0.44700000000000001</v>
          </cell>
          <cell r="V75">
            <v>8.1949999999999992E-3</v>
          </cell>
          <cell r="W75">
            <v>250.72499999999999</v>
          </cell>
          <cell r="X75">
            <v>0</v>
          </cell>
          <cell r="Y75">
            <v>0</v>
          </cell>
          <cell r="Z75">
            <v>0</v>
          </cell>
          <cell r="AA75">
            <v>0</v>
          </cell>
        </row>
        <row r="76">
          <cell r="A76">
            <v>2012</v>
          </cell>
          <cell r="B76">
            <v>0.45599999999999996</v>
          </cell>
          <cell r="C76">
            <v>1.28</v>
          </cell>
          <cell r="D76">
            <v>0</v>
          </cell>
          <cell r="E76">
            <v>0.05</v>
          </cell>
          <cell r="F76">
            <v>0.05</v>
          </cell>
          <cell r="G76">
            <v>10.057500000000001</v>
          </cell>
          <cell r="H76">
            <v>0</v>
          </cell>
          <cell r="I76">
            <v>18.625</v>
          </cell>
          <cell r="J76">
            <v>0</v>
          </cell>
          <cell r="K76">
            <v>48</v>
          </cell>
          <cell r="L76">
            <v>1.5</v>
          </cell>
          <cell r="M76">
            <v>1</v>
          </cell>
          <cell r="O76">
            <v>2012</v>
          </cell>
          <cell r="P76">
            <v>0.99</v>
          </cell>
          <cell r="Q76">
            <v>-1.0101010101010102</v>
          </cell>
          <cell r="R76">
            <v>0</v>
          </cell>
          <cell r="S76">
            <v>0.01</v>
          </cell>
          <cell r="T76">
            <v>0.01</v>
          </cell>
          <cell r="U76">
            <v>0.44700000000000001</v>
          </cell>
          <cell r="V76">
            <v>8.1949999999999992E-3</v>
          </cell>
          <cell r="W76">
            <v>250.72499999999999</v>
          </cell>
          <cell r="X76">
            <v>0</v>
          </cell>
          <cell r="Y76">
            <v>0</v>
          </cell>
          <cell r="Z76">
            <v>0</v>
          </cell>
          <cell r="AA76">
            <v>0</v>
          </cell>
        </row>
        <row r="77">
          <cell r="A77">
            <v>2013</v>
          </cell>
          <cell r="B77">
            <v>0.45599999999999996</v>
          </cell>
          <cell r="C77">
            <v>1.28</v>
          </cell>
          <cell r="D77">
            <v>0</v>
          </cell>
          <cell r="E77">
            <v>0.05</v>
          </cell>
          <cell r="F77">
            <v>0.05</v>
          </cell>
          <cell r="G77">
            <v>10.057500000000001</v>
          </cell>
          <cell r="H77">
            <v>0</v>
          </cell>
          <cell r="I77">
            <v>18.625</v>
          </cell>
          <cell r="J77">
            <v>0</v>
          </cell>
          <cell r="K77">
            <v>48</v>
          </cell>
          <cell r="L77">
            <v>1.5</v>
          </cell>
          <cell r="M77">
            <v>1</v>
          </cell>
          <cell r="O77">
            <v>2013</v>
          </cell>
          <cell r="P77">
            <v>0.99</v>
          </cell>
          <cell r="Q77">
            <v>-1.0101010101010102</v>
          </cell>
          <cell r="R77">
            <v>0</v>
          </cell>
          <cell r="S77">
            <v>0.01</v>
          </cell>
          <cell r="T77">
            <v>0.01</v>
          </cell>
          <cell r="U77">
            <v>0.44700000000000001</v>
          </cell>
          <cell r="V77">
            <v>8.1949999999999992E-3</v>
          </cell>
          <cell r="W77">
            <v>250.72499999999999</v>
          </cell>
          <cell r="X77">
            <v>0</v>
          </cell>
          <cell r="Y77">
            <v>0</v>
          </cell>
          <cell r="Z77">
            <v>0</v>
          </cell>
          <cell r="AA77">
            <v>0</v>
          </cell>
        </row>
        <row r="78">
          <cell r="A78">
            <v>2014</v>
          </cell>
          <cell r="B78">
            <v>0.45599999999999996</v>
          </cell>
          <cell r="C78">
            <v>1.28</v>
          </cell>
          <cell r="D78">
            <v>0</v>
          </cell>
          <cell r="E78">
            <v>0.05</v>
          </cell>
          <cell r="F78">
            <v>0.05</v>
          </cell>
          <cell r="G78">
            <v>10.057500000000001</v>
          </cell>
          <cell r="H78">
            <v>0</v>
          </cell>
          <cell r="I78">
            <v>18.625</v>
          </cell>
          <cell r="J78">
            <v>0</v>
          </cell>
          <cell r="K78">
            <v>48</v>
          </cell>
          <cell r="L78">
            <v>1.5</v>
          </cell>
          <cell r="M78">
            <v>1</v>
          </cell>
          <cell r="O78">
            <v>2014</v>
          </cell>
          <cell r="P78">
            <v>0.99</v>
          </cell>
          <cell r="Q78">
            <v>-1.0101010101010102</v>
          </cell>
          <cell r="R78">
            <v>0</v>
          </cell>
          <cell r="S78">
            <v>0.01</v>
          </cell>
          <cell r="T78">
            <v>0.01</v>
          </cell>
          <cell r="U78">
            <v>0.44700000000000001</v>
          </cell>
          <cell r="V78">
            <v>8.1949999999999992E-3</v>
          </cell>
          <cell r="W78">
            <v>250.72499999999999</v>
          </cell>
          <cell r="X78">
            <v>0</v>
          </cell>
          <cell r="Y78">
            <v>0</v>
          </cell>
          <cell r="Z78">
            <v>0</v>
          </cell>
          <cell r="AA78">
            <v>0</v>
          </cell>
        </row>
        <row r="79">
          <cell r="A79">
            <v>2015</v>
          </cell>
          <cell r="B79">
            <v>0.45599999999999996</v>
          </cell>
          <cell r="C79">
            <v>1.28</v>
          </cell>
          <cell r="D79">
            <v>0</v>
          </cell>
          <cell r="E79">
            <v>0.05</v>
          </cell>
          <cell r="F79">
            <v>0.05</v>
          </cell>
          <cell r="G79">
            <v>10.057500000000001</v>
          </cell>
          <cell r="H79">
            <v>0</v>
          </cell>
          <cell r="I79">
            <v>18.625</v>
          </cell>
          <cell r="J79">
            <v>0</v>
          </cell>
          <cell r="K79">
            <v>48</v>
          </cell>
          <cell r="L79">
            <v>1.5</v>
          </cell>
          <cell r="M79">
            <v>1</v>
          </cell>
          <cell r="O79">
            <v>2015</v>
          </cell>
          <cell r="P79">
            <v>0.99</v>
          </cell>
          <cell r="Q79">
            <v>-1.0101010101010102</v>
          </cell>
          <cell r="R79">
            <v>0</v>
          </cell>
          <cell r="S79">
            <v>0.01</v>
          </cell>
          <cell r="T79">
            <v>0.01</v>
          </cell>
          <cell r="U79">
            <v>0.44700000000000001</v>
          </cell>
          <cell r="V79">
            <v>8.1949999999999992E-3</v>
          </cell>
          <cell r="W79">
            <v>250.72499999999999</v>
          </cell>
          <cell r="X79">
            <v>0</v>
          </cell>
          <cell r="Y79">
            <v>0</v>
          </cell>
          <cell r="Z79">
            <v>0</v>
          </cell>
          <cell r="AA79">
            <v>0</v>
          </cell>
        </row>
        <row r="80">
          <cell r="A80">
            <v>2016</v>
          </cell>
          <cell r="B80">
            <v>0.46359999999999996</v>
          </cell>
          <cell r="C80">
            <v>1.2906666666666666</v>
          </cell>
          <cell r="D80">
            <v>0</v>
          </cell>
          <cell r="E80">
            <v>0.05</v>
          </cell>
          <cell r="F80">
            <v>0.05</v>
          </cell>
          <cell r="G80">
            <v>10.2065</v>
          </cell>
          <cell r="H80">
            <v>0</v>
          </cell>
          <cell r="I80">
            <v>18.625</v>
          </cell>
          <cell r="J80">
            <v>0</v>
          </cell>
          <cell r="K80">
            <v>47.6</v>
          </cell>
          <cell r="L80">
            <v>1.5</v>
          </cell>
          <cell r="M80">
            <v>1</v>
          </cell>
          <cell r="O80">
            <v>2016</v>
          </cell>
          <cell r="P80">
            <v>0.99</v>
          </cell>
          <cell r="Q80">
            <v>-1.0101010101010102</v>
          </cell>
          <cell r="R80">
            <v>0</v>
          </cell>
          <cell r="S80">
            <v>0.01</v>
          </cell>
          <cell r="T80">
            <v>0.01</v>
          </cell>
          <cell r="U80">
            <v>0.44700000000000001</v>
          </cell>
          <cell r="V80">
            <v>8.1949999999999992E-3</v>
          </cell>
          <cell r="W80">
            <v>250.72499999999999</v>
          </cell>
          <cell r="X80">
            <v>0</v>
          </cell>
          <cell r="Y80">
            <v>0</v>
          </cell>
          <cell r="Z80">
            <v>0</v>
          </cell>
          <cell r="AA80">
            <v>0</v>
          </cell>
        </row>
        <row r="81">
          <cell r="A81">
            <v>2017</v>
          </cell>
          <cell r="B81">
            <v>0.47119999999999995</v>
          </cell>
          <cell r="C81">
            <v>1.3013333333333332</v>
          </cell>
          <cell r="D81">
            <v>0</v>
          </cell>
          <cell r="E81">
            <v>0.05</v>
          </cell>
          <cell r="F81">
            <v>0.05</v>
          </cell>
          <cell r="G81">
            <v>10.355499999999999</v>
          </cell>
          <cell r="H81">
            <v>0</v>
          </cell>
          <cell r="I81">
            <v>18.625</v>
          </cell>
          <cell r="J81">
            <v>0</v>
          </cell>
          <cell r="K81">
            <v>47.2</v>
          </cell>
          <cell r="L81">
            <v>1.5</v>
          </cell>
          <cell r="M81">
            <v>1</v>
          </cell>
          <cell r="O81">
            <v>2017</v>
          </cell>
          <cell r="P81">
            <v>0.99</v>
          </cell>
          <cell r="Q81">
            <v>-1.0101010101010102</v>
          </cell>
          <cell r="R81">
            <v>0</v>
          </cell>
          <cell r="S81">
            <v>0.01</v>
          </cell>
          <cell r="T81">
            <v>0.01</v>
          </cell>
          <cell r="U81">
            <v>0.44700000000000001</v>
          </cell>
          <cell r="V81">
            <v>8.1949999999999992E-3</v>
          </cell>
          <cell r="W81">
            <v>250.72499999999999</v>
          </cell>
          <cell r="X81">
            <v>0</v>
          </cell>
          <cell r="Y81">
            <v>0</v>
          </cell>
          <cell r="Z81">
            <v>0</v>
          </cell>
          <cell r="AA81">
            <v>0</v>
          </cell>
        </row>
        <row r="82">
          <cell r="A82">
            <v>2018</v>
          </cell>
          <cell r="B82">
            <v>0.47879999999999995</v>
          </cell>
          <cell r="C82">
            <v>1.3119999999999998</v>
          </cell>
          <cell r="D82">
            <v>0</v>
          </cell>
          <cell r="E82">
            <v>0.05</v>
          </cell>
          <cell r="F82">
            <v>0.05</v>
          </cell>
          <cell r="G82">
            <v>10.504499999999998</v>
          </cell>
          <cell r="H82">
            <v>0</v>
          </cell>
          <cell r="I82">
            <v>18.625</v>
          </cell>
          <cell r="J82">
            <v>0</v>
          </cell>
          <cell r="K82">
            <v>46.800000000000004</v>
          </cell>
          <cell r="L82">
            <v>1.5</v>
          </cell>
          <cell r="M82">
            <v>1</v>
          </cell>
          <cell r="O82">
            <v>2018</v>
          </cell>
          <cell r="P82">
            <v>0.99</v>
          </cell>
          <cell r="Q82">
            <v>-1.0101010101010102</v>
          </cell>
          <cell r="R82">
            <v>0</v>
          </cell>
          <cell r="S82">
            <v>0.01</v>
          </cell>
          <cell r="T82">
            <v>0.01</v>
          </cell>
          <cell r="U82">
            <v>0.44700000000000001</v>
          </cell>
          <cell r="V82">
            <v>8.1949999999999992E-3</v>
          </cell>
          <cell r="W82">
            <v>250.72499999999999</v>
          </cell>
          <cell r="X82">
            <v>0</v>
          </cell>
          <cell r="Y82">
            <v>0</v>
          </cell>
          <cell r="Z82">
            <v>0</v>
          </cell>
          <cell r="AA82">
            <v>0</v>
          </cell>
        </row>
        <row r="83">
          <cell r="A83">
            <v>2019</v>
          </cell>
          <cell r="B83">
            <v>0.48639999999999994</v>
          </cell>
          <cell r="C83">
            <v>1.3226666666666664</v>
          </cell>
          <cell r="D83">
            <v>0</v>
          </cell>
          <cell r="E83">
            <v>0.05</v>
          </cell>
          <cell r="F83">
            <v>0.05</v>
          </cell>
          <cell r="G83">
            <v>10.653499999999998</v>
          </cell>
          <cell r="H83">
            <v>0</v>
          </cell>
          <cell r="I83">
            <v>18.625</v>
          </cell>
          <cell r="J83">
            <v>0</v>
          </cell>
          <cell r="K83">
            <v>46.400000000000006</v>
          </cell>
          <cell r="L83">
            <v>1.5</v>
          </cell>
          <cell r="M83">
            <v>1</v>
          </cell>
          <cell r="O83">
            <v>2019</v>
          </cell>
          <cell r="P83">
            <v>0.99</v>
          </cell>
          <cell r="Q83">
            <v>-1.0101010101010102</v>
          </cell>
          <cell r="R83">
            <v>0</v>
          </cell>
          <cell r="S83">
            <v>0.01</v>
          </cell>
          <cell r="T83">
            <v>0.01</v>
          </cell>
          <cell r="U83">
            <v>0.44700000000000001</v>
          </cell>
          <cell r="V83">
            <v>8.1949999999999992E-3</v>
          </cell>
          <cell r="W83">
            <v>250.72499999999999</v>
          </cell>
          <cell r="X83">
            <v>0</v>
          </cell>
          <cell r="Y83">
            <v>0</v>
          </cell>
          <cell r="Z83">
            <v>0</v>
          </cell>
          <cell r="AA83">
            <v>0</v>
          </cell>
        </row>
        <row r="84">
          <cell r="A84">
            <v>2020</v>
          </cell>
          <cell r="B84">
            <v>0.49399999999999999</v>
          </cell>
          <cell r="C84">
            <v>1.3333333333333333</v>
          </cell>
          <cell r="D84">
            <v>0</v>
          </cell>
          <cell r="E84">
            <v>0.05</v>
          </cell>
          <cell r="F84">
            <v>0.05</v>
          </cell>
          <cell r="G84">
            <v>10.8025</v>
          </cell>
          <cell r="H84">
            <v>0</v>
          </cell>
          <cell r="I84">
            <v>18.625</v>
          </cell>
          <cell r="J84">
            <v>0</v>
          </cell>
          <cell r="K84">
            <v>46</v>
          </cell>
          <cell r="L84">
            <v>1.5</v>
          </cell>
          <cell r="M84">
            <v>1</v>
          </cell>
          <cell r="O84">
            <v>2020</v>
          </cell>
          <cell r="P84">
            <v>0.99</v>
          </cell>
          <cell r="Q84">
            <v>-1.0101010101010102</v>
          </cell>
          <cell r="R84">
            <v>0</v>
          </cell>
          <cell r="S84">
            <v>0.01</v>
          </cell>
          <cell r="T84">
            <v>0.01</v>
          </cell>
          <cell r="U84">
            <v>0.44700000000000001</v>
          </cell>
          <cell r="V84">
            <v>8.1949999999999992E-3</v>
          </cell>
          <cell r="W84">
            <v>250.72499999999999</v>
          </cell>
          <cell r="X84">
            <v>0</v>
          </cell>
          <cell r="Y84">
            <v>0</v>
          </cell>
          <cell r="Z84">
            <v>0</v>
          </cell>
          <cell r="AA84">
            <v>0</v>
          </cell>
        </row>
        <row r="85">
          <cell r="A85">
            <v>2021</v>
          </cell>
          <cell r="B85">
            <v>0.49399999999999999</v>
          </cell>
          <cell r="C85">
            <v>1.3333333333333333</v>
          </cell>
          <cell r="D85">
            <v>0</v>
          </cell>
          <cell r="E85">
            <v>0.05</v>
          </cell>
          <cell r="F85">
            <v>0.05</v>
          </cell>
          <cell r="G85">
            <v>10.8025</v>
          </cell>
          <cell r="H85">
            <v>0</v>
          </cell>
          <cell r="I85">
            <v>18.625</v>
          </cell>
          <cell r="J85">
            <v>0</v>
          </cell>
          <cell r="K85">
            <v>45.6</v>
          </cell>
          <cell r="L85">
            <v>1.5</v>
          </cell>
          <cell r="M85">
            <v>1</v>
          </cell>
          <cell r="O85">
            <v>2021</v>
          </cell>
          <cell r="P85">
            <v>0.99</v>
          </cell>
          <cell r="Q85">
            <v>-1.0101010101010102</v>
          </cell>
          <cell r="R85">
            <v>0</v>
          </cell>
          <cell r="S85">
            <v>0.01</v>
          </cell>
          <cell r="T85">
            <v>0.01</v>
          </cell>
          <cell r="U85">
            <v>0.44700000000000001</v>
          </cell>
          <cell r="V85">
            <v>8.1949999999999992E-3</v>
          </cell>
          <cell r="W85">
            <v>250.72499999999999</v>
          </cell>
          <cell r="X85">
            <v>0</v>
          </cell>
          <cell r="Y85">
            <v>0</v>
          </cell>
          <cell r="Z85">
            <v>0</v>
          </cell>
          <cell r="AA85">
            <v>0</v>
          </cell>
        </row>
        <row r="86">
          <cell r="A86">
            <v>2022</v>
          </cell>
          <cell r="B86">
            <v>0.49399999999999999</v>
          </cell>
          <cell r="C86">
            <v>1.3333333333333333</v>
          </cell>
          <cell r="D86">
            <v>0</v>
          </cell>
          <cell r="E86">
            <v>0.05</v>
          </cell>
          <cell r="F86">
            <v>0.05</v>
          </cell>
          <cell r="G86">
            <v>10.8025</v>
          </cell>
          <cell r="H86">
            <v>0</v>
          </cell>
          <cell r="I86">
            <v>18.625</v>
          </cell>
          <cell r="J86">
            <v>0</v>
          </cell>
          <cell r="K86">
            <v>45.2</v>
          </cell>
          <cell r="L86">
            <v>1.5</v>
          </cell>
          <cell r="M86">
            <v>1</v>
          </cell>
          <cell r="O86">
            <v>2022</v>
          </cell>
          <cell r="P86">
            <v>0.99</v>
          </cell>
          <cell r="Q86">
            <v>-1.0101010101010102</v>
          </cell>
          <cell r="R86">
            <v>0</v>
          </cell>
          <cell r="S86">
            <v>0.01</v>
          </cell>
          <cell r="T86">
            <v>0.01</v>
          </cell>
          <cell r="U86">
            <v>0.44700000000000001</v>
          </cell>
          <cell r="V86">
            <v>8.1949999999999992E-3</v>
          </cell>
          <cell r="W86">
            <v>250.72499999999999</v>
          </cell>
          <cell r="X86">
            <v>0</v>
          </cell>
          <cell r="Y86">
            <v>0</v>
          </cell>
          <cell r="Z86">
            <v>0</v>
          </cell>
          <cell r="AA86">
            <v>0</v>
          </cell>
        </row>
        <row r="87">
          <cell r="A87">
            <v>2023</v>
          </cell>
          <cell r="B87">
            <v>0.49399999999999999</v>
          </cell>
          <cell r="C87">
            <v>1.3333333333333333</v>
          </cell>
          <cell r="D87">
            <v>0</v>
          </cell>
          <cell r="E87">
            <v>0.05</v>
          </cell>
          <cell r="F87">
            <v>0.05</v>
          </cell>
          <cell r="G87">
            <v>10.8025</v>
          </cell>
          <cell r="H87">
            <v>0</v>
          </cell>
          <cell r="I87">
            <v>18.625</v>
          </cell>
          <cell r="J87">
            <v>0</v>
          </cell>
          <cell r="K87">
            <v>44.800000000000004</v>
          </cell>
          <cell r="L87">
            <v>1.5</v>
          </cell>
          <cell r="M87">
            <v>1</v>
          </cell>
          <cell r="O87">
            <v>2023</v>
          </cell>
          <cell r="P87">
            <v>0.99</v>
          </cell>
          <cell r="Q87">
            <v>-1.0101010101010102</v>
          </cell>
          <cell r="R87">
            <v>0</v>
          </cell>
          <cell r="S87">
            <v>0.01</v>
          </cell>
          <cell r="T87">
            <v>0.01</v>
          </cell>
          <cell r="U87">
            <v>0.44700000000000001</v>
          </cell>
          <cell r="V87">
            <v>8.1949999999999992E-3</v>
          </cell>
          <cell r="W87">
            <v>250.72499999999999</v>
          </cell>
          <cell r="X87">
            <v>0</v>
          </cell>
          <cell r="Y87">
            <v>0</v>
          </cell>
          <cell r="Z87">
            <v>0</v>
          </cell>
          <cell r="AA87">
            <v>0</v>
          </cell>
        </row>
        <row r="88">
          <cell r="A88">
            <v>2024</v>
          </cell>
          <cell r="B88">
            <v>0.49399999999999999</v>
          </cell>
          <cell r="C88">
            <v>1.3333333333333333</v>
          </cell>
          <cell r="D88">
            <v>0</v>
          </cell>
          <cell r="E88">
            <v>0.05</v>
          </cell>
          <cell r="F88">
            <v>0.05</v>
          </cell>
          <cell r="G88">
            <v>10.8025</v>
          </cell>
          <cell r="H88">
            <v>0</v>
          </cell>
          <cell r="I88">
            <v>18.625</v>
          </cell>
          <cell r="J88">
            <v>0</v>
          </cell>
          <cell r="K88">
            <v>44.400000000000006</v>
          </cell>
          <cell r="L88">
            <v>1.5</v>
          </cell>
          <cell r="M88">
            <v>1</v>
          </cell>
          <cell r="O88">
            <v>2024</v>
          </cell>
          <cell r="P88">
            <v>0.99</v>
          </cell>
          <cell r="Q88">
            <v>-1.0101010101010102</v>
          </cell>
          <cell r="R88">
            <v>0</v>
          </cell>
          <cell r="S88">
            <v>0.01</v>
          </cell>
          <cell r="T88">
            <v>0.01</v>
          </cell>
          <cell r="U88">
            <v>0.44700000000000001</v>
          </cell>
          <cell r="V88">
            <v>8.1949999999999992E-3</v>
          </cell>
          <cell r="W88">
            <v>250.72499999999999</v>
          </cell>
          <cell r="X88">
            <v>0</v>
          </cell>
          <cell r="Y88">
            <v>0</v>
          </cell>
          <cell r="Z88">
            <v>0</v>
          </cell>
          <cell r="AA88">
            <v>0</v>
          </cell>
        </row>
        <row r="89">
          <cell r="A89">
            <v>2025</v>
          </cell>
          <cell r="B89">
            <v>0.49399999999999999</v>
          </cell>
          <cell r="C89">
            <v>1.3333333333333333</v>
          </cell>
          <cell r="D89">
            <v>0</v>
          </cell>
          <cell r="E89">
            <v>0.05</v>
          </cell>
          <cell r="F89">
            <v>0.05</v>
          </cell>
          <cell r="G89">
            <v>10.8025</v>
          </cell>
          <cell r="H89">
            <v>0</v>
          </cell>
          <cell r="I89">
            <v>18.625</v>
          </cell>
          <cell r="J89">
            <v>0</v>
          </cell>
          <cell r="K89">
            <v>44.000000000000007</v>
          </cell>
          <cell r="L89">
            <v>1.5</v>
          </cell>
          <cell r="M89">
            <v>1</v>
          </cell>
          <cell r="O89">
            <v>2025</v>
          </cell>
          <cell r="P89">
            <v>0.99</v>
          </cell>
          <cell r="Q89">
            <v>-1.0101010101010102</v>
          </cell>
          <cell r="R89">
            <v>0</v>
          </cell>
          <cell r="S89">
            <v>0.01</v>
          </cell>
          <cell r="T89">
            <v>0.01</v>
          </cell>
          <cell r="U89">
            <v>0.44700000000000001</v>
          </cell>
          <cell r="V89">
            <v>8.1949999999999992E-3</v>
          </cell>
          <cell r="W89">
            <v>250.72499999999999</v>
          </cell>
          <cell r="X89">
            <v>0</v>
          </cell>
          <cell r="Y89">
            <v>0</v>
          </cell>
          <cell r="Z89">
            <v>0</v>
          </cell>
          <cell r="AA89">
            <v>0</v>
          </cell>
        </row>
        <row r="90">
          <cell r="A90">
            <v>2026</v>
          </cell>
          <cell r="B90">
            <v>0.49399999999999999</v>
          </cell>
          <cell r="C90">
            <v>1.3333333333333333</v>
          </cell>
          <cell r="D90">
            <v>0</v>
          </cell>
          <cell r="E90">
            <v>0.05</v>
          </cell>
          <cell r="F90">
            <v>0.05</v>
          </cell>
          <cell r="G90">
            <v>10.8025</v>
          </cell>
          <cell r="H90">
            <v>0</v>
          </cell>
          <cell r="I90">
            <v>18.625</v>
          </cell>
          <cell r="J90">
            <v>0</v>
          </cell>
          <cell r="K90">
            <v>43.600000000000009</v>
          </cell>
          <cell r="L90">
            <v>1.5</v>
          </cell>
          <cell r="M90">
            <v>1</v>
          </cell>
          <cell r="O90">
            <v>2026</v>
          </cell>
          <cell r="P90">
            <v>0.99</v>
          </cell>
          <cell r="Q90">
            <v>-1.0101010101010102</v>
          </cell>
          <cell r="R90">
            <v>0</v>
          </cell>
          <cell r="S90">
            <v>0.01</v>
          </cell>
          <cell r="T90">
            <v>0.01</v>
          </cell>
          <cell r="U90">
            <v>0.44700000000000001</v>
          </cell>
          <cell r="V90">
            <v>8.1949999999999992E-3</v>
          </cell>
          <cell r="W90">
            <v>250.72499999999999</v>
          </cell>
          <cell r="X90">
            <v>0</v>
          </cell>
          <cell r="Y90">
            <v>0</v>
          </cell>
          <cell r="Z90">
            <v>0</v>
          </cell>
          <cell r="AA90">
            <v>0</v>
          </cell>
        </row>
        <row r="91">
          <cell r="A91">
            <v>2027</v>
          </cell>
          <cell r="B91">
            <v>0.49399999999999999</v>
          </cell>
          <cell r="C91">
            <v>1.3333333333333333</v>
          </cell>
          <cell r="D91">
            <v>0</v>
          </cell>
          <cell r="E91">
            <v>0.05</v>
          </cell>
          <cell r="F91">
            <v>0.05</v>
          </cell>
          <cell r="G91">
            <v>10.8025</v>
          </cell>
          <cell r="H91">
            <v>0</v>
          </cell>
          <cell r="I91">
            <v>18.625</v>
          </cell>
          <cell r="J91">
            <v>0</v>
          </cell>
          <cell r="K91">
            <v>43.20000000000001</v>
          </cell>
          <cell r="L91">
            <v>1.5</v>
          </cell>
          <cell r="M91">
            <v>1</v>
          </cell>
          <cell r="O91">
            <v>2027</v>
          </cell>
          <cell r="P91">
            <v>0.99</v>
          </cell>
          <cell r="Q91">
            <v>-1.0101010101010102</v>
          </cell>
          <cell r="R91">
            <v>0</v>
          </cell>
          <cell r="S91">
            <v>0.01</v>
          </cell>
          <cell r="T91">
            <v>0.01</v>
          </cell>
          <cell r="U91">
            <v>0.44700000000000001</v>
          </cell>
          <cell r="V91">
            <v>8.1949999999999992E-3</v>
          </cell>
          <cell r="W91">
            <v>250.72499999999999</v>
          </cell>
          <cell r="X91">
            <v>0</v>
          </cell>
          <cell r="Y91">
            <v>0</v>
          </cell>
          <cell r="Z91">
            <v>0</v>
          </cell>
          <cell r="AA91">
            <v>0</v>
          </cell>
        </row>
        <row r="92">
          <cell r="A92">
            <v>2028</v>
          </cell>
          <cell r="B92">
            <v>0.49399999999999999</v>
          </cell>
          <cell r="C92">
            <v>1.3333333333333333</v>
          </cell>
          <cell r="D92">
            <v>0</v>
          </cell>
          <cell r="E92">
            <v>0.05</v>
          </cell>
          <cell r="F92">
            <v>0.05</v>
          </cell>
          <cell r="G92">
            <v>10.8025</v>
          </cell>
          <cell r="H92">
            <v>0</v>
          </cell>
          <cell r="I92">
            <v>18.625</v>
          </cell>
          <cell r="J92">
            <v>0</v>
          </cell>
          <cell r="K92">
            <v>42.800000000000011</v>
          </cell>
          <cell r="L92">
            <v>1.5</v>
          </cell>
          <cell r="M92">
            <v>1</v>
          </cell>
          <cell r="O92">
            <v>2028</v>
          </cell>
          <cell r="P92">
            <v>0.99</v>
          </cell>
          <cell r="Q92">
            <v>-1.0101010101010102</v>
          </cell>
          <cell r="R92">
            <v>0</v>
          </cell>
          <cell r="S92">
            <v>0.01</v>
          </cell>
          <cell r="T92">
            <v>0.01</v>
          </cell>
          <cell r="U92">
            <v>0.44700000000000001</v>
          </cell>
          <cell r="V92">
            <v>8.1949999999999992E-3</v>
          </cell>
          <cell r="W92">
            <v>250.72499999999999</v>
          </cell>
          <cell r="X92">
            <v>0</v>
          </cell>
          <cell r="Y92">
            <v>0</v>
          </cell>
          <cell r="Z92">
            <v>0</v>
          </cell>
          <cell r="AA92">
            <v>0</v>
          </cell>
        </row>
        <row r="93">
          <cell r="A93">
            <v>2029</v>
          </cell>
          <cell r="B93">
            <v>0.49399999999999999</v>
          </cell>
          <cell r="C93">
            <v>1.3333333333333333</v>
          </cell>
          <cell r="D93">
            <v>0</v>
          </cell>
          <cell r="E93">
            <v>0.05</v>
          </cell>
          <cell r="F93">
            <v>0.05</v>
          </cell>
          <cell r="G93">
            <v>10.8025</v>
          </cell>
          <cell r="H93">
            <v>0</v>
          </cell>
          <cell r="I93">
            <v>18.625</v>
          </cell>
          <cell r="J93">
            <v>0</v>
          </cell>
          <cell r="K93">
            <v>42.400000000000013</v>
          </cell>
          <cell r="L93">
            <v>1.5</v>
          </cell>
          <cell r="M93">
            <v>1</v>
          </cell>
          <cell r="O93">
            <v>2029</v>
          </cell>
          <cell r="P93">
            <v>0.99</v>
          </cell>
          <cell r="Q93">
            <v>-1.0101010101010102</v>
          </cell>
          <cell r="R93">
            <v>0</v>
          </cell>
          <cell r="S93">
            <v>0.01</v>
          </cell>
          <cell r="T93">
            <v>0.01</v>
          </cell>
          <cell r="U93">
            <v>0.44700000000000001</v>
          </cell>
          <cell r="V93">
            <v>8.1949999999999992E-3</v>
          </cell>
          <cell r="W93">
            <v>250.72499999999999</v>
          </cell>
          <cell r="X93">
            <v>0</v>
          </cell>
          <cell r="Y93">
            <v>0</v>
          </cell>
          <cell r="Z93">
            <v>0</v>
          </cell>
          <cell r="AA93">
            <v>0</v>
          </cell>
        </row>
        <row r="94">
          <cell r="A94">
            <v>2030</v>
          </cell>
          <cell r="B94">
            <v>0.49399999999999999</v>
          </cell>
          <cell r="C94">
            <v>1.3333333333333333</v>
          </cell>
          <cell r="D94">
            <v>0</v>
          </cell>
          <cell r="E94">
            <v>0.05</v>
          </cell>
          <cell r="F94">
            <v>0.05</v>
          </cell>
          <cell r="G94">
            <v>10.8025</v>
          </cell>
          <cell r="H94">
            <v>0</v>
          </cell>
          <cell r="I94">
            <v>18.625</v>
          </cell>
          <cell r="J94">
            <v>0</v>
          </cell>
          <cell r="K94">
            <v>42</v>
          </cell>
          <cell r="L94">
            <v>1.5</v>
          </cell>
          <cell r="M94">
            <v>1</v>
          </cell>
          <cell r="O94">
            <v>2030</v>
          </cell>
          <cell r="P94">
            <v>0.99</v>
          </cell>
          <cell r="Q94">
            <v>-1.0101010101010102</v>
          </cell>
          <cell r="R94">
            <v>0</v>
          </cell>
          <cell r="S94">
            <v>0.01</v>
          </cell>
          <cell r="T94">
            <v>0.01</v>
          </cell>
          <cell r="U94">
            <v>0.44700000000000001</v>
          </cell>
          <cell r="V94">
            <v>8.1949999999999992E-3</v>
          </cell>
          <cell r="W94">
            <v>250.72499999999999</v>
          </cell>
          <cell r="X94">
            <v>0</v>
          </cell>
          <cell r="Y94">
            <v>0</v>
          </cell>
          <cell r="Z94">
            <v>0</v>
          </cell>
          <cell r="AA94">
            <v>0</v>
          </cell>
        </row>
        <row r="95">
          <cell r="A95">
            <v>2031</v>
          </cell>
          <cell r="B95">
            <v>0.49399999999999999</v>
          </cell>
          <cell r="C95">
            <v>1.3333333333333333</v>
          </cell>
          <cell r="D95">
            <v>0</v>
          </cell>
          <cell r="E95">
            <v>0.05</v>
          </cell>
          <cell r="F95">
            <v>0.05</v>
          </cell>
          <cell r="G95">
            <v>10.8025</v>
          </cell>
          <cell r="H95">
            <v>0</v>
          </cell>
          <cell r="I95">
            <v>18.625</v>
          </cell>
          <cell r="J95">
            <v>0</v>
          </cell>
          <cell r="K95">
            <v>42</v>
          </cell>
          <cell r="L95">
            <v>1.5</v>
          </cell>
          <cell r="M95">
            <v>1</v>
          </cell>
          <cell r="O95">
            <v>2031</v>
          </cell>
          <cell r="P95">
            <v>0.99</v>
          </cell>
          <cell r="Q95">
            <v>-1.0101010101010102</v>
          </cell>
          <cell r="R95">
            <v>0</v>
          </cell>
          <cell r="S95">
            <v>0.01</v>
          </cell>
          <cell r="T95">
            <v>0.01</v>
          </cell>
          <cell r="U95">
            <v>0.44700000000000001</v>
          </cell>
          <cell r="V95">
            <v>8.1949999999999992E-3</v>
          </cell>
          <cell r="W95">
            <v>250.72499999999999</v>
          </cell>
          <cell r="X95">
            <v>0</v>
          </cell>
          <cell r="Y95">
            <v>0</v>
          </cell>
          <cell r="Z95">
            <v>0</v>
          </cell>
          <cell r="AA95">
            <v>0</v>
          </cell>
        </row>
        <row r="96">
          <cell r="A96">
            <v>2032</v>
          </cell>
          <cell r="B96">
            <v>0.49399999999999999</v>
          </cell>
          <cell r="C96">
            <v>1.3333333333333333</v>
          </cell>
          <cell r="D96">
            <v>0</v>
          </cell>
          <cell r="E96">
            <v>0.05</v>
          </cell>
          <cell r="F96">
            <v>0.05</v>
          </cell>
          <cell r="G96">
            <v>10.8025</v>
          </cell>
          <cell r="H96">
            <v>0</v>
          </cell>
          <cell r="I96">
            <v>18.625</v>
          </cell>
          <cell r="J96">
            <v>0</v>
          </cell>
          <cell r="K96">
            <v>42</v>
          </cell>
          <cell r="L96">
            <v>1.5</v>
          </cell>
          <cell r="M96">
            <v>1</v>
          </cell>
          <cell r="O96">
            <v>2032</v>
          </cell>
          <cell r="P96">
            <v>0.99</v>
          </cell>
          <cell r="Q96">
            <v>-1.0101010101010102</v>
          </cell>
          <cell r="R96">
            <v>0</v>
          </cell>
          <cell r="S96">
            <v>0.01</v>
          </cell>
          <cell r="T96">
            <v>0.01</v>
          </cell>
          <cell r="U96">
            <v>0.44700000000000001</v>
          </cell>
          <cell r="V96">
            <v>8.1949999999999992E-3</v>
          </cell>
          <cell r="W96">
            <v>250.72499999999999</v>
          </cell>
          <cell r="X96">
            <v>0</v>
          </cell>
          <cell r="Y96">
            <v>0</v>
          </cell>
          <cell r="Z96">
            <v>0</v>
          </cell>
          <cell r="AA96">
            <v>0</v>
          </cell>
        </row>
        <row r="97">
          <cell r="A97">
            <v>2033</v>
          </cell>
          <cell r="B97">
            <v>0.49399999999999999</v>
          </cell>
          <cell r="C97">
            <v>1.3333333333333333</v>
          </cell>
          <cell r="D97">
            <v>0</v>
          </cell>
          <cell r="E97">
            <v>0.05</v>
          </cell>
          <cell r="F97">
            <v>0.05</v>
          </cell>
          <cell r="G97">
            <v>10.8025</v>
          </cell>
          <cell r="H97">
            <v>0</v>
          </cell>
          <cell r="I97">
            <v>18.625</v>
          </cell>
          <cell r="J97">
            <v>0</v>
          </cell>
          <cell r="K97">
            <v>42</v>
          </cell>
          <cell r="L97">
            <v>1.5</v>
          </cell>
          <cell r="M97">
            <v>1</v>
          </cell>
          <cell r="O97">
            <v>2033</v>
          </cell>
          <cell r="P97">
            <v>0.99</v>
          </cell>
          <cell r="Q97">
            <v>-1.0101010101010102</v>
          </cell>
          <cell r="R97">
            <v>0</v>
          </cell>
          <cell r="S97">
            <v>0.01</v>
          </cell>
          <cell r="T97">
            <v>0.01</v>
          </cell>
          <cell r="U97">
            <v>0.44700000000000001</v>
          </cell>
          <cell r="V97">
            <v>8.1949999999999992E-3</v>
          </cell>
          <cell r="W97">
            <v>250.72499999999999</v>
          </cell>
          <cell r="X97">
            <v>0</v>
          </cell>
          <cell r="Y97">
            <v>0</v>
          </cell>
          <cell r="Z97">
            <v>0</v>
          </cell>
          <cell r="AA97">
            <v>0</v>
          </cell>
        </row>
        <row r="98">
          <cell r="A98">
            <v>2034</v>
          </cell>
          <cell r="B98">
            <v>0.49399999999999999</v>
          </cell>
          <cell r="C98">
            <v>1.3333333333333333</v>
          </cell>
          <cell r="D98">
            <v>0</v>
          </cell>
          <cell r="E98">
            <v>0.05</v>
          </cell>
          <cell r="F98">
            <v>0.05</v>
          </cell>
          <cell r="G98">
            <v>10.8025</v>
          </cell>
          <cell r="H98">
            <v>0</v>
          </cell>
          <cell r="I98">
            <v>18.625</v>
          </cell>
          <cell r="J98">
            <v>0</v>
          </cell>
          <cell r="K98">
            <v>42</v>
          </cell>
          <cell r="L98">
            <v>1.5</v>
          </cell>
          <cell r="M98">
            <v>1</v>
          </cell>
          <cell r="O98">
            <v>2034</v>
          </cell>
          <cell r="P98">
            <v>0.99</v>
          </cell>
          <cell r="Q98">
            <v>-1.0101010101010102</v>
          </cell>
          <cell r="R98">
            <v>0</v>
          </cell>
          <cell r="S98">
            <v>0.01</v>
          </cell>
          <cell r="T98">
            <v>0.01</v>
          </cell>
          <cell r="U98">
            <v>0.44700000000000001</v>
          </cell>
          <cell r="V98">
            <v>8.1949999999999992E-3</v>
          </cell>
          <cell r="W98">
            <v>250.72499999999999</v>
          </cell>
          <cell r="X98">
            <v>0</v>
          </cell>
          <cell r="Y98">
            <v>0</v>
          </cell>
          <cell r="Z98">
            <v>0</v>
          </cell>
          <cell r="AA98">
            <v>0</v>
          </cell>
        </row>
        <row r="99">
          <cell r="A99">
            <v>2035</v>
          </cell>
          <cell r="B99">
            <v>0.49399999999999999</v>
          </cell>
          <cell r="C99">
            <v>1.3333333333333333</v>
          </cell>
          <cell r="D99">
            <v>0</v>
          </cell>
          <cell r="E99">
            <v>0.05</v>
          </cell>
          <cell r="F99">
            <v>0.05</v>
          </cell>
          <cell r="G99">
            <v>10.8025</v>
          </cell>
          <cell r="H99">
            <v>0</v>
          </cell>
          <cell r="I99">
            <v>18.625</v>
          </cell>
          <cell r="J99">
            <v>0</v>
          </cell>
          <cell r="K99">
            <v>42</v>
          </cell>
          <cell r="L99">
            <v>1.5</v>
          </cell>
          <cell r="M99">
            <v>1</v>
          </cell>
          <cell r="O99">
            <v>2035</v>
          </cell>
          <cell r="P99">
            <v>0.99</v>
          </cell>
          <cell r="Q99">
            <v>-1.0101010101010102</v>
          </cell>
          <cell r="R99">
            <v>0</v>
          </cell>
          <cell r="S99">
            <v>0.01</v>
          </cell>
          <cell r="T99">
            <v>0.01</v>
          </cell>
          <cell r="U99">
            <v>0.44700000000000001</v>
          </cell>
          <cell r="V99">
            <v>8.1949999999999992E-3</v>
          </cell>
          <cell r="W99">
            <v>250.72499999999999</v>
          </cell>
          <cell r="X99">
            <v>0</v>
          </cell>
          <cell r="Y99">
            <v>0</v>
          </cell>
          <cell r="Z99">
            <v>0</v>
          </cell>
          <cell r="AA99">
            <v>0</v>
          </cell>
        </row>
        <row r="101">
          <cell r="A101" t="str">
            <v>WasteCHP</v>
          </cell>
          <cell r="B101" t="str">
            <v>Eff.</v>
          </cell>
          <cell r="C101" t="str">
            <v>Cb</v>
          </cell>
          <cell r="D101" t="str">
            <v>Cv</v>
          </cell>
          <cell r="E101" t="str">
            <v>POutage</v>
          </cell>
          <cell r="F101" t="str">
            <v>UPOutage</v>
          </cell>
          <cell r="G101" t="str">
            <v>Invest</v>
          </cell>
          <cell r="H101" t="str">
            <v>O&amp;Mfixed</v>
          </cell>
          <cell r="I101" t="str">
            <v>O&amp;Mvar</v>
          </cell>
          <cell r="J101" t="str">
            <v>Desulp</v>
          </cell>
          <cell r="K101" t="str">
            <v>NO2</v>
          </cell>
          <cell r="L101" t="str">
            <v>CH4</v>
          </cell>
          <cell r="M101" t="str">
            <v>N2O</v>
          </cell>
          <cell r="O101" t="str">
            <v>HeatPump_Large</v>
          </cell>
          <cell r="P101" t="str">
            <v>Eff.</v>
          </cell>
          <cell r="Q101" t="str">
            <v>Cb</v>
          </cell>
          <cell r="R101" t="str">
            <v>Cv</v>
          </cell>
          <cell r="S101" t="str">
            <v>POutage</v>
          </cell>
          <cell r="T101" t="str">
            <v>UPOutage</v>
          </cell>
          <cell r="U101" t="str">
            <v>Invest</v>
          </cell>
          <cell r="V101" t="str">
            <v>O&amp;Mfixed</v>
          </cell>
          <cell r="W101" t="str">
            <v>O&amp;Mvar</v>
          </cell>
          <cell r="X101" t="str">
            <v>Desulp</v>
          </cell>
          <cell r="Y101" t="str">
            <v>NO2</v>
          </cell>
          <cell r="Z101" t="str">
            <v>CH4</v>
          </cell>
          <cell r="AA101" t="str">
            <v>N2O</v>
          </cell>
        </row>
        <row r="102">
          <cell r="A102" t="str">
            <v>Investeringsår</v>
          </cell>
          <cell r="B102" t="str">
            <v>%</v>
          </cell>
          <cell r="C102" t="str">
            <v>p.u.</v>
          </cell>
          <cell r="D102" t="str">
            <v>p.u.</v>
          </cell>
          <cell r="E102" t="str">
            <v>%</v>
          </cell>
          <cell r="F102" t="str">
            <v>%</v>
          </cell>
          <cell r="G102" t="str">
            <v>Mkr./MW</v>
          </cell>
          <cell r="H102" t="str">
            <v>Mkr/MWy</v>
          </cell>
          <cell r="I102" t="str">
            <v>kr/MWh</v>
          </cell>
          <cell r="J102" t="str">
            <v>p.u</v>
          </cell>
          <cell r="K102" t="str">
            <v>g/GJ</v>
          </cell>
          <cell r="L102" t="str">
            <v>g/GJ</v>
          </cell>
          <cell r="M102" t="str">
            <v>g/GJ</v>
          </cell>
          <cell r="O102" t="str">
            <v>Investeringsår</v>
          </cell>
          <cell r="P102" t="str">
            <v>%</v>
          </cell>
          <cell r="Q102" t="str">
            <v>p.u.</v>
          </cell>
          <cell r="R102" t="str">
            <v>p.u.</v>
          </cell>
          <cell r="S102" t="str">
            <v>%</v>
          </cell>
          <cell r="T102" t="str">
            <v>%</v>
          </cell>
          <cell r="U102" t="str">
            <v>Mkr./MW</v>
          </cell>
          <cell r="V102" t="str">
            <v>Mkr/MWy</v>
          </cell>
          <cell r="W102" t="str">
            <v>kr/MWh</v>
          </cell>
          <cell r="X102" t="str">
            <v>p.u</v>
          </cell>
          <cell r="Y102" t="str">
            <v>g/GJ</v>
          </cell>
          <cell r="Z102" t="str">
            <v>g/GJ</v>
          </cell>
          <cell r="AA102" t="str">
            <v>g/GJ</v>
          </cell>
        </row>
        <row r="103">
          <cell r="A103" t="str">
            <v>Existing</v>
          </cell>
          <cell r="E103">
            <v>0.06</v>
          </cell>
          <cell r="F103">
            <v>0.03</v>
          </cell>
          <cell r="H103">
            <v>1.1599999999999999</v>
          </cell>
          <cell r="I103">
            <v>0</v>
          </cell>
          <cell r="O103">
            <v>2010</v>
          </cell>
          <cell r="P103">
            <v>2.8</v>
          </cell>
          <cell r="Q103">
            <v>-0.35714285714285715</v>
          </cell>
          <cell r="R103">
            <v>0</v>
          </cell>
          <cell r="S103">
            <v>0.05</v>
          </cell>
          <cell r="T103">
            <v>0.05</v>
          </cell>
          <cell r="U103">
            <v>5.0660000000000007</v>
          </cell>
          <cell r="V103">
            <v>4.0974999999999998E-2</v>
          </cell>
          <cell r="W103">
            <v>0</v>
          </cell>
          <cell r="X103">
            <v>0</v>
          </cell>
          <cell r="Y103">
            <v>0</v>
          </cell>
          <cell r="Z103">
            <v>0</v>
          </cell>
          <cell r="AA103">
            <v>0</v>
          </cell>
        </row>
        <row r="104">
          <cell r="A104">
            <v>2010</v>
          </cell>
          <cell r="B104">
            <v>0.22799999999999998</v>
          </cell>
          <cell r="C104">
            <v>0.32432432432432434</v>
          </cell>
          <cell r="D104">
            <v>0</v>
          </cell>
          <cell r="E104">
            <v>0.06</v>
          </cell>
          <cell r="F104">
            <v>0.01</v>
          </cell>
          <cell r="G104">
            <v>63.325000000000003</v>
          </cell>
          <cell r="H104">
            <v>1.1599999999999999</v>
          </cell>
          <cell r="I104">
            <v>0</v>
          </cell>
          <cell r="J104">
            <v>0.98199999999999998</v>
          </cell>
          <cell r="K104">
            <v>124</v>
          </cell>
          <cell r="L104">
            <v>0.59</v>
          </cell>
          <cell r="M104">
            <v>1.2</v>
          </cell>
          <cell r="O104">
            <v>2011</v>
          </cell>
          <cell r="P104">
            <v>2.8</v>
          </cell>
          <cell r="Q104">
            <v>-0.35714285714285715</v>
          </cell>
          <cell r="R104">
            <v>0</v>
          </cell>
          <cell r="S104">
            <v>0.05</v>
          </cell>
          <cell r="T104">
            <v>0.05</v>
          </cell>
          <cell r="U104">
            <v>5.0660000000000007</v>
          </cell>
          <cell r="V104">
            <v>4.0974999999999998E-2</v>
          </cell>
          <cell r="W104">
            <v>0</v>
          </cell>
          <cell r="X104">
            <v>0</v>
          </cell>
          <cell r="Y104">
            <v>0</v>
          </cell>
          <cell r="Z104">
            <v>0</v>
          </cell>
          <cell r="AA104">
            <v>0</v>
          </cell>
        </row>
        <row r="105">
          <cell r="A105">
            <v>2011</v>
          </cell>
          <cell r="B105">
            <v>0.22799999999999998</v>
          </cell>
          <cell r="C105">
            <v>0.32432432432432434</v>
          </cell>
          <cell r="D105">
            <v>0</v>
          </cell>
          <cell r="E105">
            <v>0.06</v>
          </cell>
          <cell r="F105">
            <v>0.01</v>
          </cell>
          <cell r="G105">
            <v>63.325000000000003</v>
          </cell>
          <cell r="H105">
            <v>1.1599999999999999</v>
          </cell>
          <cell r="I105">
            <v>0</v>
          </cell>
          <cell r="J105">
            <v>0.98199999999999998</v>
          </cell>
          <cell r="K105">
            <v>124</v>
          </cell>
          <cell r="L105">
            <v>0.59</v>
          </cell>
          <cell r="M105">
            <v>1.2</v>
          </cell>
          <cell r="O105">
            <v>2012</v>
          </cell>
          <cell r="P105">
            <v>2.8</v>
          </cell>
          <cell r="Q105">
            <v>-0.35714285714285715</v>
          </cell>
          <cell r="R105">
            <v>0</v>
          </cell>
          <cell r="S105">
            <v>0.05</v>
          </cell>
          <cell r="T105">
            <v>0.05</v>
          </cell>
          <cell r="U105">
            <v>5.0660000000000007</v>
          </cell>
          <cell r="V105">
            <v>4.0974999999999998E-2</v>
          </cell>
          <cell r="W105">
            <v>0</v>
          </cell>
          <cell r="X105">
            <v>0</v>
          </cell>
          <cell r="Y105">
            <v>0</v>
          </cell>
          <cell r="Z105">
            <v>0</v>
          </cell>
          <cell r="AA105">
            <v>0</v>
          </cell>
        </row>
        <row r="106">
          <cell r="A106">
            <v>2012</v>
          </cell>
          <cell r="B106">
            <v>0.22799999999999998</v>
          </cell>
          <cell r="C106">
            <v>0.32432432432432434</v>
          </cell>
          <cell r="D106">
            <v>0</v>
          </cell>
          <cell r="E106">
            <v>0.06</v>
          </cell>
          <cell r="F106">
            <v>0.01</v>
          </cell>
          <cell r="G106">
            <v>63.325000000000003</v>
          </cell>
          <cell r="H106">
            <v>1.1599999999999999</v>
          </cell>
          <cell r="I106">
            <v>0</v>
          </cell>
          <cell r="J106">
            <v>0.98199999999999998</v>
          </cell>
          <cell r="K106">
            <v>124</v>
          </cell>
          <cell r="L106">
            <v>0.59</v>
          </cell>
          <cell r="M106">
            <v>1.2</v>
          </cell>
          <cell r="O106">
            <v>2013</v>
          </cell>
          <cell r="P106">
            <v>2.8</v>
          </cell>
          <cell r="Q106">
            <v>-0.35714285714285715</v>
          </cell>
          <cell r="R106">
            <v>0</v>
          </cell>
          <cell r="S106">
            <v>0.05</v>
          </cell>
          <cell r="T106">
            <v>0.05</v>
          </cell>
          <cell r="U106">
            <v>5.0660000000000007</v>
          </cell>
          <cell r="V106">
            <v>4.0974999999999998E-2</v>
          </cell>
          <cell r="W106">
            <v>0</v>
          </cell>
          <cell r="X106">
            <v>0</v>
          </cell>
          <cell r="Y106">
            <v>0</v>
          </cell>
          <cell r="Z106">
            <v>0</v>
          </cell>
          <cell r="AA106">
            <v>0</v>
          </cell>
        </row>
        <row r="107">
          <cell r="A107">
            <v>2013</v>
          </cell>
          <cell r="B107">
            <v>0.22799999999999998</v>
          </cell>
          <cell r="C107">
            <v>0.32432432432432434</v>
          </cell>
          <cell r="D107">
            <v>0</v>
          </cell>
          <cell r="E107">
            <v>0.06</v>
          </cell>
          <cell r="F107">
            <v>0.01</v>
          </cell>
          <cell r="G107">
            <v>63.325000000000003</v>
          </cell>
          <cell r="H107">
            <v>1.1599999999999999</v>
          </cell>
          <cell r="I107">
            <v>0</v>
          </cell>
          <cell r="J107">
            <v>0.98199999999999998</v>
          </cell>
          <cell r="K107">
            <v>124</v>
          </cell>
          <cell r="L107">
            <v>0.59</v>
          </cell>
          <cell r="M107">
            <v>1.2</v>
          </cell>
          <cell r="O107">
            <v>2014</v>
          </cell>
          <cell r="P107">
            <v>2.8</v>
          </cell>
          <cell r="Q107">
            <v>-0.35714285714285715</v>
          </cell>
          <cell r="R107">
            <v>0</v>
          </cell>
          <cell r="S107">
            <v>0.05</v>
          </cell>
          <cell r="T107">
            <v>0.05</v>
          </cell>
          <cell r="U107">
            <v>5.0660000000000007</v>
          </cell>
          <cell r="V107">
            <v>4.0974999999999998E-2</v>
          </cell>
          <cell r="W107">
            <v>0</v>
          </cell>
          <cell r="X107">
            <v>0</v>
          </cell>
          <cell r="Y107">
            <v>0</v>
          </cell>
          <cell r="Z107">
            <v>0</v>
          </cell>
          <cell r="AA107">
            <v>0</v>
          </cell>
        </row>
        <row r="108">
          <cell r="A108">
            <v>2014</v>
          </cell>
          <cell r="B108">
            <v>0.22799999999999998</v>
          </cell>
          <cell r="C108">
            <v>0.32432432432432434</v>
          </cell>
          <cell r="D108">
            <v>0</v>
          </cell>
          <cell r="E108">
            <v>0.06</v>
          </cell>
          <cell r="F108">
            <v>0.01</v>
          </cell>
          <cell r="G108">
            <v>63.325000000000003</v>
          </cell>
          <cell r="H108">
            <v>1.1599999999999999</v>
          </cell>
          <cell r="I108">
            <v>0</v>
          </cell>
          <cell r="J108">
            <v>0.98199999999999998</v>
          </cell>
          <cell r="K108">
            <v>124</v>
          </cell>
          <cell r="L108">
            <v>0.59</v>
          </cell>
          <cell r="M108">
            <v>1.2</v>
          </cell>
          <cell r="O108">
            <v>2015</v>
          </cell>
          <cell r="P108">
            <v>2.8</v>
          </cell>
          <cell r="Q108">
            <v>-0.35714285714285715</v>
          </cell>
          <cell r="R108">
            <v>0</v>
          </cell>
          <cell r="S108">
            <v>0.05</v>
          </cell>
          <cell r="T108">
            <v>0.05</v>
          </cell>
          <cell r="U108">
            <v>5.0660000000000007</v>
          </cell>
          <cell r="V108">
            <v>4.0974999999999998E-2</v>
          </cell>
          <cell r="W108">
            <v>0</v>
          </cell>
          <cell r="X108">
            <v>0</v>
          </cell>
          <cell r="Y108">
            <v>0</v>
          </cell>
          <cell r="Z108">
            <v>0</v>
          </cell>
          <cell r="AA108">
            <v>0</v>
          </cell>
        </row>
        <row r="109">
          <cell r="A109">
            <v>2015</v>
          </cell>
          <cell r="B109">
            <v>0.22799999999999998</v>
          </cell>
          <cell r="C109">
            <v>0.32432432432432434</v>
          </cell>
          <cell r="D109">
            <v>0</v>
          </cell>
          <cell r="E109">
            <v>0.06</v>
          </cell>
          <cell r="F109">
            <v>0.01</v>
          </cell>
          <cell r="G109">
            <v>63.325000000000003</v>
          </cell>
          <cell r="H109">
            <v>1.1599999999999999</v>
          </cell>
          <cell r="I109">
            <v>0</v>
          </cell>
          <cell r="J109">
            <v>0.98199999999999998</v>
          </cell>
          <cell r="K109">
            <v>124</v>
          </cell>
          <cell r="L109">
            <v>0.59</v>
          </cell>
          <cell r="M109">
            <v>1.2</v>
          </cell>
          <cell r="O109">
            <v>2016</v>
          </cell>
          <cell r="P109">
            <v>2.82</v>
          </cell>
          <cell r="Q109">
            <v>-0.3546099290780142</v>
          </cell>
          <cell r="R109">
            <v>0</v>
          </cell>
          <cell r="S109">
            <v>0.05</v>
          </cell>
          <cell r="T109">
            <v>0.05</v>
          </cell>
          <cell r="U109">
            <v>4.9915000000000003</v>
          </cell>
          <cell r="V109">
            <v>3.8218499999999996E-2</v>
          </cell>
          <cell r="W109">
            <v>0</v>
          </cell>
          <cell r="X109">
            <v>0</v>
          </cell>
          <cell r="Y109">
            <v>0</v>
          </cell>
          <cell r="Z109">
            <v>0</v>
          </cell>
          <cell r="AA109">
            <v>0</v>
          </cell>
        </row>
        <row r="110">
          <cell r="A110">
            <v>2016</v>
          </cell>
          <cell r="B110">
            <v>0.23179999999999998</v>
          </cell>
          <cell r="C110">
            <v>0.3326988960791778</v>
          </cell>
          <cell r="D110">
            <v>0</v>
          </cell>
          <cell r="E110">
            <v>0.06</v>
          </cell>
          <cell r="F110">
            <v>0.01</v>
          </cell>
          <cell r="G110">
            <v>63.325000000000003</v>
          </cell>
          <cell r="H110">
            <v>1.1599999999999999</v>
          </cell>
          <cell r="I110">
            <v>0</v>
          </cell>
          <cell r="J110">
            <v>0.98239999999999994</v>
          </cell>
          <cell r="K110">
            <v>105.2</v>
          </cell>
          <cell r="L110">
            <v>0.59</v>
          </cell>
          <cell r="M110">
            <v>1.2</v>
          </cell>
          <cell r="O110">
            <v>2017</v>
          </cell>
          <cell r="P110">
            <v>2.84</v>
          </cell>
          <cell r="Q110">
            <v>-0.35211267605633806</v>
          </cell>
          <cell r="R110">
            <v>0</v>
          </cell>
          <cell r="S110">
            <v>0.05</v>
          </cell>
          <cell r="T110">
            <v>0.05</v>
          </cell>
          <cell r="U110">
            <v>4.9169999999999998</v>
          </cell>
          <cell r="V110">
            <v>3.5461999999999994E-2</v>
          </cell>
          <cell r="W110">
            <v>0</v>
          </cell>
          <cell r="X110">
            <v>0</v>
          </cell>
          <cell r="Y110">
            <v>0</v>
          </cell>
          <cell r="Z110">
            <v>0</v>
          </cell>
          <cell r="AA110">
            <v>0</v>
          </cell>
        </row>
        <row r="111">
          <cell r="A111">
            <v>2017</v>
          </cell>
          <cell r="B111">
            <v>0.23559999999999998</v>
          </cell>
          <cell r="C111">
            <v>0.34107346783403125</v>
          </cell>
          <cell r="D111">
            <v>0</v>
          </cell>
          <cell r="E111">
            <v>0.06</v>
          </cell>
          <cell r="F111">
            <v>0.01</v>
          </cell>
          <cell r="G111">
            <v>63.325000000000003</v>
          </cell>
          <cell r="H111">
            <v>1.1599999999999999</v>
          </cell>
          <cell r="I111">
            <v>0</v>
          </cell>
          <cell r="J111">
            <v>0.9827999999999999</v>
          </cell>
          <cell r="K111">
            <v>86.4</v>
          </cell>
          <cell r="L111">
            <v>0.59</v>
          </cell>
          <cell r="M111">
            <v>1.2</v>
          </cell>
          <cell r="O111">
            <v>2018</v>
          </cell>
          <cell r="P111">
            <v>2.86</v>
          </cell>
          <cell r="Q111">
            <v>-0.34965034965034969</v>
          </cell>
          <cell r="R111">
            <v>0</v>
          </cell>
          <cell r="S111">
            <v>0.05</v>
          </cell>
          <cell r="T111">
            <v>0.05</v>
          </cell>
          <cell r="U111">
            <v>4.8424999999999994</v>
          </cell>
          <cell r="V111">
            <v>3.2705499999999992E-2</v>
          </cell>
          <cell r="W111">
            <v>0</v>
          </cell>
          <cell r="X111">
            <v>0</v>
          </cell>
          <cell r="Y111">
            <v>0</v>
          </cell>
          <cell r="Z111">
            <v>0</v>
          </cell>
          <cell r="AA111">
            <v>0</v>
          </cell>
        </row>
        <row r="112">
          <cell r="A112">
            <v>2018</v>
          </cell>
          <cell r="B112">
            <v>0.23939999999999997</v>
          </cell>
          <cell r="C112">
            <v>0.34944803958888471</v>
          </cell>
          <cell r="D112">
            <v>0</v>
          </cell>
          <cell r="E112">
            <v>0.06</v>
          </cell>
          <cell r="F112">
            <v>0.01</v>
          </cell>
          <cell r="G112">
            <v>63.325000000000003</v>
          </cell>
          <cell r="H112">
            <v>1.1599999999999999</v>
          </cell>
          <cell r="I112">
            <v>0</v>
          </cell>
          <cell r="J112">
            <v>0.98319999999999985</v>
          </cell>
          <cell r="K112">
            <v>67.600000000000009</v>
          </cell>
          <cell r="L112">
            <v>0.59</v>
          </cell>
          <cell r="M112">
            <v>1.2</v>
          </cell>
          <cell r="O112">
            <v>2019</v>
          </cell>
          <cell r="P112">
            <v>2.88</v>
          </cell>
          <cell r="Q112">
            <v>-0.34722222222222221</v>
          </cell>
          <cell r="R112">
            <v>0</v>
          </cell>
          <cell r="S112">
            <v>0.05</v>
          </cell>
          <cell r="T112">
            <v>0.05</v>
          </cell>
          <cell r="U112">
            <v>4.7679999999999989</v>
          </cell>
          <cell r="V112">
            <v>2.9948999999999993E-2</v>
          </cell>
          <cell r="W112">
            <v>0</v>
          </cell>
          <cell r="X112">
            <v>0</v>
          </cell>
          <cell r="Y112">
            <v>0</v>
          </cell>
          <cell r="Z112">
            <v>0</v>
          </cell>
          <cell r="AA112">
            <v>0</v>
          </cell>
        </row>
        <row r="113">
          <cell r="A113">
            <v>2019</v>
          </cell>
          <cell r="B113">
            <v>0.24319999999999997</v>
          </cell>
          <cell r="C113">
            <v>0.35782261134373816</v>
          </cell>
          <cell r="D113">
            <v>0</v>
          </cell>
          <cell r="E113">
            <v>0.06</v>
          </cell>
          <cell r="F113">
            <v>0.01</v>
          </cell>
          <cell r="G113">
            <v>63.325000000000003</v>
          </cell>
          <cell r="H113">
            <v>1.1599999999999999</v>
          </cell>
          <cell r="I113">
            <v>0</v>
          </cell>
          <cell r="J113">
            <v>0.98359999999999981</v>
          </cell>
          <cell r="K113">
            <v>48.800000000000011</v>
          </cell>
          <cell r="L113">
            <v>0.59</v>
          </cell>
          <cell r="M113">
            <v>1.2</v>
          </cell>
          <cell r="O113">
            <v>2020</v>
          </cell>
          <cell r="P113">
            <v>2.9</v>
          </cell>
          <cell r="Q113">
            <v>-0.34482758620689657</v>
          </cell>
          <cell r="R113">
            <v>0</v>
          </cell>
          <cell r="S113">
            <v>0.05</v>
          </cell>
          <cell r="T113">
            <v>0.05</v>
          </cell>
          <cell r="U113">
            <v>4.6935000000000002</v>
          </cell>
          <cell r="V113">
            <v>2.7192500000000001E-2</v>
          </cell>
          <cell r="W113">
            <v>0</v>
          </cell>
          <cell r="X113">
            <v>0</v>
          </cell>
          <cell r="Y113">
            <v>0</v>
          </cell>
          <cell r="Z113">
            <v>0</v>
          </cell>
          <cell r="AA113">
            <v>0</v>
          </cell>
        </row>
        <row r="114">
          <cell r="A114">
            <v>2020</v>
          </cell>
          <cell r="B114">
            <v>0.247</v>
          </cell>
          <cell r="C114">
            <v>0.36619718309859156</v>
          </cell>
          <cell r="D114">
            <v>0</v>
          </cell>
          <cell r="E114">
            <v>0.06</v>
          </cell>
          <cell r="F114">
            <v>0.01</v>
          </cell>
          <cell r="G114">
            <v>63.325000000000003</v>
          </cell>
          <cell r="H114">
            <v>1.1599999999999999</v>
          </cell>
          <cell r="I114">
            <v>0</v>
          </cell>
          <cell r="J114">
            <v>0.98399999999999999</v>
          </cell>
          <cell r="K114">
            <v>30</v>
          </cell>
          <cell r="L114">
            <v>0.59</v>
          </cell>
          <cell r="M114">
            <v>1.2</v>
          </cell>
          <cell r="O114">
            <v>2021</v>
          </cell>
          <cell r="P114">
            <v>2.91</v>
          </cell>
          <cell r="Q114">
            <v>-0.3436426116838488</v>
          </cell>
          <cell r="R114">
            <v>0</v>
          </cell>
          <cell r="S114">
            <v>0.05</v>
          </cell>
          <cell r="T114">
            <v>0.05</v>
          </cell>
          <cell r="U114">
            <v>4.6525249999999998</v>
          </cell>
          <cell r="V114">
            <v>2.7192500000000001E-2</v>
          </cell>
          <cell r="W114">
            <v>0</v>
          </cell>
          <cell r="X114">
            <v>0</v>
          </cell>
          <cell r="Y114">
            <v>0</v>
          </cell>
          <cell r="Z114">
            <v>0</v>
          </cell>
          <cell r="AA114">
            <v>0</v>
          </cell>
        </row>
        <row r="115">
          <cell r="A115">
            <v>2021</v>
          </cell>
          <cell r="B115">
            <v>0.247</v>
          </cell>
          <cell r="C115">
            <v>0.36619718309859156</v>
          </cell>
          <cell r="D115">
            <v>0</v>
          </cell>
          <cell r="E115">
            <v>0.06</v>
          </cell>
          <cell r="F115">
            <v>0.01</v>
          </cell>
          <cell r="G115">
            <v>63.325000000000003</v>
          </cell>
          <cell r="H115">
            <v>1.1599999999999999</v>
          </cell>
          <cell r="I115">
            <v>0</v>
          </cell>
          <cell r="J115">
            <v>0.98399999999999999</v>
          </cell>
          <cell r="K115">
            <v>30</v>
          </cell>
          <cell r="L115">
            <v>0.59</v>
          </cell>
          <cell r="M115">
            <v>1.2</v>
          </cell>
          <cell r="O115">
            <v>2022</v>
          </cell>
          <cell r="P115">
            <v>2.92</v>
          </cell>
          <cell r="Q115">
            <v>-0.34246575342465752</v>
          </cell>
          <cell r="R115">
            <v>0</v>
          </cell>
          <cell r="S115">
            <v>0.05</v>
          </cell>
          <cell r="T115">
            <v>0.05</v>
          </cell>
          <cell r="U115">
            <v>4.6115499999999994</v>
          </cell>
          <cell r="V115">
            <v>2.7192500000000001E-2</v>
          </cell>
          <cell r="W115">
            <v>0</v>
          </cell>
          <cell r="X115">
            <v>0</v>
          </cell>
          <cell r="Y115">
            <v>0</v>
          </cell>
          <cell r="Z115">
            <v>0</v>
          </cell>
          <cell r="AA115">
            <v>0</v>
          </cell>
        </row>
        <row r="116">
          <cell r="A116">
            <v>2022</v>
          </cell>
          <cell r="B116">
            <v>0.247</v>
          </cell>
          <cell r="C116">
            <v>0.36619718309859156</v>
          </cell>
          <cell r="D116">
            <v>0</v>
          </cell>
          <cell r="E116">
            <v>0.06</v>
          </cell>
          <cell r="F116">
            <v>0.01</v>
          </cell>
          <cell r="G116">
            <v>63.325000000000003</v>
          </cell>
          <cell r="H116">
            <v>1.1599999999999999</v>
          </cell>
          <cell r="I116">
            <v>0</v>
          </cell>
          <cell r="J116">
            <v>0.98399999999999999</v>
          </cell>
          <cell r="K116">
            <v>30</v>
          </cell>
          <cell r="L116">
            <v>0.59</v>
          </cell>
          <cell r="M116">
            <v>1.2</v>
          </cell>
          <cell r="O116">
            <v>2023</v>
          </cell>
          <cell r="P116">
            <v>2.9299999999999997</v>
          </cell>
          <cell r="Q116">
            <v>-0.34129692832764508</v>
          </cell>
          <cell r="R116">
            <v>0</v>
          </cell>
          <cell r="S116">
            <v>0.05</v>
          </cell>
          <cell r="T116">
            <v>0.05</v>
          </cell>
          <cell r="U116">
            <v>4.5705749999999989</v>
          </cell>
          <cell r="V116">
            <v>2.7192500000000001E-2</v>
          </cell>
          <cell r="W116">
            <v>0</v>
          </cell>
          <cell r="X116">
            <v>0</v>
          </cell>
          <cell r="Y116">
            <v>0</v>
          </cell>
          <cell r="Z116">
            <v>0</v>
          </cell>
          <cell r="AA116">
            <v>0</v>
          </cell>
        </row>
        <row r="117">
          <cell r="A117">
            <v>2023</v>
          </cell>
          <cell r="B117">
            <v>0.247</v>
          </cell>
          <cell r="C117">
            <v>0.36619718309859156</v>
          </cell>
          <cell r="D117">
            <v>0</v>
          </cell>
          <cell r="E117">
            <v>0.06</v>
          </cell>
          <cell r="F117">
            <v>0.01</v>
          </cell>
          <cell r="G117">
            <v>63.325000000000003</v>
          </cell>
          <cell r="H117">
            <v>1.1599999999999999</v>
          </cell>
          <cell r="I117">
            <v>0</v>
          </cell>
          <cell r="J117">
            <v>0.98399999999999999</v>
          </cell>
          <cell r="K117">
            <v>30</v>
          </cell>
          <cell r="L117">
            <v>0.59</v>
          </cell>
          <cell r="M117">
            <v>1.2</v>
          </cell>
          <cell r="O117">
            <v>2024</v>
          </cell>
          <cell r="P117">
            <v>2.9399999999999995</v>
          </cell>
          <cell r="Q117">
            <v>-0.34013605442176875</v>
          </cell>
          <cell r="R117">
            <v>0</v>
          </cell>
          <cell r="S117">
            <v>0.05</v>
          </cell>
          <cell r="T117">
            <v>0.05</v>
          </cell>
          <cell r="U117">
            <v>4.5295999999999985</v>
          </cell>
          <cell r="V117">
            <v>2.7192500000000001E-2</v>
          </cell>
          <cell r="W117">
            <v>0</v>
          </cell>
          <cell r="X117">
            <v>0</v>
          </cell>
          <cell r="Y117">
            <v>0</v>
          </cell>
          <cell r="Z117">
            <v>0</v>
          </cell>
          <cell r="AA117">
            <v>0</v>
          </cell>
        </row>
        <row r="118">
          <cell r="A118">
            <v>2024</v>
          </cell>
          <cell r="B118">
            <v>0.247</v>
          </cell>
          <cell r="C118">
            <v>0.36619718309859156</v>
          </cell>
          <cell r="D118">
            <v>0</v>
          </cell>
          <cell r="E118">
            <v>0.06</v>
          </cell>
          <cell r="F118">
            <v>0.01</v>
          </cell>
          <cell r="G118">
            <v>63.325000000000003</v>
          </cell>
          <cell r="H118">
            <v>1.1599999999999999</v>
          </cell>
          <cell r="I118">
            <v>0</v>
          </cell>
          <cell r="J118">
            <v>0.98399999999999999</v>
          </cell>
          <cell r="K118">
            <v>30</v>
          </cell>
          <cell r="L118">
            <v>0.59</v>
          </cell>
          <cell r="M118">
            <v>1.2</v>
          </cell>
          <cell r="O118">
            <v>2025</v>
          </cell>
          <cell r="P118">
            <v>2.9499999999999993</v>
          </cell>
          <cell r="Q118">
            <v>-0.33898305084745772</v>
          </cell>
          <cell r="R118">
            <v>0</v>
          </cell>
          <cell r="S118">
            <v>0.05</v>
          </cell>
          <cell r="T118">
            <v>0.05</v>
          </cell>
          <cell r="U118">
            <v>4.4886249999999981</v>
          </cell>
          <cell r="V118">
            <v>2.7192500000000001E-2</v>
          </cell>
          <cell r="W118">
            <v>0</v>
          </cell>
          <cell r="X118">
            <v>0</v>
          </cell>
          <cell r="Y118">
            <v>0</v>
          </cell>
          <cell r="Z118">
            <v>0</v>
          </cell>
          <cell r="AA118">
            <v>0</v>
          </cell>
        </row>
        <row r="119">
          <cell r="A119">
            <v>2025</v>
          </cell>
          <cell r="B119">
            <v>0.247</v>
          </cell>
          <cell r="C119">
            <v>0.36619718309859156</v>
          </cell>
          <cell r="D119">
            <v>0</v>
          </cell>
          <cell r="E119">
            <v>0.06</v>
          </cell>
          <cell r="F119">
            <v>0.01</v>
          </cell>
          <cell r="G119">
            <v>63.325000000000003</v>
          </cell>
          <cell r="H119">
            <v>1.1599999999999999</v>
          </cell>
          <cell r="I119">
            <v>0</v>
          </cell>
          <cell r="J119">
            <v>0.98399999999999999</v>
          </cell>
          <cell r="K119">
            <v>30</v>
          </cell>
          <cell r="L119">
            <v>0.59</v>
          </cell>
          <cell r="M119">
            <v>1.2</v>
          </cell>
          <cell r="O119">
            <v>2026</v>
          </cell>
          <cell r="P119">
            <v>2.9599999999999991</v>
          </cell>
          <cell r="Q119">
            <v>-0.33783783783783794</v>
          </cell>
          <cell r="R119">
            <v>0</v>
          </cell>
          <cell r="S119">
            <v>0.05</v>
          </cell>
          <cell r="T119">
            <v>0.05</v>
          </cell>
          <cell r="U119">
            <v>4.4476499999999977</v>
          </cell>
          <cell r="V119">
            <v>2.7192500000000001E-2</v>
          </cell>
          <cell r="W119">
            <v>0</v>
          </cell>
          <cell r="X119">
            <v>0</v>
          </cell>
          <cell r="Y119">
            <v>0</v>
          </cell>
          <cell r="Z119">
            <v>0</v>
          </cell>
          <cell r="AA119">
            <v>0</v>
          </cell>
        </row>
        <row r="120">
          <cell r="A120">
            <v>2026</v>
          </cell>
          <cell r="B120">
            <v>0.247</v>
          </cell>
          <cell r="C120">
            <v>0.36619718309859156</v>
          </cell>
          <cell r="D120">
            <v>0</v>
          </cell>
          <cell r="E120">
            <v>0.06</v>
          </cell>
          <cell r="F120">
            <v>0.01</v>
          </cell>
          <cell r="G120">
            <v>63.325000000000003</v>
          </cell>
          <cell r="H120">
            <v>1.1599999999999999</v>
          </cell>
          <cell r="I120">
            <v>0</v>
          </cell>
          <cell r="J120">
            <v>0.98399999999999999</v>
          </cell>
          <cell r="K120">
            <v>30</v>
          </cell>
          <cell r="L120">
            <v>0.59</v>
          </cell>
          <cell r="M120">
            <v>1.2</v>
          </cell>
          <cell r="O120">
            <v>2027</v>
          </cell>
          <cell r="P120">
            <v>2.9699999999999989</v>
          </cell>
          <cell r="Q120">
            <v>-0.33670033670033683</v>
          </cell>
          <cell r="R120">
            <v>0</v>
          </cell>
          <cell r="S120">
            <v>0.05</v>
          </cell>
          <cell r="T120">
            <v>0.05</v>
          </cell>
          <cell r="U120">
            <v>4.4066749999999972</v>
          </cell>
          <cell r="V120">
            <v>2.7192500000000001E-2</v>
          </cell>
          <cell r="W120">
            <v>0</v>
          </cell>
          <cell r="X120">
            <v>0</v>
          </cell>
          <cell r="Y120">
            <v>0</v>
          </cell>
          <cell r="Z120">
            <v>0</v>
          </cell>
          <cell r="AA120">
            <v>0</v>
          </cell>
        </row>
        <row r="121">
          <cell r="A121">
            <v>2027</v>
          </cell>
          <cell r="B121">
            <v>0.247</v>
          </cell>
          <cell r="C121">
            <v>0.36619718309859156</v>
          </cell>
          <cell r="D121">
            <v>0</v>
          </cell>
          <cell r="E121">
            <v>0.06</v>
          </cell>
          <cell r="F121">
            <v>0.01</v>
          </cell>
          <cell r="G121">
            <v>63.325000000000003</v>
          </cell>
          <cell r="H121">
            <v>1.1599999999999999</v>
          </cell>
          <cell r="I121">
            <v>0</v>
          </cell>
          <cell r="J121">
            <v>0.98399999999999999</v>
          </cell>
          <cell r="K121">
            <v>30</v>
          </cell>
          <cell r="L121">
            <v>0.59</v>
          </cell>
          <cell r="M121">
            <v>1.2</v>
          </cell>
          <cell r="O121">
            <v>2028</v>
          </cell>
          <cell r="P121">
            <v>2.9799999999999986</v>
          </cell>
          <cell r="Q121">
            <v>-0.33557046979865784</v>
          </cell>
          <cell r="R121">
            <v>0</v>
          </cell>
          <cell r="S121">
            <v>0.05</v>
          </cell>
          <cell r="T121">
            <v>0.05</v>
          </cell>
          <cell r="U121">
            <v>4.3656999999999968</v>
          </cell>
          <cell r="V121">
            <v>2.7192500000000001E-2</v>
          </cell>
          <cell r="W121">
            <v>0</v>
          </cell>
          <cell r="X121">
            <v>0</v>
          </cell>
          <cell r="Y121">
            <v>0</v>
          </cell>
          <cell r="Z121">
            <v>0</v>
          </cell>
          <cell r="AA121">
            <v>0</v>
          </cell>
        </row>
        <row r="122">
          <cell r="A122">
            <v>2028</v>
          </cell>
          <cell r="B122">
            <v>0.247</v>
          </cell>
          <cell r="C122">
            <v>0.36619718309859156</v>
          </cell>
          <cell r="D122">
            <v>0</v>
          </cell>
          <cell r="E122">
            <v>0.06</v>
          </cell>
          <cell r="F122">
            <v>0.01</v>
          </cell>
          <cell r="G122">
            <v>63.325000000000003</v>
          </cell>
          <cell r="H122">
            <v>1.1599999999999999</v>
          </cell>
          <cell r="I122">
            <v>0</v>
          </cell>
          <cell r="J122">
            <v>0.98399999999999999</v>
          </cell>
          <cell r="K122">
            <v>30</v>
          </cell>
          <cell r="L122">
            <v>0.59</v>
          </cell>
          <cell r="M122">
            <v>1.2</v>
          </cell>
          <cell r="O122">
            <v>2029</v>
          </cell>
          <cell r="P122">
            <v>2.9899999999999984</v>
          </cell>
          <cell r="Q122">
            <v>-0.33444816053511722</v>
          </cell>
          <cell r="R122">
            <v>0</v>
          </cell>
          <cell r="S122">
            <v>0.05</v>
          </cell>
          <cell r="T122">
            <v>0.05</v>
          </cell>
          <cell r="U122">
            <v>4.3247249999999964</v>
          </cell>
          <cell r="V122">
            <v>2.7192500000000001E-2</v>
          </cell>
          <cell r="W122">
            <v>0</v>
          </cell>
          <cell r="X122">
            <v>0</v>
          </cell>
          <cell r="Y122">
            <v>0</v>
          </cell>
          <cell r="Z122">
            <v>0</v>
          </cell>
          <cell r="AA122">
            <v>0</v>
          </cell>
        </row>
        <row r="123">
          <cell r="A123">
            <v>2029</v>
          </cell>
          <cell r="B123">
            <v>0.247</v>
          </cell>
          <cell r="C123">
            <v>0.36619718309859156</v>
          </cell>
          <cell r="D123">
            <v>0</v>
          </cell>
          <cell r="E123">
            <v>0.06</v>
          </cell>
          <cell r="F123">
            <v>0.01</v>
          </cell>
          <cell r="G123">
            <v>63.325000000000003</v>
          </cell>
          <cell r="H123">
            <v>1.1599999999999999</v>
          </cell>
          <cell r="I123">
            <v>0</v>
          </cell>
          <cell r="J123">
            <v>0.98399999999999999</v>
          </cell>
          <cell r="K123">
            <v>30</v>
          </cell>
          <cell r="L123">
            <v>0.59</v>
          </cell>
          <cell r="M123">
            <v>1.2</v>
          </cell>
          <cell r="O123">
            <v>2030</v>
          </cell>
          <cell r="P123">
            <v>3</v>
          </cell>
          <cell r="Q123">
            <v>-0.33333333333333331</v>
          </cell>
          <cell r="R123">
            <v>0</v>
          </cell>
          <cell r="S123">
            <v>0.05</v>
          </cell>
          <cell r="T123">
            <v>0.05</v>
          </cell>
          <cell r="U123">
            <v>4.2837499999999995</v>
          </cell>
          <cell r="V123">
            <v>2.7192500000000001E-2</v>
          </cell>
          <cell r="W123">
            <v>0</v>
          </cell>
          <cell r="X123">
            <v>0</v>
          </cell>
          <cell r="Y123">
            <v>0</v>
          </cell>
          <cell r="Z123">
            <v>0</v>
          </cell>
          <cell r="AA123">
            <v>0</v>
          </cell>
        </row>
        <row r="124">
          <cell r="A124">
            <v>2030</v>
          </cell>
          <cell r="B124">
            <v>0.247</v>
          </cell>
          <cell r="C124">
            <v>0.36619718309859156</v>
          </cell>
          <cell r="D124">
            <v>0</v>
          </cell>
          <cell r="E124">
            <v>0.06</v>
          </cell>
          <cell r="F124">
            <v>0.01</v>
          </cell>
          <cell r="G124">
            <v>63.325000000000003</v>
          </cell>
          <cell r="H124">
            <v>1.1599999999999999</v>
          </cell>
          <cell r="I124">
            <v>0</v>
          </cell>
          <cell r="J124">
            <v>0.98399999999999999</v>
          </cell>
          <cell r="K124">
            <v>30</v>
          </cell>
          <cell r="L124">
            <v>0.59</v>
          </cell>
          <cell r="M124">
            <v>1.2</v>
          </cell>
          <cell r="O124">
            <v>2031</v>
          </cell>
          <cell r="P124">
            <v>3</v>
          </cell>
          <cell r="Q124">
            <v>-0.33333333333333331</v>
          </cell>
          <cell r="R124">
            <v>0</v>
          </cell>
          <cell r="S124">
            <v>0.05</v>
          </cell>
          <cell r="T124">
            <v>0.05</v>
          </cell>
          <cell r="U124">
            <v>4.2837499999999995</v>
          </cell>
          <cell r="V124">
            <v>2.7192500000000001E-2</v>
          </cell>
          <cell r="W124">
            <v>0</v>
          </cell>
          <cell r="X124">
            <v>0</v>
          </cell>
          <cell r="Y124">
            <v>0</v>
          </cell>
          <cell r="Z124">
            <v>0</v>
          </cell>
          <cell r="AA124">
            <v>0</v>
          </cell>
        </row>
        <row r="125">
          <cell r="A125">
            <v>2031</v>
          </cell>
          <cell r="B125">
            <v>0.247</v>
          </cell>
          <cell r="C125">
            <v>0.36619718309859156</v>
          </cell>
          <cell r="D125">
            <v>0</v>
          </cell>
          <cell r="E125">
            <v>0.06</v>
          </cell>
          <cell r="F125">
            <v>0.01</v>
          </cell>
          <cell r="G125">
            <v>63.325000000000003</v>
          </cell>
          <cell r="H125">
            <v>1.1599999999999999</v>
          </cell>
          <cell r="I125">
            <v>0</v>
          </cell>
          <cell r="J125">
            <v>0.98399999999999999</v>
          </cell>
          <cell r="K125">
            <v>30</v>
          </cell>
          <cell r="L125">
            <v>0.59</v>
          </cell>
          <cell r="M125">
            <v>1.2</v>
          </cell>
          <cell r="O125">
            <v>2032</v>
          </cell>
          <cell r="P125">
            <v>3</v>
          </cell>
          <cell r="Q125">
            <v>-0.33333333333333331</v>
          </cell>
          <cell r="R125">
            <v>0</v>
          </cell>
          <cell r="S125">
            <v>0.05</v>
          </cell>
          <cell r="T125">
            <v>0.05</v>
          </cell>
          <cell r="U125">
            <v>4.2837499999999995</v>
          </cell>
          <cell r="V125">
            <v>2.7192500000000001E-2</v>
          </cell>
          <cell r="W125">
            <v>0</v>
          </cell>
          <cell r="X125">
            <v>0</v>
          </cell>
          <cell r="Y125">
            <v>0</v>
          </cell>
          <cell r="Z125">
            <v>0</v>
          </cell>
          <cell r="AA125">
            <v>0</v>
          </cell>
        </row>
        <row r="126">
          <cell r="A126">
            <v>2032</v>
          </cell>
          <cell r="B126">
            <v>0.247</v>
          </cell>
          <cell r="C126">
            <v>0.36619718309859156</v>
          </cell>
          <cell r="D126">
            <v>0</v>
          </cell>
          <cell r="E126">
            <v>0.06</v>
          </cell>
          <cell r="F126">
            <v>0.01</v>
          </cell>
          <cell r="G126">
            <v>63.325000000000003</v>
          </cell>
          <cell r="H126">
            <v>1.1599999999999999</v>
          </cell>
          <cell r="I126">
            <v>0</v>
          </cell>
          <cell r="J126">
            <v>0.98399999999999999</v>
          </cell>
          <cell r="K126">
            <v>30</v>
          </cell>
          <cell r="L126">
            <v>0.59</v>
          </cell>
          <cell r="M126">
            <v>1.2</v>
          </cell>
          <cell r="O126">
            <v>2033</v>
          </cell>
          <cell r="P126">
            <v>3</v>
          </cell>
          <cell r="Q126">
            <v>-0.33333333333333331</v>
          </cell>
          <cell r="R126">
            <v>0</v>
          </cell>
          <cell r="S126">
            <v>0.05</v>
          </cell>
          <cell r="T126">
            <v>0.05</v>
          </cell>
          <cell r="U126">
            <v>4.2837499999999995</v>
          </cell>
          <cell r="V126">
            <v>2.7192500000000001E-2</v>
          </cell>
          <cell r="W126">
            <v>0</v>
          </cell>
          <cell r="X126">
            <v>0</v>
          </cell>
          <cell r="Y126">
            <v>0</v>
          </cell>
          <cell r="Z126">
            <v>0</v>
          </cell>
          <cell r="AA126">
            <v>0</v>
          </cell>
        </row>
        <row r="127">
          <cell r="A127">
            <v>2033</v>
          </cell>
          <cell r="B127">
            <v>0.247</v>
          </cell>
          <cell r="C127">
            <v>0.36619718309859156</v>
          </cell>
          <cell r="D127">
            <v>0</v>
          </cell>
          <cell r="E127">
            <v>0.06</v>
          </cell>
          <cell r="F127">
            <v>0.01</v>
          </cell>
          <cell r="G127">
            <v>63.325000000000003</v>
          </cell>
          <cell r="H127">
            <v>1.1599999999999999</v>
          </cell>
          <cell r="I127">
            <v>0</v>
          </cell>
          <cell r="J127">
            <v>0.98399999999999999</v>
          </cell>
          <cell r="K127">
            <v>30</v>
          </cell>
          <cell r="L127">
            <v>0.59</v>
          </cell>
          <cell r="M127">
            <v>1.2</v>
          </cell>
          <cell r="O127">
            <v>2034</v>
          </cell>
          <cell r="P127">
            <v>3</v>
          </cell>
          <cell r="Q127">
            <v>-0.33333333333333331</v>
          </cell>
          <cell r="R127">
            <v>0</v>
          </cell>
          <cell r="S127">
            <v>0.05</v>
          </cell>
          <cell r="T127">
            <v>0.05</v>
          </cell>
          <cell r="U127">
            <v>4.2837499999999995</v>
          </cell>
          <cell r="V127">
            <v>2.7192500000000001E-2</v>
          </cell>
          <cell r="W127">
            <v>0</v>
          </cell>
          <cell r="X127">
            <v>0</v>
          </cell>
          <cell r="Y127">
            <v>0</v>
          </cell>
          <cell r="Z127">
            <v>0</v>
          </cell>
          <cell r="AA127">
            <v>0</v>
          </cell>
        </row>
        <row r="128">
          <cell r="A128">
            <v>2034</v>
          </cell>
          <cell r="B128">
            <v>0.247</v>
          </cell>
          <cell r="C128">
            <v>0.36619718309859156</v>
          </cell>
          <cell r="D128">
            <v>0</v>
          </cell>
          <cell r="E128">
            <v>0.06</v>
          </cell>
          <cell r="F128">
            <v>0.01</v>
          </cell>
          <cell r="G128">
            <v>63.325000000000003</v>
          </cell>
          <cell r="H128">
            <v>1.1599999999999999</v>
          </cell>
          <cell r="I128">
            <v>0</v>
          </cell>
          <cell r="J128">
            <v>0.98399999999999999</v>
          </cell>
          <cell r="K128">
            <v>30</v>
          </cell>
          <cell r="L128">
            <v>0.59</v>
          </cell>
          <cell r="M128">
            <v>1.2</v>
          </cell>
          <cell r="O128">
            <v>2035</v>
          </cell>
          <cell r="P128">
            <v>3</v>
          </cell>
          <cell r="Q128">
            <v>-0.33333333333333331</v>
          </cell>
          <cell r="R128">
            <v>0</v>
          </cell>
          <cell r="S128">
            <v>0.05</v>
          </cell>
          <cell r="T128">
            <v>0.05</v>
          </cell>
          <cell r="U128">
            <v>4.2837499999999995</v>
          </cell>
          <cell r="V128">
            <v>2.7192500000000001E-2</v>
          </cell>
          <cell r="W128">
            <v>0</v>
          </cell>
          <cell r="X128">
            <v>0</v>
          </cell>
          <cell r="Y128">
            <v>0</v>
          </cell>
          <cell r="Z128">
            <v>0</v>
          </cell>
          <cell r="AA128">
            <v>0</v>
          </cell>
        </row>
        <row r="129">
          <cell r="A129">
            <v>2035</v>
          </cell>
          <cell r="B129">
            <v>0.247</v>
          </cell>
          <cell r="C129">
            <v>0.36619718309859156</v>
          </cell>
          <cell r="D129">
            <v>0</v>
          </cell>
          <cell r="E129">
            <v>0.06</v>
          </cell>
          <cell r="F129">
            <v>0.01</v>
          </cell>
          <cell r="G129">
            <v>63.325000000000003</v>
          </cell>
          <cell r="H129">
            <v>1.1599999999999999</v>
          </cell>
          <cell r="I129">
            <v>0</v>
          </cell>
          <cell r="J129">
            <v>0.98399999999999999</v>
          </cell>
          <cell r="K129">
            <v>30</v>
          </cell>
          <cell r="L129">
            <v>0.59</v>
          </cell>
          <cell r="M129">
            <v>1.2</v>
          </cell>
        </row>
        <row r="131">
          <cell r="A131" t="str">
            <v>Wood_SmallBP</v>
          </cell>
          <cell r="B131" t="str">
            <v>Eff.</v>
          </cell>
          <cell r="C131" t="str">
            <v>Cb</v>
          </cell>
          <cell r="D131" t="str">
            <v>Cv</v>
          </cell>
          <cell r="E131" t="str">
            <v>POutage</v>
          </cell>
          <cell r="F131" t="str">
            <v>UPOutage</v>
          </cell>
          <cell r="G131" t="str">
            <v>Invest</v>
          </cell>
          <cell r="H131" t="str">
            <v>O&amp;Mfixed</v>
          </cell>
          <cell r="I131" t="str">
            <v>O&amp;Mvar</v>
          </cell>
          <cell r="J131" t="str">
            <v>Desulp</v>
          </cell>
          <cell r="K131" t="str">
            <v>NO2</v>
          </cell>
          <cell r="L131" t="str">
            <v>CH4</v>
          </cell>
          <cell r="M131" t="str">
            <v>N2O</v>
          </cell>
        </row>
        <row r="132">
          <cell r="A132" t="str">
            <v>Investeringsår</v>
          </cell>
          <cell r="B132" t="str">
            <v>%</v>
          </cell>
          <cell r="C132" t="str">
            <v>p.u.</v>
          </cell>
          <cell r="D132" t="str">
            <v>p.u.</v>
          </cell>
          <cell r="E132" t="str">
            <v>%</v>
          </cell>
          <cell r="F132" t="str">
            <v>%</v>
          </cell>
          <cell r="G132" t="str">
            <v>Mkr./MW</v>
          </cell>
          <cell r="H132" t="str">
            <v>Mkr/MWy</v>
          </cell>
          <cell r="I132" t="str">
            <v>kr/MWh</v>
          </cell>
          <cell r="J132" t="str">
            <v>p.u</v>
          </cell>
          <cell r="K132" t="str">
            <v>g/GJ</v>
          </cell>
          <cell r="L132" t="str">
            <v>g/GJ</v>
          </cell>
          <cell r="M132" t="str">
            <v>g/GJ</v>
          </cell>
        </row>
        <row r="133">
          <cell r="A133">
            <v>2010</v>
          </cell>
          <cell r="B133">
            <v>0.23749999999999999</v>
          </cell>
          <cell r="C133">
            <v>0.32051282051282048</v>
          </cell>
          <cell r="D133">
            <v>0.15</v>
          </cell>
          <cell r="E133">
            <v>7.0000000000000007E-2</v>
          </cell>
          <cell r="F133">
            <v>7.0000000000000007E-2</v>
          </cell>
          <cell r="G133">
            <v>31.662500000000001</v>
          </cell>
          <cell r="H133">
            <v>0.17249999999999999</v>
          </cell>
          <cell r="I133">
            <v>24</v>
          </cell>
          <cell r="J133">
            <v>0</v>
          </cell>
          <cell r="K133">
            <v>81</v>
          </cell>
          <cell r="L133">
            <v>2</v>
          </cell>
          <cell r="M133">
            <v>0.8</v>
          </cell>
        </row>
        <row r="134">
          <cell r="A134">
            <v>2011</v>
          </cell>
          <cell r="B134">
            <v>0.23749999999999999</v>
          </cell>
          <cell r="C134">
            <v>0.32051282051282048</v>
          </cell>
          <cell r="D134">
            <v>0.15</v>
          </cell>
          <cell r="E134">
            <v>7.0000000000000007E-2</v>
          </cell>
          <cell r="F134">
            <v>7.0000000000000007E-2</v>
          </cell>
          <cell r="G134">
            <v>31.662500000000001</v>
          </cell>
          <cell r="H134">
            <v>0.17249999999999999</v>
          </cell>
          <cell r="I134">
            <v>24</v>
          </cell>
          <cell r="J134">
            <v>0</v>
          </cell>
          <cell r="K134">
            <v>81</v>
          </cell>
          <cell r="L134">
            <v>2</v>
          </cell>
          <cell r="M134">
            <v>0.8</v>
          </cell>
        </row>
        <row r="135">
          <cell r="A135">
            <v>2012</v>
          </cell>
          <cell r="B135">
            <v>0.23749999999999999</v>
          </cell>
          <cell r="C135">
            <v>0.32051282051282048</v>
          </cell>
          <cell r="D135">
            <v>0.15</v>
          </cell>
          <cell r="E135">
            <v>7.0000000000000007E-2</v>
          </cell>
          <cell r="F135">
            <v>7.0000000000000007E-2</v>
          </cell>
          <cell r="G135">
            <v>31.662500000000001</v>
          </cell>
          <cell r="H135">
            <v>0.17249999999999999</v>
          </cell>
          <cell r="I135">
            <v>24</v>
          </cell>
          <cell r="J135">
            <v>0</v>
          </cell>
          <cell r="K135">
            <v>81</v>
          </cell>
          <cell r="L135">
            <v>2</v>
          </cell>
          <cell r="M135">
            <v>0.8</v>
          </cell>
        </row>
        <row r="136">
          <cell r="A136">
            <v>2013</v>
          </cell>
          <cell r="B136">
            <v>0.23749999999999999</v>
          </cell>
          <cell r="C136">
            <v>0.32051282051282048</v>
          </cell>
          <cell r="D136">
            <v>0.15</v>
          </cell>
          <cell r="E136">
            <v>7.0000000000000007E-2</v>
          </cell>
          <cell r="F136">
            <v>7.0000000000000007E-2</v>
          </cell>
          <cell r="G136">
            <v>31.662500000000001</v>
          </cell>
          <cell r="H136">
            <v>0.17249999999999999</v>
          </cell>
          <cell r="I136">
            <v>24</v>
          </cell>
          <cell r="J136">
            <v>0</v>
          </cell>
          <cell r="K136">
            <v>81</v>
          </cell>
          <cell r="L136">
            <v>2</v>
          </cell>
          <cell r="M136">
            <v>0.8</v>
          </cell>
        </row>
        <row r="137">
          <cell r="A137">
            <v>2014</v>
          </cell>
          <cell r="B137">
            <v>0.23749999999999999</v>
          </cell>
          <cell r="C137">
            <v>0.32051282051282048</v>
          </cell>
          <cell r="D137">
            <v>0.15</v>
          </cell>
          <cell r="E137">
            <v>7.0000000000000007E-2</v>
          </cell>
          <cell r="F137">
            <v>7.0000000000000007E-2</v>
          </cell>
          <cell r="G137">
            <v>31.662500000000001</v>
          </cell>
          <cell r="H137">
            <v>0.17249999999999999</v>
          </cell>
          <cell r="I137">
            <v>24</v>
          </cell>
          <cell r="J137">
            <v>0</v>
          </cell>
          <cell r="K137">
            <v>81</v>
          </cell>
          <cell r="L137">
            <v>2</v>
          </cell>
          <cell r="M137">
            <v>0.8</v>
          </cell>
        </row>
        <row r="138">
          <cell r="A138">
            <v>2015</v>
          </cell>
          <cell r="B138">
            <v>0.23749999999999999</v>
          </cell>
          <cell r="C138">
            <v>0.32051282051282048</v>
          </cell>
          <cell r="D138">
            <v>0.15</v>
          </cell>
          <cell r="E138">
            <v>7.0000000000000007E-2</v>
          </cell>
          <cell r="F138">
            <v>7.0000000000000007E-2</v>
          </cell>
          <cell r="G138">
            <v>31.662500000000001</v>
          </cell>
          <cell r="H138">
            <v>0.17249999999999999</v>
          </cell>
          <cell r="I138">
            <v>24</v>
          </cell>
          <cell r="J138">
            <v>0</v>
          </cell>
          <cell r="K138">
            <v>81</v>
          </cell>
          <cell r="L138">
            <v>2</v>
          </cell>
          <cell r="M138">
            <v>0.8</v>
          </cell>
        </row>
        <row r="139">
          <cell r="A139">
            <v>2016</v>
          </cell>
          <cell r="B139">
            <v>0.23749999999999999</v>
          </cell>
          <cell r="C139">
            <v>0.32051282051282048</v>
          </cell>
          <cell r="D139">
            <v>0.15</v>
          </cell>
          <cell r="E139">
            <v>7.0000000000000007E-2</v>
          </cell>
          <cell r="F139">
            <v>7.0000000000000007E-2</v>
          </cell>
          <cell r="G139">
            <v>30.545000000000002</v>
          </cell>
          <cell r="H139">
            <v>0.17249999999999999</v>
          </cell>
          <cell r="I139">
            <v>24</v>
          </cell>
          <cell r="J139">
            <v>0</v>
          </cell>
          <cell r="K139">
            <v>81</v>
          </cell>
          <cell r="L139">
            <v>2</v>
          </cell>
          <cell r="M139">
            <v>0.8</v>
          </cell>
        </row>
        <row r="140">
          <cell r="A140">
            <v>2017</v>
          </cell>
          <cell r="B140">
            <v>0.23749999999999999</v>
          </cell>
          <cell r="C140">
            <v>0.32051282051282048</v>
          </cell>
          <cell r="D140">
            <v>0.15</v>
          </cell>
          <cell r="E140">
            <v>7.0000000000000007E-2</v>
          </cell>
          <cell r="F140">
            <v>7.0000000000000007E-2</v>
          </cell>
          <cell r="G140">
            <v>29.427500000000002</v>
          </cell>
          <cell r="H140">
            <v>0.17249999999999999</v>
          </cell>
          <cell r="I140">
            <v>24</v>
          </cell>
          <cell r="J140">
            <v>0</v>
          </cell>
          <cell r="K140">
            <v>81</v>
          </cell>
          <cell r="L140">
            <v>2</v>
          </cell>
          <cell r="M140">
            <v>0.8</v>
          </cell>
        </row>
        <row r="141">
          <cell r="A141">
            <v>2018</v>
          </cell>
          <cell r="B141">
            <v>0.23749999999999999</v>
          </cell>
          <cell r="C141">
            <v>0.32051282051282048</v>
          </cell>
          <cell r="D141">
            <v>0.15</v>
          </cell>
          <cell r="E141">
            <v>7.0000000000000007E-2</v>
          </cell>
          <cell r="F141">
            <v>7.0000000000000007E-2</v>
          </cell>
          <cell r="G141">
            <v>28.310000000000002</v>
          </cell>
          <cell r="H141">
            <v>0.17249999999999999</v>
          </cell>
          <cell r="I141">
            <v>24</v>
          </cell>
          <cell r="J141">
            <v>0</v>
          </cell>
          <cell r="K141">
            <v>81</v>
          </cell>
          <cell r="L141">
            <v>2</v>
          </cell>
          <cell r="M141">
            <v>0.8</v>
          </cell>
        </row>
        <row r="142">
          <cell r="A142">
            <v>2019</v>
          </cell>
          <cell r="B142">
            <v>0.23749999999999999</v>
          </cell>
          <cell r="C142">
            <v>0.32051282051282048</v>
          </cell>
          <cell r="D142">
            <v>0.15</v>
          </cell>
          <cell r="E142">
            <v>7.0000000000000007E-2</v>
          </cell>
          <cell r="F142">
            <v>7.0000000000000007E-2</v>
          </cell>
          <cell r="G142">
            <v>27.192500000000003</v>
          </cell>
          <cell r="H142">
            <v>0.17249999999999999</v>
          </cell>
          <cell r="I142">
            <v>24</v>
          </cell>
          <cell r="J142">
            <v>0</v>
          </cell>
          <cell r="K142">
            <v>81</v>
          </cell>
          <cell r="L142">
            <v>2</v>
          </cell>
          <cell r="M142">
            <v>0.8</v>
          </cell>
        </row>
        <row r="143">
          <cell r="A143">
            <v>2020</v>
          </cell>
          <cell r="B143">
            <v>0.23749999999999999</v>
          </cell>
          <cell r="C143">
            <v>0.32051282051282048</v>
          </cell>
          <cell r="D143">
            <v>0.15</v>
          </cell>
          <cell r="E143">
            <v>7.0000000000000007E-2</v>
          </cell>
          <cell r="F143">
            <v>7.0000000000000007E-2</v>
          </cell>
          <cell r="G143">
            <v>26.074999999999999</v>
          </cell>
          <cell r="H143">
            <v>0.17249999999999999</v>
          </cell>
          <cell r="I143">
            <v>24</v>
          </cell>
          <cell r="J143">
            <v>0</v>
          </cell>
          <cell r="K143">
            <v>81</v>
          </cell>
          <cell r="L143">
            <v>2</v>
          </cell>
          <cell r="M143">
            <v>0.8</v>
          </cell>
        </row>
        <row r="144">
          <cell r="A144">
            <v>2021</v>
          </cell>
          <cell r="B144">
            <v>0.23749999999999999</v>
          </cell>
          <cell r="C144">
            <v>0.32051282051282048</v>
          </cell>
          <cell r="D144">
            <v>0.15</v>
          </cell>
          <cell r="E144">
            <v>7.0000000000000007E-2</v>
          </cell>
          <cell r="F144">
            <v>7.0000000000000007E-2</v>
          </cell>
          <cell r="G144">
            <v>26.074999999999999</v>
          </cell>
          <cell r="H144">
            <v>0.17249999999999999</v>
          </cell>
          <cell r="I144">
            <v>24</v>
          </cell>
          <cell r="J144">
            <v>0</v>
          </cell>
          <cell r="K144">
            <v>81</v>
          </cell>
          <cell r="L144">
            <v>2</v>
          </cell>
          <cell r="M144">
            <v>0.8</v>
          </cell>
        </row>
        <row r="145">
          <cell r="A145">
            <v>2022</v>
          </cell>
          <cell r="B145">
            <v>0.23749999999999999</v>
          </cell>
          <cell r="C145">
            <v>0.32051282051282048</v>
          </cell>
          <cell r="D145">
            <v>0.15</v>
          </cell>
          <cell r="E145">
            <v>7.0000000000000007E-2</v>
          </cell>
          <cell r="F145">
            <v>7.0000000000000007E-2</v>
          </cell>
          <cell r="G145">
            <v>26.074999999999999</v>
          </cell>
          <cell r="H145">
            <v>0.17249999999999999</v>
          </cell>
          <cell r="I145">
            <v>24</v>
          </cell>
          <cell r="J145">
            <v>0</v>
          </cell>
          <cell r="K145">
            <v>81</v>
          </cell>
          <cell r="L145">
            <v>2</v>
          </cell>
          <cell r="M145">
            <v>0.8</v>
          </cell>
        </row>
        <row r="146">
          <cell r="A146">
            <v>2023</v>
          </cell>
          <cell r="B146">
            <v>0.23749999999999999</v>
          </cell>
          <cell r="C146">
            <v>0.32051282051282048</v>
          </cell>
          <cell r="D146">
            <v>0.15</v>
          </cell>
          <cell r="E146">
            <v>7.0000000000000007E-2</v>
          </cell>
          <cell r="F146">
            <v>7.0000000000000007E-2</v>
          </cell>
          <cell r="G146">
            <v>26.074999999999999</v>
          </cell>
          <cell r="H146">
            <v>0.17249999999999999</v>
          </cell>
          <cell r="I146">
            <v>24</v>
          </cell>
          <cell r="J146">
            <v>0</v>
          </cell>
          <cell r="K146">
            <v>81</v>
          </cell>
          <cell r="L146">
            <v>2</v>
          </cell>
          <cell r="M146">
            <v>0.8</v>
          </cell>
        </row>
        <row r="147">
          <cell r="A147">
            <v>2024</v>
          </cell>
          <cell r="B147">
            <v>0.23749999999999999</v>
          </cell>
          <cell r="C147">
            <v>0.32051282051282048</v>
          </cell>
          <cell r="D147">
            <v>0.15</v>
          </cell>
          <cell r="E147">
            <v>7.0000000000000007E-2</v>
          </cell>
          <cell r="F147">
            <v>7.0000000000000007E-2</v>
          </cell>
          <cell r="G147">
            <v>26.074999999999999</v>
          </cell>
          <cell r="H147">
            <v>0.17249999999999999</v>
          </cell>
          <cell r="I147">
            <v>24</v>
          </cell>
          <cell r="J147">
            <v>0</v>
          </cell>
          <cell r="K147">
            <v>81</v>
          </cell>
          <cell r="L147">
            <v>2</v>
          </cell>
          <cell r="M147">
            <v>0.8</v>
          </cell>
        </row>
        <row r="148">
          <cell r="A148">
            <v>2025</v>
          </cell>
          <cell r="B148">
            <v>0.23749999999999999</v>
          </cell>
          <cell r="C148">
            <v>0.32051282051282048</v>
          </cell>
          <cell r="D148">
            <v>0.15</v>
          </cell>
          <cell r="E148">
            <v>7.0000000000000007E-2</v>
          </cell>
          <cell r="F148">
            <v>7.0000000000000007E-2</v>
          </cell>
          <cell r="G148">
            <v>26.074999999999999</v>
          </cell>
          <cell r="H148">
            <v>0.17249999999999999</v>
          </cell>
          <cell r="I148">
            <v>24</v>
          </cell>
          <cell r="J148">
            <v>0</v>
          </cell>
          <cell r="K148">
            <v>81</v>
          </cell>
          <cell r="L148">
            <v>2</v>
          </cell>
          <cell r="M148">
            <v>0.8</v>
          </cell>
        </row>
        <row r="149">
          <cell r="A149">
            <v>2026</v>
          </cell>
          <cell r="B149">
            <v>0.23749999999999999</v>
          </cell>
          <cell r="C149">
            <v>0.32051282051282048</v>
          </cell>
          <cell r="D149">
            <v>0.15</v>
          </cell>
          <cell r="E149">
            <v>7.0000000000000007E-2</v>
          </cell>
          <cell r="F149">
            <v>7.0000000000000007E-2</v>
          </cell>
          <cell r="G149">
            <v>26.074999999999999</v>
          </cell>
          <cell r="H149">
            <v>0.17249999999999999</v>
          </cell>
          <cell r="I149">
            <v>24</v>
          </cell>
          <cell r="J149">
            <v>0</v>
          </cell>
          <cell r="K149">
            <v>81</v>
          </cell>
          <cell r="L149">
            <v>2</v>
          </cell>
          <cell r="M149">
            <v>0.8</v>
          </cell>
        </row>
        <row r="150">
          <cell r="A150">
            <v>2027</v>
          </cell>
          <cell r="B150">
            <v>0.23749999999999999</v>
          </cell>
          <cell r="C150">
            <v>0.32051282051282048</v>
          </cell>
          <cell r="D150">
            <v>0.15</v>
          </cell>
          <cell r="E150">
            <v>7.0000000000000007E-2</v>
          </cell>
          <cell r="F150">
            <v>7.0000000000000007E-2</v>
          </cell>
          <cell r="G150">
            <v>26.074999999999999</v>
          </cell>
          <cell r="H150">
            <v>0.17249999999999999</v>
          </cell>
          <cell r="I150">
            <v>24</v>
          </cell>
          <cell r="J150">
            <v>0</v>
          </cell>
          <cell r="K150">
            <v>81</v>
          </cell>
          <cell r="L150">
            <v>2</v>
          </cell>
          <cell r="M150">
            <v>0.8</v>
          </cell>
        </row>
        <row r="151">
          <cell r="A151">
            <v>2028</v>
          </cell>
          <cell r="B151">
            <v>0.23749999999999999</v>
          </cell>
          <cell r="C151">
            <v>0.32051282051282048</v>
          </cell>
          <cell r="D151">
            <v>0.15</v>
          </cell>
          <cell r="E151">
            <v>7.0000000000000007E-2</v>
          </cell>
          <cell r="F151">
            <v>7.0000000000000007E-2</v>
          </cell>
          <cell r="G151">
            <v>26.074999999999999</v>
          </cell>
          <cell r="H151">
            <v>0.17249999999999999</v>
          </cell>
          <cell r="I151">
            <v>24</v>
          </cell>
          <cell r="J151">
            <v>0</v>
          </cell>
          <cell r="K151">
            <v>81</v>
          </cell>
          <cell r="L151">
            <v>2</v>
          </cell>
          <cell r="M151">
            <v>0.8</v>
          </cell>
        </row>
        <row r="152">
          <cell r="A152">
            <v>2029</v>
          </cell>
          <cell r="B152">
            <v>0.23749999999999999</v>
          </cell>
          <cell r="C152">
            <v>0.32051282051282048</v>
          </cell>
          <cell r="D152">
            <v>0.15</v>
          </cell>
          <cell r="E152">
            <v>7.0000000000000007E-2</v>
          </cell>
          <cell r="F152">
            <v>7.0000000000000007E-2</v>
          </cell>
          <cell r="G152">
            <v>26.074999999999999</v>
          </cell>
          <cell r="H152">
            <v>0.17249999999999999</v>
          </cell>
          <cell r="I152">
            <v>24</v>
          </cell>
          <cell r="J152">
            <v>0</v>
          </cell>
          <cell r="K152">
            <v>81</v>
          </cell>
          <cell r="L152">
            <v>2</v>
          </cell>
          <cell r="M152">
            <v>0.8</v>
          </cell>
        </row>
        <row r="153">
          <cell r="A153">
            <v>2030</v>
          </cell>
          <cell r="B153">
            <v>0.23749999999999999</v>
          </cell>
          <cell r="C153">
            <v>0.32051282051282048</v>
          </cell>
          <cell r="D153">
            <v>0.15</v>
          </cell>
          <cell r="E153">
            <v>7.0000000000000007E-2</v>
          </cell>
          <cell r="F153">
            <v>7.0000000000000007E-2</v>
          </cell>
          <cell r="G153">
            <v>26.074999999999999</v>
          </cell>
          <cell r="H153">
            <v>0.17249999999999999</v>
          </cell>
          <cell r="I153">
            <v>24</v>
          </cell>
          <cell r="J153">
            <v>0</v>
          </cell>
          <cell r="K153">
            <v>81</v>
          </cell>
          <cell r="L153">
            <v>2</v>
          </cell>
          <cell r="M153">
            <v>0.8</v>
          </cell>
        </row>
        <row r="154">
          <cell r="A154">
            <v>2031</v>
          </cell>
          <cell r="B154">
            <v>0.23749999999999999</v>
          </cell>
          <cell r="C154">
            <v>0.32051282051282048</v>
          </cell>
          <cell r="D154">
            <v>0.15</v>
          </cell>
          <cell r="E154">
            <v>7.0000000000000007E-2</v>
          </cell>
          <cell r="F154">
            <v>7.0000000000000007E-2</v>
          </cell>
          <cell r="G154">
            <v>26.074999999999999</v>
          </cell>
          <cell r="H154">
            <v>0.17249999999999999</v>
          </cell>
          <cell r="I154">
            <v>24</v>
          </cell>
          <cell r="J154">
            <v>0</v>
          </cell>
          <cell r="K154">
            <v>81</v>
          </cell>
          <cell r="L154">
            <v>2</v>
          </cell>
          <cell r="M154">
            <v>0.8</v>
          </cell>
        </row>
        <row r="155">
          <cell r="A155">
            <v>2032</v>
          </cell>
          <cell r="B155">
            <v>0.23749999999999999</v>
          </cell>
          <cell r="C155">
            <v>0.32051282051282048</v>
          </cell>
          <cell r="D155">
            <v>0.15</v>
          </cell>
          <cell r="E155">
            <v>7.0000000000000007E-2</v>
          </cell>
          <cell r="F155">
            <v>7.0000000000000007E-2</v>
          </cell>
          <cell r="G155">
            <v>26.074999999999999</v>
          </cell>
          <cell r="H155">
            <v>0.17249999999999999</v>
          </cell>
          <cell r="I155">
            <v>24</v>
          </cell>
          <cell r="J155">
            <v>0</v>
          </cell>
          <cell r="K155">
            <v>81</v>
          </cell>
          <cell r="L155">
            <v>2</v>
          </cell>
          <cell r="M155">
            <v>0.8</v>
          </cell>
        </row>
        <row r="156">
          <cell r="A156">
            <v>2033</v>
          </cell>
          <cell r="B156">
            <v>0.23749999999999999</v>
          </cell>
          <cell r="C156">
            <v>0.32051282051282048</v>
          </cell>
          <cell r="D156">
            <v>0.15</v>
          </cell>
          <cell r="E156">
            <v>7.0000000000000007E-2</v>
          </cell>
          <cell r="F156">
            <v>7.0000000000000007E-2</v>
          </cell>
          <cell r="G156">
            <v>26.074999999999999</v>
          </cell>
          <cell r="H156">
            <v>0.17249999999999999</v>
          </cell>
          <cell r="I156">
            <v>24</v>
          </cell>
          <cell r="J156">
            <v>0</v>
          </cell>
          <cell r="K156">
            <v>81</v>
          </cell>
          <cell r="L156">
            <v>2</v>
          </cell>
          <cell r="M156">
            <v>0.8</v>
          </cell>
        </row>
        <row r="157">
          <cell r="A157">
            <v>2034</v>
          </cell>
          <cell r="B157">
            <v>0.23749999999999999</v>
          </cell>
          <cell r="C157">
            <v>0.32051282051282048</v>
          </cell>
          <cell r="D157">
            <v>0.15</v>
          </cell>
          <cell r="E157">
            <v>7.0000000000000007E-2</v>
          </cell>
          <cell r="F157">
            <v>7.0000000000000007E-2</v>
          </cell>
          <cell r="G157">
            <v>26.074999999999999</v>
          </cell>
          <cell r="H157">
            <v>0.17249999999999999</v>
          </cell>
          <cell r="I157">
            <v>24</v>
          </cell>
          <cell r="J157">
            <v>0</v>
          </cell>
          <cell r="K157">
            <v>81</v>
          </cell>
          <cell r="L157">
            <v>2</v>
          </cell>
          <cell r="M157">
            <v>0.8</v>
          </cell>
        </row>
        <row r="158">
          <cell r="A158">
            <v>2035</v>
          </cell>
          <cell r="B158">
            <v>0.23749999999999999</v>
          </cell>
          <cell r="C158">
            <v>0.32051282051282048</v>
          </cell>
          <cell r="D158">
            <v>0.15</v>
          </cell>
          <cell r="E158">
            <v>7.0000000000000007E-2</v>
          </cell>
          <cell r="F158">
            <v>7.0000000000000007E-2</v>
          </cell>
          <cell r="G158">
            <v>26.074999999999999</v>
          </cell>
          <cell r="H158">
            <v>0.17249999999999999</v>
          </cell>
          <cell r="I158">
            <v>24</v>
          </cell>
          <cell r="J158">
            <v>0</v>
          </cell>
          <cell r="K158">
            <v>81</v>
          </cell>
          <cell r="L158">
            <v>2</v>
          </cell>
          <cell r="M158">
            <v>0.8</v>
          </cell>
        </row>
      </sheetData>
      <sheetData sheetId="6">
        <row r="33">
          <cell r="A33">
            <v>2010</v>
          </cell>
        </row>
      </sheetData>
      <sheetData sheetId="7">
        <row r="33">
          <cell r="N33">
            <v>107.37286414688937</v>
          </cell>
        </row>
      </sheetData>
      <sheetData sheetId="8"/>
      <sheetData sheetId="9"/>
      <sheetData sheetId="10"/>
      <sheetData sheetId="11"/>
      <sheetData sheetId="12"/>
      <sheetData sheetId="13"/>
      <sheetData sheetId="14"/>
      <sheetData sheetId="15"/>
      <sheetData sheetId="1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Cockpit"/>
      <sheetName val="ResultsOneYear"/>
      <sheetName val="ResultsAllYears"/>
      <sheetName val="A4results"/>
      <sheetName val="Vehicles"/>
      <sheetName val="Fuels"/>
      <sheetName val="Basic Data"/>
      <sheetName val="PC (FORCE 1) Bio-Methanol"/>
      <sheetName val="IC (FORCE 2) ETL-Methanol"/>
      <sheetName val="PC (FORCE 3) 1G ethanol"/>
      <sheetName val="PC (FORCE 4) 2G ethanol"/>
      <sheetName val="PC (FORCE 7) 2G diesel"/>
      <sheetName val="PC (FORCE 9) Bio-DME "/>
      <sheetName val="PC (FORCE 18) Bio Jetfuel"/>
      <sheetName val="PC (FORCE 19) RME Rapeseed"/>
      <sheetName val="PC (FORCE 20) Ethanol SugarBeet"/>
      <sheetName val="PC Biogas ENS"/>
      <sheetName val="PC Diesel"/>
      <sheetName val="PC Benzin"/>
      <sheetName val="PC HFO"/>
      <sheetName val="PC Jet Fuel"/>
      <sheetName val="PC Naturgas raffinering"/>
      <sheetName val="PC brint-elektricitet"/>
      <sheetName val="PC oplade-elektricitet"/>
      <sheetName val="IC Importspor"/>
      <sheetName val="IC LNG"/>
      <sheetName val="IC tog-elektricitet"/>
      <sheetName val="IC Elektrolyse og komprimering"/>
      <sheetName val="IC Ladestation"/>
      <sheetName val="IC Ladestation Hybrid"/>
      <sheetName val="IC Naturgas komprimering"/>
      <sheetName val="IC Ingen mellem"/>
      <sheetName val="EU Std benzin motor"/>
      <sheetName val="EU Std diesel motor"/>
      <sheetName val="EU Diesel motor DME"/>
      <sheetName val="EU Tilpasset Otto motor"/>
      <sheetName val="EU Brændselscelle, brint"/>
      <sheetName val="EU FC, brinthybrid"/>
      <sheetName val="EU FC, methanolhybrid"/>
      <sheetName val="EU Plugin Hybrid"/>
      <sheetName val="EU Elmotor"/>
      <sheetName val="EU Lastbil"/>
      <sheetName val="EU Lastbil DME"/>
      <sheetName val="EU Lastbil RME"/>
      <sheetName val="EU Lastbil Gas"/>
      <sheetName val="EU Bus"/>
      <sheetName val="EU Bus Gas"/>
      <sheetName val="EU Bus El"/>
      <sheetName val="EU Bus Hybrid"/>
      <sheetName val="EU 9000 TEU HFO"/>
      <sheetName val="EU 9000 TEU Diesel"/>
      <sheetName val="EU 9000 TEU Dual fuel"/>
      <sheetName val="EU Katamaran ferry"/>
      <sheetName val="EU SAS avg. airplane"/>
      <sheetName val="EU Diesel Lokaltog"/>
      <sheetName val="EU Gas Lokaltog"/>
      <sheetName val="EU Diesel IC-reg.tog"/>
      <sheetName val="EU El IC-reg.tog"/>
      <sheetName val="Sensitivity"/>
      <sheetName val="Log2015"/>
      <sheetName val="Log2020"/>
      <sheetName val="Log2035"/>
      <sheetName val="Log2050"/>
      <sheetName val="(FORCE 5) 1G diesel"/>
      <sheetName val="(FORCE 6) 1G HVO DIESEL"/>
      <sheetName val="(FORCE 8)  Diesel - MOGD"/>
      <sheetName val="(FORCE 10) SNG-gasification"/>
      <sheetName val="(FORCE 11) 2G Kerosene"/>
      <sheetName val="(FORCE 12) Torrefied wood"/>
      <sheetName val="(FORCE 13) Bio-Liquid"/>
      <sheetName val="(FORCE 14) 2G bio-ethanol"/>
      <sheetName val="(FORCE 15) Ethanol+Biogas"/>
      <sheetName val="(FORCE 16) 2G Diesel"/>
      <sheetName val="(FORCE 17) SNG-biogas"/>
    </sheetNames>
    <sheetDataSet>
      <sheetData sheetId="0" refreshError="1"/>
      <sheetData sheetId="1" refreshError="1"/>
      <sheetData sheetId="2"/>
      <sheetData sheetId="3">
        <row r="5">
          <cell r="B5">
            <v>1</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troduktion"/>
      <sheetName val="Oversigt"/>
      <sheetName val="Referencer"/>
      <sheetName val="Referencer old"/>
      <sheetName val="Kontrolpanel"/>
      <sheetName val="Resultater"/>
      <sheetName val="Log"/>
      <sheetName val="Centrale data"/>
      <sheetName val="Prisberegninger"/>
      <sheetName val="Råstoffer"/>
      <sheetName val="DistMellemprodukt"/>
      <sheetName val="TransDist"/>
      <sheetName val="Køretøjer"/>
      <sheetName val="1. g. ethanol E85"/>
      <sheetName val="2. g. ethanol E85"/>
      <sheetName val="RME"/>
      <sheetName val="Naturgas raffinering"/>
      <sheetName val="Termisk forgas bio"/>
      <sheetName val="Termisk forgas kul"/>
      <sheetName val="Diesel"/>
      <sheetName val="Benzin"/>
      <sheetName val="Biogas u. propan"/>
      <sheetName val="Biogas m. propan"/>
      <sheetName val="Ny konvertering"/>
      <sheetName val="Naturgas komprimering"/>
      <sheetName val="Biogas komprimering"/>
      <sheetName val="MeOH via katalysator"/>
      <sheetName val="Elektrolyse og komprimering"/>
      <sheetName val="Ladestation"/>
      <sheetName val="Ladestation Hybrid"/>
      <sheetName val="Diesel via katalysator"/>
      <sheetName val="DME via katalysator"/>
      <sheetName val="Importspor"/>
      <sheetName val="Std benzin motor"/>
      <sheetName val="Std diesel motor"/>
      <sheetName val="Diesel motor DME"/>
      <sheetName val="Ethanol benzin motor"/>
      <sheetName val="Tilpasset Otto motor"/>
      <sheetName val="Brændselscelle, brint motor"/>
      <sheetName val="Brændselscelle, meth motor"/>
      <sheetName val="Plugin Hybrid"/>
      <sheetName val="Elmotor"/>
      <sheetName val="Lastbil"/>
      <sheetName val="Lastbil DME"/>
      <sheetName val="Lastbil RME"/>
      <sheetName val="Lastbil Gas"/>
      <sheetName val="Bus"/>
      <sheetName val="Bus Gas"/>
      <sheetName val="Bus Hyb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row r="32">
          <cell r="C32">
            <v>0.05</v>
          </cell>
        </row>
        <row r="34">
          <cell r="C34">
            <v>7.45</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side"/>
      <sheetName val="IEA Priser"/>
      <sheetName val="Deflator &amp; Dollarkurs"/>
      <sheetName val="Brændværdier"/>
      <sheetName val="Kul, Olieprodukter &amp; Naturgas"/>
      <sheetName val="Biomasse"/>
      <sheetName val="El &amp; Fjernvarme"/>
      <sheetName val="Emissionsfaktorer"/>
      <sheetName val="Svovl &amp; NOx"/>
      <sheetName val="Tabel 1"/>
      <sheetName val="Tabel 2"/>
      <sheetName val="Tabel 3"/>
      <sheetName val="Tabel 4"/>
      <sheetName val="Tabel 5"/>
      <sheetName val="Tabel 6"/>
      <sheetName val="Tabel 7"/>
      <sheetName val="Tabel 8"/>
      <sheetName val="Tabel 9"/>
      <sheetName val="Tabel 10"/>
      <sheetName val="Tabel 11"/>
      <sheetName val="Til EMMA"/>
      <sheetName val="Til RAMSES"/>
    </sheetNames>
    <sheetDataSet>
      <sheetData sheetId="0">
        <row r="5">
          <cell r="B5">
            <v>2011</v>
          </cell>
        </row>
      </sheetData>
      <sheetData sheetId="1" refreshError="1"/>
      <sheetData sheetId="2"/>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GR_Fuels"/>
    </sheetNames>
    <sheetDataSet>
      <sheetData sheetId="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OG"/>
      <sheetName val="COMM"/>
      <sheetName val="PROC"/>
      <sheetName val="MIN-IMP-EXP"/>
      <sheetName val="BiomassCost"/>
      <sheetName val="MIN-IMP-EXP_Data"/>
      <sheetName val="Refineries"/>
      <sheetName val="Refinery_data"/>
      <sheetName val="Fuel Tech"/>
      <sheetName val="Mining NGA&amp;CRD"/>
    </sheetNames>
    <sheetDataSet>
      <sheetData sheetId="0"/>
      <sheetData sheetId="1"/>
      <sheetData sheetId="2"/>
      <sheetData sheetId="3"/>
      <sheetData sheetId="4"/>
      <sheetData sheetId="5"/>
      <sheetData sheetId="6"/>
      <sheetData sheetId="7"/>
      <sheetData sheetId="8"/>
      <sheetData sheetId="9">
        <row r="13">
          <cell r="N13">
            <v>1970</v>
          </cell>
          <cell r="O13">
            <v>0</v>
          </cell>
          <cell r="P13">
            <v>1970</v>
          </cell>
          <cell r="Q13">
            <v>0</v>
          </cell>
        </row>
        <row r="14">
          <cell r="N14">
            <v>1971</v>
          </cell>
          <cell r="O14">
            <v>0</v>
          </cell>
          <cell r="P14">
            <v>1971</v>
          </cell>
          <cell r="Q14">
            <v>0</v>
          </cell>
        </row>
        <row r="15">
          <cell r="N15">
            <v>1972</v>
          </cell>
          <cell r="O15">
            <v>3.9063762799999999</v>
          </cell>
          <cell r="P15">
            <v>1972</v>
          </cell>
          <cell r="Q15">
            <v>0</v>
          </cell>
        </row>
        <row r="16">
          <cell r="N16">
            <v>1973</v>
          </cell>
          <cell r="O16">
            <v>5.6249426600000003</v>
          </cell>
          <cell r="P16">
            <v>1973</v>
          </cell>
          <cell r="Q16">
            <v>0</v>
          </cell>
        </row>
        <row r="17">
          <cell r="N17">
            <v>1974</v>
          </cell>
          <cell r="O17">
            <v>3.8189121299999997</v>
          </cell>
          <cell r="P17">
            <v>1974</v>
          </cell>
          <cell r="Q17">
            <v>0</v>
          </cell>
        </row>
        <row r="18">
          <cell r="N18">
            <v>1975</v>
          </cell>
          <cell r="O18">
            <v>6.938282844999998</v>
          </cell>
          <cell r="P18">
            <v>1975</v>
          </cell>
          <cell r="Q18">
            <v>0</v>
          </cell>
        </row>
        <row r="19">
          <cell r="N19">
            <v>1976</v>
          </cell>
          <cell r="O19">
            <v>8.240310805</v>
          </cell>
          <cell r="P19">
            <v>1976</v>
          </cell>
          <cell r="Q19">
            <v>0</v>
          </cell>
        </row>
        <row r="20">
          <cell r="N20">
            <v>1977</v>
          </cell>
          <cell r="O20">
            <v>21.33919118</v>
          </cell>
          <cell r="P20">
            <v>1977</v>
          </cell>
          <cell r="Q20">
            <v>0</v>
          </cell>
        </row>
        <row r="21">
          <cell r="N21">
            <v>1978</v>
          </cell>
          <cell r="O21">
            <v>17.937365719999999</v>
          </cell>
          <cell r="P21">
            <v>1978</v>
          </cell>
          <cell r="Q21">
            <v>0</v>
          </cell>
        </row>
        <row r="22">
          <cell r="N22">
            <v>1979</v>
          </cell>
          <cell r="O22">
            <v>17.869240174999998</v>
          </cell>
          <cell r="P22">
            <v>1979</v>
          </cell>
          <cell r="Q22">
            <v>0</v>
          </cell>
        </row>
        <row r="23">
          <cell r="N23">
            <v>1980</v>
          </cell>
          <cell r="O23">
            <v>12.373183779999996</v>
          </cell>
          <cell r="P23">
            <v>1980</v>
          </cell>
          <cell r="Q23">
            <v>0</v>
          </cell>
        </row>
        <row r="24">
          <cell r="N24">
            <v>1981</v>
          </cell>
          <cell r="O24">
            <v>32.128483999499998</v>
          </cell>
          <cell r="P24">
            <v>1981</v>
          </cell>
          <cell r="Q24">
            <v>0</v>
          </cell>
        </row>
        <row r="25">
          <cell r="N25">
            <v>1982</v>
          </cell>
          <cell r="O25">
            <v>72.038446551499987</v>
          </cell>
          <cell r="P25">
            <v>1982</v>
          </cell>
          <cell r="Q25">
            <v>0</v>
          </cell>
        </row>
        <row r="26">
          <cell r="N26">
            <v>1983</v>
          </cell>
          <cell r="O26">
            <v>92.17126623850001</v>
          </cell>
          <cell r="P26">
            <v>1983</v>
          </cell>
          <cell r="Q26">
            <v>0</v>
          </cell>
        </row>
        <row r="27">
          <cell r="N27">
            <v>1984</v>
          </cell>
          <cell r="O27">
            <v>99.119662102999996</v>
          </cell>
          <cell r="P27">
            <v>1984</v>
          </cell>
          <cell r="Q27">
            <v>8.1751533650999999</v>
          </cell>
        </row>
        <row r="28">
          <cell r="N28">
            <v>1985</v>
          </cell>
          <cell r="O28">
            <v>126.40816951749997</v>
          </cell>
          <cell r="P28">
            <v>1985</v>
          </cell>
          <cell r="Q28">
            <v>39.534091679219991</v>
          </cell>
        </row>
        <row r="29">
          <cell r="N29">
            <v>1986</v>
          </cell>
          <cell r="O29">
            <v>156.71466416049998</v>
          </cell>
          <cell r="P29">
            <v>1986</v>
          </cell>
          <cell r="Q29">
            <v>67.011070619999998</v>
          </cell>
        </row>
        <row r="30">
          <cell r="N30">
            <v>1987</v>
          </cell>
          <cell r="O30">
            <v>198.05099557949995</v>
          </cell>
          <cell r="P30">
            <v>1987</v>
          </cell>
          <cell r="Q30">
            <v>85.441607171640001</v>
          </cell>
        </row>
        <row r="31">
          <cell r="N31">
            <v>1988</v>
          </cell>
          <cell r="O31">
            <v>203.59257536499999</v>
          </cell>
          <cell r="P31">
            <v>1988</v>
          </cell>
          <cell r="Q31">
            <v>84.357604739999999</v>
          </cell>
        </row>
        <row r="32">
          <cell r="N32">
            <v>1989</v>
          </cell>
          <cell r="O32">
            <v>236.83774117799993</v>
          </cell>
          <cell r="P32">
            <v>1989</v>
          </cell>
          <cell r="Q32">
            <v>99.710055120000007</v>
          </cell>
        </row>
        <row r="33">
          <cell r="N33">
            <v>1990</v>
          </cell>
          <cell r="O33">
            <v>255.83014421249996</v>
          </cell>
          <cell r="P33">
            <v>1990</v>
          </cell>
          <cell r="Q33">
            <v>102.20894573999999</v>
          </cell>
        </row>
        <row r="34">
          <cell r="N34">
            <v>1991</v>
          </cell>
          <cell r="O34">
            <v>301.74428235600004</v>
          </cell>
          <cell r="P34">
            <v>1991</v>
          </cell>
          <cell r="Q34">
            <v>130.33458492</v>
          </cell>
        </row>
        <row r="35">
          <cell r="N35">
            <v>1992</v>
          </cell>
          <cell r="O35">
            <v>333.50782849450002</v>
          </cell>
          <cell r="P35">
            <v>1992</v>
          </cell>
          <cell r="Q35">
            <v>134.75320500000001</v>
          </cell>
        </row>
        <row r="36">
          <cell r="N36">
            <v>1993</v>
          </cell>
          <cell r="O36">
            <v>355.40463378449994</v>
          </cell>
          <cell r="P36">
            <v>1993</v>
          </cell>
          <cell r="Q36">
            <v>148.736853252</v>
          </cell>
        </row>
        <row r="37">
          <cell r="N37">
            <v>1994</v>
          </cell>
          <cell r="O37">
            <v>392.08539908499995</v>
          </cell>
          <cell r="P37">
            <v>1994</v>
          </cell>
          <cell r="Q37">
            <v>160.69365657</v>
          </cell>
        </row>
        <row r="38">
          <cell r="N38">
            <v>1995</v>
          </cell>
          <cell r="O38">
            <v>394.31718960000001</v>
          </cell>
          <cell r="P38">
            <v>1995</v>
          </cell>
          <cell r="Q38">
            <v>174.36045233999997</v>
          </cell>
        </row>
        <row r="39">
          <cell r="N39">
            <v>1996</v>
          </cell>
          <cell r="O39">
            <v>441.76722453349998</v>
          </cell>
          <cell r="P39">
            <v>1996</v>
          </cell>
          <cell r="Q39">
            <v>212.07110844000002</v>
          </cell>
        </row>
        <row r="40">
          <cell r="N40">
            <v>1997</v>
          </cell>
          <cell r="O40">
            <v>488.55306848099985</v>
          </cell>
          <cell r="P40">
            <v>1997</v>
          </cell>
          <cell r="Q40">
            <v>258.60563430000002</v>
          </cell>
        </row>
        <row r="41">
          <cell r="N41">
            <v>1998</v>
          </cell>
          <cell r="O41">
            <v>504.77021831949997</v>
          </cell>
          <cell r="P41">
            <v>1998</v>
          </cell>
          <cell r="Q41">
            <v>246.34854178865999</v>
          </cell>
        </row>
        <row r="42">
          <cell r="N42">
            <v>1999</v>
          </cell>
          <cell r="O42">
            <v>634.57442889399988</v>
          </cell>
          <cell r="P42">
            <v>1999</v>
          </cell>
          <cell r="Q42">
            <v>251.45193919800002</v>
          </cell>
        </row>
        <row r="43">
          <cell r="N43">
            <v>2000</v>
          </cell>
          <cell r="O43">
            <v>772.4471115450001</v>
          </cell>
          <cell r="P43">
            <v>2000</v>
          </cell>
          <cell r="Q43">
            <v>264.9077108733</v>
          </cell>
        </row>
        <row r="44">
          <cell r="N44">
            <v>2001</v>
          </cell>
          <cell r="O44">
            <v>738.56745381399969</v>
          </cell>
          <cell r="P44">
            <v>2001</v>
          </cell>
          <cell r="Q44">
            <v>272.09152744379998</v>
          </cell>
        </row>
        <row r="45">
          <cell r="N45">
            <v>2002</v>
          </cell>
          <cell r="O45">
            <v>786.00341114949993</v>
          </cell>
          <cell r="P45">
            <v>2002</v>
          </cell>
          <cell r="Q45">
            <v>271.06723825847996</v>
          </cell>
        </row>
        <row r="46">
          <cell r="N46">
            <v>2003</v>
          </cell>
          <cell r="O46">
            <v>779.4855574720001</v>
          </cell>
          <cell r="P46">
            <v>2003</v>
          </cell>
          <cell r="Q46">
            <v>256.26093243269997</v>
          </cell>
        </row>
        <row r="47">
          <cell r="N47">
            <v>2004</v>
          </cell>
          <cell r="O47">
            <v>826.48621490699998</v>
          </cell>
          <cell r="P47">
            <v>2004</v>
          </cell>
          <cell r="Q47">
            <v>306.90174222611995</v>
          </cell>
        </row>
        <row r="48">
          <cell r="N48">
            <v>2005</v>
          </cell>
          <cell r="O48">
            <v>799.92979010349995</v>
          </cell>
          <cell r="P48">
            <v>2005</v>
          </cell>
          <cell r="Q48">
            <v>342.25197658242001</v>
          </cell>
        </row>
        <row r="49">
          <cell r="N49">
            <v>2006</v>
          </cell>
          <cell r="O49">
            <v>725.39404141000011</v>
          </cell>
          <cell r="P49">
            <v>2006</v>
          </cell>
          <cell r="Q49">
            <v>340.34999666268004</v>
          </cell>
        </row>
        <row r="50">
          <cell r="N50">
            <v>2007</v>
          </cell>
          <cell r="O50">
            <v>660.97930423949992</v>
          </cell>
          <cell r="P50">
            <v>2007</v>
          </cell>
          <cell r="Q50">
            <v>298.94690504946004</v>
          </cell>
        </row>
        <row r="51">
          <cell r="N51">
            <v>2008</v>
          </cell>
          <cell r="O51">
            <v>609.3534128</v>
          </cell>
          <cell r="P51">
            <v>2008</v>
          </cell>
          <cell r="Q51">
            <v>329.25697641185997</v>
          </cell>
        </row>
        <row r="52">
          <cell r="N52">
            <v>2009</v>
          </cell>
          <cell r="O52">
            <v>554.41616080549989</v>
          </cell>
          <cell r="P52">
            <v>2009</v>
          </cell>
          <cell r="Q52">
            <v>272.01112376345998</v>
          </cell>
        </row>
        <row r="53">
          <cell r="N53">
            <v>2010</v>
          </cell>
          <cell r="O53">
            <v>519.86831128894983</v>
          </cell>
          <cell r="P53">
            <v>2010</v>
          </cell>
          <cell r="Q53">
            <v>265.23685714097996</v>
          </cell>
        </row>
        <row r="54">
          <cell r="N54">
            <v>2011</v>
          </cell>
          <cell r="O54">
            <v>469.09851343060012</v>
          </cell>
          <cell r="P54">
            <v>2011</v>
          </cell>
          <cell r="Q54">
            <v>209.27847161760002</v>
          </cell>
        </row>
        <row r="55">
          <cell r="N55">
            <v>2012</v>
          </cell>
          <cell r="O55">
            <v>428.63451951864329</v>
          </cell>
          <cell r="P55">
            <v>2012</v>
          </cell>
          <cell r="Q55">
            <v>180.60129782946001</v>
          </cell>
        </row>
        <row r="56">
          <cell r="N56">
            <v>2013</v>
          </cell>
          <cell r="O56">
            <v>372.26210088398392</v>
          </cell>
          <cell r="P56">
            <v>2013</v>
          </cell>
          <cell r="Q56">
            <v>147.85709381958</v>
          </cell>
        </row>
        <row r="57">
          <cell r="N57">
            <v>2014</v>
          </cell>
          <cell r="O57">
            <v>360.69536617999637</v>
          </cell>
          <cell r="P57">
            <v>2014</v>
          </cell>
          <cell r="Q57">
            <v>165.28979713044848</v>
          </cell>
        </row>
        <row r="58">
          <cell r="N58">
            <v>2015</v>
          </cell>
          <cell r="O58">
            <v>346.42491625077844</v>
          </cell>
          <cell r="P58">
            <v>2015</v>
          </cell>
          <cell r="Q58">
            <v>147.9204524829976</v>
          </cell>
        </row>
        <row r="59">
          <cell r="N59">
            <v>2016</v>
          </cell>
          <cell r="O59">
            <v>359.37763530935962</v>
          </cell>
          <cell r="P59">
            <v>2016</v>
          </cell>
          <cell r="Q59">
            <v>137.98415725870768</v>
          </cell>
        </row>
        <row r="60">
          <cell r="N60">
            <v>2017</v>
          </cell>
          <cell r="O60">
            <v>373.83988905959052</v>
          </cell>
          <cell r="P60">
            <v>2017</v>
          </cell>
          <cell r="Q60">
            <v>140.06521490048914</v>
          </cell>
        </row>
        <row r="61">
          <cell r="N61">
            <v>2018</v>
          </cell>
          <cell r="O61">
            <v>341.44882521063067</v>
          </cell>
          <cell r="P61">
            <v>2018</v>
          </cell>
          <cell r="Q61">
            <v>142.63499572318014</v>
          </cell>
        </row>
        <row r="62">
          <cell r="N62">
            <v>2019</v>
          </cell>
          <cell r="O62">
            <v>319.51083534163627</v>
          </cell>
          <cell r="P62">
            <v>2019</v>
          </cell>
          <cell r="Q62">
            <v>147.0249989189474</v>
          </cell>
        </row>
        <row r="63">
          <cell r="N63">
            <v>2020</v>
          </cell>
          <cell r="O63">
            <v>346.12686523704082</v>
          </cell>
          <cell r="P63">
            <v>2020</v>
          </cell>
          <cell r="Q63">
            <v>134.61703455286113</v>
          </cell>
        </row>
        <row r="64">
          <cell r="N64">
            <v>2021</v>
          </cell>
          <cell r="O64">
            <v>310.39012010638231</v>
          </cell>
          <cell r="P64">
            <v>2021</v>
          </cell>
          <cell r="Q64">
            <v>117.43914602328036</v>
          </cell>
        </row>
        <row r="65">
          <cell r="N65">
            <v>2022</v>
          </cell>
          <cell r="O65">
            <v>272.44698156336995</v>
          </cell>
          <cell r="P65">
            <v>2022</v>
          </cell>
          <cell r="Q65">
            <v>105.0668244019039</v>
          </cell>
        </row>
        <row r="66">
          <cell r="N66">
            <v>2023</v>
          </cell>
          <cell r="O66">
            <v>230.1973862930702</v>
          </cell>
          <cell r="P66">
            <v>2023</v>
          </cell>
          <cell r="Q66">
            <v>93.572026320342005</v>
          </cell>
        </row>
        <row r="67">
          <cell r="N67">
            <v>2024</v>
          </cell>
          <cell r="O67">
            <v>198.31298736701311</v>
          </cell>
          <cell r="P67">
            <v>2024</v>
          </cell>
          <cell r="Q67">
            <v>82.718244404631108</v>
          </cell>
        </row>
        <row r="68">
          <cell r="N68">
            <v>2025</v>
          </cell>
          <cell r="O68">
            <v>172.73874918542745</v>
          </cell>
          <cell r="P68">
            <v>2025</v>
          </cell>
          <cell r="Q68">
            <v>83.165323453694839</v>
          </cell>
        </row>
        <row r="69">
          <cell r="N69">
            <v>2026</v>
          </cell>
          <cell r="O69">
            <v>152.17745425926154</v>
          </cell>
          <cell r="P69">
            <v>2026</v>
          </cell>
          <cell r="Q69">
            <v>73.381128938120071</v>
          </cell>
        </row>
        <row r="70">
          <cell r="N70">
            <v>2027</v>
          </cell>
          <cell r="O70">
            <v>135.62297626584467</v>
          </cell>
          <cell r="P70">
            <v>2027</v>
          </cell>
          <cell r="Q70">
            <v>61.633926702864862</v>
          </cell>
        </row>
        <row r="71">
          <cell r="N71">
            <v>2028</v>
          </cell>
          <cell r="O71">
            <v>120.66965691216404</v>
          </cell>
          <cell r="P71">
            <v>2028</v>
          </cell>
          <cell r="Q71">
            <v>50.941033193664481</v>
          </cell>
        </row>
        <row r="72">
          <cell r="N72">
            <v>2029</v>
          </cell>
          <cell r="O72">
            <v>106.96724207455215</v>
          </cell>
          <cell r="P72">
            <v>2029</v>
          </cell>
          <cell r="Q72">
            <v>41.149732286283594</v>
          </cell>
        </row>
        <row r="73">
          <cell r="N73">
            <v>2030</v>
          </cell>
          <cell r="O73">
            <v>97.946105969636946</v>
          </cell>
          <cell r="P73">
            <v>2030</v>
          </cell>
          <cell r="Q73">
            <v>36.600982586539267</v>
          </cell>
        </row>
        <row r="74">
          <cell r="N74">
            <v>2031</v>
          </cell>
          <cell r="O74">
            <v>89.247617806244889</v>
          </cell>
          <cell r="P74">
            <v>2031</v>
          </cell>
          <cell r="Q74">
            <v>35.141098751516111</v>
          </cell>
        </row>
        <row r="75">
          <cell r="N75">
            <v>2032</v>
          </cell>
          <cell r="O75">
            <v>81.555274196473732</v>
          </cell>
          <cell r="P75">
            <v>2032</v>
          </cell>
          <cell r="Q75">
            <v>27.047692823138334</v>
          </cell>
        </row>
        <row r="76">
          <cell r="N76">
            <v>2033</v>
          </cell>
          <cell r="O76">
            <v>74.824049423119121</v>
          </cell>
          <cell r="P76">
            <v>2033</v>
          </cell>
          <cell r="Q76">
            <v>14.109119613333579</v>
          </cell>
        </row>
        <row r="77">
          <cell r="N77">
            <v>2034</v>
          </cell>
          <cell r="O77">
            <v>67.990348317121516</v>
          </cell>
          <cell r="P77">
            <v>2034</v>
          </cell>
          <cell r="Q77">
            <v>10.544761254977002</v>
          </cell>
        </row>
        <row r="78">
          <cell r="N78">
            <v>2035</v>
          </cell>
          <cell r="O78">
            <v>63.035195129590818</v>
          </cell>
          <cell r="P78">
            <v>2035</v>
          </cell>
          <cell r="Q78">
            <v>8.7361544991781486</v>
          </cell>
        </row>
        <row r="79">
          <cell r="N79">
            <v>2036</v>
          </cell>
          <cell r="O79">
            <v>58.993686280687413</v>
          </cell>
          <cell r="P79">
            <v>2036</v>
          </cell>
          <cell r="Q79">
            <v>7.9136172262211169</v>
          </cell>
        </row>
        <row r="80">
          <cell r="N80">
            <v>2037</v>
          </cell>
          <cell r="O80">
            <v>54.629544719497872</v>
          </cell>
          <cell r="P80">
            <v>2037</v>
          </cell>
          <cell r="Q80">
            <v>7.1974607536135915</v>
          </cell>
        </row>
        <row r="81">
          <cell r="N81">
            <v>2038</v>
          </cell>
          <cell r="O81">
            <v>50.996951627073798</v>
          </cell>
          <cell r="P81">
            <v>2038</v>
          </cell>
          <cell r="Q81">
            <v>6.6397426927836616</v>
          </cell>
        </row>
        <row r="82">
          <cell r="N82">
            <v>2039</v>
          </cell>
          <cell r="O82">
            <v>47.389538373197347</v>
          </cell>
          <cell r="P82">
            <v>2039</v>
          </cell>
          <cell r="Q82">
            <v>6.1329731323866126</v>
          </cell>
        </row>
        <row r="83">
          <cell r="N83">
            <v>2040</v>
          </cell>
          <cell r="O83">
            <v>43.16659817762703</v>
          </cell>
          <cell r="P83">
            <v>2040</v>
          </cell>
          <cell r="Q83">
            <v>4.2868271675929117</v>
          </cell>
        </row>
        <row r="84">
          <cell r="N84">
            <v>2041</v>
          </cell>
          <cell r="O84">
            <v>38.465218850844352</v>
          </cell>
          <cell r="P84">
            <v>2041</v>
          </cell>
          <cell r="Q84">
            <v>0.44869245083362064</v>
          </cell>
        </row>
        <row r="85">
          <cell r="N85">
            <v>2042</v>
          </cell>
          <cell r="O85">
            <v>36.31459420882797</v>
          </cell>
          <cell r="P85">
            <v>2042</v>
          </cell>
          <cell r="Q85">
            <v>0.40382320575025876</v>
          </cell>
        </row>
        <row r="86">
          <cell r="N86">
            <v>2043</v>
          </cell>
          <cell r="O86">
            <v>0</v>
          </cell>
          <cell r="P86">
            <v>2043</v>
          </cell>
          <cell r="Q86">
            <v>0</v>
          </cell>
        </row>
        <row r="87">
          <cell r="N87">
            <v>2044</v>
          </cell>
          <cell r="O87">
            <v>0</v>
          </cell>
          <cell r="P87">
            <v>2044</v>
          </cell>
          <cell r="Q87">
            <v>0</v>
          </cell>
        </row>
        <row r="88">
          <cell r="N88">
            <v>2045</v>
          </cell>
          <cell r="O88">
            <v>0</v>
          </cell>
          <cell r="P88">
            <v>2045</v>
          </cell>
          <cell r="Q88">
            <v>0</v>
          </cell>
        </row>
        <row r="89">
          <cell r="N89">
            <v>2046</v>
          </cell>
          <cell r="O89">
            <v>0</v>
          </cell>
          <cell r="P89">
            <v>2046</v>
          </cell>
          <cell r="Q89">
            <v>0</v>
          </cell>
        </row>
        <row r="90">
          <cell r="N90">
            <v>2047</v>
          </cell>
          <cell r="O90">
            <v>0</v>
          </cell>
          <cell r="P90">
            <v>2047</v>
          </cell>
          <cell r="Q90">
            <v>0</v>
          </cell>
        </row>
        <row r="91">
          <cell r="N91">
            <v>2048</v>
          </cell>
          <cell r="O91">
            <v>0</v>
          </cell>
          <cell r="P91">
            <v>2048</v>
          </cell>
          <cell r="Q91">
            <v>0</v>
          </cell>
        </row>
        <row r="92">
          <cell r="N92">
            <v>2049</v>
          </cell>
          <cell r="O92">
            <v>0</v>
          </cell>
          <cell r="P92">
            <v>2049</v>
          </cell>
          <cell r="Q92">
            <v>0</v>
          </cell>
        </row>
        <row r="93">
          <cell r="N93">
            <v>2050</v>
          </cell>
          <cell r="O93">
            <v>0</v>
          </cell>
          <cell r="P93">
            <v>2050</v>
          </cell>
          <cell r="Q93">
            <v>0</v>
          </cell>
        </row>
      </sheetData>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sheetName val="Rækker"/>
      <sheetName val="Søjler"/>
      <sheetName val="Resultat"/>
      <sheetName val="Ref_Prod100%"/>
      <sheetName val="RefTotProd"/>
      <sheetName val="Ref_Prod%"/>
      <sheetName val="Ref_Prod"/>
    </sheetNames>
    <sheetDataSet>
      <sheetData sheetId="0" refreshError="1"/>
      <sheetData sheetId="1" refreshError="1">
        <row r="4">
          <cell r="A4" t="str">
            <v>190000 020 Oil refinery etc.</v>
          </cell>
          <cell r="B4" t="str">
            <v>000700 120 Imports</v>
          </cell>
          <cell r="C4" t="str">
            <v>060000 004 Extraction of oil and gas</v>
          </cell>
        </row>
      </sheetData>
      <sheetData sheetId="2" refreshError="1">
        <row r="4">
          <cell r="A4" t="str">
            <v>03 Refinery gas</v>
          </cell>
          <cell r="B4" t="str">
            <v>04 LPG</v>
          </cell>
          <cell r="C4" t="str">
            <v>07 Motor gasoline, colored</v>
          </cell>
          <cell r="D4" t="str">
            <v>10 JP4</v>
          </cell>
          <cell r="E4" t="str">
            <v>15 Gasoil</v>
          </cell>
          <cell r="F4" t="str">
            <v>18 Fuel oil</v>
          </cell>
          <cell r="G4" t="str">
            <v>06 LVN</v>
          </cell>
          <cell r="H4" t="str">
            <v>01 Crude oil</v>
          </cell>
        </row>
        <row r="5">
          <cell r="B5" t="str">
            <v>05 LPG for transport</v>
          </cell>
          <cell r="C5" t="str">
            <v>08 Motor gasoline, unleaded</v>
          </cell>
          <cell r="D5" t="str">
            <v>11 Kerosene</v>
          </cell>
          <cell r="E5" t="str">
            <v>17 Diesel oil</v>
          </cell>
          <cell r="F5" t="str">
            <v>20 Waste oil</v>
          </cell>
        </row>
        <row r="6">
          <cell r="C6" t="str">
            <v>09 Motor gasoline, leaded</v>
          </cell>
          <cell r="D6" t="str">
            <v>12 Aviation gasoline</v>
          </cell>
        </row>
        <row r="7">
          <cell r="D7" t="str">
            <v>13 Jet petroleum</v>
          </cell>
        </row>
      </sheetData>
      <sheetData sheetId="3" refreshError="1"/>
      <sheetData sheetId="4" refreshError="1"/>
      <sheetData sheetId="5" refreshError="1"/>
      <sheetData sheetId="6" refreshError="1"/>
      <sheetData sheetId="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ELLE ÆNDRINGER"/>
      <sheetName val="General"/>
      <sheetName val="ElDemand"/>
      <sheetName val="Transmission"/>
      <sheetName val="DHDemand"/>
      <sheetName val="Plants"/>
      <sheetName val="TechnologyData"/>
      <sheetName val="FuelPrice"/>
      <sheetName val="FuelTax"/>
      <sheetName val="FuelMix"/>
      <sheetName val="FuelProperty"/>
      <sheetName val="DHPrice"/>
      <sheetName val="Subsidy"/>
      <sheetName val="TVAR"/>
      <sheetName val="YVAR"/>
      <sheetName val="EMMA&amp;PP"/>
      <sheetName val="Prognoser"/>
    </sheetNames>
    <sheetDataSet>
      <sheetData sheetId="0"/>
      <sheetData sheetId="1"/>
      <sheetData sheetId="2"/>
      <sheetData sheetId="3"/>
      <sheetData sheetId="4"/>
      <sheetData sheetId="5"/>
      <sheetData sheetId="6">
        <row r="37">
          <cell r="B37">
            <v>0.1</v>
          </cell>
        </row>
      </sheetData>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tabColor theme="9"/>
  </sheetPr>
  <dimension ref="A3:E50"/>
  <sheetViews>
    <sheetView zoomScaleNormal="100" workbookViewId="0">
      <selection activeCell="B5" sqref="B5"/>
    </sheetView>
  </sheetViews>
  <sheetFormatPr defaultColWidth="9.109375" defaultRowHeight="13.2"/>
  <cols>
    <col min="1" max="1" width="11" style="93" bestFit="1" customWidth="1"/>
    <col min="2" max="2" width="23.109375" style="93" bestFit="1" customWidth="1"/>
    <col min="3" max="3" width="28" style="93" bestFit="1" customWidth="1"/>
    <col min="4" max="4" width="16.33203125" style="93" bestFit="1" customWidth="1"/>
    <col min="5" max="5" width="144.44140625" style="93" bestFit="1" customWidth="1"/>
    <col min="6" max="8" width="9.109375" style="93"/>
    <col min="9" max="9" width="13" style="93" customWidth="1"/>
    <col min="10" max="10" width="14.44140625" style="93" bestFit="1" customWidth="1"/>
    <col min="11" max="16384" width="9.109375" style="93"/>
  </cols>
  <sheetData>
    <row r="3" spans="1:5">
      <c r="A3" s="91" t="s">
        <v>177</v>
      </c>
      <c r="B3" s="92" t="s">
        <v>178</v>
      </c>
      <c r="C3" s="92" t="s">
        <v>179</v>
      </c>
      <c r="D3" s="92" t="s">
        <v>180</v>
      </c>
      <c r="E3" s="92" t="s">
        <v>181</v>
      </c>
    </row>
    <row r="4" spans="1:5">
      <c r="A4" s="486">
        <v>43028</v>
      </c>
      <c r="B4" s="487" t="s">
        <v>769</v>
      </c>
      <c r="C4" s="487" t="s">
        <v>282</v>
      </c>
      <c r="D4" s="487"/>
      <c r="E4" s="487" t="s">
        <v>770</v>
      </c>
    </row>
    <row r="5" spans="1:5">
      <c r="A5" s="486">
        <v>42632</v>
      </c>
      <c r="B5" s="487" t="s">
        <v>737</v>
      </c>
      <c r="C5" s="487" t="s">
        <v>738</v>
      </c>
      <c r="D5" s="487"/>
      <c r="E5" s="487" t="s">
        <v>739</v>
      </c>
    </row>
    <row r="6" spans="1:5">
      <c r="A6" s="486">
        <v>42515</v>
      </c>
      <c r="B6" s="523" t="s">
        <v>666</v>
      </c>
      <c r="C6" s="523" t="s">
        <v>282</v>
      </c>
      <c r="D6" s="523"/>
      <c r="E6" s="523" t="s">
        <v>729</v>
      </c>
    </row>
    <row r="7" spans="1:5">
      <c r="A7" s="486">
        <v>42478</v>
      </c>
      <c r="B7" s="523" t="s">
        <v>332</v>
      </c>
      <c r="C7" s="523" t="s">
        <v>704</v>
      </c>
      <c r="D7" s="523"/>
      <c r="E7" s="523" t="s">
        <v>721</v>
      </c>
    </row>
    <row r="8" spans="1:5">
      <c r="A8" s="486">
        <v>42478</v>
      </c>
      <c r="B8" s="523" t="s">
        <v>332</v>
      </c>
      <c r="C8" s="523" t="s">
        <v>705</v>
      </c>
      <c r="D8" s="523"/>
      <c r="E8" s="523" t="s">
        <v>722</v>
      </c>
    </row>
    <row r="9" spans="1:5">
      <c r="A9" s="486">
        <v>42478</v>
      </c>
      <c r="B9" s="523" t="s">
        <v>332</v>
      </c>
      <c r="C9" s="523" t="s">
        <v>282</v>
      </c>
      <c r="D9" s="523" t="s">
        <v>726</v>
      </c>
      <c r="E9" s="523" t="s">
        <v>725</v>
      </c>
    </row>
    <row r="10" spans="1:5">
      <c r="A10" s="486">
        <v>42474</v>
      </c>
      <c r="B10" s="523" t="s">
        <v>719</v>
      </c>
      <c r="C10" s="487"/>
      <c r="D10" s="523"/>
      <c r="E10" s="523" t="s">
        <v>720</v>
      </c>
    </row>
    <row r="11" spans="1:5">
      <c r="A11" s="486">
        <v>42430</v>
      </c>
      <c r="B11" s="523" t="s">
        <v>666</v>
      </c>
      <c r="C11" s="487" t="s">
        <v>529</v>
      </c>
      <c r="D11" s="523" t="s">
        <v>694</v>
      </c>
      <c r="E11" s="523" t="s">
        <v>695</v>
      </c>
    </row>
    <row r="12" spans="1:5">
      <c r="A12" s="486">
        <v>42430</v>
      </c>
      <c r="B12" s="523" t="s">
        <v>666</v>
      </c>
      <c r="C12" s="93" t="s">
        <v>607</v>
      </c>
      <c r="D12" s="93" t="s">
        <v>696</v>
      </c>
      <c r="E12" s="93" t="s">
        <v>697</v>
      </c>
    </row>
    <row r="13" spans="1:5">
      <c r="A13" s="486">
        <v>42430</v>
      </c>
      <c r="B13" s="523" t="s">
        <v>666</v>
      </c>
      <c r="C13" s="487" t="s">
        <v>282</v>
      </c>
      <c r="D13" s="523" t="s">
        <v>693</v>
      </c>
      <c r="E13" s="523" t="s">
        <v>692</v>
      </c>
    </row>
    <row r="14" spans="1:5">
      <c r="A14" s="486">
        <v>42430</v>
      </c>
      <c r="B14" s="523" t="s">
        <v>666</v>
      </c>
      <c r="C14" s="487" t="s">
        <v>282</v>
      </c>
      <c r="D14" s="523" t="s">
        <v>667</v>
      </c>
      <c r="E14" s="523" t="s">
        <v>668</v>
      </c>
    </row>
    <row r="15" spans="1:5" s="488" customFormat="1">
      <c r="A15" s="486">
        <v>42318</v>
      </c>
      <c r="B15" s="487" t="s">
        <v>365</v>
      </c>
      <c r="C15" s="487" t="s">
        <v>607</v>
      </c>
      <c r="D15" s="487" t="str">
        <f>ADDRESS(ROW(ETS_NETS_Prices!E6),COLUMN(ETS_NETS_Prices!E6),4,1)&amp;":"&amp;ADDRESS(ROW(ETS_NETS_Prices!AS6),COLUMN(ETS_NETS_Prices!AS6),4,1)</f>
        <v>E6:AS6</v>
      </c>
      <c r="E15" s="487" t="s">
        <v>663</v>
      </c>
    </row>
    <row r="16" spans="1:5" s="488" customFormat="1">
      <c r="A16" s="486">
        <v>42313</v>
      </c>
      <c r="B16" s="487" t="s">
        <v>365</v>
      </c>
      <c r="C16" s="487" t="s">
        <v>282</v>
      </c>
      <c r="D16" s="487" t="e">
        <f>ADDRESS(ROW(#REF!),COLUMN(#REF!),4,1)&amp;":"&amp;ADDRESS(ROW(#REF!),COLUMN(#REF!),4,1)</f>
        <v>#REF!</v>
      </c>
      <c r="E16" s="487" t="s">
        <v>661</v>
      </c>
    </row>
    <row r="17" spans="1:5" s="488" customFormat="1">
      <c r="A17" s="486">
        <v>42313</v>
      </c>
      <c r="B17" s="487" t="s">
        <v>365</v>
      </c>
      <c r="C17" s="487" t="s">
        <v>607</v>
      </c>
      <c r="D17" s="487" t="str">
        <f>ADDRESS(ROW(ETS_NETS_Prices!B7),COLUMN(ETS_NETS_Prices!B7),4,1)&amp;":"&amp;ADDRESS(ROW(ETS_NETS_Prices!AS7),COLUMN(ETS_NETS_Prices!AS7),4,1)</f>
        <v>B7:AS7</v>
      </c>
      <c r="E17" s="487" t="s">
        <v>662</v>
      </c>
    </row>
    <row r="18" spans="1:5" s="484" customFormat="1">
      <c r="A18" s="451">
        <v>42312</v>
      </c>
      <c r="B18" s="450" t="s">
        <v>365</v>
      </c>
      <c r="C18" s="450" t="s">
        <v>310</v>
      </c>
      <c r="D18" s="450" t="str">
        <f>ADDRESS(ROW(Refineries!U52),COLUMN(Refineries!U52),4,1)&amp;":"&amp;ADDRESS(ROW(Refineries!U57),COLUMN(Refineries!U57),4,1)</f>
        <v>U52:U57</v>
      </c>
      <c r="E18" s="450" t="s">
        <v>646</v>
      </c>
    </row>
    <row r="19" spans="1:5">
      <c r="A19" s="451">
        <v>42116</v>
      </c>
      <c r="B19" s="237" t="s">
        <v>365</v>
      </c>
      <c r="C19" s="450" t="s">
        <v>282</v>
      </c>
      <c r="D19" s="237" t="s">
        <v>609</v>
      </c>
      <c r="E19" s="450" t="s">
        <v>610</v>
      </c>
    </row>
    <row r="20" spans="1:5">
      <c r="A20" s="236">
        <v>42116</v>
      </c>
      <c r="B20" s="237" t="s">
        <v>365</v>
      </c>
      <c r="C20" s="450" t="s">
        <v>607</v>
      </c>
      <c r="D20" s="237"/>
      <c r="E20" s="450" t="s">
        <v>608</v>
      </c>
    </row>
    <row r="21" spans="1:5" s="241" customFormat="1">
      <c r="A21" s="236">
        <v>42046</v>
      </c>
      <c r="B21" s="237" t="s">
        <v>365</v>
      </c>
      <c r="C21" s="237" t="s">
        <v>529</v>
      </c>
      <c r="D21" s="237" t="e">
        <f>ADDRESS(ROW(#REF!),COLUMN(#REF!),4,1)&amp;":"&amp;ADDRESS(ROW(#REF!),COLUMN(#REF!),4,1)</f>
        <v>#REF!</v>
      </c>
      <c r="E21" s="237" t="s">
        <v>599</v>
      </c>
    </row>
    <row r="22" spans="1:5" s="241" customFormat="1">
      <c r="A22" s="236">
        <v>42045</v>
      </c>
      <c r="B22" s="237" t="s">
        <v>365</v>
      </c>
      <c r="C22" s="237" t="s">
        <v>529</v>
      </c>
      <c r="D22" s="237" t="str">
        <f>ADDRESS(ROW(BiomassCost!B22),COLUMN(BiomassCost!B22),4,1)&amp;":"&amp;ADDRESS(ROW(BiomassCost!AC183),COLUMN(BiomassCost!AC183),4,1)</f>
        <v>B22:AC183</v>
      </c>
      <c r="E22" s="237" t="s">
        <v>530</v>
      </c>
    </row>
    <row r="23" spans="1:5" s="241" customFormat="1">
      <c r="A23" s="236">
        <v>42044</v>
      </c>
      <c r="B23" s="237" t="s">
        <v>332</v>
      </c>
      <c r="C23" s="237" t="s">
        <v>282</v>
      </c>
      <c r="D23" s="237" t="e">
        <f>ADDRESS(ROW(#REF!),COLUMN(#REF!),4,1)&amp;":"&amp;ADDRESS(ROW(#REF!),COLUMN(#REF!),4,1)</f>
        <v>#REF!</v>
      </c>
      <c r="E23" s="237" t="s">
        <v>402</v>
      </c>
    </row>
    <row r="24" spans="1:5" s="241" customFormat="1">
      <c r="A24" s="236">
        <v>42044</v>
      </c>
      <c r="B24" s="237" t="s">
        <v>332</v>
      </c>
      <c r="C24" s="237" t="s">
        <v>191</v>
      </c>
      <c r="D24" s="237" t="e">
        <f>ADDRESS(ROW(Processes!#REF!),COLUMN(Processes!#REF!),4,1)&amp;":"&amp;ADDRESS(ROW(Processes!#REF!),COLUMN(Processes!#REF!),4,1)</f>
        <v>#REF!</v>
      </c>
      <c r="E24" s="237" t="s">
        <v>401</v>
      </c>
    </row>
    <row r="25" spans="1:5" s="241" customFormat="1">
      <c r="A25" s="236">
        <v>42044</v>
      </c>
      <c r="B25" s="237" t="s">
        <v>332</v>
      </c>
      <c r="C25" s="237" t="s">
        <v>184</v>
      </c>
      <c r="D25" s="237" t="str">
        <f>ADDRESS(ROW(Commodities!C51),COLUMN(Commodities!C51),4,1)&amp;":"&amp;ADDRESS(ROW(Commodities!K67),COLUMN(Commodities!K67),4,1)</f>
        <v>C51:K67</v>
      </c>
      <c r="E25" s="237" t="s">
        <v>400</v>
      </c>
    </row>
    <row r="26" spans="1:5" s="241" customFormat="1">
      <c r="A26" s="236">
        <v>42044</v>
      </c>
      <c r="B26" s="237" t="s">
        <v>332</v>
      </c>
      <c r="C26" s="237" t="s">
        <v>222</v>
      </c>
      <c r="D26" s="237" t="str">
        <f>ADDRESS(ROW('Fuel Tech'!B7),COLUMN('Fuel Tech'!B7),4,1)&amp;":"&amp;ADDRESS(ROW('Fuel Tech'!F8),COLUMN('Fuel Tech'!F8),4,1)</f>
        <v>B7:F8</v>
      </c>
      <c r="E26" s="237" t="s">
        <v>379</v>
      </c>
    </row>
    <row r="27" spans="1:5" s="241" customFormat="1">
      <c r="A27" s="236">
        <v>42044</v>
      </c>
      <c r="B27" s="237" t="s">
        <v>332</v>
      </c>
      <c r="C27" s="237" t="s">
        <v>191</v>
      </c>
      <c r="D27" s="237" t="e">
        <f>ADDRESS(ROW(Processes!#REF!),COLUMN(Processes!#REF!),4,1)&amp;":"&amp;ADDRESS(ROW(Processes!#REF!),COLUMN(Processes!#REF!),4,1)</f>
        <v>#REF!</v>
      </c>
      <c r="E27" s="237" t="s">
        <v>378</v>
      </c>
    </row>
    <row r="28" spans="1:5" s="241" customFormat="1">
      <c r="A28" s="236">
        <v>42044</v>
      </c>
      <c r="B28" s="237" t="s">
        <v>332</v>
      </c>
      <c r="C28" s="237" t="s">
        <v>184</v>
      </c>
      <c r="D28" s="237" t="str">
        <f>ADDRESS(ROW(Commodities!C69),COLUMN(Commodities!C69),4,1)&amp;":"&amp;ADDRESS(ROW(Commodities!K75),COLUMN(Commodities!K75),4,1)</f>
        <v>C69:K75</v>
      </c>
      <c r="E28" s="237" t="s">
        <v>377</v>
      </c>
    </row>
    <row r="29" spans="1:5" s="241" customFormat="1">
      <c r="A29" s="236">
        <v>42026</v>
      </c>
      <c r="B29" s="237" t="s">
        <v>365</v>
      </c>
      <c r="C29" s="237" t="s">
        <v>282</v>
      </c>
      <c r="D29" s="237" t="e">
        <f>ADDRESS(ROW(#REF!),COLUMN(#REF!),4,1)&amp;":"&amp;ADDRESS(ROW(#REF!),COLUMN(#REF!),4,1)</f>
        <v>#REF!</v>
      </c>
      <c r="E29" s="237" t="s">
        <v>370</v>
      </c>
    </row>
    <row r="30" spans="1:5" s="241" customFormat="1">
      <c r="A30" s="236">
        <v>42026</v>
      </c>
      <c r="B30" s="237" t="s">
        <v>365</v>
      </c>
      <c r="C30" s="237" t="s">
        <v>368</v>
      </c>
      <c r="D30" s="237"/>
      <c r="E30" s="237" t="s">
        <v>369</v>
      </c>
    </row>
    <row r="31" spans="1:5" s="241" customFormat="1">
      <c r="A31" s="236">
        <v>42026</v>
      </c>
      <c r="B31" s="237" t="s">
        <v>365</v>
      </c>
      <c r="C31" s="237" t="s">
        <v>282</v>
      </c>
      <c r="D31" s="237" t="e">
        <f>ADDRESS(ROW(#REF!),COLUMN(#REF!),4,1)&amp;":"&amp;ADDRESS(ROW(#REF!),COLUMN(#REF!),4,1)</f>
        <v>#REF!</v>
      </c>
      <c r="E31" s="237" t="s">
        <v>367</v>
      </c>
    </row>
    <row r="32" spans="1:5" s="241" customFormat="1">
      <c r="A32" s="236">
        <v>42026</v>
      </c>
      <c r="B32" s="237" t="s">
        <v>365</v>
      </c>
      <c r="C32" s="237" t="s">
        <v>282</v>
      </c>
      <c r="D32" s="237" t="e">
        <f>ADDRESS(ROW(#REF!),COLUMN(#REF!),4,1)&amp;":"&amp;ADDRESS(ROW(#REF!),COLUMN(#REF!),4,1)</f>
        <v>#REF!</v>
      </c>
      <c r="E32" s="237" t="s">
        <v>366</v>
      </c>
    </row>
    <row r="33" spans="1:5" s="241" customFormat="1">
      <c r="A33" s="236">
        <v>41956</v>
      </c>
      <c r="B33" s="237" t="s">
        <v>182</v>
      </c>
      <c r="C33" s="237" t="s">
        <v>282</v>
      </c>
      <c r="D33" s="237" t="e">
        <f>ADDRESS(ROW(#REF!),COLUMN(#REF!),4,1)</f>
        <v>#REF!</v>
      </c>
      <c r="E33" s="237" t="s">
        <v>334</v>
      </c>
    </row>
    <row r="34" spans="1:5">
      <c r="A34" s="236">
        <v>41909</v>
      </c>
      <c r="B34" s="237" t="s">
        <v>332</v>
      </c>
      <c r="C34" s="237" t="s">
        <v>282</v>
      </c>
      <c r="D34" s="237" t="e">
        <f>ADDRESS(ROW(#REF!),COLUMN(#REF!),4,1)</f>
        <v>#REF!</v>
      </c>
      <c r="E34" s="237" t="s">
        <v>333</v>
      </c>
    </row>
    <row r="35" spans="1:5" s="96" customFormat="1">
      <c r="A35" s="94">
        <v>41801</v>
      </c>
      <c r="B35" s="95" t="s">
        <v>182</v>
      </c>
      <c r="C35" s="95" t="s">
        <v>193</v>
      </c>
      <c r="D35" s="95" t="s">
        <v>194</v>
      </c>
      <c r="E35" s="95" t="s">
        <v>195</v>
      </c>
    </row>
    <row r="36" spans="1:5" s="96" customFormat="1">
      <c r="A36" s="94">
        <v>41801</v>
      </c>
      <c r="B36" s="95" t="s">
        <v>182</v>
      </c>
      <c r="C36" s="95" t="s">
        <v>191</v>
      </c>
      <c r="D36" s="95" t="s">
        <v>186</v>
      </c>
      <c r="E36" s="95" t="s">
        <v>192</v>
      </c>
    </row>
    <row r="37" spans="1:5" s="96" customFormat="1">
      <c r="A37" s="94">
        <v>41801</v>
      </c>
      <c r="B37" s="95" t="s">
        <v>182</v>
      </c>
      <c r="C37" s="95" t="s">
        <v>184</v>
      </c>
      <c r="D37" s="95" t="s">
        <v>189</v>
      </c>
      <c r="E37" s="95" t="s">
        <v>190</v>
      </c>
    </row>
    <row r="38" spans="1:5" s="96" customFormat="1">
      <c r="A38" s="94">
        <v>41801</v>
      </c>
      <c r="B38" s="95" t="s">
        <v>182</v>
      </c>
      <c r="C38" s="95" t="s">
        <v>184</v>
      </c>
      <c r="D38" s="95" t="s">
        <v>187</v>
      </c>
      <c r="E38" s="95" t="s">
        <v>188</v>
      </c>
    </row>
    <row r="39" spans="1:5" s="96" customFormat="1">
      <c r="A39" s="94">
        <v>41801</v>
      </c>
      <c r="B39" s="95" t="s">
        <v>182</v>
      </c>
      <c r="C39" s="95" t="s">
        <v>184</v>
      </c>
      <c r="D39" s="95" t="s">
        <v>186</v>
      </c>
      <c r="E39" s="95" t="s">
        <v>185</v>
      </c>
    </row>
    <row r="40" spans="1:5" s="96" customFormat="1">
      <c r="A40" s="94">
        <v>41802</v>
      </c>
      <c r="B40" s="95" t="s">
        <v>205</v>
      </c>
      <c r="C40" s="95" t="s">
        <v>193</v>
      </c>
      <c r="D40" s="95" t="s">
        <v>207</v>
      </c>
      <c r="E40" s="95" t="s">
        <v>206</v>
      </c>
    </row>
    <row r="41" spans="1:5" s="96" customFormat="1">
      <c r="A41" s="94">
        <v>41802</v>
      </c>
      <c r="B41" s="95" t="s">
        <v>212</v>
      </c>
      <c r="C41" s="95" t="s">
        <v>193</v>
      </c>
      <c r="D41" s="96" t="s">
        <v>214</v>
      </c>
      <c r="E41" s="95" t="s">
        <v>213</v>
      </c>
    </row>
    <row r="42" spans="1:5" s="96" customFormat="1">
      <c r="A42" s="94">
        <v>41802</v>
      </c>
      <c r="B42" s="95" t="s">
        <v>212</v>
      </c>
      <c r="C42" s="95" t="s">
        <v>222</v>
      </c>
      <c r="D42" s="96" t="s">
        <v>223</v>
      </c>
      <c r="E42" s="95" t="s">
        <v>224</v>
      </c>
    </row>
    <row r="43" spans="1:5" s="96" customFormat="1">
      <c r="A43" s="94">
        <v>41827</v>
      </c>
      <c r="B43" s="95" t="s">
        <v>281</v>
      </c>
      <c r="C43" s="95" t="s">
        <v>282</v>
      </c>
      <c r="D43" s="95" t="s">
        <v>284</v>
      </c>
      <c r="E43" s="95" t="s">
        <v>283</v>
      </c>
    </row>
    <row r="44" spans="1:5" s="96" customFormat="1">
      <c r="A44" s="94">
        <v>41828</v>
      </c>
      <c r="B44" s="95" t="s">
        <v>212</v>
      </c>
      <c r="C44" s="95" t="s">
        <v>307</v>
      </c>
      <c r="D44" s="95"/>
      <c r="E44" s="95" t="s">
        <v>308</v>
      </c>
    </row>
    <row r="45" spans="1:5" s="96" customFormat="1">
      <c r="A45" s="236">
        <v>41828</v>
      </c>
      <c r="B45" s="237" t="s">
        <v>309</v>
      </c>
      <c r="C45" s="237" t="s">
        <v>310</v>
      </c>
      <c r="D45" s="237" t="s">
        <v>311</v>
      </c>
      <c r="E45" s="237" t="s">
        <v>312</v>
      </c>
    </row>
    <row r="46" spans="1:5" s="96" customFormat="1">
      <c r="A46" s="236">
        <v>41828</v>
      </c>
      <c r="B46" s="237" t="s">
        <v>309</v>
      </c>
      <c r="C46" s="237" t="s">
        <v>310</v>
      </c>
      <c r="D46" s="237" t="s">
        <v>313</v>
      </c>
      <c r="E46" s="237" t="s">
        <v>314</v>
      </c>
    </row>
    <row r="47" spans="1:5" s="96" customFormat="1">
      <c r="A47" s="236">
        <v>41828</v>
      </c>
      <c r="B47" s="237" t="s">
        <v>309</v>
      </c>
      <c r="C47" s="237" t="s">
        <v>310</v>
      </c>
      <c r="D47" s="237" t="s">
        <v>315</v>
      </c>
      <c r="E47" s="237" t="s">
        <v>316</v>
      </c>
    </row>
    <row r="48" spans="1:5">
      <c r="A48" s="94"/>
      <c r="B48" s="97"/>
      <c r="C48" s="97"/>
      <c r="D48" s="98"/>
      <c r="E48" s="97"/>
    </row>
    <row r="49" spans="1:5">
      <c r="A49" s="99"/>
      <c r="B49" s="97"/>
      <c r="C49" s="97"/>
      <c r="D49" s="100"/>
      <c r="E49" s="100"/>
    </row>
    <row r="50" spans="1:5">
      <c r="A50" s="99"/>
    </row>
  </sheetData>
  <pageMargins left="0.7" right="0.7" top="0.75" bottom="0.75" header="0.3" footer="0.3"/>
  <pageSetup paperSize="9"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Ark3">
    <tabColor theme="4"/>
  </sheetPr>
  <dimension ref="B2:AK216"/>
  <sheetViews>
    <sheetView topLeftCell="A172" workbookViewId="0">
      <selection activeCell="C189" sqref="C189"/>
    </sheetView>
  </sheetViews>
  <sheetFormatPr defaultColWidth="8.6640625" defaultRowHeight="13.2"/>
  <cols>
    <col min="2" max="2" width="39.6640625" bestFit="1" customWidth="1"/>
    <col min="3" max="3" width="108.44140625" bestFit="1" customWidth="1"/>
  </cols>
  <sheetData>
    <row r="2" spans="4:4">
      <c r="D2" s="262"/>
    </row>
    <row r="3" spans="4:4">
      <c r="D3" s="262"/>
    </row>
    <row r="4" spans="4:4">
      <c r="D4" s="262"/>
    </row>
    <row r="5" spans="4:4">
      <c r="D5" s="262"/>
    </row>
    <row r="6" spans="4:4">
      <c r="D6" s="262"/>
    </row>
    <row r="22" spans="2:29" ht="17.399999999999999">
      <c r="B22" s="415" t="s">
        <v>408</v>
      </c>
      <c r="C22" s="415"/>
      <c r="D22" s="415"/>
      <c r="E22" s="415"/>
      <c r="F22" s="415"/>
      <c r="G22" s="415"/>
      <c r="H22" s="415"/>
      <c r="I22" s="415"/>
      <c r="J22" s="415"/>
      <c r="K22" s="415"/>
      <c r="L22" s="415"/>
      <c r="M22" s="415"/>
      <c r="N22" s="415"/>
      <c r="O22" s="415"/>
      <c r="P22" s="415"/>
      <c r="Q22" s="415"/>
      <c r="R22" s="415"/>
      <c r="S22" s="415"/>
      <c r="T22" s="415"/>
      <c r="U22" s="415"/>
      <c r="V22" s="415"/>
      <c r="W22" s="415"/>
      <c r="X22" s="415"/>
      <c r="Y22" s="415"/>
      <c r="Z22" s="415"/>
      <c r="AA22" s="415"/>
      <c r="AB22" s="415"/>
      <c r="AC22" s="415"/>
    </row>
    <row r="23" spans="2:29" ht="13.8">
      <c r="B23" s="307"/>
      <c r="C23" s="307"/>
      <c r="D23" s="307"/>
      <c r="E23" s="307"/>
      <c r="F23" s="307"/>
      <c r="G23" s="307"/>
      <c r="H23" s="307"/>
      <c r="I23" s="307"/>
      <c r="J23" s="307"/>
      <c r="K23" s="307"/>
      <c r="L23" s="307"/>
      <c r="M23" s="307"/>
      <c r="N23" s="307"/>
      <c r="O23" s="307"/>
      <c r="P23" s="307"/>
      <c r="Q23" s="307"/>
      <c r="R23" s="307"/>
      <c r="S23" s="307"/>
      <c r="T23" s="307"/>
      <c r="U23" s="307"/>
      <c r="V23" s="307"/>
      <c r="W23" s="307"/>
      <c r="X23" s="307"/>
      <c r="Y23" s="307"/>
      <c r="Z23" s="307"/>
      <c r="AA23" s="307"/>
      <c r="AB23" s="307"/>
      <c r="AC23" s="307"/>
    </row>
    <row r="24" spans="2:29" ht="15.6">
      <c r="B24" s="308" t="s">
        <v>409</v>
      </c>
      <c r="C24" s="308"/>
      <c r="D24" s="308"/>
      <c r="E24" s="308"/>
      <c r="F24" s="308"/>
      <c r="G24" s="308"/>
      <c r="H24" s="308"/>
      <c r="I24" s="308"/>
      <c r="J24" s="308"/>
      <c r="K24" s="308"/>
      <c r="L24" s="308"/>
      <c r="M24" s="308"/>
      <c r="N24" s="308"/>
      <c r="O24" s="308"/>
      <c r="P24" s="308"/>
      <c r="Q24" s="308"/>
      <c r="R24" s="308"/>
      <c r="S24" s="308"/>
      <c r="T24" s="308"/>
      <c r="U24" s="308"/>
      <c r="V24" s="308"/>
      <c r="W24" s="308"/>
      <c r="X24" s="308"/>
      <c r="Y24" s="308"/>
      <c r="Z24" s="308"/>
      <c r="AA24" s="308"/>
      <c r="AB24" s="308"/>
      <c r="AC24" s="308"/>
    </row>
    <row r="25" spans="2:29" ht="13.8">
      <c r="B25" s="307"/>
      <c r="C25" s="307"/>
      <c r="D25" s="307"/>
      <c r="E25" s="307"/>
      <c r="F25" s="307"/>
      <c r="G25" s="307"/>
      <c r="H25" s="307"/>
      <c r="I25" s="307"/>
      <c r="J25" s="307"/>
      <c r="K25" s="307"/>
      <c r="L25" s="307"/>
      <c r="M25" s="307"/>
      <c r="N25" s="307"/>
      <c r="O25" s="307"/>
      <c r="P25" s="307"/>
      <c r="Q25" s="307"/>
      <c r="R25" s="307"/>
      <c r="S25" s="307"/>
      <c r="T25" s="307"/>
      <c r="U25" s="307"/>
      <c r="V25" s="307"/>
      <c r="W25" s="307"/>
      <c r="X25" s="307"/>
      <c r="Y25" s="307"/>
      <c r="Z25" s="307"/>
      <c r="AA25" s="307"/>
      <c r="AB25" s="307"/>
      <c r="AC25" s="307"/>
    </row>
    <row r="26" spans="2:29">
      <c r="B26" s="317"/>
      <c r="C26" s="317"/>
      <c r="D26" s="318"/>
      <c r="E26" s="317"/>
      <c r="F26" s="317"/>
      <c r="G26" s="317"/>
      <c r="H26" s="317"/>
      <c r="I26" s="317"/>
      <c r="J26" s="317"/>
      <c r="K26" s="317"/>
      <c r="L26" s="317"/>
      <c r="M26" s="317"/>
      <c r="N26" s="317"/>
      <c r="O26" s="317"/>
      <c r="P26" s="317"/>
      <c r="Q26" s="317"/>
      <c r="R26" s="317"/>
      <c r="S26" s="317" t="s">
        <v>410</v>
      </c>
      <c r="T26" s="318">
        <v>29</v>
      </c>
      <c r="U26" s="318">
        <v>47</v>
      </c>
      <c r="V26" s="318">
        <v>59</v>
      </c>
      <c r="W26" s="318">
        <v>61</v>
      </c>
      <c r="X26" s="318">
        <v>91</v>
      </c>
      <c r="Y26" s="318">
        <v>94</v>
      </c>
      <c r="Z26" s="318">
        <v>95</v>
      </c>
      <c r="AA26" s="317"/>
      <c r="AB26" s="317"/>
      <c r="AC26" s="317"/>
    </row>
    <row r="27" spans="2:29" ht="14.4">
      <c r="B27" s="317"/>
      <c r="C27" s="329" t="s">
        <v>411</v>
      </c>
      <c r="D27" s="318"/>
      <c r="E27" s="317"/>
      <c r="F27" s="317"/>
      <c r="G27" s="317"/>
      <c r="H27" s="317"/>
      <c r="I27" s="317"/>
      <c r="J27" s="317"/>
      <c r="K27" s="317"/>
      <c r="L27" s="317"/>
      <c r="M27" s="317"/>
      <c r="N27" s="317"/>
      <c r="O27" s="317"/>
      <c r="P27" s="317"/>
      <c r="Q27" s="317"/>
      <c r="R27" s="317"/>
      <c r="S27" s="317"/>
      <c r="T27" s="318" t="s">
        <v>412</v>
      </c>
      <c r="U27" s="318" t="s">
        <v>412</v>
      </c>
      <c r="V27" s="318" t="s">
        <v>162</v>
      </c>
      <c r="W27" s="318" t="s">
        <v>413</v>
      </c>
      <c r="X27" s="318" t="s">
        <v>413</v>
      </c>
      <c r="Y27" s="318" t="s">
        <v>413</v>
      </c>
      <c r="Z27" s="318" t="s">
        <v>413</v>
      </c>
      <c r="AA27" s="317"/>
      <c r="AB27" s="317"/>
      <c r="AC27" s="317"/>
    </row>
    <row r="28" spans="2:29" ht="110.4">
      <c r="B28" s="317"/>
      <c r="C28" s="326"/>
      <c r="D28" s="319"/>
      <c r="E28" s="352" t="s">
        <v>414</v>
      </c>
      <c r="F28" s="353" t="s">
        <v>415</v>
      </c>
      <c r="G28" s="353"/>
      <c r="H28" s="354" t="s">
        <v>416</v>
      </c>
      <c r="I28" s="355" t="s">
        <v>417</v>
      </c>
      <c r="J28" s="355" t="s">
        <v>418</v>
      </c>
      <c r="K28" s="356" t="s">
        <v>419</v>
      </c>
      <c r="L28" s="356" t="s">
        <v>420</v>
      </c>
      <c r="M28" s="356" t="s">
        <v>421</v>
      </c>
      <c r="N28" s="356" t="s">
        <v>422</v>
      </c>
      <c r="O28" s="356" t="s">
        <v>423</v>
      </c>
      <c r="P28" s="356" t="s">
        <v>424</v>
      </c>
      <c r="Q28" s="356" t="s">
        <v>425</v>
      </c>
      <c r="R28" s="356" t="s">
        <v>448</v>
      </c>
      <c r="S28" s="317"/>
      <c r="T28" s="317" t="s">
        <v>426</v>
      </c>
      <c r="U28" s="317" t="s">
        <v>426</v>
      </c>
      <c r="V28" s="317"/>
      <c r="W28" s="317"/>
      <c r="X28" s="317" t="s">
        <v>427</v>
      </c>
      <c r="Y28" s="317" t="s">
        <v>428</v>
      </c>
      <c r="Z28" s="317" t="s">
        <v>429</v>
      </c>
      <c r="AA28" s="317"/>
      <c r="AB28" s="317"/>
      <c r="AC28" s="317"/>
    </row>
    <row r="29" spans="2:29" ht="13.8">
      <c r="B29" s="317"/>
      <c r="C29" s="327" t="s">
        <v>430</v>
      </c>
      <c r="D29" s="320"/>
      <c r="E29" s="357" t="s">
        <v>431</v>
      </c>
      <c r="F29" s="313" t="s">
        <v>432</v>
      </c>
      <c r="G29" s="313" t="s">
        <v>412</v>
      </c>
      <c r="H29" s="313" t="s">
        <v>431</v>
      </c>
      <c r="I29" s="320" t="s">
        <v>433</v>
      </c>
      <c r="J29" s="358" t="s">
        <v>162</v>
      </c>
      <c r="K29" s="359" t="s">
        <v>413</v>
      </c>
      <c r="L29" s="359" t="s">
        <v>413</v>
      </c>
      <c r="M29" s="359" t="s">
        <v>413</v>
      </c>
      <c r="N29" s="359"/>
      <c r="O29" s="359" t="s">
        <v>413</v>
      </c>
      <c r="P29" s="359" t="s">
        <v>413</v>
      </c>
      <c r="Q29" s="359" t="s">
        <v>162</v>
      </c>
      <c r="R29" s="359" t="s">
        <v>413</v>
      </c>
      <c r="S29" s="317"/>
      <c r="T29" s="317"/>
      <c r="U29" s="317"/>
      <c r="V29" s="317"/>
      <c r="W29" s="317"/>
      <c r="X29" s="317"/>
      <c r="Y29" s="317"/>
      <c r="Z29" s="317"/>
      <c r="AA29" s="317"/>
      <c r="AB29" s="317"/>
      <c r="AC29" s="317"/>
    </row>
    <row r="30" spans="2:29" ht="13.8">
      <c r="B30" s="317"/>
      <c r="C30" s="326" t="s">
        <v>434</v>
      </c>
      <c r="D30" s="360"/>
      <c r="E30" s="361">
        <v>17</v>
      </c>
      <c r="F30" s="362">
        <v>72.400000000000006</v>
      </c>
      <c r="G30" s="417">
        <v>72.400000000000006</v>
      </c>
      <c r="H30" s="363">
        <v>1.8</v>
      </c>
      <c r="I30" s="364"/>
      <c r="J30" s="420">
        <v>0.90400000000000003</v>
      </c>
      <c r="K30" s="365">
        <v>16.739999999999998</v>
      </c>
      <c r="L30" s="431">
        <v>5.3000000000000001E-5</v>
      </c>
      <c r="M30" s="434">
        <v>7.3800000000000004E-2</v>
      </c>
      <c r="N30" s="366"/>
      <c r="O30" s="423"/>
      <c r="P30" s="365">
        <v>7.22</v>
      </c>
      <c r="Q30" s="406">
        <v>0</v>
      </c>
      <c r="R30" s="427">
        <v>23.96</v>
      </c>
      <c r="S30" s="317"/>
      <c r="T30" s="317"/>
      <c r="U30" s="317"/>
      <c r="V30" s="317"/>
      <c r="W30" s="317"/>
      <c r="X30" s="317"/>
      <c r="Y30" s="317"/>
      <c r="Z30" s="317"/>
      <c r="AA30" s="317"/>
      <c r="AB30" s="317"/>
      <c r="AC30" s="317"/>
    </row>
    <row r="31" spans="2:29" ht="13.8">
      <c r="B31" s="317"/>
      <c r="C31" s="328" t="s">
        <v>435</v>
      </c>
      <c r="D31" s="367"/>
      <c r="E31" s="368">
        <v>19</v>
      </c>
      <c r="F31" s="368">
        <v>10.6</v>
      </c>
      <c r="G31" s="418">
        <v>10.6</v>
      </c>
      <c r="H31" s="369">
        <v>1.8</v>
      </c>
      <c r="I31" s="370"/>
      <c r="J31" s="421">
        <v>0.91400000000000003</v>
      </c>
      <c r="K31" s="371">
        <v>9.26</v>
      </c>
      <c r="L31" s="432">
        <v>4.6999999999999997E-5</v>
      </c>
      <c r="M31" s="435">
        <v>6.6000000000000003E-2</v>
      </c>
      <c r="N31" s="372"/>
      <c r="O31" s="424"/>
      <c r="P31" s="371">
        <v>9.44</v>
      </c>
      <c r="Q31" s="407">
        <v>0</v>
      </c>
      <c r="R31" s="428">
        <v>18.7</v>
      </c>
      <c r="S31" s="317"/>
      <c r="T31" s="317"/>
      <c r="U31" s="317"/>
      <c r="V31" s="317"/>
      <c r="W31" s="317"/>
      <c r="X31" s="317"/>
      <c r="Y31" s="317"/>
      <c r="Z31" s="317"/>
      <c r="AA31" s="317"/>
      <c r="AB31" s="317"/>
      <c r="AC31" s="317"/>
    </row>
    <row r="32" spans="2:29" ht="13.8">
      <c r="B32" s="317"/>
      <c r="C32" s="328" t="s">
        <v>436</v>
      </c>
      <c r="D32" s="367"/>
      <c r="E32" s="368">
        <v>14.5</v>
      </c>
      <c r="F32" s="368">
        <v>40.9</v>
      </c>
      <c r="G32" s="418">
        <v>40.9</v>
      </c>
      <c r="H32" s="369">
        <v>0.53</v>
      </c>
      <c r="I32" s="373"/>
      <c r="J32" s="421">
        <v>0.96499999999999997</v>
      </c>
      <c r="K32" s="371">
        <v>2.5099999999999998</v>
      </c>
      <c r="L32" s="432">
        <v>1.8E-5</v>
      </c>
      <c r="M32" s="435">
        <v>2.53E-2</v>
      </c>
      <c r="N32" s="372"/>
      <c r="O32" s="424"/>
      <c r="P32" s="371">
        <v>9.25</v>
      </c>
      <c r="Q32" s="407">
        <v>0</v>
      </c>
      <c r="R32" s="429">
        <v>11.76</v>
      </c>
      <c r="S32" s="317"/>
      <c r="T32" s="317"/>
      <c r="U32" s="317"/>
      <c r="V32" s="317"/>
      <c r="W32" s="317"/>
      <c r="X32" s="317"/>
      <c r="Y32" s="317"/>
      <c r="Z32" s="317"/>
      <c r="AA32" s="317"/>
      <c r="AB32" s="317"/>
      <c r="AC32" s="317"/>
    </row>
    <row r="33" spans="2:29" ht="13.8">
      <c r="B33" s="317"/>
      <c r="C33" s="328" t="s">
        <v>437</v>
      </c>
      <c r="D33" s="367"/>
      <c r="E33" s="368">
        <v>27</v>
      </c>
      <c r="F33" s="368">
        <v>101.7</v>
      </c>
      <c r="G33" s="418">
        <v>101.7</v>
      </c>
      <c r="H33" s="369">
        <v>6.23</v>
      </c>
      <c r="I33" s="373"/>
      <c r="J33" s="421">
        <v>0.81200000000000006</v>
      </c>
      <c r="K33" s="371">
        <v>35.880000000000003</v>
      </c>
      <c r="L33" s="432">
        <v>1.15E-4</v>
      </c>
      <c r="M33" s="435">
        <v>0.161</v>
      </c>
      <c r="N33" s="372"/>
      <c r="O33" s="424"/>
      <c r="P33" s="371">
        <v>32.61</v>
      </c>
      <c r="Q33" s="407">
        <v>0</v>
      </c>
      <c r="R33" s="428">
        <v>68.489999999999995</v>
      </c>
      <c r="S33" s="317"/>
      <c r="T33" s="317"/>
      <c r="U33" s="317"/>
      <c r="V33" s="317"/>
      <c r="W33" s="317"/>
      <c r="X33" s="317"/>
      <c r="Y33" s="317"/>
      <c r="Z33" s="317"/>
      <c r="AA33" s="317"/>
      <c r="AB33" s="317"/>
      <c r="AC33" s="317"/>
    </row>
    <row r="34" spans="2:29" s="485" customFormat="1" ht="13.8">
      <c r="B34" s="528"/>
      <c r="C34" s="531" t="s">
        <v>673</v>
      </c>
      <c r="D34" s="539"/>
      <c r="E34" s="540">
        <v>37</v>
      </c>
      <c r="F34" s="540">
        <v>148.80000000000001</v>
      </c>
      <c r="G34" s="547">
        <v>148.80000000000001</v>
      </c>
      <c r="H34" s="541">
        <v>9.67</v>
      </c>
      <c r="I34" s="544"/>
      <c r="J34" s="548">
        <v>0.79300000000000004</v>
      </c>
      <c r="K34" s="542">
        <v>48.61</v>
      </c>
      <c r="L34" s="550">
        <v>0</v>
      </c>
      <c r="M34" s="551">
        <v>0</v>
      </c>
      <c r="N34" s="543"/>
      <c r="O34" s="424"/>
      <c r="P34" s="542">
        <v>50.6</v>
      </c>
      <c r="Q34" s="407">
        <v>0</v>
      </c>
      <c r="R34" s="549">
        <v>99.21</v>
      </c>
      <c r="S34" s="528"/>
      <c r="T34" s="528"/>
      <c r="U34" s="528"/>
      <c r="V34" s="528"/>
      <c r="W34" s="528"/>
      <c r="X34" s="528"/>
      <c r="Y34" s="528"/>
      <c r="Z34" s="528"/>
      <c r="AA34" s="528"/>
      <c r="AB34" s="528"/>
      <c r="AC34" s="528"/>
    </row>
    <row r="35" spans="2:29" ht="13.8">
      <c r="B35" s="317"/>
      <c r="C35" s="328" t="s">
        <v>438</v>
      </c>
      <c r="D35" s="367"/>
      <c r="E35" s="368">
        <v>39.5</v>
      </c>
      <c r="F35" s="368">
        <v>69.8</v>
      </c>
      <c r="G35" s="418">
        <v>69.8</v>
      </c>
      <c r="H35" s="369">
        <v>6.71</v>
      </c>
      <c r="I35" s="373"/>
      <c r="J35" s="421">
        <v>0.85499999999999998</v>
      </c>
      <c r="K35" s="371">
        <v>13</v>
      </c>
      <c r="L35" s="432">
        <v>7.2999999999999999E-5</v>
      </c>
      <c r="M35" s="435">
        <v>9.4000000000000004E-3</v>
      </c>
      <c r="N35" s="372"/>
      <c r="O35" s="424"/>
      <c r="P35" s="371">
        <v>0</v>
      </c>
      <c r="Q35" s="407">
        <v>0</v>
      </c>
      <c r="R35" s="428">
        <v>13</v>
      </c>
      <c r="S35" s="317"/>
      <c r="T35" s="317"/>
      <c r="U35" s="411">
        <v>4.5999999999999999E-2</v>
      </c>
    </row>
    <row r="36" spans="2:29" ht="13.8">
      <c r="B36" s="317"/>
      <c r="C36" s="374" t="s">
        <v>439</v>
      </c>
      <c r="D36" s="367"/>
      <c r="E36" s="368">
        <v>17.399999999999999</v>
      </c>
      <c r="F36" s="368">
        <v>48.1</v>
      </c>
      <c r="G36" s="418">
        <v>48.1</v>
      </c>
      <c r="H36" s="369">
        <v>0.67</v>
      </c>
      <c r="I36" s="373"/>
      <c r="J36" s="421">
        <v>0.96299999999999997</v>
      </c>
      <c r="K36" s="371">
        <v>5.4</v>
      </c>
      <c r="L36" s="432">
        <v>1.9000000000000001E-5</v>
      </c>
      <c r="M36" s="435">
        <v>2.6800000000000001E-2</v>
      </c>
      <c r="N36" s="372"/>
      <c r="O36" s="424"/>
      <c r="P36" s="371">
        <v>-2.15</v>
      </c>
      <c r="Q36" s="407">
        <v>0</v>
      </c>
      <c r="R36" s="428">
        <v>3.25</v>
      </c>
      <c r="S36" s="317"/>
      <c r="T36" s="317"/>
      <c r="U36" s="317"/>
    </row>
    <row r="37" spans="2:29" ht="13.8">
      <c r="B37" s="317"/>
      <c r="C37" s="328" t="s">
        <v>440</v>
      </c>
      <c r="D37" s="367"/>
      <c r="E37" s="368">
        <v>17.399999999999999</v>
      </c>
      <c r="F37" s="368">
        <v>65.5</v>
      </c>
      <c r="G37" s="418">
        <v>65.5</v>
      </c>
      <c r="H37" s="369">
        <v>0.67</v>
      </c>
      <c r="I37" s="373"/>
      <c r="J37" s="421">
        <v>0.96299999999999997</v>
      </c>
      <c r="K37" s="371">
        <v>5.4</v>
      </c>
      <c r="L37" s="432">
        <v>1.9000000000000001E-5</v>
      </c>
      <c r="M37" s="435">
        <v>2.6800000000000001E-2</v>
      </c>
      <c r="N37" s="372"/>
      <c r="O37" s="424"/>
      <c r="P37" s="371">
        <v>-2.15</v>
      </c>
      <c r="Q37" s="407">
        <v>0</v>
      </c>
      <c r="R37" s="428">
        <v>3.25</v>
      </c>
      <c r="S37" s="317"/>
      <c r="T37" s="317"/>
      <c r="U37" s="317"/>
    </row>
    <row r="38" spans="2:29" ht="13.8">
      <c r="B38" s="317"/>
      <c r="C38" s="328" t="s">
        <v>441</v>
      </c>
      <c r="D38" s="367"/>
      <c r="E38" s="368">
        <v>1</v>
      </c>
      <c r="F38" s="368">
        <v>72.5</v>
      </c>
      <c r="G38" s="418">
        <v>72.5</v>
      </c>
      <c r="H38" s="369">
        <v>0.05</v>
      </c>
      <c r="I38" s="373"/>
      <c r="J38" s="421">
        <v>0.94899999999999995</v>
      </c>
      <c r="K38" s="371">
        <v>0.26</v>
      </c>
      <c r="L38" s="432">
        <v>2.6999999999999999E-5</v>
      </c>
      <c r="M38" s="435">
        <v>3.7499999999999999E-2</v>
      </c>
      <c r="N38" s="372"/>
      <c r="O38" s="425"/>
      <c r="P38" s="371">
        <v>0</v>
      </c>
      <c r="Q38" s="407">
        <v>0</v>
      </c>
      <c r="R38" s="428">
        <v>0.26</v>
      </c>
      <c r="S38" s="317"/>
      <c r="T38" s="317"/>
      <c r="U38" s="317"/>
    </row>
    <row r="39" spans="2:29" ht="13.8">
      <c r="B39" s="317"/>
      <c r="C39" s="328" t="s">
        <v>442</v>
      </c>
      <c r="D39" s="367"/>
      <c r="E39" s="368">
        <v>1</v>
      </c>
      <c r="F39" s="368"/>
      <c r="G39" s="418">
        <v>72.5</v>
      </c>
      <c r="H39" s="369">
        <v>0.05</v>
      </c>
      <c r="I39" s="373"/>
      <c r="J39" s="421">
        <v>0.94899999999999995</v>
      </c>
      <c r="K39" s="371">
        <v>0.26</v>
      </c>
      <c r="L39" s="432">
        <v>2.6999999999999999E-5</v>
      </c>
      <c r="M39" s="435">
        <v>3.7499999999999999E-2</v>
      </c>
      <c r="N39" s="372"/>
      <c r="O39" s="425"/>
      <c r="P39" s="371">
        <v>0</v>
      </c>
      <c r="Q39" s="407">
        <v>0</v>
      </c>
      <c r="R39" s="428">
        <v>0.26</v>
      </c>
      <c r="S39" s="317"/>
      <c r="T39" s="317"/>
      <c r="U39" s="317"/>
    </row>
    <row r="40" spans="2:29" ht="13.8">
      <c r="B40" s="317"/>
      <c r="C40" s="328" t="s">
        <v>443</v>
      </c>
      <c r="D40" s="367"/>
      <c r="E40" s="368">
        <v>26.5</v>
      </c>
      <c r="F40" s="368">
        <v>20.2</v>
      </c>
      <c r="G40" s="418">
        <v>20.2</v>
      </c>
      <c r="H40" s="369">
        <v>2.36</v>
      </c>
      <c r="I40" s="373"/>
      <c r="J40" s="421">
        <v>0.91800000000000004</v>
      </c>
      <c r="K40" s="371">
        <v>15.32</v>
      </c>
      <c r="L40" s="432">
        <v>4.5000000000000003E-5</v>
      </c>
      <c r="M40" s="435">
        <v>6.2100000000000002E-2</v>
      </c>
      <c r="N40" s="372"/>
      <c r="O40" s="424"/>
      <c r="P40" s="371">
        <v>0</v>
      </c>
      <c r="Q40" s="407">
        <v>0</v>
      </c>
      <c r="R40" s="428">
        <v>15.32</v>
      </c>
      <c r="S40" s="317"/>
      <c r="T40" s="317"/>
      <c r="U40" s="317"/>
    </row>
    <row r="41" spans="2:29" ht="13.8">
      <c r="B41" s="317"/>
      <c r="C41" s="328" t="s">
        <v>444</v>
      </c>
      <c r="D41" s="367"/>
      <c r="E41" s="368">
        <v>43</v>
      </c>
      <c r="F41" s="368">
        <v>102.2</v>
      </c>
      <c r="G41" s="418">
        <v>102.2</v>
      </c>
      <c r="H41" s="369">
        <v>9.08</v>
      </c>
      <c r="I41" s="373"/>
      <c r="J41" s="421">
        <v>0.82599999999999996</v>
      </c>
      <c r="K41" s="371">
        <v>22.6</v>
      </c>
      <c r="L41" s="432">
        <v>1.06E-4</v>
      </c>
      <c r="M41" s="435">
        <v>0.14729999999999999</v>
      </c>
      <c r="N41" s="372"/>
      <c r="O41" s="424"/>
      <c r="P41" s="371">
        <v>0</v>
      </c>
      <c r="Q41" s="407">
        <v>0</v>
      </c>
      <c r="R41" s="428">
        <v>22.6</v>
      </c>
      <c r="S41" s="317"/>
      <c r="T41" s="317"/>
      <c r="U41" s="317"/>
    </row>
    <row r="42" spans="2:29" ht="13.8">
      <c r="B42" s="317"/>
      <c r="C42" s="328" t="s">
        <v>445</v>
      </c>
      <c r="D42" s="367"/>
      <c r="E42" s="368">
        <v>0.6</v>
      </c>
      <c r="F42" s="368">
        <v>47.2</v>
      </c>
      <c r="G42" s="418">
        <v>47.2</v>
      </c>
      <c r="H42" s="369">
        <v>0</v>
      </c>
      <c r="I42" s="373"/>
      <c r="J42" s="421">
        <v>1</v>
      </c>
      <c r="K42" s="371">
        <v>3.53</v>
      </c>
      <c r="L42" s="432">
        <v>0</v>
      </c>
      <c r="M42" s="435">
        <v>0</v>
      </c>
      <c r="N42" s="372"/>
      <c r="O42" s="424"/>
      <c r="P42" s="371">
        <v>0</v>
      </c>
      <c r="Q42" s="407">
        <v>0</v>
      </c>
      <c r="R42" s="428">
        <v>3.53</v>
      </c>
      <c r="S42" s="317"/>
      <c r="T42" s="317"/>
      <c r="U42" s="317"/>
    </row>
    <row r="43" spans="2:29" ht="13.8">
      <c r="B43" s="317"/>
      <c r="C43" s="328" t="s">
        <v>446</v>
      </c>
      <c r="D43" s="367"/>
      <c r="E43" s="368">
        <v>26.8</v>
      </c>
      <c r="F43" s="368">
        <v>207.6</v>
      </c>
      <c r="G43" s="418">
        <v>207.6</v>
      </c>
      <c r="H43" s="369">
        <v>4.7699999999999996</v>
      </c>
      <c r="I43" s="373"/>
      <c r="J43" s="421">
        <v>0.84899999999999998</v>
      </c>
      <c r="K43" s="371">
        <v>24.16</v>
      </c>
      <c r="L43" s="432">
        <v>7.7000000000000001E-5</v>
      </c>
      <c r="M43" s="435">
        <v>9.7999999999999997E-3</v>
      </c>
      <c r="N43" s="372"/>
      <c r="O43" s="425"/>
      <c r="P43" s="371">
        <v>0</v>
      </c>
      <c r="Q43" s="407">
        <v>0</v>
      </c>
      <c r="R43" s="428">
        <v>24.16</v>
      </c>
      <c r="S43" s="317"/>
      <c r="T43" s="317"/>
      <c r="U43" s="317"/>
    </row>
    <row r="44" spans="2:29" ht="13.8">
      <c r="B44" s="317"/>
      <c r="C44" s="327" t="s">
        <v>447</v>
      </c>
      <c r="D44" s="375"/>
      <c r="E44" s="376">
        <v>37</v>
      </c>
      <c r="F44" s="376">
        <v>162.9</v>
      </c>
      <c r="G44" s="419">
        <v>162.9</v>
      </c>
      <c r="H44" s="377">
        <v>11.14</v>
      </c>
      <c r="I44" s="378"/>
      <c r="J44" s="422">
        <v>0.76900000000000002</v>
      </c>
      <c r="K44" s="379">
        <v>67.930000000000007</v>
      </c>
      <c r="L44" s="433">
        <v>1.5100000000000001E-4</v>
      </c>
      <c r="M44" s="436">
        <v>0.21010000000000001</v>
      </c>
      <c r="N44" s="380"/>
      <c r="O44" s="426"/>
      <c r="P44" s="379">
        <v>0</v>
      </c>
      <c r="Q44" s="408">
        <v>0</v>
      </c>
      <c r="R44" s="430">
        <v>67.930000000000007</v>
      </c>
      <c r="S44" s="317"/>
      <c r="T44" s="317"/>
      <c r="U44" s="317"/>
    </row>
    <row r="45" spans="2:29">
      <c r="B45" s="317"/>
      <c r="C45" s="317" t="s">
        <v>674</v>
      </c>
      <c r="D45" s="318"/>
      <c r="E45" s="317"/>
      <c r="F45" s="317"/>
      <c r="G45" s="317"/>
      <c r="H45" s="317"/>
      <c r="I45" s="317"/>
      <c r="J45" s="317"/>
      <c r="K45" s="317"/>
      <c r="L45" s="317"/>
      <c r="M45" s="317"/>
      <c r="N45" s="317"/>
      <c r="O45" s="317"/>
      <c r="P45" s="317"/>
      <c r="Q45" s="317"/>
      <c r="R45" s="317"/>
      <c r="S45" s="317"/>
      <c r="T45" s="317"/>
      <c r="U45" s="317"/>
    </row>
    <row r="46" spans="2:29" ht="13.8">
      <c r="B46" s="307"/>
      <c r="C46" s="307"/>
      <c r="D46" s="307"/>
      <c r="E46" s="307"/>
      <c r="F46" s="307"/>
      <c r="G46" s="307"/>
      <c r="H46" s="307"/>
      <c r="I46" s="307"/>
      <c r="J46" s="307"/>
      <c r="K46" s="307"/>
      <c r="L46" s="307"/>
      <c r="M46" s="307"/>
      <c r="N46" s="307"/>
      <c r="O46" s="307"/>
      <c r="P46" s="307"/>
      <c r="Q46" s="307"/>
      <c r="R46" s="307"/>
      <c r="S46" s="307"/>
      <c r="T46" s="307"/>
      <c r="U46" s="307"/>
    </row>
    <row r="47" spans="2:29" ht="15.6">
      <c r="B47" s="308" t="s">
        <v>449</v>
      </c>
      <c r="C47" s="308"/>
      <c r="D47" s="308"/>
      <c r="E47" s="308"/>
      <c r="F47" s="308"/>
      <c r="G47" s="308"/>
      <c r="H47" s="308"/>
      <c r="I47" s="308"/>
      <c r="J47" s="308"/>
      <c r="K47" s="308"/>
      <c r="L47" s="308"/>
      <c r="M47" s="308"/>
      <c r="N47" s="308"/>
      <c r="O47" s="308"/>
      <c r="P47" s="308"/>
      <c r="Q47" s="308"/>
      <c r="R47" s="308"/>
      <c r="S47" s="308"/>
      <c r="T47" s="308"/>
      <c r="U47" s="308"/>
    </row>
    <row r="48" spans="2:29" ht="13.8">
      <c r="B48" s="307"/>
      <c r="C48" s="307"/>
      <c r="D48" s="307"/>
      <c r="E48" s="307"/>
      <c r="F48" s="307"/>
      <c r="G48" s="307"/>
      <c r="H48" s="307"/>
      <c r="I48" s="307"/>
      <c r="J48" s="307"/>
      <c r="K48" s="307"/>
      <c r="L48" s="307"/>
      <c r="M48" s="307"/>
      <c r="N48" s="307"/>
      <c r="O48" s="307"/>
      <c r="P48" s="307"/>
      <c r="Q48" s="307"/>
      <c r="R48" s="307"/>
      <c r="S48" s="307"/>
      <c r="T48" s="307"/>
      <c r="U48" s="307"/>
    </row>
    <row r="49" spans="2:21" ht="13.8">
      <c r="B49" s="309"/>
      <c r="C49" s="309"/>
      <c r="D49" s="309"/>
      <c r="E49" s="309"/>
      <c r="F49" s="309"/>
      <c r="G49" s="309"/>
      <c r="H49" s="309"/>
      <c r="I49" s="309"/>
      <c r="J49" s="309"/>
      <c r="K49" s="309"/>
      <c r="L49" s="309"/>
      <c r="M49" s="309"/>
      <c r="N49" s="309"/>
      <c r="O49" s="309"/>
      <c r="P49" s="309"/>
      <c r="Q49" s="309"/>
      <c r="R49" s="309"/>
      <c r="S49" s="309"/>
      <c r="T49" s="309"/>
      <c r="U49" s="309"/>
    </row>
    <row r="50" spans="2:21" ht="14.4">
      <c r="B50" s="309"/>
      <c r="C50" s="381" t="s">
        <v>450</v>
      </c>
      <c r="D50" s="309"/>
      <c r="E50" s="309"/>
      <c r="F50" s="309"/>
      <c r="G50" s="309"/>
      <c r="H50" s="309"/>
      <c r="I50" s="381" t="s">
        <v>451</v>
      </c>
      <c r="J50" s="309"/>
      <c r="K50" s="309"/>
      <c r="L50" s="309"/>
      <c r="M50" s="309"/>
      <c r="N50" s="309"/>
      <c r="O50" s="309"/>
      <c r="P50" s="309"/>
      <c r="Q50" s="309"/>
      <c r="R50" s="309"/>
      <c r="S50" s="309"/>
      <c r="T50" s="309"/>
      <c r="U50" s="309"/>
    </row>
    <row r="51" spans="2:21" ht="13.8">
      <c r="C51" s="336" t="s">
        <v>452</v>
      </c>
      <c r="D51" s="336" t="s">
        <v>6</v>
      </c>
      <c r="E51" s="346" t="s">
        <v>675</v>
      </c>
      <c r="F51" s="346" t="s">
        <v>453</v>
      </c>
      <c r="G51" s="346" t="s">
        <v>454</v>
      </c>
      <c r="H51" s="309"/>
      <c r="I51" s="315"/>
      <c r="J51" s="382" t="s">
        <v>455</v>
      </c>
      <c r="K51" s="383" t="s">
        <v>456</v>
      </c>
      <c r="L51" s="309"/>
      <c r="M51" s="309"/>
    </row>
    <row r="52" spans="2:21" ht="13.8">
      <c r="C52" s="315" t="s">
        <v>434</v>
      </c>
      <c r="D52" s="315" t="s">
        <v>413</v>
      </c>
      <c r="E52" s="384">
        <v>5.0000000000000002E-5</v>
      </c>
      <c r="F52" s="343">
        <v>7.0000000000000007E-2</v>
      </c>
      <c r="G52" s="339" t="s">
        <v>457</v>
      </c>
      <c r="H52" s="309"/>
      <c r="I52" s="347" t="s">
        <v>457</v>
      </c>
      <c r="J52" s="385">
        <v>0.5</v>
      </c>
      <c r="K52" s="365">
        <v>697.7</v>
      </c>
      <c r="L52" s="309"/>
      <c r="M52" s="316"/>
    </row>
    <row r="53" spans="2:21" ht="13.8">
      <c r="C53" s="315" t="s">
        <v>435</v>
      </c>
      <c r="D53" s="315" t="s">
        <v>413</v>
      </c>
      <c r="E53" s="384">
        <v>5.0000000000000002E-5</v>
      </c>
      <c r="F53" s="343">
        <v>7.0000000000000007E-2</v>
      </c>
      <c r="G53" s="339" t="s">
        <v>457</v>
      </c>
      <c r="H53" s="309"/>
      <c r="I53" s="348" t="s">
        <v>438</v>
      </c>
      <c r="J53" s="386">
        <v>0.43</v>
      </c>
      <c r="K53" s="371">
        <v>55</v>
      </c>
      <c r="L53" s="309"/>
      <c r="M53" s="316"/>
    </row>
    <row r="54" spans="2:21" ht="13.8">
      <c r="C54" s="315" t="s">
        <v>436</v>
      </c>
      <c r="D54" s="315" t="s">
        <v>413</v>
      </c>
      <c r="E54" s="384">
        <v>2.0000000000000002E-5</v>
      </c>
      <c r="F54" s="343">
        <v>0.03</v>
      </c>
      <c r="G54" s="339" t="s">
        <v>457</v>
      </c>
      <c r="H54" s="309"/>
      <c r="I54" s="337" t="s">
        <v>458</v>
      </c>
      <c r="J54" s="387">
        <v>0.5</v>
      </c>
      <c r="K54" s="379">
        <v>697.7</v>
      </c>
      <c r="L54" s="309"/>
      <c r="M54" s="316"/>
    </row>
    <row r="55" spans="2:21" ht="13.8">
      <c r="C55" s="315" t="s">
        <v>437</v>
      </c>
      <c r="D55" s="315" t="s">
        <v>413</v>
      </c>
      <c r="E55" s="384">
        <v>1.2E-4</v>
      </c>
      <c r="F55" s="343">
        <v>0.16</v>
      </c>
      <c r="G55" s="339" t="s">
        <v>457</v>
      </c>
      <c r="H55" s="309"/>
      <c r="I55" s="309"/>
      <c r="J55" s="309"/>
      <c r="K55" s="309"/>
      <c r="L55" s="309"/>
      <c r="M55" s="316"/>
    </row>
    <row r="56" spans="2:21" ht="13.8">
      <c r="C56" s="315" t="s">
        <v>459</v>
      </c>
      <c r="D56" s="315" t="s">
        <v>413</v>
      </c>
      <c r="E56" s="384"/>
      <c r="F56" s="343"/>
      <c r="G56" s="339"/>
      <c r="H56" s="309"/>
      <c r="I56" s="309"/>
      <c r="J56" s="309"/>
      <c r="K56" s="309"/>
      <c r="L56" s="309"/>
      <c r="M56" s="316"/>
    </row>
    <row r="57" spans="2:21" s="485" customFormat="1" ht="13.8">
      <c r="C57" s="526" t="s">
        <v>673</v>
      </c>
      <c r="D57" s="526" t="s">
        <v>413</v>
      </c>
      <c r="E57" s="545"/>
      <c r="F57" s="535"/>
      <c r="G57" s="533"/>
      <c r="H57" s="524"/>
      <c r="I57" s="524"/>
      <c r="J57" s="524"/>
      <c r="K57" s="524"/>
      <c r="L57" s="524"/>
      <c r="M57" s="527"/>
    </row>
    <row r="58" spans="2:21" ht="13.8">
      <c r="C58" s="315" t="s">
        <v>438</v>
      </c>
      <c r="D58" s="315" t="s">
        <v>413</v>
      </c>
      <c r="E58" s="384">
        <v>6.9999999999999994E-5</v>
      </c>
      <c r="F58" s="343">
        <v>0.01</v>
      </c>
      <c r="G58" s="339" t="s">
        <v>438</v>
      </c>
      <c r="H58" s="309"/>
      <c r="I58" s="309"/>
      <c r="J58" s="309"/>
      <c r="K58" s="309"/>
      <c r="L58" s="309"/>
      <c r="M58" s="316"/>
    </row>
    <row r="59" spans="2:21" ht="13.8">
      <c r="C59" s="315" t="s">
        <v>439</v>
      </c>
      <c r="D59" s="315" t="s">
        <v>413</v>
      </c>
      <c r="E59" s="384">
        <v>2.0000000000000002E-5</v>
      </c>
      <c r="F59" s="343">
        <v>0.03</v>
      </c>
      <c r="G59" s="339" t="s">
        <v>457</v>
      </c>
      <c r="H59" s="309"/>
      <c r="I59" s="309"/>
      <c r="J59" s="309"/>
      <c r="K59" s="309"/>
      <c r="L59" s="309"/>
      <c r="M59" s="316"/>
    </row>
    <row r="60" spans="2:21" ht="13.8">
      <c r="C60" s="315" t="s">
        <v>440</v>
      </c>
      <c r="D60" s="315" t="s">
        <v>413</v>
      </c>
      <c r="E60" s="384">
        <v>2.0000000000000002E-5</v>
      </c>
      <c r="F60" s="343">
        <v>0.03</v>
      </c>
      <c r="G60" s="339" t="s">
        <v>457</v>
      </c>
      <c r="H60" s="309"/>
      <c r="I60" s="309"/>
      <c r="J60" s="309"/>
      <c r="K60" s="309"/>
      <c r="L60" s="309"/>
      <c r="M60" s="316"/>
    </row>
    <row r="61" spans="2:21" ht="13.8">
      <c r="C61" s="315" t="s">
        <v>441</v>
      </c>
      <c r="D61" s="315" t="s">
        <v>413</v>
      </c>
      <c r="E61" s="384">
        <v>3.0000000000000001E-5</v>
      </c>
      <c r="F61" s="343">
        <v>0.04</v>
      </c>
      <c r="G61" s="339" t="s">
        <v>457</v>
      </c>
      <c r="H61" s="309"/>
      <c r="I61" s="309"/>
      <c r="J61" s="309"/>
      <c r="K61" s="309"/>
      <c r="L61" s="309"/>
      <c r="M61" s="316"/>
    </row>
    <row r="62" spans="2:21" ht="13.8">
      <c r="C62" s="315" t="s">
        <v>442</v>
      </c>
      <c r="D62" s="315" t="s">
        <v>413</v>
      </c>
      <c r="E62" s="384">
        <v>3.0000000000000001E-5</v>
      </c>
      <c r="F62" s="343">
        <v>0.04</v>
      </c>
      <c r="G62" s="339" t="s">
        <v>457</v>
      </c>
      <c r="H62" s="309"/>
      <c r="I62" s="309"/>
      <c r="J62" s="309"/>
      <c r="K62" s="309"/>
      <c r="L62" s="309"/>
      <c r="M62" s="316"/>
    </row>
    <row r="63" spans="2:21" ht="13.8">
      <c r="C63" s="315" t="s">
        <v>443</v>
      </c>
      <c r="D63" s="315" t="s">
        <v>413</v>
      </c>
      <c r="E63" s="384">
        <v>4.0000000000000003E-5</v>
      </c>
      <c r="F63" s="343">
        <v>0.06</v>
      </c>
      <c r="G63" s="339" t="s">
        <v>457</v>
      </c>
      <c r="H63" s="309"/>
      <c r="I63" s="309"/>
      <c r="J63" s="309"/>
      <c r="K63" s="309"/>
      <c r="L63" s="309"/>
      <c r="M63" s="316"/>
    </row>
    <row r="64" spans="2:21" ht="13.8">
      <c r="C64" s="315" t="s">
        <v>444</v>
      </c>
      <c r="D64" s="315" t="s">
        <v>413</v>
      </c>
      <c r="E64" s="384">
        <v>1.1E-4</v>
      </c>
      <c r="F64" s="343">
        <v>0.15</v>
      </c>
      <c r="G64" s="339" t="s">
        <v>458</v>
      </c>
      <c r="H64" s="309"/>
      <c r="I64" s="309"/>
      <c r="J64" s="309"/>
      <c r="K64" s="309"/>
      <c r="L64" s="309"/>
      <c r="M64" s="316"/>
    </row>
    <row r="65" spans="3:13" ht="13.8">
      <c r="C65" s="315" t="s">
        <v>445</v>
      </c>
      <c r="D65" s="315" t="s">
        <v>413</v>
      </c>
      <c r="E65" s="384">
        <v>0</v>
      </c>
      <c r="F65" s="343">
        <v>0</v>
      </c>
      <c r="G65" s="339" t="s">
        <v>457</v>
      </c>
      <c r="H65" s="309"/>
      <c r="I65" s="309"/>
      <c r="J65" s="309"/>
      <c r="K65" s="309"/>
      <c r="L65" s="309"/>
      <c r="M65" s="316"/>
    </row>
    <row r="66" spans="3:13" ht="13.8">
      <c r="C66" s="315" t="s">
        <v>446</v>
      </c>
      <c r="D66" s="315" t="s">
        <v>413</v>
      </c>
      <c r="E66" s="384">
        <v>8.0000000000000007E-5</v>
      </c>
      <c r="F66" s="343">
        <v>0.01</v>
      </c>
      <c r="G66" s="339" t="s">
        <v>438</v>
      </c>
      <c r="H66" s="309"/>
      <c r="I66" s="309"/>
      <c r="J66" s="309"/>
      <c r="K66" s="309"/>
      <c r="L66" s="309"/>
      <c r="M66" s="316"/>
    </row>
    <row r="67" spans="3:13" ht="13.8">
      <c r="C67" s="315" t="s">
        <v>447</v>
      </c>
      <c r="D67" s="315" t="s">
        <v>413</v>
      </c>
      <c r="E67" s="384">
        <v>1.4999999999999999E-4</v>
      </c>
      <c r="F67" s="343">
        <v>0.21</v>
      </c>
      <c r="G67" s="339" t="s">
        <v>457</v>
      </c>
      <c r="H67" s="309"/>
      <c r="I67" s="309"/>
      <c r="J67" s="309"/>
      <c r="K67" s="309"/>
      <c r="L67" s="309"/>
      <c r="M67" s="316"/>
    </row>
    <row r="68" spans="3:13" ht="13.8">
      <c r="C68" s="309"/>
      <c r="D68" s="309"/>
      <c r="E68" s="309"/>
      <c r="F68" s="309"/>
      <c r="G68" s="309"/>
      <c r="H68" s="309"/>
      <c r="I68" s="309"/>
      <c r="J68" s="309"/>
      <c r="K68" s="309"/>
    </row>
    <row r="69" spans="3:13" ht="14.4">
      <c r="C69" s="381" t="s">
        <v>460</v>
      </c>
      <c r="D69" s="309"/>
      <c r="E69" s="309"/>
      <c r="F69" s="309"/>
      <c r="G69" s="309"/>
      <c r="H69" s="309"/>
      <c r="I69" s="309"/>
      <c r="J69" s="309"/>
      <c r="K69" s="309"/>
    </row>
    <row r="70" spans="3:13" ht="13.8">
      <c r="C70" s="336" t="s">
        <v>452</v>
      </c>
      <c r="D70" s="336" t="s">
        <v>6</v>
      </c>
      <c r="E70" s="336" t="s">
        <v>461</v>
      </c>
      <c r="F70" s="336">
        <v>2015</v>
      </c>
      <c r="G70" s="336">
        <v>2020</v>
      </c>
      <c r="H70" s="336">
        <v>2035</v>
      </c>
      <c r="I70" s="336">
        <v>2050</v>
      </c>
      <c r="J70" s="336" t="s">
        <v>462</v>
      </c>
      <c r="K70" s="336" t="s">
        <v>352</v>
      </c>
    </row>
    <row r="71" spans="3:13" ht="13.8">
      <c r="C71" s="315" t="s">
        <v>434</v>
      </c>
      <c r="D71" s="315" t="s">
        <v>463</v>
      </c>
      <c r="E71" s="343">
        <v>1.8</v>
      </c>
      <c r="F71" s="339">
        <v>1.8</v>
      </c>
      <c r="G71" s="339">
        <v>1.8</v>
      </c>
      <c r="H71" s="339">
        <v>1.8</v>
      </c>
      <c r="I71" s="339">
        <v>1.8</v>
      </c>
      <c r="J71" s="315"/>
      <c r="K71" s="344" t="s">
        <v>464</v>
      </c>
    </row>
    <row r="72" spans="3:13" ht="13.8">
      <c r="C72" s="315" t="s">
        <v>435</v>
      </c>
      <c r="D72" s="315" t="s">
        <v>463</v>
      </c>
      <c r="E72" s="343">
        <v>1.8</v>
      </c>
      <c r="F72" s="388">
        <v>1.8</v>
      </c>
      <c r="G72" s="388">
        <v>1.8</v>
      </c>
      <c r="H72" s="388">
        <v>1.8</v>
      </c>
      <c r="I72" s="388">
        <v>1.8</v>
      </c>
      <c r="J72" s="389" t="s">
        <v>465</v>
      </c>
      <c r="K72" s="390" t="s">
        <v>466</v>
      </c>
    </row>
    <row r="73" spans="3:13" ht="13.8">
      <c r="C73" s="315" t="s">
        <v>436</v>
      </c>
      <c r="D73" s="315" t="s">
        <v>463</v>
      </c>
      <c r="E73" s="343">
        <v>0.53</v>
      </c>
      <c r="F73" s="339">
        <v>0.53</v>
      </c>
      <c r="G73" s="339">
        <v>0.53</v>
      </c>
      <c r="H73" s="339">
        <v>0.53</v>
      </c>
      <c r="I73" s="339">
        <v>0.53</v>
      </c>
      <c r="J73" s="315"/>
      <c r="K73" s="344" t="s">
        <v>676</v>
      </c>
    </row>
    <row r="74" spans="3:13" ht="13.8">
      <c r="C74" s="315" t="s">
        <v>437</v>
      </c>
      <c r="D74" s="315" t="s">
        <v>463</v>
      </c>
      <c r="E74" s="343">
        <v>6.23</v>
      </c>
      <c r="F74" s="340">
        <v>6.23</v>
      </c>
      <c r="G74" s="340">
        <v>6.23</v>
      </c>
      <c r="H74" s="340">
        <v>6.23</v>
      </c>
      <c r="I74" s="340">
        <v>6.23</v>
      </c>
      <c r="J74" s="315"/>
      <c r="K74" s="344" t="s">
        <v>676</v>
      </c>
    </row>
    <row r="75" spans="3:13" ht="13.8">
      <c r="C75" s="315" t="s">
        <v>459</v>
      </c>
      <c r="D75" s="315"/>
      <c r="E75" s="343"/>
      <c r="F75" s="340"/>
      <c r="G75" s="340"/>
      <c r="H75" s="340"/>
      <c r="I75" s="340"/>
      <c r="J75" s="315"/>
      <c r="K75" s="344"/>
    </row>
    <row r="76" spans="3:13" s="485" customFormat="1" ht="13.8">
      <c r="C76" s="526" t="s">
        <v>673</v>
      </c>
      <c r="D76" s="526" t="s">
        <v>463</v>
      </c>
      <c r="E76" s="535">
        <v>9.67</v>
      </c>
      <c r="F76" s="534">
        <v>9.67</v>
      </c>
      <c r="G76" s="534">
        <v>9.67</v>
      </c>
      <c r="H76" s="534">
        <v>9.67</v>
      </c>
      <c r="I76" s="534">
        <v>9.67</v>
      </c>
      <c r="J76" s="526" t="s">
        <v>677</v>
      </c>
      <c r="K76" s="536" t="s">
        <v>676</v>
      </c>
    </row>
    <row r="77" spans="3:13" ht="13.8">
      <c r="C77" s="315" t="s">
        <v>438</v>
      </c>
      <c r="D77" s="315" t="s">
        <v>468</v>
      </c>
      <c r="E77" s="343">
        <v>6.71</v>
      </c>
      <c r="F77" s="339">
        <v>6.71</v>
      </c>
      <c r="G77" s="339">
        <v>6.71</v>
      </c>
      <c r="H77" s="339">
        <v>6.71</v>
      </c>
      <c r="I77" s="339">
        <v>6.71</v>
      </c>
      <c r="J77" s="315" t="s">
        <v>678</v>
      </c>
      <c r="K77" s="344" t="s">
        <v>676</v>
      </c>
    </row>
    <row r="78" spans="3:13" ht="13.8">
      <c r="C78" s="315" t="s">
        <v>439</v>
      </c>
      <c r="D78" s="315" t="s">
        <v>463</v>
      </c>
      <c r="E78" s="343">
        <v>0.67</v>
      </c>
      <c r="F78" s="340">
        <v>0.67</v>
      </c>
      <c r="G78" s="340">
        <v>0.67</v>
      </c>
      <c r="H78" s="340">
        <v>0.67</v>
      </c>
      <c r="I78" s="340">
        <v>0.67</v>
      </c>
      <c r="J78" s="315" t="s">
        <v>469</v>
      </c>
      <c r="K78" s="344" t="s">
        <v>464</v>
      </c>
    </row>
    <row r="79" spans="3:13" ht="13.8">
      <c r="C79" s="315" t="s">
        <v>440</v>
      </c>
      <c r="D79" s="315" t="s">
        <v>463</v>
      </c>
      <c r="E79" s="343">
        <v>0.67</v>
      </c>
      <c r="F79" s="391">
        <v>0.67</v>
      </c>
      <c r="G79" s="391">
        <v>0.67</v>
      </c>
      <c r="H79" s="391">
        <v>0.67</v>
      </c>
      <c r="I79" s="391">
        <v>0.67</v>
      </c>
      <c r="J79" s="392" t="s">
        <v>470</v>
      </c>
      <c r="K79" s="341"/>
    </row>
    <row r="80" spans="3:13" ht="13.8">
      <c r="C80" s="315" t="s">
        <v>441</v>
      </c>
      <c r="D80" s="315" t="s">
        <v>471</v>
      </c>
      <c r="E80" s="343">
        <v>0.05</v>
      </c>
      <c r="F80" s="339">
        <v>0.05</v>
      </c>
      <c r="G80" s="339">
        <v>0.05</v>
      </c>
      <c r="H80" s="339">
        <v>0.05</v>
      </c>
      <c r="I80" s="339">
        <v>0.05</v>
      </c>
      <c r="J80" s="393"/>
      <c r="K80" s="345" t="s">
        <v>679</v>
      </c>
    </row>
    <row r="81" spans="3:23" ht="13.8">
      <c r="C81" s="315" t="s">
        <v>442</v>
      </c>
      <c r="D81" s="315" t="s">
        <v>471</v>
      </c>
      <c r="E81" s="343">
        <v>0.05</v>
      </c>
      <c r="F81" s="339">
        <v>0.05</v>
      </c>
      <c r="G81" s="339">
        <v>0.05</v>
      </c>
      <c r="H81" s="339">
        <v>0.05</v>
      </c>
      <c r="I81" s="339">
        <v>0.05</v>
      </c>
      <c r="J81" s="393"/>
      <c r="K81" s="345" t="s">
        <v>679</v>
      </c>
    </row>
    <row r="82" spans="3:23" ht="13.8">
      <c r="C82" s="315" t="s">
        <v>443</v>
      </c>
      <c r="D82" s="315" t="s">
        <v>463</v>
      </c>
      <c r="E82" s="343">
        <v>2.36</v>
      </c>
      <c r="F82" s="340">
        <v>2.36</v>
      </c>
      <c r="G82" s="340">
        <v>2.36</v>
      </c>
      <c r="H82" s="340">
        <v>2.36</v>
      </c>
      <c r="I82" s="340">
        <v>2.36</v>
      </c>
      <c r="J82" s="315"/>
      <c r="K82" s="345" t="s">
        <v>680</v>
      </c>
    </row>
    <row r="83" spans="3:23" ht="13.8">
      <c r="C83" s="315" t="s">
        <v>444</v>
      </c>
      <c r="D83" s="315" t="s">
        <v>463</v>
      </c>
      <c r="E83" s="343">
        <v>9.08</v>
      </c>
      <c r="F83" s="340">
        <v>9.08</v>
      </c>
      <c r="G83" s="340">
        <v>9.18</v>
      </c>
      <c r="H83" s="340">
        <v>8.8699999999999992</v>
      </c>
      <c r="I83" s="340">
        <v>8.26</v>
      </c>
      <c r="J83" s="315"/>
      <c r="K83" s="344"/>
    </row>
    <row r="84" spans="3:23" ht="13.8">
      <c r="C84" s="315" t="s">
        <v>445</v>
      </c>
      <c r="D84" s="315" t="s">
        <v>463</v>
      </c>
      <c r="E84" s="343">
        <v>0</v>
      </c>
      <c r="F84" s="446"/>
      <c r="G84" s="446"/>
      <c r="H84" s="446"/>
      <c r="I84" s="446"/>
      <c r="J84" s="315"/>
      <c r="K84" s="344"/>
    </row>
    <row r="85" spans="3:23" ht="13.8">
      <c r="C85" s="315" t="s">
        <v>446</v>
      </c>
      <c r="D85" s="315" t="s">
        <v>463</v>
      </c>
      <c r="E85" s="343">
        <v>4.7699999999999996</v>
      </c>
      <c r="F85" s="339">
        <v>4.7699999999999996</v>
      </c>
      <c r="G85" s="339">
        <v>4.7699999999999996</v>
      </c>
      <c r="H85" s="339">
        <v>4.7699999999999996</v>
      </c>
      <c r="I85" s="339">
        <v>4.7699999999999996</v>
      </c>
      <c r="J85" s="315" t="s">
        <v>472</v>
      </c>
      <c r="K85" s="345" t="s">
        <v>464</v>
      </c>
      <c r="L85" s="309"/>
      <c r="M85" s="309"/>
      <c r="N85" s="309"/>
      <c r="O85" s="309"/>
      <c r="P85" s="309"/>
      <c r="Q85" s="309"/>
      <c r="R85" s="309"/>
      <c r="S85" s="309"/>
      <c r="T85" s="309"/>
      <c r="U85" s="309"/>
      <c r="V85" s="309"/>
      <c r="W85" s="309"/>
    </row>
    <row r="86" spans="3:23" ht="13.8">
      <c r="C86" s="315" t="s">
        <v>447</v>
      </c>
      <c r="D86" s="315" t="s">
        <v>463</v>
      </c>
      <c r="E86" s="343">
        <v>11.14</v>
      </c>
      <c r="F86" s="339">
        <v>11.14</v>
      </c>
      <c r="G86" s="339">
        <v>11.14</v>
      </c>
      <c r="H86" s="339">
        <v>11.14</v>
      </c>
      <c r="I86" s="339">
        <v>11.14</v>
      </c>
      <c r="J86" s="315" t="s">
        <v>473</v>
      </c>
      <c r="K86" s="345" t="s">
        <v>464</v>
      </c>
      <c r="L86" s="309"/>
      <c r="M86" s="309"/>
      <c r="N86" s="309"/>
      <c r="O86" s="309"/>
      <c r="P86" s="309"/>
      <c r="Q86" s="309"/>
      <c r="R86" s="309"/>
      <c r="S86" s="309"/>
      <c r="T86" s="309"/>
      <c r="U86" s="309"/>
      <c r="V86" s="309"/>
      <c r="W86" s="309"/>
    </row>
    <row r="87" spans="3:23" ht="13.8">
      <c r="C87" s="309"/>
      <c r="D87" s="309"/>
      <c r="E87" s="309"/>
      <c r="F87" s="309"/>
      <c r="G87" s="309"/>
      <c r="H87" s="309"/>
      <c r="I87" s="309"/>
      <c r="J87" s="309"/>
      <c r="K87" s="309"/>
      <c r="L87" s="309"/>
      <c r="M87" s="309"/>
      <c r="N87" s="309"/>
      <c r="O87" s="309"/>
      <c r="P87" s="309"/>
      <c r="Q87" s="309"/>
      <c r="R87" s="309"/>
      <c r="S87" s="309"/>
      <c r="T87" s="309"/>
      <c r="U87" s="309"/>
      <c r="V87" s="309"/>
      <c r="W87" s="309"/>
    </row>
    <row r="88" spans="3:23" ht="14.4">
      <c r="C88" s="381" t="s">
        <v>681</v>
      </c>
      <c r="D88" s="309"/>
      <c r="E88" s="309"/>
      <c r="F88" s="309"/>
      <c r="G88" s="309"/>
      <c r="H88" s="309"/>
      <c r="I88" s="309"/>
      <c r="J88" s="309"/>
      <c r="K88" s="309"/>
      <c r="L88" s="309"/>
      <c r="M88" s="309"/>
      <c r="N88" s="309"/>
      <c r="O88" s="309"/>
      <c r="P88" s="309"/>
      <c r="Q88" s="309"/>
      <c r="R88" s="309"/>
      <c r="S88" s="309"/>
      <c r="T88" s="309"/>
      <c r="U88" s="309"/>
      <c r="V88" s="309"/>
      <c r="W88" s="309"/>
    </row>
    <row r="89" spans="3:23" ht="13.8">
      <c r="C89" s="336" t="s">
        <v>452</v>
      </c>
      <c r="D89" s="336" t="s">
        <v>6</v>
      </c>
      <c r="E89" s="336" t="s">
        <v>461</v>
      </c>
      <c r="F89" s="336">
        <v>2015</v>
      </c>
      <c r="G89" s="336">
        <v>2020</v>
      </c>
      <c r="H89" s="336">
        <v>2035</v>
      </c>
      <c r="I89" s="336">
        <v>2050</v>
      </c>
      <c r="J89" s="336" t="s">
        <v>462</v>
      </c>
      <c r="K89" s="336" t="s">
        <v>352</v>
      </c>
      <c r="L89" s="309"/>
      <c r="M89" s="309"/>
      <c r="N89" s="309"/>
      <c r="O89" s="309"/>
      <c r="P89" s="309"/>
      <c r="Q89" s="309"/>
      <c r="R89" s="309"/>
      <c r="S89" s="309"/>
      <c r="T89" s="309"/>
      <c r="U89" s="309"/>
      <c r="V89" s="309"/>
      <c r="W89" s="309"/>
    </row>
    <row r="90" spans="3:23" ht="13.8">
      <c r="C90" s="315" t="s">
        <v>434</v>
      </c>
      <c r="D90" s="315" t="s">
        <v>413</v>
      </c>
      <c r="E90" s="343">
        <v>16.739999999999998</v>
      </c>
      <c r="F90" s="338">
        <v>17</v>
      </c>
      <c r="G90" s="338">
        <v>17</v>
      </c>
      <c r="H90" s="338">
        <v>17</v>
      </c>
      <c r="I90" s="338">
        <v>17</v>
      </c>
      <c r="J90" s="315" t="s">
        <v>467</v>
      </c>
      <c r="K90" s="344" t="s">
        <v>464</v>
      </c>
      <c r="L90" s="309"/>
      <c r="M90" s="309"/>
      <c r="N90" s="309"/>
      <c r="O90" s="309"/>
      <c r="P90" s="309"/>
      <c r="Q90" s="309"/>
      <c r="R90" s="309"/>
      <c r="S90" s="309"/>
      <c r="T90" s="309"/>
      <c r="U90" s="309"/>
      <c r="V90" s="309"/>
      <c r="W90" s="350"/>
    </row>
    <row r="91" spans="3:23" ht="13.8">
      <c r="C91" s="315" t="s">
        <v>435</v>
      </c>
      <c r="D91" s="315" t="s">
        <v>413</v>
      </c>
      <c r="E91" s="343">
        <v>9.26</v>
      </c>
      <c r="F91" s="349">
        <v>9</v>
      </c>
      <c r="G91" s="349">
        <v>9</v>
      </c>
      <c r="H91" s="349">
        <v>9</v>
      </c>
      <c r="I91" s="349">
        <v>9</v>
      </c>
      <c r="J91" s="389"/>
      <c r="K91" s="344" t="s">
        <v>464</v>
      </c>
      <c r="L91" s="309"/>
      <c r="M91" s="309"/>
      <c r="N91" s="309"/>
      <c r="O91" s="309"/>
      <c r="P91" s="309"/>
      <c r="Q91" s="309"/>
      <c r="R91" s="309"/>
      <c r="S91" s="309"/>
      <c r="T91" s="309"/>
      <c r="U91" s="309"/>
      <c r="V91" s="309"/>
      <c r="W91" s="350"/>
    </row>
    <row r="92" spans="3:23" ht="13.8">
      <c r="C92" s="315" t="s">
        <v>436</v>
      </c>
      <c r="D92" s="315" t="s">
        <v>413</v>
      </c>
      <c r="E92" s="343">
        <v>2.5099999999999998</v>
      </c>
      <c r="F92" s="339">
        <v>2.5099999999999998</v>
      </c>
      <c r="G92" s="339">
        <v>2.5099999999999998</v>
      </c>
      <c r="H92" s="339">
        <v>2.5099999999999998</v>
      </c>
      <c r="I92" s="339">
        <v>2.5099999999999998</v>
      </c>
      <c r="J92" s="315"/>
      <c r="K92" s="344" t="s">
        <v>676</v>
      </c>
      <c r="L92" s="309"/>
      <c r="M92" s="309"/>
      <c r="N92" s="309"/>
      <c r="O92" s="309"/>
      <c r="P92" s="309"/>
      <c r="Q92" s="309"/>
      <c r="R92" s="309"/>
      <c r="S92" s="309"/>
      <c r="T92" s="309"/>
      <c r="U92" s="309"/>
      <c r="V92" s="309"/>
      <c r="W92" s="350"/>
    </row>
    <row r="93" spans="3:23" ht="13.8">
      <c r="C93" s="315" t="s">
        <v>437</v>
      </c>
      <c r="D93" s="315" t="s">
        <v>413</v>
      </c>
      <c r="E93" s="343">
        <v>35.880000000000003</v>
      </c>
      <c r="F93" s="340">
        <v>35.880000000000003</v>
      </c>
      <c r="G93" s="340">
        <v>35.880000000000003</v>
      </c>
      <c r="H93" s="340">
        <v>35.880000000000003</v>
      </c>
      <c r="I93" s="340">
        <v>35.880000000000003</v>
      </c>
      <c r="J93" s="315"/>
      <c r="K93" s="344" t="s">
        <v>676</v>
      </c>
      <c r="L93" s="309"/>
      <c r="M93" s="309"/>
      <c r="N93" s="309"/>
      <c r="O93" s="309"/>
      <c r="P93" s="309"/>
      <c r="Q93" s="309"/>
      <c r="R93" s="309"/>
      <c r="S93" s="309"/>
      <c r="T93" s="309"/>
      <c r="U93" s="309"/>
      <c r="V93" s="309"/>
      <c r="W93" s="350"/>
    </row>
    <row r="94" spans="3:23" ht="13.8">
      <c r="C94" s="315" t="s">
        <v>459</v>
      </c>
      <c r="D94" s="315"/>
      <c r="E94" s="343"/>
      <c r="F94" s="340"/>
      <c r="G94" s="340"/>
      <c r="H94" s="340"/>
      <c r="I94" s="340"/>
      <c r="J94" s="315"/>
      <c r="K94" s="344"/>
      <c r="L94" s="309"/>
      <c r="M94" s="309"/>
      <c r="N94" s="309"/>
      <c r="O94" s="309"/>
      <c r="P94" s="309"/>
      <c r="Q94" s="309"/>
      <c r="R94" s="309"/>
      <c r="S94" s="309"/>
      <c r="T94" s="309"/>
      <c r="U94" s="309"/>
      <c r="V94" s="309"/>
      <c r="W94" s="350"/>
    </row>
    <row r="95" spans="3:23" s="485" customFormat="1" ht="13.8">
      <c r="C95" s="526" t="s">
        <v>673</v>
      </c>
      <c r="D95" s="526" t="s">
        <v>413</v>
      </c>
      <c r="E95" s="535">
        <v>48.61</v>
      </c>
      <c r="F95" s="534">
        <v>48.61</v>
      </c>
      <c r="G95" s="534">
        <v>48.61</v>
      </c>
      <c r="H95" s="534">
        <v>48.61</v>
      </c>
      <c r="I95" s="534">
        <v>48.61</v>
      </c>
      <c r="J95" s="526" t="s">
        <v>473</v>
      </c>
      <c r="K95" s="536" t="s">
        <v>676</v>
      </c>
      <c r="L95" s="524"/>
      <c r="M95" s="524"/>
      <c r="N95" s="524"/>
      <c r="O95" s="524"/>
      <c r="P95" s="524"/>
      <c r="Q95" s="524"/>
      <c r="R95" s="524"/>
      <c r="S95" s="524"/>
      <c r="T95" s="524"/>
      <c r="U95" s="524"/>
      <c r="V95" s="524"/>
      <c r="W95" s="538"/>
    </row>
    <row r="96" spans="3:23" ht="13.8">
      <c r="C96" s="315" t="s">
        <v>438</v>
      </c>
      <c r="D96" s="315" t="s">
        <v>413</v>
      </c>
      <c r="E96" s="343">
        <v>13</v>
      </c>
      <c r="F96" s="340">
        <v>13</v>
      </c>
      <c r="G96" s="340">
        <v>13</v>
      </c>
      <c r="H96" s="340">
        <v>13</v>
      </c>
      <c r="I96" s="340">
        <v>13</v>
      </c>
      <c r="J96" s="315" t="s">
        <v>678</v>
      </c>
      <c r="K96" s="344" t="s">
        <v>676</v>
      </c>
      <c r="L96" s="309"/>
      <c r="M96" s="309"/>
      <c r="N96" s="309"/>
      <c r="O96" s="309"/>
      <c r="P96" s="309"/>
      <c r="Q96" s="309"/>
      <c r="R96" s="309"/>
      <c r="S96" s="309"/>
      <c r="T96" s="309"/>
      <c r="U96" s="309"/>
      <c r="V96" s="309"/>
      <c r="W96" s="350"/>
    </row>
    <row r="97" spans="3:37" ht="13.8">
      <c r="C97" s="315" t="s">
        <v>439</v>
      </c>
      <c r="D97" s="315" t="s">
        <v>413</v>
      </c>
      <c r="E97" s="343">
        <v>5.4</v>
      </c>
      <c r="F97" s="340">
        <v>5.4</v>
      </c>
      <c r="G97" s="340">
        <v>5.4</v>
      </c>
      <c r="H97" s="340">
        <v>5.4</v>
      </c>
      <c r="I97" s="340">
        <v>5.4</v>
      </c>
      <c r="J97" s="315" t="s">
        <v>469</v>
      </c>
      <c r="K97" s="344" t="s">
        <v>464</v>
      </c>
      <c r="L97" s="309"/>
      <c r="M97" s="309"/>
      <c r="N97" s="309"/>
      <c r="O97" s="309"/>
      <c r="P97" s="309"/>
      <c r="Q97" s="309"/>
      <c r="R97" s="309"/>
      <c r="S97" s="309"/>
      <c r="T97" s="309"/>
      <c r="U97" s="309"/>
      <c r="V97" s="309"/>
      <c r="W97" s="350"/>
    </row>
    <row r="98" spans="3:37" ht="13.8">
      <c r="C98" s="315" t="s">
        <v>440</v>
      </c>
      <c r="D98" s="315" t="s">
        <v>413</v>
      </c>
      <c r="E98" s="343">
        <v>5.4</v>
      </c>
      <c r="F98" s="391">
        <v>5.4</v>
      </c>
      <c r="G98" s="391">
        <v>5.4</v>
      </c>
      <c r="H98" s="391">
        <v>5.4</v>
      </c>
      <c r="I98" s="391">
        <v>5.4</v>
      </c>
      <c r="J98" s="392" t="s">
        <v>474</v>
      </c>
      <c r="K98" s="341"/>
      <c r="L98" s="309"/>
      <c r="M98" s="309"/>
      <c r="N98" s="309"/>
      <c r="O98" s="309"/>
      <c r="P98" s="309"/>
      <c r="Q98" s="309"/>
      <c r="R98" s="309"/>
      <c r="S98" s="309"/>
      <c r="T98" s="309"/>
      <c r="U98" s="309"/>
      <c r="V98" s="309"/>
      <c r="W98" s="350"/>
    </row>
    <row r="99" spans="3:37" ht="13.8">
      <c r="C99" s="315" t="s">
        <v>441</v>
      </c>
      <c r="D99" s="315" t="s">
        <v>413</v>
      </c>
      <c r="E99" s="343">
        <v>0.26</v>
      </c>
      <c r="F99" s="343">
        <v>0.26</v>
      </c>
      <c r="G99" s="343">
        <v>0.23</v>
      </c>
      <c r="H99" s="343">
        <v>0.22</v>
      </c>
      <c r="I99" s="343">
        <v>0</v>
      </c>
      <c r="J99" s="393" t="s">
        <v>475</v>
      </c>
      <c r="K99" s="345" t="s">
        <v>679</v>
      </c>
      <c r="L99" s="309"/>
      <c r="M99" s="309"/>
      <c r="N99" s="309"/>
      <c r="O99" s="309"/>
      <c r="P99" s="309"/>
      <c r="Q99" s="309"/>
      <c r="R99" s="309"/>
      <c r="S99" s="309"/>
      <c r="T99" s="309"/>
      <c r="U99" s="309"/>
      <c r="V99" s="309"/>
      <c r="W99" s="350"/>
    </row>
    <row r="100" spans="3:37" ht="13.8">
      <c r="C100" s="315" t="s">
        <v>442</v>
      </c>
      <c r="D100" s="315" t="s">
        <v>413</v>
      </c>
      <c r="E100" s="343">
        <v>0.26</v>
      </c>
      <c r="F100" s="343">
        <v>0.26</v>
      </c>
      <c r="G100" s="343">
        <v>0.23</v>
      </c>
      <c r="H100" s="343">
        <v>0.22</v>
      </c>
      <c r="I100" s="343">
        <v>0</v>
      </c>
      <c r="J100" s="393" t="s">
        <v>475</v>
      </c>
      <c r="K100" s="345" t="s">
        <v>679</v>
      </c>
      <c r="L100" s="309"/>
      <c r="M100" s="309"/>
      <c r="N100" s="309"/>
      <c r="O100" s="309"/>
      <c r="P100" s="309"/>
      <c r="Q100" s="309"/>
      <c r="R100" s="309"/>
      <c r="S100" s="309"/>
      <c r="T100" s="309"/>
      <c r="U100" s="309"/>
      <c r="V100" s="309"/>
      <c r="W100" s="350"/>
    </row>
    <row r="101" spans="3:37" ht="13.8">
      <c r="C101" s="315" t="s">
        <v>443</v>
      </c>
      <c r="D101" s="315" t="s">
        <v>413</v>
      </c>
      <c r="E101" s="343">
        <v>15.32</v>
      </c>
      <c r="F101" s="340">
        <v>15.32</v>
      </c>
      <c r="G101" s="340">
        <v>15.32</v>
      </c>
      <c r="H101" s="340">
        <v>15.32</v>
      </c>
      <c r="I101" s="340">
        <v>15.32</v>
      </c>
      <c r="J101" s="315"/>
      <c r="K101" s="345" t="s">
        <v>680</v>
      </c>
      <c r="L101" s="309"/>
      <c r="M101" s="309"/>
      <c r="N101" s="309"/>
      <c r="O101" s="309"/>
      <c r="P101" s="309"/>
      <c r="Q101" s="309"/>
      <c r="R101" s="309"/>
      <c r="S101" s="309"/>
      <c r="T101" s="309"/>
      <c r="U101" s="309"/>
      <c r="V101" s="309"/>
      <c r="W101" s="350"/>
    </row>
    <row r="102" spans="3:37" ht="13.8">
      <c r="C102" s="315" t="s">
        <v>444</v>
      </c>
      <c r="D102" s="315" t="s">
        <v>413</v>
      </c>
      <c r="E102" s="343">
        <v>22.6</v>
      </c>
      <c r="F102" s="340">
        <v>22.6</v>
      </c>
      <c r="G102" s="340">
        <v>23.19</v>
      </c>
      <c r="H102" s="340">
        <v>21.56</v>
      </c>
      <c r="I102" s="340">
        <v>19.3</v>
      </c>
      <c r="J102" s="315"/>
      <c r="K102" s="344"/>
      <c r="L102" s="309"/>
      <c r="M102" s="309"/>
      <c r="N102" s="309"/>
      <c r="O102" s="309"/>
      <c r="P102" s="309"/>
      <c r="Q102" s="309"/>
      <c r="R102" s="309"/>
      <c r="S102" s="309"/>
      <c r="T102" s="309"/>
      <c r="U102" s="309"/>
      <c r="V102" s="309"/>
      <c r="W102" s="350"/>
      <c r="X102" s="309"/>
      <c r="Y102" s="309"/>
      <c r="Z102" s="309"/>
      <c r="AA102" s="309"/>
      <c r="AB102" s="309"/>
      <c r="AC102" s="309"/>
      <c r="AD102" s="309"/>
      <c r="AE102" s="309"/>
      <c r="AF102" s="309"/>
      <c r="AG102" s="309"/>
      <c r="AH102" s="309"/>
      <c r="AI102" s="309"/>
      <c r="AJ102" s="309"/>
      <c r="AK102" s="309"/>
    </row>
    <row r="103" spans="3:37" ht="13.8">
      <c r="C103" s="315" t="s">
        <v>445</v>
      </c>
      <c r="D103" s="315" t="s">
        <v>413</v>
      </c>
      <c r="E103" s="343">
        <v>3.53</v>
      </c>
      <c r="F103" s="394">
        <v>3.53</v>
      </c>
      <c r="G103" s="394">
        <v>3.53</v>
      </c>
      <c r="H103" s="394">
        <v>3.53</v>
      </c>
      <c r="I103" s="394">
        <v>3.53</v>
      </c>
      <c r="J103" s="393" t="s">
        <v>476</v>
      </c>
      <c r="K103" s="395"/>
      <c r="L103" s="309"/>
      <c r="M103" s="309"/>
      <c r="N103" s="309"/>
      <c r="O103" s="309"/>
      <c r="P103" s="309"/>
      <c r="Q103" s="309"/>
      <c r="R103" s="309"/>
      <c r="S103" s="309"/>
      <c r="T103" s="309"/>
      <c r="U103" s="309"/>
      <c r="V103" s="309"/>
      <c r="W103" s="350"/>
      <c r="X103" s="309"/>
      <c r="Y103" s="309"/>
      <c r="Z103" s="309"/>
      <c r="AA103" s="309"/>
      <c r="AB103" s="309"/>
      <c r="AC103" s="309"/>
      <c r="AD103" s="309"/>
      <c r="AE103" s="309"/>
      <c r="AF103" s="309"/>
      <c r="AG103" s="309"/>
      <c r="AH103" s="309"/>
      <c r="AI103" s="309"/>
      <c r="AJ103" s="309"/>
      <c r="AK103" s="309"/>
    </row>
    <row r="104" spans="3:37" ht="13.8">
      <c r="C104" s="315" t="s">
        <v>446</v>
      </c>
      <c r="D104" s="315" t="s">
        <v>413</v>
      </c>
      <c r="E104" s="343">
        <v>24.16</v>
      </c>
      <c r="F104" s="339">
        <v>24.16</v>
      </c>
      <c r="G104" s="339">
        <v>24.16</v>
      </c>
      <c r="H104" s="339">
        <v>24.16</v>
      </c>
      <c r="I104" s="339">
        <v>24.16</v>
      </c>
      <c r="J104" s="393" t="s">
        <v>477</v>
      </c>
      <c r="K104" s="345" t="s">
        <v>464</v>
      </c>
      <c r="L104" s="309"/>
      <c r="M104" s="309"/>
      <c r="N104" s="309"/>
      <c r="O104" s="309"/>
      <c r="P104" s="309"/>
      <c r="Q104" s="309"/>
      <c r="R104" s="309"/>
      <c r="S104" s="309"/>
      <c r="T104" s="309"/>
      <c r="U104" s="309"/>
      <c r="V104" s="309"/>
      <c r="W104" s="316"/>
      <c r="X104" s="309"/>
      <c r="Y104" s="309"/>
      <c r="Z104" s="309"/>
      <c r="AA104" s="309"/>
      <c r="AB104" s="309"/>
      <c r="AC104" s="309"/>
      <c r="AD104" s="309"/>
      <c r="AE104" s="309"/>
      <c r="AF104" s="309"/>
      <c r="AG104" s="309"/>
      <c r="AH104" s="309"/>
      <c r="AI104" s="309"/>
      <c r="AJ104" s="309"/>
      <c r="AK104" s="309"/>
    </row>
    <row r="105" spans="3:37" ht="13.8">
      <c r="C105" s="315" t="s">
        <v>447</v>
      </c>
      <c r="D105" s="315" t="s">
        <v>413</v>
      </c>
      <c r="E105" s="343">
        <v>67.930000000000007</v>
      </c>
      <c r="F105" s="339">
        <v>67.930000000000007</v>
      </c>
      <c r="G105" s="339">
        <v>67.930000000000007</v>
      </c>
      <c r="H105" s="339">
        <v>67.930000000000007</v>
      </c>
      <c r="I105" s="339">
        <v>67.930000000000007</v>
      </c>
      <c r="J105" s="315" t="s">
        <v>473</v>
      </c>
      <c r="K105" s="345" t="s">
        <v>464</v>
      </c>
      <c r="L105" s="309"/>
      <c r="M105" s="309"/>
      <c r="N105" s="309"/>
      <c r="O105" s="309"/>
      <c r="P105" s="309"/>
      <c r="Q105" s="309"/>
      <c r="R105" s="309"/>
      <c r="S105" s="309"/>
      <c r="T105" s="309"/>
      <c r="U105" s="309"/>
      <c r="V105" s="309"/>
      <c r="W105" s="350"/>
      <c r="X105" s="309"/>
      <c r="Y105" s="309"/>
      <c r="Z105" s="309"/>
      <c r="AA105" s="309"/>
      <c r="AB105" s="309"/>
      <c r="AC105" s="309"/>
      <c r="AD105" s="309"/>
      <c r="AE105" s="309"/>
      <c r="AF105" s="309"/>
      <c r="AG105" s="309"/>
      <c r="AH105" s="309"/>
      <c r="AI105" s="309"/>
      <c r="AJ105" s="309"/>
      <c r="AK105" s="309"/>
    </row>
    <row r="106" spans="3:37" ht="13.8">
      <c r="C106" s="309"/>
      <c r="D106" s="309"/>
      <c r="E106" s="309"/>
      <c r="F106" s="309"/>
      <c r="G106" s="309"/>
      <c r="H106" s="309"/>
      <c r="I106" s="309"/>
      <c r="J106" s="309"/>
      <c r="K106" s="309"/>
      <c r="L106" s="309"/>
      <c r="M106" s="309"/>
      <c r="N106" s="309"/>
      <c r="O106" s="309"/>
      <c r="P106" s="309"/>
      <c r="Q106" s="309"/>
      <c r="R106" s="309"/>
      <c r="S106" s="309"/>
      <c r="T106" s="309"/>
      <c r="U106" s="309"/>
      <c r="V106" s="309"/>
      <c r="W106" s="309"/>
      <c r="X106" s="309"/>
      <c r="Y106" s="309"/>
      <c r="Z106" s="311"/>
      <c r="AA106" s="311"/>
      <c r="AB106" s="311"/>
      <c r="AC106" s="311"/>
      <c r="AD106" s="311"/>
      <c r="AE106" s="311"/>
      <c r="AF106" s="311"/>
      <c r="AG106" s="311"/>
      <c r="AH106" s="311"/>
      <c r="AI106" s="311"/>
      <c r="AJ106" s="311"/>
      <c r="AK106" s="311"/>
    </row>
    <row r="107" spans="3:37" ht="14.4">
      <c r="C107" s="381" t="s">
        <v>478</v>
      </c>
      <c r="D107" s="309"/>
      <c r="E107" s="309"/>
      <c r="F107" s="309"/>
      <c r="G107" s="309" t="s">
        <v>479</v>
      </c>
      <c r="H107" s="309" t="s">
        <v>479</v>
      </c>
      <c r="I107" s="309" t="s">
        <v>480</v>
      </c>
      <c r="J107" s="309" t="s">
        <v>480</v>
      </c>
      <c r="K107" s="309" t="s">
        <v>481</v>
      </c>
      <c r="L107" s="309"/>
      <c r="M107" s="309"/>
      <c r="N107" s="309"/>
      <c r="O107" s="309"/>
      <c r="P107" s="309"/>
      <c r="Q107" s="309"/>
      <c r="R107" s="309"/>
      <c r="S107" s="309"/>
      <c r="T107" s="309"/>
      <c r="U107" s="309"/>
      <c r="V107" s="309"/>
      <c r="W107" s="309"/>
      <c r="X107" s="309"/>
      <c r="Y107" s="309"/>
      <c r="Z107" s="311"/>
      <c r="AA107" s="311"/>
      <c r="AB107" s="311"/>
      <c r="AC107" s="311"/>
      <c r="AD107" s="311"/>
      <c r="AE107" s="311"/>
      <c r="AF107" s="311"/>
      <c r="AG107" s="311"/>
      <c r="AH107" s="311"/>
      <c r="AI107" s="311"/>
      <c r="AJ107" s="311"/>
      <c r="AK107" s="311"/>
    </row>
    <row r="108" spans="3:37" ht="14.4">
      <c r="C108" s="336" t="s">
        <v>452</v>
      </c>
      <c r="D108" s="336" t="s">
        <v>6</v>
      </c>
      <c r="E108" s="336" t="s">
        <v>461</v>
      </c>
      <c r="F108" s="336" t="s">
        <v>482</v>
      </c>
      <c r="G108" s="346" t="s">
        <v>483</v>
      </c>
      <c r="H108" s="346" t="s">
        <v>484</v>
      </c>
      <c r="I108" s="336" t="s">
        <v>483</v>
      </c>
      <c r="J108" s="336" t="s">
        <v>484</v>
      </c>
      <c r="K108" s="336" t="s">
        <v>483</v>
      </c>
      <c r="L108" s="336" t="s">
        <v>484</v>
      </c>
      <c r="M108" s="336" t="s">
        <v>462</v>
      </c>
      <c r="N108" s="336" t="s">
        <v>352</v>
      </c>
      <c r="O108" s="309"/>
      <c r="P108" s="309"/>
      <c r="Q108" s="309"/>
      <c r="R108" s="309"/>
      <c r="S108" s="309"/>
      <c r="T108" s="309"/>
      <c r="U108" s="309"/>
      <c r="V108" s="309"/>
      <c r="W108" s="309"/>
      <c r="X108" s="309"/>
      <c r="Y108" s="309"/>
      <c r="Z108" s="311"/>
      <c r="AA108" s="416"/>
      <c r="AB108" s="311"/>
      <c r="AC108" s="311"/>
      <c r="AD108" s="311"/>
      <c r="AE108" s="311"/>
      <c r="AF108" s="311"/>
      <c r="AG108" s="311"/>
      <c r="AH108" s="311"/>
      <c r="AI108" s="311"/>
      <c r="AJ108" s="311"/>
      <c r="AK108" s="311"/>
    </row>
    <row r="109" spans="3:37" ht="13.8">
      <c r="C109" s="315" t="s">
        <v>434</v>
      </c>
      <c r="D109" s="315" t="s">
        <v>485</v>
      </c>
      <c r="E109" s="343">
        <v>9.2799999999999994</v>
      </c>
      <c r="F109" s="338">
        <v>0</v>
      </c>
      <c r="G109" s="338">
        <v>21</v>
      </c>
      <c r="H109" s="338">
        <v>154</v>
      </c>
      <c r="I109" s="345">
        <v>87</v>
      </c>
      <c r="J109" s="345">
        <v>329</v>
      </c>
      <c r="K109" s="345">
        <v>9</v>
      </c>
      <c r="L109" s="345">
        <v>21</v>
      </c>
      <c r="M109" s="315"/>
      <c r="N109" s="344" t="s">
        <v>486</v>
      </c>
      <c r="O109" s="309"/>
      <c r="P109" s="309"/>
      <c r="Q109" s="309"/>
      <c r="R109" s="309"/>
      <c r="S109" s="309"/>
      <c r="T109" s="309"/>
      <c r="U109" s="309"/>
      <c r="V109" s="309"/>
      <c r="W109" s="309"/>
      <c r="X109" s="309"/>
      <c r="Y109" s="309"/>
      <c r="Z109" s="311"/>
      <c r="AA109" s="325"/>
      <c r="AB109" s="325"/>
      <c r="AC109" s="325"/>
      <c r="AD109" s="325"/>
      <c r="AE109" s="325"/>
      <c r="AF109" s="325"/>
      <c r="AG109" s="311"/>
      <c r="AH109" s="311"/>
      <c r="AI109" s="311"/>
      <c r="AJ109" s="311"/>
      <c r="AK109" s="311"/>
    </row>
    <row r="110" spans="3:37" ht="13.8">
      <c r="C110" s="315" t="s">
        <v>435</v>
      </c>
      <c r="D110" s="315" t="s">
        <v>485</v>
      </c>
      <c r="E110" s="343">
        <v>8.94</v>
      </c>
      <c r="F110" s="338">
        <v>0</v>
      </c>
      <c r="G110" s="392">
        <v>21</v>
      </c>
      <c r="H110" s="392">
        <v>154</v>
      </c>
      <c r="I110" s="392">
        <v>87</v>
      </c>
      <c r="J110" s="392">
        <v>329</v>
      </c>
      <c r="K110" s="345">
        <v>9</v>
      </c>
      <c r="L110" s="345">
        <v>36</v>
      </c>
      <c r="M110" s="315"/>
      <c r="N110" s="341" t="s">
        <v>487</v>
      </c>
      <c r="O110" s="309"/>
      <c r="P110" s="309"/>
      <c r="Q110" s="309"/>
      <c r="R110" s="309"/>
      <c r="S110" s="309"/>
      <c r="T110" s="309"/>
      <c r="U110" s="309"/>
      <c r="V110" s="309"/>
      <c r="W110" s="309"/>
      <c r="X110" s="309"/>
      <c r="Y110" s="309"/>
      <c r="Z110" s="311"/>
      <c r="AA110" s="325"/>
      <c r="AB110" s="309"/>
      <c r="AC110" s="309"/>
      <c r="AD110" s="309"/>
      <c r="AE110" s="309"/>
      <c r="AF110" s="309"/>
      <c r="AG110" s="309"/>
      <c r="AH110" s="309"/>
      <c r="AI110" s="309"/>
      <c r="AJ110" s="309"/>
      <c r="AK110" s="309"/>
    </row>
    <row r="111" spans="3:37" ht="13.8">
      <c r="C111" s="315" t="s">
        <v>436</v>
      </c>
      <c r="D111" s="315" t="s">
        <v>485</v>
      </c>
      <c r="E111" s="343">
        <v>0</v>
      </c>
      <c r="F111" s="338">
        <v>0</v>
      </c>
      <c r="G111" s="338">
        <v>6</v>
      </c>
      <c r="H111" s="338">
        <v>6</v>
      </c>
      <c r="I111" s="345">
        <v>-4</v>
      </c>
      <c r="J111" s="345">
        <v>-4</v>
      </c>
      <c r="K111" s="392">
        <v>0</v>
      </c>
      <c r="L111" s="392"/>
      <c r="M111" s="315"/>
      <c r="N111" s="344" t="s">
        <v>488</v>
      </c>
      <c r="O111" s="309"/>
      <c r="P111" s="309"/>
      <c r="Q111" s="309"/>
      <c r="R111" s="309"/>
      <c r="S111" s="309"/>
      <c r="T111" s="309"/>
      <c r="U111" s="309"/>
      <c r="V111" s="309"/>
      <c r="W111" s="309"/>
      <c r="X111" s="309"/>
      <c r="Y111" s="309"/>
      <c r="Z111" s="311"/>
      <c r="AA111" s="325"/>
      <c r="AB111" s="309"/>
      <c r="AC111" s="309"/>
      <c r="AD111" s="309"/>
      <c r="AE111" s="309"/>
      <c r="AF111" s="309"/>
      <c r="AG111" s="309"/>
      <c r="AH111" s="309"/>
      <c r="AI111" s="309"/>
      <c r="AJ111" s="309"/>
      <c r="AK111" s="309"/>
    </row>
    <row r="112" spans="3:37" ht="13.8">
      <c r="C112" s="315" t="s">
        <v>437</v>
      </c>
      <c r="D112" s="315" t="s">
        <v>485</v>
      </c>
      <c r="E112" s="343">
        <v>33.049999999999997</v>
      </c>
      <c r="F112" s="338">
        <v>0</v>
      </c>
      <c r="G112" s="338">
        <v>22</v>
      </c>
      <c r="H112" s="338">
        <v>180</v>
      </c>
      <c r="I112" s="345">
        <v>97</v>
      </c>
      <c r="J112" s="345">
        <v>339</v>
      </c>
      <c r="K112" s="345">
        <v>33</v>
      </c>
      <c r="L112" s="345">
        <v>35</v>
      </c>
      <c r="M112" s="315"/>
      <c r="N112" s="344" t="s">
        <v>486</v>
      </c>
      <c r="O112" s="309"/>
      <c r="P112" s="309"/>
      <c r="Q112" s="309"/>
      <c r="R112" s="309"/>
      <c r="S112" s="309"/>
      <c r="T112" s="309"/>
      <c r="U112" s="309"/>
      <c r="V112" s="309"/>
      <c r="W112" s="309"/>
      <c r="X112" s="309"/>
      <c r="Y112" s="316"/>
      <c r="Z112" s="311"/>
      <c r="AA112" s="325"/>
      <c r="AB112" s="311"/>
      <c r="AC112" s="311"/>
      <c r="AD112" s="311"/>
      <c r="AE112" s="311"/>
      <c r="AF112" s="311"/>
      <c r="AG112" s="311"/>
      <c r="AH112" s="311"/>
      <c r="AI112" s="311"/>
      <c r="AJ112" s="311"/>
      <c r="AK112" s="311"/>
    </row>
    <row r="113" spans="3:37" ht="13.8">
      <c r="C113" s="315" t="s">
        <v>459</v>
      </c>
      <c r="D113" s="315"/>
      <c r="E113" s="343">
        <v>0</v>
      </c>
      <c r="F113" s="338"/>
      <c r="G113" s="338"/>
      <c r="H113" s="338"/>
      <c r="I113" s="345"/>
      <c r="J113" s="345"/>
      <c r="K113" s="345"/>
      <c r="L113" s="345"/>
      <c r="M113" s="315"/>
      <c r="N113" s="344"/>
      <c r="O113" s="309"/>
      <c r="P113" s="309"/>
      <c r="Q113" s="309"/>
      <c r="R113" s="309"/>
      <c r="S113" s="309"/>
      <c r="T113" s="309"/>
      <c r="U113" s="309"/>
      <c r="V113" s="309"/>
      <c r="W113" s="309"/>
      <c r="X113" s="309"/>
      <c r="Y113" s="316"/>
      <c r="Z113" s="311"/>
      <c r="AA113" s="325"/>
      <c r="AB113" s="311"/>
      <c r="AC113" s="311"/>
      <c r="AD113" s="311"/>
      <c r="AE113" s="311"/>
      <c r="AF113" s="311"/>
      <c r="AG113" s="311"/>
      <c r="AH113" s="311"/>
      <c r="AI113" s="311"/>
      <c r="AJ113" s="311"/>
      <c r="AK113" s="311"/>
    </row>
    <row r="114" spans="3:37" s="485" customFormat="1" ht="13.8">
      <c r="C114" s="526"/>
      <c r="D114" s="526"/>
      <c r="E114" s="535"/>
      <c r="F114" s="532"/>
      <c r="G114" s="532"/>
      <c r="H114" s="532"/>
      <c r="I114" s="537"/>
      <c r="J114" s="537"/>
      <c r="K114" s="537"/>
      <c r="L114" s="537"/>
      <c r="M114" s="526"/>
      <c r="N114" s="536"/>
      <c r="O114" s="524"/>
      <c r="P114" s="524"/>
      <c r="Q114" s="524"/>
      <c r="R114" s="524"/>
      <c r="S114" s="524"/>
      <c r="T114" s="524"/>
      <c r="U114" s="524"/>
      <c r="V114" s="524"/>
      <c r="W114" s="524"/>
      <c r="X114" s="524"/>
      <c r="Y114" s="527"/>
      <c r="Z114" s="525"/>
      <c r="AA114" s="530"/>
      <c r="AB114" s="525"/>
      <c r="AC114" s="525"/>
      <c r="AD114" s="525"/>
      <c r="AE114" s="525"/>
      <c r="AF114" s="525"/>
      <c r="AG114" s="525"/>
      <c r="AH114" s="525"/>
      <c r="AI114" s="525"/>
      <c r="AJ114" s="525"/>
      <c r="AK114" s="525"/>
    </row>
    <row r="115" spans="3:37" ht="13.8">
      <c r="C115" s="315" t="s">
        <v>438</v>
      </c>
      <c r="D115" s="315" t="s">
        <v>485</v>
      </c>
      <c r="E115" s="343">
        <v>0</v>
      </c>
      <c r="F115" s="338">
        <v>0</v>
      </c>
      <c r="G115" s="351"/>
      <c r="H115" s="351"/>
      <c r="I115" s="351"/>
      <c r="J115" s="351"/>
      <c r="K115" s="351"/>
      <c r="L115" s="351"/>
      <c r="M115" s="351" t="s">
        <v>489</v>
      </c>
      <c r="N115" s="396"/>
      <c r="O115" s="309"/>
      <c r="P115" s="309"/>
      <c r="Q115" s="309"/>
      <c r="R115" s="309"/>
      <c r="S115" s="309"/>
      <c r="T115" s="309"/>
      <c r="U115" s="309"/>
      <c r="V115" s="309"/>
      <c r="W115" s="309"/>
      <c r="X115" s="309"/>
      <c r="Y115" s="316"/>
      <c r="Z115" s="311"/>
      <c r="AA115" s="325"/>
      <c r="AB115" s="309"/>
      <c r="AC115" s="309"/>
      <c r="AD115" s="309"/>
      <c r="AE115" s="309"/>
      <c r="AF115" s="309"/>
      <c r="AG115" s="309"/>
      <c r="AH115" s="309"/>
      <c r="AI115" s="309"/>
      <c r="AJ115" s="309"/>
      <c r="AK115" s="309"/>
    </row>
    <row r="116" spans="3:37" ht="13.8">
      <c r="C116" s="315" t="s">
        <v>439</v>
      </c>
      <c r="D116" s="315" t="s">
        <v>485</v>
      </c>
      <c r="E116" s="343">
        <v>0</v>
      </c>
      <c r="F116" s="338">
        <v>0</v>
      </c>
      <c r="G116" s="392">
        <v>-17</v>
      </c>
      <c r="H116" s="392">
        <v>-17</v>
      </c>
      <c r="I116" s="345">
        <v>-17</v>
      </c>
      <c r="J116" s="345">
        <v>-17</v>
      </c>
      <c r="K116" s="392">
        <v>0</v>
      </c>
      <c r="L116" s="392">
        <v>0</v>
      </c>
      <c r="M116" s="315"/>
      <c r="N116" s="344" t="s">
        <v>488</v>
      </c>
      <c r="O116" s="309"/>
      <c r="P116" s="309"/>
      <c r="Q116" s="309"/>
      <c r="R116" s="309"/>
      <c r="S116" s="309"/>
      <c r="T116" s="309"/>
      <c r="U116" s="309"/>
      <c r="V116" s="309"/>
      <c r="W116" s="309"/>
      <c r="X116" s="309"/>
      <c r="Y116" s="309"/>
      <c r="Z116" s="311"/>
      <c r="AA116" s="325"/>
      <c r="AB116" s="309"/>
      <c r="AC116" s="309"/>
      <c r="AD116" s="309"/>
      <c r="AE116" s="309"/>
      <c r="AF116" s="309"/>
      <c r="AG116" s="309"/>
      <c r="AH116" s="309"/>
      <c r="AI116" s="309"/>
      <c r="AJ116" s="309"/>
      <c r="AK116" s="309"/>
    </row>
    <row r="117" spans="3:37" ht="13.8">
      <c r="C117" s="315" t="s">
        <v>440</v>
      </c>
      <c r="D117" s="315" t="s">
        <v>485</v>
      </c>
      <c r="E117" s="343">
        <v>0</v>
      </c>
      <c r="F117" s="338">
        <v>0</v>
      </c>
      <c r="G117" s="392">
        <v>-17</v>
      </c>
      <c r="H117" s="392">
        <v>-17</v>
      </c>
      <c r="I117" s="392">
        <v>-17</v>
      </c>
      <c r="J117" s="392">
        <v>-17</v>
      </c>
      <c r="K117" s="392">
        <v>0</v>
      </c>
      <c r="L117" s="392">
        <v>0</v>
      </c>
      <c r="M117" s="315"/>
      <c r="N117" s="344" t="s">
        <v>490</v>
      </c>
      <c r="O117" s="309"/>
      <c r="P117" s="309"/>
      <c r="Q117" s="309"/>
      <c r="R117" s="309"/>
      <c r="S117" s="309"/>
      <c r="T117" s="309"/>
      <c r="U117" s="309"/>
      <c r="V117" s="309"/>
      <c r="W117" s="309"/>
      <c r="X117" s="309"/>
      <c r="Y117" s="309"/>
      <c r="Z117" s="311"/>
      <c r="AA117" s="325"/>
      <c r="AB117" s="311"/>
      <c r="AC117" s="311"/>
      <c r="AD117" s="311"/>
      <c r="AE117" s="311"/>
      <c r="AF117" s="311"/>
      <c r="AG117" s="311"/>
      <c r="AH117" s="311"/>
      <c r="AI117" s="311"/>
      <c r="AJ117" s="311"/>
      <c r="AK117" s="311"/>
    </row>
    <row r="118" spans="3:37" ht="13.8">
      <c r="C118" s="315" t="s">
        <v>441</v>
      </c>
      <c r="D118" s="315" t="s">
        <v>485</v>
      </c>
      <c r="E118" s="343">
        <v>0</v>
      </c>
      <c r="F118" s="338">
        <v>0</v>
      </c>
      <c r="G118" s="351"/>
      <c r="H118" s="351"/>
      <c r="I118" s="351"/>
      <c r="J118" s="351"/>
      <c r="K118" s="351"/>
      <c r="L118" s="351"/>
      <c r="M118" s="351" t="s">
        <v>489</v>
      </c>
      <c r="N118" s="396"/>
      <c r="O118" s="309"/>
      <c r="P118" s="309"/>
      <c r="Q118" s="309"/>
      <c r="R118" s="309"/>
      <c r="S118" s="309"/>
      <c r="T118" s="309"/>
      <c r="U118" s="309"/>
      <c r="V118" s="309"/>
      <c r="W118" s="309"/>
      <c r="X118" s="309"/>
      <c r="Y118" s="309"/>
      <c r="Z118" s="311"/>
      <c r="AA118" s="325"/>
      <c r="AB118" s="311"/>
      <c r="AC118" s="311"/>
      <c r="AD118" s="311"/>
      <c r="AE118" s="311"/>
      <c r="AF118" s="311"/>
      <c r="AG118" s="311"/>
      <c r="AH118" s="311"/>
      <c r="AI118" s="311"/>
      <c r="AJ118" s="311"/>
      <c r="AK118" s="311"/>
    </row>
    <row r="119" spans="3:37" ht="13.8">
      <c r="C119" s="315" t="s">
        <v>442</v>
      </c>
      <c r="D119" s="315" t="s">
        <v>485</v>
      </c>
      <c r="E119" s="343">
        <v>0</v>
      </c>
      <c r="F119" s="338">
        <v>0</v>
      </c>
      <c r="G119" s="351"/>
      <c r="H119" s="351"/>
      <c r="I119" s="351"/>
      <c r="J119" s="351"/>
      <c r="K119" s="351"/>
      <c r="L119" s="351"/>
      <c r="M119" s="351" t="s">
        <v>489</v>
      </c>
      <c r="N119" s="396"/>
      <c r="O119" s="309"/>
      <c r="P119" s="309"/>
      <c r="Q119" s="309"/>
      <c r="R119" s="309"/>
      <c r="S119" s="309"/>
      <c r="T119" s="309"/>
      <c r="U119" s="309"/>
      <c r="V119" s="309"/>
      <c r="W119" s="309"/>
      <c r="X119" s="309"/>
      <c r="Y119" s="309"/>
      <c r="Z119" s="311"/>
      <c r="AA119" s="325"/>
      <c r="AB119" s="309"/>
      <c r="AC119" s="309"/>
      <c r="AD119" s="309"/>
      <c r="AE119" s="309"/>
      <c r="AF119" s="309"/>
      <c r="AG119" s="309"/>
      <c r="AH119" s="309"/>
      <c r="AI119" s="309"/>
      <c r="AJ119" s="309"/>
      <c r="AK119" s="309"/>
    </row>
    <row r="120" spans="3:37" ht="13.8">
      <c r="C120" s="315" t="s">
        <v>443</v>
      </c>
      <c r="D120" s="315" t="s">
        <v>485</v>
      </c>
      <c r="E120" s="343">
        <v>0</v>
      </c>
      <c r="F120" s="338">
        <v>0</v>
      </c>
      <c r="G120" s="351"/>
      <c r="H120" s="351"/>
      <c r="I120" s="351"/>
      <c r="J120" s="351"/>
      <c r="K120" s="351"/>
      <c r="L120" s="351"/>
      <c r="M120" s="351" t="s">
        <v>489</v>
      </c>
      <c r="N120" s="396"/>
      <c r="O120" s="309"/>
      <c r="P120" s="309"/>
      <c r="Q120" s="309"/>
      <c r="R120" s="309"/>
      <c r="S120" s="309"/>
      <c r="T120" s="309"/>
      <c r="U120" s="309"/>
      <c r="V120" s="309"/>
      <c r="W120" s="309"/>
      <c r="X120" s="309"/>
      <c r="Y120" s="309"/>
      <c r="Z120" s="311"/>
      <c r="AA120" s="325"/>
      <c r="AB120" s="309"/>
      <c r="AC120" s="309"/>
      <c r="AD120" s="309"/>
      <c r="AE120" s="309"/>
      <c r="AF120" s="309"/>
      <c r="AG120" s="309"/>
      <c r="AH120" s="309"/>
      <c r="AI120" s="309"/>
      <c r="AJ120" s="309"/>
      <c r="AK120" s="309"/>
    </row>
    <row r="121" spans="3:37" ht="13.8">
      <c r="C121" s="315" t="s">
        <v>444</v>
      </c>
      <c r="D121" s="315" t="s">
        <v>485</v>
      </c>
      <c r="E121" s="343">
        <v>0</v>
      </c>
      <c r="F121" s="338">
        <v>0</v>
      </c>
      <c r="G121" s="351"/>
      <c r="H121" s="351"/>
      <c r="I121" s="351"/>
      <c r="J121" s="351"/>
      <c r="K121" s="351"/>
      <c r="L121" s="351"/>
      <c r="M121" s="351" t="s">
        <v>489</v>
      </c>
      <c r="N121" s="396"/>
      <c r="O121" s="309"/>
      <c r="P121" s="309"/>
      <c r="Q121" s="309"/>
      <c r="R121" s="309"/>
      <c r="S121" s="309"/>
      <c r="T121" s="309"/>
      <c r="U121" s="309"/>
      <c r="V121" s="309"/>
      <c r="W121" s="309"/>
      <c r="X121" s="309"/>
      <c r="Y121" s="309"/>
      <c r="Z121" s="311"/>
      <c r="AA121" s="325"/>
      <c r="AB121" s="311"/>
      <c r="AC121" s="311"/>
      <c r="AD121" s="311"/>
      <c r="AE121" s="311"/>
      <c r="AF121" s="311"/>
      <c r="AG121" s="311"/>
      <c r="AH121" s="311"/>
      <c r="AI121" s="311"/>
      <c r="AJ121" s="311"/>
      <c r="AK121" s="311"/>
    </row>
    <row r="122" spans="3:37" ht="13.8">
      <c r="C122" s="315" t="s">
        <v>445</v>
      </c>
      <c r="D122" s="315" t="s">
        <v>485</v>
      </c>
      <c r="E122" s="343">
        <v>0</v>
      </c>
      <c r="F122" s="338">
        <v>0</v>
      </c>
      <c r="G122" s="351"/>
      <c r="H122" s="351"/>
      <c r="I122" s="351"/>
      <c r="J122" s="351"/>
      <c r="K122" s="351"/>
      <c r="L122" s="351"/>
      <c r="M122" s="315" t="s">
        <v>491</v>
      </c>
      <c r="N122" s="315"/>
      <c r="O122" s="309"/>
      <c r="P122" s="309"/>
      <c r="Q122" s="309"/>
      <c r="R122" s="309"/>
      <c r="S122" s="309"/>
      <c r="T122" s="309"/>
      <c r="U122" s="309"/>
      <c r="V122" s="309"/>
      <c r="W122" s="309"/>
      <c r="X122" s="309"/>
      <c r="Y122" s="309"/>
      <c r="Z122" s="311"/>
      <c r="AA122" s="325"/>
      <c r="AB122" s="311"/>
      <c r="AC122" s="311"/>
      <c r="AD122" s="311"/>
      <c r="AE122" s="311"/>
      <c r="AF122" s="311"/>
      <c r="AG122" s="311"/>
      <c r="AH122" s="311"/>
      <c r="AI122" s="311"/>
      <c r="AJ122" s="311"/>
      <c r="AK122" s="311"/>
    </row>
    <row r="123" spans="3:37" ht="13.8">
      <c r="C123" s="315" t="s">
        <v>446</v>
      </c>
      <c r="D123" s="315" t="s">
        <v>485</v>
      </c>
      <c r="E123" s="343">
        <v>0</v>
      </c>
      <c r="F123" s="338">
        <v>0</v>
      </c>
      <c r="G123" s="338">
        <v>18</v>
      </c>
      <c r="H123" s="338">
        <v>71</v>
      </c>
      <c r="I123" s="409">
        <v>18</v>
      </c>
      <c r="J123" s="409">
        <v>71</v>
      </c>
      <c r="K123" s="345">
        <v>0</v>
      </c>
      <c r="L123" s="345">
        <v>0</v>
      </c>
      <c r="M123" s="315"/>
      <c r="N123" s="344" t="s">
        <v>486</v>
      </c>
      <c r="O123" s="309"/>
      <c r="P123" s="309"/>
      <c r="Q123" s="309"/>
      <c r="R123" s="309"/>
      <c r="S123" s="309"/>
      <c r="T123" s="309"/>
      <c r="U123" s="309"/>
      <c r="V123" s="309"/>
      <c r="W123" s="309"/>
      <c r="X123" s="309"/>
      <c r="Y123" s="309"/>
      <c r="Z123" s="311"/>
      <c r="AA123" s="311"/>
      <c r="AB123" s="311"/>
      <c r="AC123" s="311"/>
      <c r="AD123" s="311"/>
      <c r="AE123" s="311"/>
      <c r="AF123" s="311"/>
      <c r="AG123" s="311"/>
      <c r="AH123" s="311"/>
      <c r="AI123" s="311"/>
      <c r="AJ123" s="311"/>
      <c r="AK123" s="311"/>
    </row>
    <row r="124" spans="3:37" ht="13.8">
      <c r="C124" s="315" t="s">
        <v>447</v>
      </c>
      <c r="D124" s="315" t="s">
        <v>485</v>
      </c>
      <c r="E124" s="343">
        <v>0</v>
      </c>
      <c r="F124" s="338">
        <v>0</v>
      </c>
      <c r="G124" s="338">
        <v>19</v>
      </c>
      <c r="H124" s="338">
        <v>160</v>
      </c>
      <c r="I124" s="409">
        <v>19</v>
      </c>
      <c r="J124" s="409">
        <v>160</v>
      </c>
      <c r="K124" s="345">
        <v>0</v>
      </c>
      <c r="L124" s="345">
        <v>0</v>
      </c>
      <c r="M124" s="315"/>
      <c r="N124" s="344" t="s">
        <v>486</v>
      </c>
      <c r="O124" s="309"/>
      <c r="P124" s="309"/>
      <c r="Q124" s="309"/>
      <c r="R124" s="309"/>
      <c r="S124" s="309"/>
      <c r="T124" s="309"/>
      <c r="U124" s="309"/>
      <c r="V124" s="309"/>
      <c r="W124" s="309"/>
      <c r="X124" s="309"/>
      <c r="Y124" s="309"/>
      <c r="Z124" s="311"/>
      <c r="AA124" s="311"/>
      <c r="AB124" s="311"/>
      <c r="AC124" s="311"/>
      <c r="AD124" s="311"/>
      <c r="AE124" s="311"/>
      <c r="AF124" s="311"/>
      <c r="AG124" s="311"/>
      <c r="AH124" s="311"/>
      <c r="AI124" s="311"/>
      <c r="AJ124" s="311"/>
      <c r="AK124" s="311"/>
    </row>
    <row r="125" spans="3:37" ht="13.8">
      <c r="C125" s="309" t="s">
        <v>492</v>
      </c>
      <c r="D125" s="309"/>
      <c r="E125" s="309"/>
      <c r="F125" s="309"/>
      <c r="G125" s="309"/>
      <c r="H125" s="309"/>
      <c r="I125" s="309"/>
      <c r="J125" s="309"/>
      <c r="K125" s="309"/>
      <c r="L125" s="309"/>
      <c r="M125" s="309"/>
      <c r="N125" s="309"/>
      <c r="O125" s="309"/>
      <c r="P125" s="309"/>
      <c r="Q125" s="309"/>
      <c r="R125" s="309"/>
      <c r="S125" s="309"/>
      <c r="T125" s="309"/>
      <c r="U125" s="309"/>
      <c r="V125" s="309"/>
      <c r="W125" s="309"/>
      <c r="X125" s="309"/>
      <c r="Y125" s="309"/>
      <c r="Z125" s="309"/>
      <c r="AA125" s="309"/>
      <c r="AB125" s="309"/>
      <c r="AC125" s="309"/>
      <c r="AD125" s="309"/>
      <c r="AE125" s="309"/>
      <c r="AF125" s="309"/>
      <c r="AG125" s="309"/>
      <c r="AH125" s="309"/>
      <c r="AI125" s="309"/>
      <c r="AJ125" s="309"/>
      <c r="AK125" s="309"/>
    </row>
    <row r="126" spans="3:37" ht="13.8">
      <c r="C126" s="309"/>
      <c r="D126" s="309"/>
      <c r="E126" s="309"/>
      <c r="F126" s="309"/>
      <c r="G126" s="309"/>
      <c r="H126" s="309"/>
      <c r="I126" s="309"/>
      <c r="J126" s="309"/>
      <c r="K126" s="309"/>
      <c r="L126" s="309"/>
      <c r="M126" s="309"/>
      <c r="N126" s="309"/>
      <c r="O126" s="309"/>
      <c r="P126" s="309"/>
      <c r="Q126" s="309"/>
      <c r="R126" s="309"/>
      <c r="S126" s="309"/>
      <c r="T126" s="309"/>
      <c r="U126" s="309"/>
      <c r="V126" s="309"/>
      <c r="W126" s="309"/>
      <c r="X126" s="309"/>
      <c r="Y126" s="309"/>
      <c r="Z126" s="309"/>
      <c r="AA126" s="309"/>
      <c r="AB126" s="309"/>
      <c r="AC126" s="309"/>
      <c r="AD126" s="309"/>
      <c r="AE126" s="309"/>
      <c r="AF126" s="309"/>
      <c r="AG126" s="309"/>
      <c r="AH126" s="309"/>
      <c r="AI126" s="309"/>
      <c r="AJ126" s="309"/>
      <c r="AK126" s="309"/>
    </row>
    <row r="127" spans="3:37" ht="13.8">
      <c r="C127" s="310" t="s">
        <v>493</v>
      </c>
      <c r="D127" s="309"/>
      <c r="E127" s="309"/>
      <c r="F127" s="309"/>
      <c r="G127" s="309"/>
      <c r="H127" s="309"/>
      <c r="I127" s="309"/>
      <c r="J127" s="309"/>
      <c r="K127" s="309"/>
      <c r="L127" s="309"/>
      <c r="M127" s="309"/>
      <c r="N127" s="309"/>
      <c r="O127" s="309"/>
      <c r="P127" s="309"/>
      <c r="Q127" s="309"/>
      <c r="R127" s="309"/>
      <c r="S127" s="309"/>
      <c r="T127" s="309"/>
      <c r="U127" s="309"/>
      <c r="V127" s="309"/>
      <c r="W127" s="309"/>
      <c r="X127" s="309"/>
      <c r="Y127" s="309"/>
      <c r="Z127" s="309"/>
      <c r="AA127" s="309"/>
      <c r="AB127" s="309"/>
      <c r="AC127" s="309"/>
      <c r="AD127" s="309"/>
      <c r="AE127" s="309"/>
      <c r="AF127" s="309"/>
      <c r="AG127" s="309"/>
      <c r="AH127" s="309"/>
      <c r="AI127" s="309"/>
      <c r="AJ127" s="309"/>
      <c r="AK127" s="309"/>
    </row>
    <row r="128" spans="3:37" ht="13.8">
      <c r="C128" s="315" t="s">
        <v>494</v>
      </c>
      <c r="D128" s="315" t="s">
        <v>485</v>
      </c>
      <c r="E128" s="410">
        <v>29</v>
      </c>
      <c r="F128" s="397" t="s">
        <v>495</v>
      </c>
      <c r="G128" s="309"/>
      <c r="H128" s="309"/>
      <c r="I128" s="309"/>
      <c r="J128" s="309"/>
      <c r="K128" s="309"/>
      <c r="L128" s="309"/>
      <c r="M128" s="309"/>
      <c r="N128" s="309"/>
      <c r="O128" s="309"/>
      <c r="P128" s="309"/>
      <c r="Q128" s="309"/>
      <c r="R128" s="309"/>
      <c r="S128" s="309"/>
      <c r="T128" s="309"/>
      <c r="U128" s="309"/>
      <c r="V128" s="309"/>
      <c r="W128" s="309"/>
      <c r="X128" s="309"/>
      <c r="Y128" s="309"/>
      <c r="Z128" s="309"/>
      <c r="AA128" s="309"/>
      <c r="AB128" s="309"/>
      <c r="AC128" s="309"/>
      <c r="AD128" s="309"/>
      <c r="AE128" s="309"/>
      <c r="AF128" s="309"/>
      <c r="AG128" s="309"/>
      <c r="AH128" s="309"/>
      <c r="AI128" s="309"/>
      <c r="AJ128" s="309"/>
      <c r="AK128" s="309"/>
    </row>
    <row r="129" spans="3:37" ht="13.8">
      <c r="C129" s="315" t="s">
        <v>397</v>
      </c>
      <c r="D129" s="315" t="s">
        <v>485</v>
      </c>
      <c r="E129" s="410">
        <v>29</v>
      </c>
      <c r="F129" s="397" t="s">
        <v>495</v>
      </c>
      <c r="G129" s="309"/>
      <c r="H129" s="309"/>
      <c r="I129" s="309"/>
      <c r="J129" s="309"/>
      <c r="K129" s="309"/>
      <c r="L129" s="309"/>
      <c r="M129" s="309"/>
      <c r="N129" s="309"/>
      <c r="O129" s="309"/>
      <c r="P129" s="309"/>
      <c r="Q129" s="309"/>
      <c r="R129" s="309"/>
      <c r="S129" s="309"/>
      <c r="T129" s="309"/>
      <c r="U129" s="309"/>
      <c r="V129" s="309"/>
      <c r="W129" s="309"/>
      <c r="X129" s="309"/>
      <c r="Y129" s="309"/>
      <c r="Z129" s="309"/>
      <c r="AA129" s="309"/>
      <c r="AB129" s="309"/>
      <c r="AC129" s="309"/>
      <c r="AD129" s="309"/>
      <c r="AE129" s="309"/>
      <c r="AF129" s="309"/>
      <c r="AG129" s="309"/>
      <c r="AH129" s="309"/>
      <c r="AI129" s="309"/>
      <c r="AJ129" s="309"/>
      <c r="AK129" s="309"/>
    </row>
    <row r="130" spans="3:37" ht="13.8">
      <c r="C130" s="315" t="s">
        <v>390</v>
      </c>
      <c r="D130" s="315" t="s">
        <v>485</v>
      </c>
      <c r="E130" s="410">
        <v>16.7</v>
      </c>
      <c r="F130" s="397" t="s">
        <v>496</v>
      </c>
      <c r="G130" s="309"/>
      <c r="H130" s="309"/>
      <c r="I130" s="309"/>
      <c r="J130" s="309"/>
      <c r="K130" s="309"/>
      <c r="L130" s="309"/>
      <c r="M130" s="309"/>
      <c r="N130" s="309"/>
      <c r="O130" s="309"/>
      <c r="P130" s="309"/>
      <c r="Q130" s="309"/>
      <c r="R130" s="309"/>
      <c r="S130" s="309"/>
      <c r="T130" s="309"/>
      <c r="U130" s="309"/>
      <c r="V130" s="309"/>
      <c r="W130" s="309"/>
      <c r="X130" s="309"/>
      <c r="Y130" s="309"/>
      <c r="Z130" s="309"/>
      <c r="AA130" s="309"/>
      <c r="AB130" s="309"/>
      <c r="AC130" s="309"/>
      <c r="AD130" s="309"/>
      <c r="AE130" s="309"/>
      <c r="AF130" s="309"/>
      <c r="AG130" s="309"/>
      <c r="AH130" s="309"/>
      <c r="AI130" s="309"/>
      <c r="AJ130" s="309"/>
      <c r="AK130" s="309"/>
    </row>
    <row r="131" spans="3:37" ht="13.8">
      <c r="C131" s="309"/>
      <c r="D131" s="309"/>
      <c r="E131" s="309"/>
      <c r="F131" s="309"/>
      <c r="G131" s="309"/>
      <c r="H131" s="309"/>
      <c r="I131" s="309"/>
      <c r="J131" s="309"/>
      <c r="K131" s="309"/>
      <c r="L131" s="309"/>
      <c r="M131" s="309"/>
      <c r="N131" s="309"/>
      <c r="O131" s="309"/>
      <c r="P131" s="309"/>
      <c r="Q131" s="309"/>
      <c r="R131" s="309"/>
      <c r="S131" s="309"/>
      <c r="T131" s="309"/>
      <c r="U131" s="309"/>
      <c r="V131" s="309"/>
      <c r="W131" s="309"/>
      <c r="X131" s="309"/>
      <c r="Y131" s="309"/>
      <c r="Z131" s="309"/>
      <c r="AA131" s="309"/>
      <c r="AB131" s="309"/>
      <c r="AC131" s="309"/>
      <c r="AD131" s="309"/>
      <c r="AE131" s="309"/>
      <c r="AF131" s="309"/>
      <c r="AG131" s="309"/>
      <c r="AH131" s="309"/>
      <c r="AI131" s="309"/>
      <c r="AJ131" s="309"/>
      <c r="AK131" s="309"/>
    </row>
    <row r="132" spans="3:37" ht="14.4">
      <c r="C132" s="329" t="s">
        <v>497</v>
      </c>
      <c r="D132" s="318"/>
      <c r="E132" s="317"/>
      <c r="F132" s="317"/>
      <c r="G132" s="317"/>
      <c r="H132" s="317"/>
      <c r="I132" s="317"/>
      <c r="J132" s="317"/>
      <c r="K132" s="317"/>
      <c r="L132" s="317"/>
      <c r="M132" s="317"/>
      <c r="N132" s="317"/>
      <c r="O132" s="317"/>
      <c r="P132" s="317"/>
      <c r="Q132" s="317"/>
      <c r="R132" s="317"/>
      <c r="S132" s="317"/>
      <c r="T132" s="317"/>
      <c r="U132" s="317"/>
      <c r="V132" s="317"/>
      <c r="W132" s="317"/>
      <c r="X132" s="317"/>
      <c r="Y132" s="317"/>
      <c r="Z132" s="317"/>
      <c r="AA132" s="317"/>
      <c r="AB132" s="317"/>
      <c r="AC132" s="317"/>
      <c r="AD132" s="317"/>
      <c r="AE132" s="317"/>
      <c r="AF132" s="317"/>
      <c r="AG132" s="317"/>
      <c r="AH132" s="317"/>
      <c r="AI132" s="317"/>
      <c r="AJ132" s="317"/>
      <c r="AK132" s="317"/>
    </row>
    <row r="133" spans="3:37" ht="13.8">
      <c r="C133" s="315"/>
      <c r="D133" s="315" t="s">
        <v>498</v>
      </c>
      <c r="E133" s="315" t="s">
        <v>461</v>
      </c>
      <c r="F133" s="315">
        <v>2012</v>
      </c>
      <c r="G133" s="315">
        <v>2020</v>
      </c>
      <c r="H133" s="315">
        <v>2035</v>
      </c>
      <c r="I133" s="315">
        <v>2050</v>
      </c>
      <c r="J133" s="317"/>
      <c r="K133" s="317"/>
      <c r="L133" s="317"/>
      <c r="M133" s="317"/>
      <c r="N133" s="317"/>
      <c r="O133" s="317"/>
      <c r="P133" s="317"/>
      <c r="Q133" s="317"/>
      <c r="R133" s="317"/>
      <c r="S133" s="317"/>
      <c r="T133" s="317"/>
      <c r="U133" s="317"/>
      <c r="V133" s="317"/>
      <c r="W133" s="317"/>
      <c r="X133" s="317"/>
      <c r="Y133" s="317"/>
      <c r="Z133" s="317"/>
      <c r="AA133" s="317"/>
      <c r="AB133" s="317"/>
      <c r="AC133" s="317"/>
      <c r="AD133" s="317"/>
      <c r="AE133" s="317"/>
      <c r="AF133" s="317"/>
      <c r="AG133" s="317"/>
      <c r="AH133" s="317"/>
      <c r="AI133" s="317"/>
      <c r="AJ133" s="317"/>
      <c r="AK133" s="317"/>
    </row>
    <row r="134" spans="3:37" ht="13.8">
      <c r="C134" s="398" t="s">
        <v>499</v>
      </c>
      <c r="D134" s="398" t="s">
        <v>412</v>
      </c>
      <c r="E134" s="398">
        <v>-11</v>
      </c>
      <c r="F134" s="399">
        <v>-11.2</v>
      </c>
      <c r="G134" s="399">
        <v>-11.2</v>
      </c>
      <c r="H134" s="399">
        <v>16.2</v>
      </c>
      <c r="I134" s="399">
        <v>13.4</v>
      </c>
      <c r="J134" s="317"/>
      <c r="K134" s="317"/>
      <c r="L134" s="317"/>
      <c r="M134" s="317"/>
      <c r="N134" s="317"/>
      <c r="O134" s="317"/>
      <c r="P134" s="317"/>
      <c r="Q134" s="317"/>
      <c r="R134" s="317"/>
      <c r="S134" s="317"/>
      <c r="T134" s="317"/>
      <c r="U134" s="317"/>
      <c r="V134" s="317"/>
      <c r="W134" s="317"/>
      <c r="X134" s="317"/>
      <c r="Y134" s="317"/>
      <c r="Z134" s="317"/>
      <c r="AA134" s="317"/>
      <c r="AB134" s="317"/>
      <c r="AC134" s="317"/>
      <c r="AD134" s="317"/>
      <c r="AE134" s="317"/>
      <c r="AF134" s="317"/>
      <c r="AG134" s="317"/>
      <c r="AH134" s="317"/>
      <c r="AI134" s="317"/>
      <c r="AJ134" s="317"/>
      <c r="AK134" s="317"/>
    </row>
    <row r="135" spans="3:37" ht="13.8">
      <c r="C135" s="398" t="s">
        <v>71</v>
      </c>
      <c r="D135" s="398" t="s">
        <v>412</v>
      </c>
      <c r="E135" s="398">
        <v>-11</v>
      </c>
      <c r="F135" s="400">
        <v>-11.2</v>
      </c>
      <c r="G135" s="400">
        <v>-11.2</v>
      </c>
      <c r="H135" s="400">
        <v>16.2</v>
      </c>
      <c r="I135" s="400">
        <v>13.4</v>
      </c>
      <c r="J135" s="317" t="s">
        <v>500</v>
      </c>
    </row>
    <row r="136" spans="3:37">
      <c r="C136" s="317"/>
      <c r="D136" s="318"/>
      <c r="E136" s="317"/>
      <c r="F136" s="317"/>
      <c r="G136" s="317"/>
      <c r="H136" s="317"/>
      <c r="I136" s="317"/>
      <c r="J136" s="317"/>
    </row>
    <row r="137" spans="3:37" ht="14.4">
      <c r="C137" s="329" t="s">
        <v>501</v>
      </c>
      <c r="D137" s="318"/>
      <c r="E137" s="317"/>
      <c r="F137" s="317"/>
      <c r="G137" s="317"/>
      <c r="H137" s="317"/>
      <c r="I137" s="317"/>
      <c r="J137" s="317"/>
    </row>
    <row r="138" spans="3:37" ht="13.8">
      <c r="C138" s="315"/>
      <c r="D138" s="314">
        <v>2020</v>
      </c>
      <c r="E138" s="314">
        <v>2035</v>
      </c>
      <c r="F138" s="314">
        <v>2040</v>
      </c>
      <c r="G138" s="314">
        <v>2050</v>
      </c>
      <c r="H138" s="317"/>
      <c r="I138" s="317"/>
      <c r="J138" s="317"/>
    </row>
    <row r="139" spans="3:37" ht="13.8">
      <c r="C139" s="315" t="s">
        <v>502</v>
      </c>
      <c r="D139" s="342">
        <v>8.99</v>
      </c>
      <c r="E139" s="342">
        <v>30.75</v>
      </c>
      <c r="F139" s="342">
        <v>26.9</v>
      </c>
      <c r="G139" s="401">
        <v>13.42</v>
      </c>
      <c r="H139" s="317"/>
      <c r="I139" s="317"/>
      <c r="J139" s="317"/>
    </row>
    <row r="140" spans="3:37" ht="13.8">
      <c r="C140" s="315" t="s">
        <v>503</v>
      </c>
      <c r="D140" s="342">
        <v>13.78</v>
      </c>
      <c r="E140" s="342">
        <v>30.69</v>
      </c>
      <c r="F140" s="401">
        <v>16.16</v>
      </c>
      <c r="G140" s="342">
        <v>0.33</v>
      </c>
      <c r="H140" s="317"/>
      <c r="I140" s="317"/>
      <c r="J140" s="317"/>
    </row>
    <row r="141" spans="3:37" ht="13.8">
      <c r="C141" s="315" t="s">
        <v>504</v>
      </c>
      <c r="D141" s="342">
        <v>-15.42</v>
      </c>
      <c r="E141" s="342">
        <v>-2.35</v>
      </c>
      <c r="F141" s="342">
        <v>4.63</v>
      </c>
      <c r="G141" s="342">
        <v>5.84</v>
      </c>
      <c r="H141" s="317"/>
      <c r="I141" s="317"/>
      <c r="J141" s="317"/>
    </row>
    <row r="142" spans="3:37" ht="13.8">
      <c r="C142" s="315" t="s">
        <v>505</v>
      </c>
      <c r="D142" s="401">
        <v>-11.24</v>
      </c>
      <c r="E142" s="342">
        <v>-3.52</v>
      </c>
      <c r="F142" s="342">
        <v>-3.65</v>
      </c>
      <c r="G142" s="342">
        <v>-1.79</v>
      </c>
      <c r="H142" s="317"/>
      <c r="I142" s="317"/>
      <c r="J142" s="317"/>
    </row>
    <row r="143" spans="3:37">
      <c r="C143" s="317" t="s">
        <v>506</v>
      </c>
      <c r="D143" s="318"/>
      <c r="E143" s="317"/>
      <c r="F143" s="317"/>
      <c r="G143" s="317"/>
      <c r="H143" s="317"/>
      <c r="I143" s="317"/>
      <c r="J143" s="317"/>
    </row>
    <row r="144" spans="3:37">
      <c r="C144" s="317"/>
      <c r="D144" s="318"/>
      <c r="E144" s="317"/>
      <c r="F144" s="317"/>
      <c r="G144" s="317"/>
      <c r="H144" s="317"/>
      <c r="I144" s="317"/>
      <c r="J144" s="317"/>
    </row>
    <row r="145" spans="2:10" ht="13.8">
      <c r="C145" s="312"/>
      <c r="D145" s="312"/>
      <c r="E145" s="312"/>
      <c r="F145" s="312"/>
      <c r="G145" s="312"/>
      <c r="H145" s="312"/>
      <c r="I145" s="317"/>
      <c r="J145" s="317"/>
    </row>
    <row r="146" spans="2:10" ht="14.4">
      <c r="C146" s="329" t="s">
        <v>507</v>
      </c>
      <c r="D146" s="312"/>
      <c r="E146" s="312"/>
      <c r="F146" s="312"/>
      <c r="G146" s="312"/>
      <c r="H146" s="312"/>
      <c r="I146" s="317"/>
      <c r="J146" s="317"/>
    </row>
    <row r="147" spans="2:10" ht="13.8">
      <c r="C147" s="398"/>
      <c r="D147" s="398"/>
      <c r="E147" s="398"/>
      <c r="F147" s="398"/>
      <c r="G147" s="398"/>
      <c r="H147" s="398"/>
      <c r="I147" s="317"/>
      <c r="J147" s="317"/>
    </row>
    <row r="148" spans="2:10" ht="13.8">
      <c r="C148" s="398"/>
      <c r="D148" s="398"/>
      <c r="E148" s="402" t="s">
        <v>508</v>
      </c>
      <c r="F148" s="402"/>
      <c r="G148" s="398" t="s">
        <v>509</v>
      </c>
      <c r="H148" s="398" t="s">
        <v>510</v>
      </c>
      <c r="I148" s="317"/>
      <c r="J148" s="317"/>
    </row>
    <row r="149" spans="2:10" ht="13.8">
      <c r="C149" s="398"/>
      <c r="D149" s="398" t="s">
        <v>511</v>
      </c>
      <c r="E149" s="398" t="s">
        <v>512</v>
      </c>
      <c r="F149" s="398" t="s">
        <v>513</v>
      </c>
      <c r="G149" s="398" t="s">
        <v>514</v>
      </c>
      <c r="H149" s="398" t="s">
        <v>514</v>
      </c>
      <c r="I149" s="317"/>
      <c r="J149" s="317"/>
    </row>
    <row r="150" spans="2:10" ht="13.8">
      <c r="C150" s="398" t="s">
        <v>515</v>
      </c>
      <c r="D150" s="398" t="s">
        <v>516</v>
      </c>
      <c r="E150" s="338">
        <v>210</v>
      </c>
      <c r="F150" s="338">
        <v>-32</v>
      </c>
      <c r="G150" s="403">
        <v>-5.0000000000000001E-3</v>
      </c>
      <c r="H150" s="403">
        <v>0</v>
      </c>
      <c r="I150" s="317"/>
      <c r="J150" s="317"/>
    </row>
    <row r="151" spans="2:10" ht="13.8">
      <c r="B151" s="317"/>
      <c r="C151" s="398" t="s">
        <v>517</v>
      </c>
      <c r="D151" s="398" t="s">
        <v>516</v>
      </c>
      <c r="E151" s="338">
        <v>342</v>
      </c>
      <c r="F151" s="338">
        <v>100</v>
      </c>
      <c r="G151" s="403">
        <v>0</v>
      </c>
      <c r="H151" s="403">
        <v>0</v>
      </c>
      <c r="I151" s="317"/>
    </row>
    <row r="152" spans="2:10" ht="13.8">
      <c r="B152" s="317"/>
      <c r="C152" s="398" t="s">
        <v>518</v>
      </c>
      <c r="D152" s="398" t="s">
        <v>516</v>
      </c>
      <c r="E152" s="338">
        <v>346</v>
      </c>
      <c r="F152" s="338">
        <v>104</v>
      </c>
      <c r="G152" s="403">
        <v>2.1999999999999999E-2</v>
      </c>
      <c r="H152" s="403">
        <v>7.0000000000000001E-3</v>
      </c>
      <c r="I152" s="317"/>
    </row>
    <row r="153" spans="2:10" ht="13.8">
      <c r="B153" s="317"/>
      <c r="C153" s="398" t="s">
        <v>519</v>
      </c>
      <c r="D153" s="398" t="s">
        <v>516</v>
      </c>
      <c r="E153" s="338">
        <v>333</v>
      </c>
      <c r="F153" s="338">
        <v>91</v>
      </c>
      <c r="G153" s="403">
        <v>2.7E-2</v>
      </c>
      <c r="H153" s="403">
        <v>6.0000000000000001E-3</v>
      </c>
      <c r="I153" s="317"/>
    </row>
    <row r="154" spans="2:10" ht="13.8">
      <c r="B154" s="317"/>
      <c r="C154" s="398" t="s">
        <v>520</v>
      </c>
      <c r="D154" s="398" t="s">
        <v>516</v>
      </c>
      <c r="E154" s="338">
        <v>323</v>
      </c>
      <c r="F154" s="338">
        <v>80</v>
      </c>
      <c r="G154" s="403">
        <v>8.9999999999999993E-3</v>
      </c>
      <c r="H154" s="403">
        <v>-4.2999999999999997E-2</v>
      </c>
      <c r="I154" s="317"/>
    </row>
    <row r="155" spans="2:10" ht="13.8">
      <c r="B155" s="317"/>
      <c r="C155" s="398" t="s">
        <v>521</v>
      </c>
      <c r="D155" s="398" t="s">
        <v>516</v>
      </c>
      <c r="E155" s="338">
        <v>368</v>
      </c>
      <c r="F155" s="338">
        <v>126</v>
      </c>
      <c r="G155" s="403">
        <v>0.06</v>
      </c>
      <c r="H155" s="403">
        <v>-6.0000000000000001E-3</v>
      </c>
      <c r="I155" s="317"/>
    </row>
    <row r="156" spans="2:10" ht="13.8">
      <c r="B156" s="317"/>
      <c r="C156" s="398" t="s">
        <v>522</v>
      </c>
      <c r="D156" s="398" t="s">
        <v>523</v>
      </c>
      <c r="E156" s="413">
        <v>1.63</v>
      </c>
      <c r="F156" s="413">
        <v>1.63</v>
      </c>
      <c r="G156" s="414">
        <v>1.2E-2</v>
      </c>
      <c r="H156" s="414">
        <v>3.0000000000000001E-3</v>
      </c>
      <c r="I156" s="317"/>
    </row>
    <row r="157" spans="2:10" ht="13.8">
      <c r="B157" s="317"/>
      <c r="C157" s="398" t="s">
        <v>390</v>
      </c>
      <c r="D157" s="398" t="s">
        <v>524</v>
      </c>
      <c r="E157" s="404">
        <v>346</v>
      </c>
      <c r="F157" s="404">
        <v>104</v>
      </c>
      <c r="G157" s="405">
        <v>2.1999999999999999E-2</v>
      </c>
      <c r="H157" s="405">
        <v>7.0000000000000001E-3</v>
      </c>
      <c r="I157" s="317" t="s">
        <v>525</v>
      </c>
    </row>
    <row r="158" spans="2:10" ht="13.8">
      <c r="B158" s="317"/>
      <c r="C158" s="398" t="s">
        <v>526</v>
      </c>
      <c r="D158" s="398" t="s">
        <v>524</v>
      </c>
      <c r="E158" s="404">
        <v>368</v>
      </c>
      <c r="F158" s="404">
        <v>126</v>
      </c>
      <c r="G158" s="405">
        <v>0.06</v>
      </c>
      <c r="H158" s="405">
        <v>-6.0000000000000001E-3</v>
      </c>
      <c r="I158" s="317" t="s">
        <v>527</v>
      </c>
    </row>
    <row r="159" spans="2:10">
      <c r="B159" s="317"/>
      <c r="C159" s="317" t="s">
        <v>528</v>
      </c>
      <c r="D159" s="318"/>
      <c r="E159" s="317"/>
      <c r="F159" s="317"/>
      <c r="G159" s="317"/>
      <c r="H159" s="317"/>
      <c r="I159" s="317"/>
    </row>
    <row r="161" spans="2:21" ht="21">
      <c r="B161" s="302" t="s">
        <v>535</v>
      </c>
      <c r="C161" s="301"/>
      <c r="D161" s="301"/>
      <c r="E161" s="301"/>
      <c r="F161" s="301"/>
      <c r="G161" s="301"/>
      <c r="H161" s="301"/>
      <c r="I161" s="301"/>
      <c r="J161" s="301"/>
      <c r="K161" s="301"/>
      <c r="L161" s="301"/>
      <c r="M161" s="301"/>
      <c r="N161" s="301"/>
      <c r="O161" s="301"/>
      <c r="P161" s="301"/>
      <c r="Q161" s="301"/>
      <c r="R161" s="301"/>
      <c r="S161" s="301"/>
      <c r="T161" s="301"/>
      <c r="U161" s="301"/>
    </row>
    <row r="162" spans="2:21">
      <c r="B162" s="300" t="s">
        <v>536</v>
      </c>
      <c r="C162" s="300"/>
      <c r="D162" s="300"/>
      <c r="E162" s="300"/>
      <c r="F162" s="300"/>
      <c r="G162" s="300"/>
      <c r="H162" s="300"/>
      <c r="I162" s="300"/>
      <c r="J162" s="300"/>
      <c r="K162" s="300"/>
      <c r="L162" s="300"/>
      <c r="M162" s="300"/>
      <c r="N162" s="300"/>
      <c r="O162" s="300"/>
      <c r="P162" s="300"/>
      <c r="Q162" s="300"/>
      <c r="R162" s="300"/>
      <c r="S162" s="300"/>
      <c r="T162" s="300"/>
      <c r="U162" s="300"/>
    </row>
    <row r="163" spans="2:21" ht="13.8" thickBot="1">
      <c r="B163" s="300"/>
      <c r="C163" s="300"/>
      <c r="D163" s="300"/>
      <c r="E163" s="300" t="s">
        <v>537</v>
      </c>
      <c r="F163" s="300"/>
      <c r="G163" s="300"/>
      <c r="H163" s="300"/>
      <c r="I163" s="300"/>
      <c r="J163" s="300"/>
      <c r="K163" s="300"/>
      <c r="L163" s="300" t="s">
        <v>538</v>
      </c>
      <c r="M163" s="300"/>
      <c r="N163" s="300"/>
      <c r="O163" s="300"/>
      <c r="P163" s="300"/>
      <c r="Q163" s="300"/>
      <c r="R163" s="300"/>
      <c r="S163" s="300"/>
      <c r="T163" s="300"/>
      <c r="U163" s="300"/>
    </row>
    <row r="164" spans="2:21">
      <c r="B164" s="300"/>
      <c r="C164" s="299" t="s">
        <v>539</v>
      </c>
      <c r="D164" s="298" t="s">
        <v>104</v>
      </c>
      <c r="E164" s="298">
        <v>2015</v>
      </c>
      <c r="F164" s="298">
        <v>2020</v>
      </c>
      <c r="G164" s="298">
        <v>2035</v>
      </c>
      <c r="H164" s="298">
        <v>2050</v>
      </c>
      <c r="I164" s="298" t="s">
        <v>540</v>
      </c>
      <c r="J164" s="298" t="s">
        <v>541</v>
      </c>
      <c r="K164" s="298" t="s">
        <v>542</v>
      </c>
      <c r="L164" s="298" t="s">
        <v>543</v>
      </c>
      <c r="M164" s="298" t="s">
        <v>544</v>
      </c>
      <c r="N164" s="298">
        <v>2015</v>
      </c>
      <c r="O164" s="298">
        <v>2020</v>
      </c>
      <c r="P164" s="298">
        <v>2035</v>
      </c>
      <c r="Q164" s="298">
        <v>2050</v>
      </c>
      <c r="R164" s="275" t="s">
        <v>461</v>
      </c>
      <c r="S164" s="298" t="s">
        <v>545</v>
      </c>
      <c r="T164" s="297" t="s">
        <v>546</v>
      </c>
      <c r="U164" s="300"/>
    </row>
    <row r="165" spans="2:21" ht="13.8">
      <c r="B165" s="300"/>
      <c r="C165" s="296" t="s">
        <v>547</v>
      </c>
      <c r="D165" s="295" t="s">
        <v>548</v>
      </c>
      <c r="E165" s="330">
        <v>55.2</v>
      </c>
      <c r="F165" s="330">
        <v>78.900000000000006</v>
      </c>
      <c r="G165" s="330">
        <v>314.39999999999998</v>
      </c>
      <c r="H165" s="324">
        <v>314.39999999999998</v>
      </c>
      <c r="I165" s="412">
        <v>2015</v>
      </c>
      <c r="J165" s="321">
        <v>1</v>
      </c>
      <c r="K165" s="321">
        <v>1</v>
      </c>
      <c r="L165" s="294">
        <v>1</v>
      </c>
      <c r="M165" s="293">
        <v>0</v>
      </c>
      <c r="N165" s="292">
        <v>55.2</v>
      </c>
      <c r="O165" s="292">
        <v>78.900000000000006</v>
      </c>
      <c r="P165" s="292">
        <v>314.39999999999998</v>
      </c>
      <c r="Q165" s="292">
        <v>314.39999999999998</v>
      </c>
      <c r="R165" s="292">
        <v>55.2</v>
      </c>
      <c r="S165" s="295"/>
      <c r="T165" s="443" t="s">
        <v>682</v>
      </c>
      <c r="U165" s="300"/>
    </row>
    <row r="166" spans="2:21" ht="13.8">
      <c r="B166" s="300"/>
      <c r="C166" s="296" t="s">
        <v>549</v>
      </c>
      <c r="D166" s="295" t="s">
        <v>550</v>
      </c>
      <c r="E166" s="330">
        <v>266.10000000000002</v>
      </c>
      <c r="F166" s="291">
        <v>331.2</v>
      </c>
      <c r="G166" s="291">
        <v>573.1</v>
      </c>
      <c r="H166" s="324">
        <v>573.1</v>
      </c>
      <c r="I166" s="412">
        <v>2015</v>
      </c>
      <c r="J166" s="321">
        <v>1</v>
      </c>
      <c r="K166" s="321">
        <v>1</v>
      </c>
      <c r="L166" s="294">
        <v>1</v>
      </c>
      <c r="M166" s="293">
        <v>0</v>
      </c>
      <c r="N166" s="292">
        <v>266.10000000000002</v>
      </c>
      <c r="O166" s="292">
        <v>331.2</v>
      </c>
      <c r="P166" s="292">
        <v>573.1</v>
      </c>
      <c r="Q166" s="292">
        <v>573.1</v>
      </c>
      <c r="R166" s="292">
        <v>266.10000000000002</v>
      </c>
      <c r="S166" s="290"/>
      <c r="T166" s="443" t="s">
        <v>682</v>
      </c>
      <c r="U166" s="300"/>
    </row>
    <row r="167" spans="2:21" ht="13.8">
      <c r="B167" s="300"/>
      <c r="C167" s="296" t="s">
        <v>551</v>
      </c>
      <c r="D167" s="295" t="s">
        <v>550</v>
      </c>
      <c r="E167" s="330">
        <v>445.5</v>
      </c>
      <c r="F167" s="291">
        <v>513.29999999999995</v>
      </c>
      <c r="G167" s="291">
        <v>769.9</v>
      </c>
      <c r="H167" s="324">
        <v>769.9</v>
      </c>
      <c r="I167" s="412">
        <v>2015</v>
      </c>
      <c r="J167" s="321">
        <v>1</v>
      </c>
      <c r="K167" s="321">
        <v>1</v>
      </c>
      <c r="L167" s="294">
        <v>1</v>
      </c>
      <c r="M167" s="293">
        <v>0</v>
      </c>
      <c r="N167" s="292">
        <v>445.5</v>
      </c>
      <c r="O167" s="292">
        <v>513.29999999999995</v>
      </c>
      <c r="P167" s="292">
        <v>769.9</v>
      </c>
      <c r="Q167" s="292">
        <v>769.9</v>
      </c>
      <c r="R167" s="292">
        <v>445.5</v>
      </c>
      <c r="S167" s="290"/>
      <c r="T167" s="443" t="s">
        <v>682</v>
      </c>
      <c r="U167" s="295"/>
    </row>
    <row r="168" spans="2:21" ht="13.8">
      <c r="B168" s="300"/>
      <c r="C168" s="296" t="s">
        <v>552</v>
      </c>
      <c r="D168" s="295" t="s">
        <v>412</v>
      </c>
      <c r="E168" s="330">
        <v>72</v>
      </c>
      <c r="F168" s="330">
        <v>73.3</v>
      </c>
      <c r="G168" s="330">
        <v>78.3</v>
      </c>
      <c r="H168" s="324">
        <v>78.3</v>
      </c>
      <c r="I168" s="412">
        <v>2015</v>
      </c>
      <c r="J168" s="321">
        <v>1</v>
      </c>
      <c r="K168" s="321">
        <v>1</v>
      </c>
      <c r="L168" s="294">
        <v>1</v>
      </c>
      <c r="M168" s="293">
        <v>0</v>
      </c>
      <c r="N168" s="292">
        <v>72</v>
      </c>
      <c r="O168" s="292">
        <v>73.3</v>
      </c>
      <c r="P168" s="292">
        <v>78.3</v>
      </c>
      <c r="Q168" s="292">
        <v>78.3</v>
      </c>
      <c r="R168" s="292">
        <v>72</v>
      </c>
      <c r="S168" s="295"/>
      <c r="T168" s="443" t="s">
        <v>682</v>
      </c>
      <c r="U168" s="300"/>
    </row>
    <row r="169" spans="2:21" ht="13.8">
      <c r="B169" s="300"/>
      <c r="C169" s="296" t="s">
        <v>553</v>
      </c>
      <c r="D169" s="295" t="s">
        <v>550</v>
      </c>
      <c r="E169" s="330">
        <v>485.5</v>
      </c>
      <c r="F169" s="291">
        <v>553.29999999999995</v>
      </c>
      <c r="G169" s="291">
        <v>809.9</v>
      </c>
      <c r="H169" s="324">
        <v>809.9</v>
      </c>
      <c r="I169" s="412">
        <v>2015</v>
      </c>
      <c r="J169" s="321">
        <v>1</v>
      </c>
      <c r="K169" s="321">
        <v>1</v>
      </c>
      <c r="L169" s="294">
        <v>1</v>
      </c>
      <c r="M169" s="293">
        <v>0</v>
      </c>
      <c r="N169" s="292">
        <v>485.5</v>
      </c>
      <c r="O169" s="292">
        <v>553.29999999999995</v>
      </c>
      <c r="P169" s="292">
        <v>809.9</v>
      </c>
      <c r="Q169" s="292">
        <v>809.9</v>
      </c>
      <c r="R169" s="292">
        <v>485.5</v>
      </c>
      <c r="S169" s="290"/>
      <c r="T169" s="443" t="s">
        <v>682</v>
      </c>
      <c r="U169" s="300"/>
    </row>
    <row r="170" spans="2:21" ht="13.8">
      <c r="B170" s="300"/>
      <c r="C170" s="289" t="s">
        <v>554</v>
      </c>
      <c r="D170" s="295" t="s">
        <v>412</v>
      </c>
      <c r="E170" s="330">
        <v>102.2</v>
      </c>
      <c r="F170" s="330">
        <v>119.9</v>
      </c>
      <c r="G170" s="330">
        <v>135.30000000000001</v>
      </c>
      <c r="H170" s="324">
        <v>135.30000000000001</v>
      </c>
      <c r="I170" s="412">
        <v>2015</v>
      </c>
      <c r="J170" s="321">
        <v>1</v>
      </c>
      <c r="K170" s="321">
        <v>1</v>
      </c>
      <c r="L170" s="294">
        <v>1</v>
      </c>
      <c r="M170" s="293">
        <v>0</v>
      </c>
      <c r="N170" s="292">
        <v>102.2</v>
      </c>
      <c r="O170" s="292">
        <v>119.9</v>
      </c>
      <c r="P170" s="292">
        <v>135.30000000000001</v>
      </c>
      <c r="Q170" s="292">
        <v>135.30000000000001</v>
      </c>
      <c r="R170" s="292">
        <v>102.2</v>
      </c>
      <c r="S170" s="295"/>
      <c r="T170" s="443" t="s">
        <v>682</v>
      </c>
      <c r="U170" s="300"/>
    </row>
    <row r="171" spans="2:21" ht="13.8">
      <c r="B171" s="300"/>
      <c r="C171" s="296" t="s">
        <v>555</v>
      </c>
      <c r="D171" s="295" t="s">
        <v>412</v>
      </c>
      <c r="E171" s="330">
        <v>20.2</v>
      </c>
      <c r="F171" s="330">
        <v>24.9</v>
      </c>
      <c r="G171" s="330">
        <v>25.8</v>
      </c>
      <c r="H171" s="324">
        <v>25.8</v>
      </c>
      <c r="I171" s="412">
        <v>2015</v>
      </c>
      <c r="J171" s="321">
        <v>1</v>
      </c>
      <c r="K171" s="321">
        <v>1</v>
      </c>
      <c r="L171" s="294">
        <v>1</v>
      </c>
      <c r="M171" s="334">
        <v>0</v>
      </c>
      <c r="N171" s="292">
        <v>20.2</v>
      </c>
      <c r="O171" s="292">
        <v>24.9</v>
      </c>
      <c r="P171" s="292">
        <v>25.8</v>
      </c>
      <c r="Q171" s="292">
        <v>25.8</v>
      </c>
      <c r="R171" s="292">
        <v>20.2</v>
      </c>
      <c r="S171" s="295"/>
      <c r="T171" s="443" t="s">
        <v>682</v>
      </c>
      <c r="U171" s="300"/>
    </row>
    <row r="172" spans="2:21" ht="13.8">
      <c r="B172" s="300"/>
      <c r="C172" s="296" t="s">
        <v>556</v>
      </c>
      <c r="D172" s="295" t="s">
        <v>412</v>
      </c>
      <c r="E172" s="330">
        <v>69.8</v>
      </c>
      <c r="F172" s="330">
        <v>71.099999999999994</v>
      </c>
      <c r="G172" s="330">
        <v>76.099999999999994</v>
      </c>
      <c r="H172" s="324">
        <v>76.099999999999994</v>
      </c>
      <c r="I172" s="412">
        <v>2015</v>
      </c>
      <c r="J172" s="321">
        <v>1</v>
      </c>
      <c r="K172" s="321">
        <v>1</v>
      </c>
      <c r="L172" s="294">
        <v>1</v>
      </c>
      <c r="M172" s="293">
        <v>0</v>
      </c>
      <c r="N172" s="292">
        <v>69.8</v>
      </c>
      <c r="O172" s="292">
        <v>71.099999999999994</v>
      </c>
      <c r="P172" s="292">
        <v>76.099999999999994</v>
      </c>
      <c r="Q172" s="292">
        <v>76.099999999999994</v>
      </c>
      <c r="R172" s="292">
        <v>69.8</v>
      </c>
      <c r="S172" s="295"/>
      <c r="T172" s="443" t="s">
        <v>682</v>
      </c>
      <c r="U172" s="300"/>
    </row>
    <row r="173" spans="2:21" ht="13.8">
      <c r="B173" s="300"/>
      <c r="C173" s="289" t="s">
        <v>557</v>
      </c>
      <c r="D173" s="295" t="s">
        <v>412</v>
      </c>
      <c r="E173" s="330">
        <v>119.6</v>
      </c>
      <c r="F173" s="330">
        <v>138.4</v>
      </c>
      <c r="G173" s="331">
        <v>154.6</v>
      </c>
      <c r="H173" s="324">
        <v>154.6</v>
      </c>
      <c r="I173" s="412">
        <v>2015</v>
      </c>
      <c r="J173" s="321">
        <v>1</v>
      </c>
      <c r="K173" s="321">
        <v>1</v>
      </c>
      <c r="L173" s="294">
        <v>1</v>
      </c>
      <c r="M173" s="293">
        <v>0</v>
      </c>
      <c r="N173" s="292">
        <v>119.6</v>
      </c>
      <c r="O173" s="292">
        <v>138.4</v>
      </c>
      <c r="P173" s="292">
        <v>154.6</v>
      </c>
      <c r="Q173" s="292">
        <v>154.6</v>
      </c>
      <c r="R173" s="292">
        <v>119.6</v>
      </c>
      <c r="S173" s="295"/>
      <c r="T173" s="443" t="s">
        <v>682</v>
      </c>
      <c r="U173" s="300"/>
    </row>
    <row r="174" spans="2:21" ht="13.8">
      <c r="B174" s="300"/>
      <c r="C174" s="289" t="s">
        <v>558</v>
      </c>
      <c r="D174" s="295" t="s">
        <v>412</v>
      </c>
      <c r="E174" s="330">
        <v>118.5</v>
      </c>
      <c r="F174" s="330">
        <v>137.19999999999999</v>
      </c>
      <c r="G174" s="331">
        <v>153.4</v>
      </c>
      <c r="H174" s="324">
        <v>153.4</v>
      </c>
      <c r="I174" s="412">
        <v>2015</v>
      </c>
      <c r="J174" s="321">
        <v>1</v>
      </c>
      <c r="K174" s="321">
        <v>1</v>
      </c>
      <c r="L174" s="294">
        <v>1</v>
      </c>
      <c r="M174" s="293">
        <v>0</v>
      </c>
      <c r="N174" s="292">
        <v>118.5</v>
      </c>
      <c r="O174" s="292">
        <v>137.19999999999999</v>
      </c>
      <c r="P174" s="292">
        <v>153.4</v>
      </c>
      <c r="Q174" s="292">
        <v>153.4</v>
      </c>
      <c r="R174" s="292">
        <v>118.5</v>
      </c>
      <c r="S174" s="295"/>
      <c r="T174" s="443" t="s">
        <v>682</v>
      </c>
      <c r="U174" s="300"/>
    </row>
    <row r="175" spans="2:21" ht="13.8">
      <c r="B175" s="300"/>
      <c r="C175" s="289" t="s">
        <v>559</v>
      </c>
      <c r="D175" s="295" t="s">
        <v>412</v>
      </c>
      <c r="E175" s="330">
        <v>115.7</v>
      </c>
      <c r="F175" s="330">
        <v>134.4</v>
      </c>
      <c r="G175" s="330">
        <v>150.6</v>
      </c>
      <c r="H175" s="324">
        <v>150.6</v>
      </c>
      <c r="I175" s="412">
        <v>2015</v>
      </c>
      <c r="J175" s="321">
        <v>1</v>
      </c>
      <c r="K175" s="321">
        <v>1</v>
      </c>
      <c r="L175" s="294">
        <v>1</v>
      </c>
      <c r="M175" s="293">
        <v>0</v>
      </c>
      <c r="N175" s="292">
        <v>115.7</v>
      </c>
      <c r="O175" s="292">
        <v>134.4</v>
      </c>
      <c r="P175" s="292">
        <v>150.6</v>
      </c>
      <c r="Q175" s="292">
        <v>150.6</v>
      </c>
      <c r="R175" s="292">
        <v>115.7</v>
      </c>
      <c r="S175" s="295"/>
      <c r="T175" s="443" t="s">
        <v>682</v>
      </c>
      <c r="U175" s="300"/>
    </row>
    <row r="176" spans="2:21" ht="13.8">
      <c r="B176" s="300"/>
      <c r="C176" s="289" t="s">
        <v>560</v>
      </c>
      <c r="D176" s="295" t="s">
        <v>412</v>
      </c>
      <c r="E176" s="330">
        <v>89.8</v>
      </c>
      <c r="F176" s="330">
        <v>108.5</v>
      </c>
      <c r="G176" s="330">
        <v>124.7</v>
      </c>
      <c r="H176" s="324">
        <v>124.7</v>
      </c>
      <c r="I176" s="412">
        <v>2015</v>
      </c>
      <c r="J176" s="321">
        <v>1</v>
      </c>
      <c r="K176" s="321">
        <v>1</v>
      </c>
      <c r="L176" s="294">
        <v>1</v>
      </c>
      <c r="M176" s="293">
        <v>0</v>
      </c>
      <c r="N176" s="292">
        <v>89.8</v>
      </c>
      <c r="O176" s="292">
        <v>108.5</v>
      </c>
      <c r="P176" s="292">
        <v>124.7</v>
      </c>
      <c r="Q176" s="292">
        <v>124.7</v>
      </c>
      <c r="R176" s="292">
        <v>89.8</v>
      </c>
      <c r="S176" s="295"/>
      <c r="T176" s="443" t="s">
        <v>682</v>
      </c>
      <c r="U176" s="300"/>
    </row>
    <row r="177" spans="2:21" ht="13.8">
      <c r="B177" s="300"/>
      <c r="C177" s="296" t="s">
        <v>561</v>
      </c>
      <c r="D177" s="295" t="s">
        <v>412</v>
      </c>
      <c r="E177" s="330">
        <v>34.799999999999997</v>
      </c>
      <c r="F177" s="330">
        <v>34.799999999999997</v>
      </c>
      <c r="G177" s="330">
        <v>34.799999999999997</v>
      </c>
      <c r="H177" s="324">
        <v>34.799999999999997</v>
      </c>
      <c r="I177" s="412">
        <v>2015</v>
      </c>
      <c r="J177" s="321">
        <v>1</v>
      </c>
      <c r="K177" s="321">
        <v>1</v>
      </c>
      <c r="L177" s="294">
        <v>1</v>
      </c>
      <c r="M177" s="334">
        <v>0</v>
      </c>
      <c r="N177" s="292">
        <v>34.799999999999997</v>
      </c>
      <c r="O177" s="292">
        <v>34.799999999999997</v>
      </c>
      <c r="P177" s="292">
        <v>34.799999999999997</v>
      </c>
      <c r="Q177" s="292">
        <v>34.799999999999997</v>
      </c>
      <c r="R177" s="292">
        <v>34.799999999999997</v>
      </c>
      <c r="S177" s="295"/>
      <c r="T177" s="443" t="s">
        <v>682</v>
      </c>
      <c r="U177" s="300"/>
    </row>
    <row r="178" spans="2:21" ht="13.8">
      <c r="B178" s="300"/>
      <c r="C178" s="296" t="s">
        <v>562</v>
      </c>
      <c r="D178" s="295" t="s">
        <v>412</v>
      </c>
      <c r="E178" s="330">
        <v>28.7</v>
      </c>
      <c r="F178" s="330">
        <v>28.7</v>
      </c>
      <c r="G178" s="330">
        <v>28.7</v>
      </c>
      <c r="H178" s="324">
        <v>28.7</v>
      </c>
      <c r="I178" s="412">
        <v>2015</v>
      </c>
      <c r="J178" s="321">
        <v>1</v>
      </c>
      <c r="K178" s="321">
        <v>1</v>
      </c>
      <c r="L178" s="294">
        <v>1</v>
      </c>
      <c r="M178" s="334">
        <v>0</v>
      </c>
      <c r="N178" s="292">
        <v>28.7</v>
      </c>
      <c r="O178" s="292">
        <v>28.7</v>
      </c>
      <c r="P178" s="292">
        <v>28.7</v>
      </c>
      <c r="Q178" s="292">
        <v>28.7</v>
      </c>
      <c r="R178" s="292">
        <v>28.7</v>
      </c>
      <c r="S178" s="295"/>
      <c r="T178" s="443" t="s">
        <v>682</v>
      </c>
      <c r="U178" s="300"/>
    </row>
    <row r="179" spans="2:21" ht="13.8">
      <c r="B179" s="300"/>
      <c r="C179" s="296" t="s">
        <v>563</v>
      </c>
      <c r="D179" s="295" t="s">
        <v>412</v>
      </c>
      <c r="E179" s="330">
        <v>2.2000000000000002</v>
      </c>
      <c r="F179" s="330">
        <v>2.2000000000000002</v>
      </c>
      <c r="G179" s="330">
        <v>2.2000000000000002</v>
      </c>
      <c r="H179" s="324">
        <v>2.2000000000000002</v>
      </c>
      <c r="I179" s="412">
        <v>2015</v>
      </c>
      <c r="J179" s="321">
        <v>1</v>
      </c>
      <c r="K179" s="321">
        <v>1</v>
      </c>
      <c r="L179" s="294">
        <v>1</v>
      </c>
      <c r="M179" s="334">
        <v>0</v>
      </c>
      <c r="N179" s="292">
        <v>2.2000000000000002</v>
      </c>
      <c r="O179" s="292">
        <v>2.2000000000000002</v>
      </c>
      <c r="P179" s="292">
        <v>2.2000000000000002</v>
      </c>
      <c r="Q179" s="292">
        <v>2.2000000000000002</v>
      </c>
      <c r="R179" s="292">
        <v>2.2000000000000002</v>
      </c>
      <c r="S179" s="295"/>
      <c r="T179" s="443" t="s">
        <v>682</v>
      </c>
      <c r="U179" s="300"/>
    </row>
    <row r="180" spans="2:21" ht="13.8">
      <c r="B180" s="300"/>
      <c r="C180" s="296" t="s">
        <v>564</v>
      </c>
      <c r="D180" s="295" t="s">
        <v>412</v>
      </c>
      <c r="E180" s="335">
        <v>61</v>
      </c>
      <c r="F180" s="335">
        <v>61.7</v>
      </c>
      <c r="G180" s="335">
        <v>65.8</v>
      </c>
      <c r="H180" s="324">
        <v>65.8</v>
      </c>
      <c r="I180" s="412">
        <v>2015</v>
      </c>
      <c r="J180" s="321">
        <v>1</v>
      </c>
      <c r="K180" s="321">
        <v>1</v>
      </c>
      <c r="L180" s="294">
        <v>1</v>
      </c>
      <c r="M180" s="293">
        <v>0</v>
      </c>
      <c r="N180" s="292">
        <v>61</v>
      </c>
      <c r="O180" s="292">
        <v>61.7</v>
      </c>
      <c r="P180" s="292">
        <v>65.8</v>
      </c>
      <c r="Q180" s="292">
        <v>65.8</v>
      </c>
      <c r="R180" s="292">
        <v>61</v>
      </c>
      <c r="S180" s="295" t="s">
        <v>565</v>
      </c>
      <c r="T180" s="443" t="s">
        <v>682</v>
      </c>
      <c r="U180" s="300"/>
    </row>
    <row r="181" spans="2:21" ht="13.8">
      <c r="B181" s="300"/>
      <c r="C181" s="296" t="s">
        <v>566</v>
      </c>
      <c r="D181" s="295" t="s">
        <v>412</v>
      </c>
      <c r="E181" s="335">
        <v>49.8</v>
      </c>
      <c r="F181" s="335">
        <v>50.6</v>
      </c>
      <c r="G181" s="335">
        <v>54.7</v>
      </c>
      <c r="H181" s="324">
        <v>54.7</v>
      </c>
      <c r="I181" s="412">
        <v>2015</v>
      </c>
      <c r="J181" s="321">
        <v>1</v>
      </c>
      <c r="K181" s="321">
        <v>1</v>
      </c>
      <c r="L181" s="294">
        <v>1</v>
      </c>
      <c r="M181" s="293">
        <v>0</v>
      </c>
      <c r="N181" s="292">
        <v>49.8</v>
      </c>
      <c r="O181" s="292">
        <v>50.6</v>
      </c>
      <c r="P181" s="292">
        <v>54.7</v>
      </c>
      <c r="Q181" s="292">
        <v>54.7</v>
      </c>
      <c r="R181" s="292">
        <v>49.8</v>
      </c>
      <c r="S181" s="295" t="s">
        <v>565</v>
      </c>
      <c r="T181" s="443" t="s">
        <v>682</v>
      </c>
      <c r="U181" s="300"/>
    </row>
    <row r="182" spans="2:21" ht="13.8">
      <c r="B182" s="300"/>
      <c r="C182" s="296" t="s">
        <v>567</v>
      </c>
      <c r="D182" s="295" t="s">
        <v>412</v>
      </c>
      <c r="E182" s="330">
        <v>7</v>
      </c>
      <c r="F182" s="330">
        <v>7</v>
      </c>
      <c r="G182" s="330">
        <v>7</v>
      </c>
      <c r="H182" s="324">
        <v>7</v>
      </c>
      <c r="I182" s="412">
        <v>2015</v>
      </c>
      <c r="J182" s="321">
        <v>1</v>
      </c>
      <c r="K182" s="321">
        <v>1</v>
      </c>
      <c r="L182" s="294">
        <v>1</v>
      </c>
      <c r="M182" s="334">
        <v>0</v>
      </c>
      <c r="N182" s="292">
        <v>7</v>
      </c>
      <c r="O182" s="292">
        <v>7</v>
      </c>
      <c r="P182" s="292">
        <v>7</v>
      </c>
      <c r="Q182" s="292">
        <v>7</v>
      </c>
      <c r="R182" s="292">
        <v>7</v>
      </c>
      <c r="S182" s="295"/>
      <c r="T182" s="443" t="s">
        <v>682</v>
      </c>
      <c r="U182" s="300"/>
    </row>
    <row r="183" spans="2:21" ht="13.8">
      <c r="B183" s="300"/>
      <c r="C183" s="296" t="s">
        <v>568</v>
      </c>
      <c r="D183" s="295" t="s">
        <v>412</v>
      </c>
      <c r="E183" s="330">
        <v>30.2</v>
      </c>
      <c r="F183" s="330">
        <v>30.2</v>
      </c>
      <c r="G183" s="330">
        <v>30.2</v>
      </c>
      <c r="H183" s="324">
        <v>30.2</v>
      </c>
      <c r="I183" s="412">
        <v>2015</v>
      </c>
      <c r="J183" s="321">
        <v>1</v>
      </c>
      <c r="K183" s="321">
        <v>1</v>
      </c>
      <c r="L183" s="294">
        <v>1</v>
      </c>
      <c r="M183" s="334">
        <v>0</v>
      </c>
      <c r="N183" s="292">
        <v>30.2</v>
      </c>
      <c r="O183" s="292">
        <v>30.2</v>
      </c>
      <c r="P183" s="292">
        <v>30.2</v>
      </c>
      <c r="Q183" s="292">
        <v>30.2</v>
      </c>
      <c r="R183" s="292">
        <v>30.2</v>
      </c>
      <c r="S183" s="295"/>
      <c r="T183" s="443" t="s">
        <v>682</v>
      </c>
      <c r="U183" s="300"/>
    </row>
    <row r="184" spans="2:21" ht="13.8">
      <c r="B184" s="300"/>
      <c r="C184" s="296" t="s">
        <v>68</v>
      </c>
      <c r="D184" s="295" t="s">
        <v>412</v>
      </c>
      <c r="E184" s="437">
        <v>143.69999999999999</v>
      </c>
      <c r="F184" s="437">
        <v>146.4</v>
      </c>
      <c r="G184" s="437">
        <v>156.80000000000001</v>
      </c>
      <c r="H184" s="437">
        <v>156.80000000000001</v>
      </c>
      <c r="I184" s="412">
        <v>2015</v>
      </c>
      <c r="J184" s="321">
        <v>1</v>
      </c>
      <c r="K184" s="321">
        <v>1</v>
      </c>
      <c r="L184" s="294">
        <v>1</v>
      </c>
      <c r="M184" s="293">
        <v>0</v>
      </c>
      <c r="N184" s="292">
        <v>143.69999999999999</v>
      </c>
      <c r="O184" s="292">
        <v>146.4</v>
      </c>
      <c r="P184" s="292">
        <v>156.80000000000001</v>
      </c>
      <c r="Q184" s="292">
        <v>156.80000000000001</v>
      </c>
      <c r="R184" s="292">
        <v>143.69999999999999</v>
      </c>
      <c r="S184" s="295" t="s">
        <v>569</v>
      </c>
      <c r="T184" s="443"/>
      <c r="U184" s="300"/>
    </row>
    <row r="185" spans="2:21" ht="13.8">
      <c r="B185" s="300"/>
      <c r="C185" s="296" t="s">
        <v>570</v>
      </c>
      <c r="D185" s="295" t="s">
        <v>412</v>
      </c>
      <c r="E185" s="330">
        <v>67</v>
      </c>
      <c r="F185" s="330">
        <v>66.2</v>
      </c>
      <c r="G185" s="330">
        <v>73.3</v>
      </c>
      <c r="H185" s="324">
        <v>73.3</v>
      </c>
      <c r="I185" s="412">
        <v>2011</v>
      </c>
      <c r="J185" s="321">
        <v>1</v>
      </c>
      <c r="K185" s="321">
        <v>1.0640000000000001</v>
      </c>
      <c r="L185" s="294">
        <v>1.0640000000000001</v>
      </c>
      <c r="M185" s="293">
        <v>0</v>
      </c>
      <c r="N185" s="292">
        <v>71.3</v>
      </c>
      <c r="O185" s="292">
        <v>70.400000000000006</v>
      </c>
      <c r="P185" s="292">
        <v>78</v>
      </c>
      <c r="Q185" s="292">
        <v>78</v>
      </c>
      <c r="R185" s="292">
        <v>71.3</v>
      </c>
      <c r="S185" s="295" t="s">
        <v>571</v>
      </c>
      <c r="T185" s="443" t="s">
        <v>683</v>
      </c>
      <c r="U185" s="300"/>
    </row>
    <row r="186" spans="2:21" ht="13.8">
      <c r="B186" s="300"/>
      <c r="C186" s="296" t="s">
        <v>434</v>
      </c>
      <c r="D186" s="295" t="s">
        <v>412</v>
      </c>
      <c r="E186" s="438">
        <v>69.7</v>
      </c>
      <c r="F186" s="438">
        <v>76.8</v>
      </c>
      <c r="G186" s="438">
        <v>77</v>
      </c>
      <c r="H186" s="438">
        <v>77</v>
      </c>
      <c r="I186" s="412">
        <v>2013</v>
      </c>
      <c r="J186" s="321">
        <v>1</v>
      </c>
      <c r="K186" s="321">
        <v>1.038</v>
      </c>
      <c r="L186" s="294">
        <v>1.038</v>
      </c>
      <c r="M186" s="293">
        <v>0</v>
      </c>
      <c r="N186" s="292">
        <v>72.400000000000006</v>
      </c>
      <c r="O186" s="292">
        <v>79.7</v>
      </c>
      <c r="P186" s="292">
        <v>79.900000000000006</v>
      </c>
      <c r="Q186" s="292">
        <v>79.900000000000006</v>
      </c>
      <c r="R186" s="292">
        <v>72.400000000000006</v>
      </c>
      <c r="S186" s="288" t="s">
        <v>572</v>
      </c>
      <c r="T186" s="443" t="s">
        <v>684</v>
      </c>
      <c r="U186" s="300"/>
    </row>
    <row r="187" spans="2:21" ht="13.8">
      <c r="B187" s="300"/>
      <c r="C187" s="296" t="s">
        <v>435</v>
      </c>
      <c r="D187" s="295" t="s">
        <v>412</v>
      </c>
      <c r="E187" s="439">
        <v>10.3</v>
      </c>
      <c r="F187" s="439">
        <v>10.3</v>
      </c>
      <c r="G187" s="439">
        <v>10.3</v>
      </c>
      <c r="H187" s="439">
        <v>10.3</v>
      </c>
      <c r="I187" s="412">
        <v>2014</v>
      </c>
      <c r="J187" s="321">
        <v>1</v>
      </c>
      <c r="K187" s="321">
        <v>1.0249999999999999</v>
      </c>
      <c r="L187" s="294">
        <v>1.0249999999999999</v>
      </c>
      <c r="M187" s="293">
        <v>0</v>
      </c>
      <c r="N187" s="292">
        <v>10.6</v>
      </c>
      <c r="O187" s="292">
        <v>10.6</v>
      </c>
      <c r="P187" s="292">
        <v>10.6</v>
      </c>
      <c r="Q187" s="292">
        <v>10.6</v>
      </c>
      <c r="R187" s="292">
        <v>10.6</v>
      </c>
      <c r="S187" s="288"/>
      <c r="T187" s="443" t="s">
        <v>573</v>
      </c>
      <c r="U187" s="300"/>
    </row>
    <row r="188" spans="2:21" ht="13.8">
      <c r="B188" s="300"/>
      <c r="C188" s="296" t="s">
        <v>436</v>
      </c>
      <c r="D188" s="295" t="s">
        <v>412</v>
      </c>
      <c r="E188" s="324">
        <v>38.6</v>
      </c>
      <c r="F188" s="324">
        <v>41.2</v>
      </c>
      <c r="G188" s="324">
        <v>46.9</v>
      </c>
      <c r="H188" s="324">
        <v>51.9</v>
      </c>
      <c r="I188" s="412">
        <v>2012</v>
      </c>
      <c r="J188" s="321">
        <v>1</v>
      </c>
      <c r="K188" s="321">
        <v>1.0589999999999999</v>
      </c>
      <c r="L188" s="294">
        <v>1.0589999999999999</v>
      </c>
      <c r="M188" s="293"/>
      <c r="N188" s="292">
        <v>40.9</v>
      </c>
      <c r="O188" s="292">
        <v>43.6</v>
      </c>
      <c r="P188" s="292">
        <v>49.6</v>
      </c>
      <c r="Q188" s="292">
        <v>55</v>
      </c>
      <c r="R188" s="292">
        <v>40.9</v>
      </c>
      <c r="S188" s="288"/>
      <c r="T188" s="443" t="s">
        <v>685</v>
      </c>
      <c r="U188" s="300"/>
    </row>
    <row r="189" spans="2:21" ht="13.8">
      <c r="B189" s="300"/>
      <c r="C189" s="296" t="s">
        <v>437</v>
      </c>
      <c r="D189" s="295" t="s">
        <v>412</v>
      </c>
      <c r="E189" s="440">
        <v>101.7</v>
      </c>
      <c r="F189" s="440">
        <v>112.5</v>
      </c>
      <c r="G189" s="440">
        <v>118.1</v>
      </c>
      <c r="H189" s="440">
        <v>118.1</v>
      </c>
      <c r="I189" s="412">
        <v>2015</v>
      </c>
      <c r="J189" s="321">
        <v>1</v>
      </c>
      <c r="K189" s="321">
        <v>1</v>
      </c>
      <c r="L189" s="294">
        <v>1</v>
      </c>
      <c r="M189" s="293"/>
      <c r="N189" s="292">
        <v>101.7</v>
      </c>
      <c r="O189" s="292">
        <v>112.5</v>
      </c>
      <c r="P189" s="292">
        <v>118.1</v>
      </c>
      <c r="Q189" s="292">
        <v>118.1</v>
      </c>
      <c r="R189" s="292">
        <v>101.7</v>
      </c>
      <c r="S189" s="288" t="s">
        <v>574</v>
      </c>
      <c r="T189" s="443" t="s">
        <v>684</v>
      </c>
      <c r="U189" s="300"/>
    </row>
    <row r="190" spans="2:21" ht="13.8">
      <c r="B190" s="300"/>
      <c r="C190" s="296" t="s">
        <v>459</v>
      </c>
      <c r="D190" s="295" t="s">
        <v>412</v>
      </c>
      <c r="E190" s="440">
        <v>91.8</v>
      </c>
      <c r="F190" s="440">
        <v>102.2</v>
      </c>
      <c r="G190" s="440">
        <v>114.4</v>
      </c>
      <c r="H190" s="440">
        <v>114.4</v>
      </c>
      <c r="I190" s="412">
        <v>2015</v>
      </c>
      <c r="J190" s="321">
        <v>1</v>
      </c>
      <c r="K190" s="321">
        <v>1</v>
      </c>
      <c r="L190" s="294">
        <v>1</v>
      </c>
      <c r="M190" s="293"/>
      <c r="N190" s="292">
        <v>91.8</v>
      </c>
      <c r="O190" s="292">
        <v>102.2</v>
      </c>
      <c r="P190" s="292">
        <v>114.4</v>
      </c>
      <c r="Q190" s="292">
        <v>114.4</v>
      </c>
      <c r="R190" s="292">
        <v>91.8</v>
      </c>
      <c r="S190" s="288"/>
      <c r="T190" s="443"/>
      <c r="U190" s="300"/>
    </row>
    <row r="191" spans="2:21" s="485" customFormat="1" ht="13.8">
      <c r="B191" s="300"/>
      <c r="C191" s="296" t="s">
        <v>673</v>
      </c>
      <c r="D191" s="295" t="s">
        <v>412</v>
      </c>
      <c r="E191" s="552">
        <v>148.80000000000001</v>
      </c>
      <c r="F191" s="552">
        <v>176.4</v>
      </c>
      <c r="G191" s="552">
        <v>187.5</v>
      </c>
      <c r="H191" s="552">
        <v>187.5</v>
      </c>
      <c r="I191" s="546">
        <v>2015</v>
      </c>
      <c r="J191" s="529">
        <v>1</v>
      </c>
      <c r="K191" s="529">
        <v>1</v>
      </c>
      <c r="L191" s="294">
        <v>1</v>
      </c>
      <c r="M191" s="293">
        <v>0</v>
      </c>
      <c r="N191" s="292">
        <v>148.80000000000001</v>
      </c>
      <c r="O191" s="292">
        <v>176.4</v>
      </c>
      <c r="P191" s="292">
        <v>187.5</v>
      </c>
      <c r="Q191" s="292">
        <v>187.5</v>
      </c>
      <c r="R191" s="292">
        <v>148.80000000000001</v>
      </c>
      <c r="S191" s="288"/>
      <c r="T191" s="553" t="s">
        <v>686</v>
      </c>
      <c r="U191" s="300"/>
    </row>
    <row r="192" spans="2:21" ht="13.8">
      <c r="B192" s="300"/>
      <c r="C192" s="296" t="s">
        <v>439</v>
      </c>
      <c r="D192" s="295" t="s">
        <v>412</v>
      </c>
      <c r="E192" s="324">
        <v>45.4</v>
      </c>
      <c r="F192" s="324">
        <v>48.4</v>
      </c>
      <c r="G192" s="324">
        <v>55.1</v>
      </c>
      <c r="H192" s="324">
        <v>61.1</v>
      </c>
      <c r="I192" s="412">
        <v>2012</v>
      </c>
      <c r="J192" s="321">
        <v>1</v>
      </c>
      <c r="K192" s="321">
        <v>1.0589999999999999</v>
      </c>
      <c r="L192" s="294">
        <v>1.0589999999999999</v>
      </c>
      <c r="M192" s="293"/>
      <c r="N192" s="292">
        <v>48.1</v>
      </c>
      <c r="O192" s="292">
        <v>51.3</v>
      </c>
      <c r="P192" s="292">
        <v>58.4</v>
      </c>
      <c r="Q192" s="292">
        <v>64.7</v>
      </c>
      <c r="R192" s="292">
        <v>48.1</v>
      </c>
      <c r="S192" s="288" t="s">
        <v>575</v>
      </c>
      <c r="T192" s="443" t="s">
        <v>685</v>
      </c>
      <c r="U192" s="300"/>
    </row>
    <row r="193" spans="2:21" ht="13.8">
      <c r="B193" s="300"/>
      <c r="C193" s="296" t="s">
        <v>440</v>
      </c>
      <c r="D193" s="295" t="s">
        <v>412</v>
      </c>
      <c r="E193" s="441">
        <v>61.8</v>
      </c>
      <c r="F193" s="441">
        <v>63.3</v>
      </c>
      <c r="G193" s="441">
        <v>67.8</v>
      </c>
      <c r="H193" s="441">
        <v>71.5</v>
      </c>
      <c r="I193" s="412">
        <v>2012</v>
      </c>
      <c r="J193" s="321">
        <v>1</v>
      </c>
      <c r="K193" s="321">
        <v>1.0589999999999999</v>
      </c>
      <c r="L193" s="294">
        <v>1.0589999999999999</v>
      </c>
      <c r="M193" s="293"/>
      <c r="N193" s="292">
        <v>65.5</v>
      </c>
      <c r="O193" s="292">
        <v>67.099999999999994</v>
      </c>
      <c r="P193" s="292">
        <v>71.8</v>
      </c>
      <c r="Q193" s="292">
        <v>75.7</v>
      </c>
      <c r="R193" s="292">
        <v>65.5</v>
      </c>
      <c r="S193" s="288" t="s">
        <v>575</v>
      </c>
      <c r="T193" s="443" t="s">
        <v>685</v>
      </c>
      <c r="U193" s="300"/>
    </row>
    <row r="194" spans="2:21" ht="13.8">
      <c r="B194" s="300"/>
      <c r="C194" s="296" t="s">
        <v>441</v>
      </c>
      <c r="D194" s="295" t="s">
        <v>412</v>
      </c>
      <c r="E194" s="369">
        <v>72.5</v>
      </c>
      <c r="F194" s="369">
        <v>91.24</v>
      </c>
      <c r="G194" s="369">
        <v>157.88999999999999</v>
      </c>
      <c r="H194" s="369">
        <v>157.88999999999999</v>
      </c>
      <c r="I194" s="412">
        <v>2015</v>
      </c>
      <c r="J194" s="321">
        <v>1</v>
      </c>
      <c r="K194" s="321">
        <v>1</v>
      </c>
      <c r="L194" s="294">
        <v>1</v>
      </c>
      <c r="M194" s="293"/>
      <c r="N194" s="292">
        <v>72.5</v>
      </c>
      <c r="O194" s="292">
        <v>91.2</v>
      </c>
      <c r="P194" s="292">
        <v>157.9</v>
      </c>
      <c r="Q194" s="292">
        <v>157.9</v>
      </c>
      <c r="R194" s="292">
        <v>72.5</v>
      </c>
      <c r="S194" s="288"/>
      <c r="T194" s="443" t="s">
        <v>683</v>
      </c>
      <c r="U194" s="300"/>
    </row>
    <row r="195" spans="2:21" ht="13.8">
      <c r="B195" s="300"/>
      <c r="C195" s="296" t="s">
        <v>442</v>
      </c>
      <c r="D195" s="295" t="s">
        <v>412</v>
      </c>
      <c r="E195" s="369">
        <v>72.5</v>
      </c>
      <c r="F195" s="369">
        <v>91.24</v>
      </c>
      <c r="G195" s="369">
        <v>157.88999999999999</v>
      </c>
      <c r="H195" s="369">
        <v>157.88999999999999</v>
      </c>
      <c r="I195" s="412">
        <v>2015</v>
      </c>
      <c r="J195" s="321">
        <v>1</v>
      </c>
      <c r="K195" s="321">
        <v>1</v>
      </c>
      <c r="L195" s="294">
        <v>1</v>
      </c>
      <c r="M195" s="293"/>
      <c r="N195" s="292">
        <v>72.5</v>
      </c>
      <c r="O195" s="292">
        <v>91.2</v>
      </c>
      <c r="P195" s="292">
        <v>157.9</v>
      </c>
      <c r="Q195" s="292">
        <v>157.9</v>
      </c>
      <c r="R195" s="292">
        <v>72.5</v>
      </c>
      <c r="S195" s="288" t="s">
        <v>576</v>
      </c>
      <c r="T195" s="443" t="s">
        <v>683</v>
      </c>
      <c r="U195" s="300"/>
    </row>
    <row r="196" spans="2:21" ht="13.8">
      <c r="B196" s="300"/>
      <c r="C196" s="296" t="s">
        <v>445</v>
      </c>
      <c r="D196" s="295" t="s">
        <v>412</v>
      </c>
      <c r="E196" s="442">
        <v>44.31</v>
      </c>
      <c r="F196" s="442">
        <v>44.31</v>
      </c>
      <c r="G196" s="442">
        <v>44.31</v>
      </c>
      <c r="H196" s="442">
        <v>44.31</v>
      </c>
      <c r="I196" s="412">
        <v>2011</v>
      </c>
      <c r="J196" s="321">
        <v>1</v>
      </c>
      <c r="K196" s="321">
        <v>1.0640000000000001</v>
      </c>
      <c r="L196" s="294">
        <v>1.0640000000000001</v>
      </c>
      <c r="M196" s="293"/>
      <c r="N196" s="292">
        <v>47.2</v>
      </c>
      <c r="O196" s="292">
        <v>47.2</v>
      </c>
      <c r="P196" s="292">
        <v>47.2</v>
      </c>
      <c r="Q196" s="292">
        <v>47.2</v>
      </c>
      <c r="R196" s="292">
        <v>47.2</v>
      </c>
      <c r="S196" s="288"/>
      <c r="T196" s="444" t="s">
        <v>687</v>
      </c>
      <c r="U196" s="300"/>
    </row>
    <row r="197" spans="2:21" ht="13.8">
      <c r="B197" s="300"/>
      <c r="C197" s="296" t="s">
        <v>446</v>
      </c>
      <c r="D197" s="295" t="s">
        <v>412</v>
      </c>
      <c r="E197" s="439">
        <v>187</v>
      </c>
      <c r="F197" s="439">
        <v>186.2</v>
      </c>
      <c r="G197" s="439">
        <v>205</v>
      </c>
      <c r="H197" s="439">
        <v>205</v>
      </c>
      <c r="I197" s="412">
        <v>2010</v>
      </c>
      <c r="J197" s="321">
        <v>1</v>
      </c>
      <c r="K197" s="321">
        <v>1.1100000000000001</v>
      </c>
      <c r="L197" s="294">
        <v>1.1100000000000001</v>
      </c>
      <c r="M197" s="293"/>
      <c r="N197" s="292">
        <v>207.6</v>
      </c>
      <c r="O197" s="292">
        <v>206.6</v>
      </c>
      <c r="P197" s="292">
        <v>227.6</v>
      </c>
      <c r="Q197" s="292">
        <v>227.6</v>
      </c>
      <c r="R197" s="292">
        <v>207.6</v>
      </c>
      <c r="S197" s="288" t="s">
        <v>577</v>
      </c>
      <c r="T197" s="445" t="s">
        <v>688</v>
      </c>
      <c r="U197" s="300"/>
    </row>
    <row r="198" spans="2:21" ht="13.8">
      <c r="B198" s="300"/>
      <c r="C198" s="296" t="s">
        <v>447</v>
      </c>
      <c r="D198" s="295" t="s">
        <v>412</v>
      </c>
      <c r="E198" s="439">
        <v>146.80000000000001</v>
      </c>
      <c r="F198" s="439">
        <v>146.1</v>
      </c>
      <c r="G198" s="439">
        <v>160.9</v>
      </c>
      <c r="H198" s="439">
        <v>160.9</v>
      </c>
      <c r="I198" s="412">
        <v>2010</v>
      </c>
      <c r="J198" s="321">
        <v>1</v>
      </c>
      <c r="K198" s="321">
        <v>1.1100000000000001</v>
      </c>
      <c r="L198" s="294">
        <v>1.1100000000000001</v>
      </c>
      <c r="M198" s="293"/>
      <c r="N198" s="292">
        <v>162.9</v>
      </c>
      <c r="O198" s="292">
        <v>162.19999999999999</v>
      </c>
      <c r="P198" s="292">
        <v>178.6</v>
      </c>
      <c r="Q198" s="292">
        <v>178.6</v>
      </c>
      <c r="R198" s="292">
        <v>162.9</v>
      </c>
      <c r="S198" s="288" t="s">
        <v>577</v>
      </c>
      <c r="T198" s="445" t="s">
        <v>688</v>
      </c>
      <c r="U198" s="300"/>
    </row>
    <row r="199" spans="2:21" ht="13.8">
      <c r="B199" s="300"/>
      <c r="C199" s="296" t="s">
        <v>397</v>
      </c>
      <c r="D199" s="295" t="s">
        <v>412</v>
      </c>
      <c r="E199" s="440">
        <v>80</v>
      </c>
      <c r="F199" s="440">
        <v>94.8</v>
      </c>
      <c r="G199" s="440">
        <v>100.8</v>
      </c>
      <c r="H199" s="440">
        <v>100.8</v>
      </c>
      <c r="I199" s="412">
        <v>2013</v>
      </c>
      <c r="J199" s="321">
        <v>1</v>
      </c>
      <c r="K199" s="321">
        <v>1.038</v>
      </c>
      <c r="L199" s="294">
        <v>1.038</v>
      </c>
      <c r="M199" s="293"/>
      <c r="N199" s="292">
        <v>83.1</v>
      </c>
      <c r="O199" s="292">
        <v>98.5</v>
      </c>
      <c r="P199" s="292">
        <v>104.7</v>
      </c>
      <c r="Q199" s="292">
        <v>104.7</v>
      </c>
      <c r="R199" s="292">
        <v>83.1</v>
      </c>
      <c r="S199" s="295"/>
      <c r="T199" s="287"/>
      <c r="U199" s="300"/>
    </row>
    <row r="200" spans="2:21" ht="13.8">
      <c r="B200" s="300"/>
      <c r="C200" s="296" t="s">
        <v>578</v>
      </c>
      <c r="D200" s="295" t="s">
        <v>579</v>
      </c>
      <c r="E200" s="439">
        <v>0</v>
      </c>
      <c r="F200" s="439">
        <v>0</v>
      </c>
      <c r="G200" s="439">
        <v>0</v>
      </c>
      <c r="H200" s="439">
        <v>0</v>
      </c>
      <c r="I200" s="412">
        <v>2010</v>
      </c>
      <c r="J200" s="321">
        <v>1</v>
      </c>
      <c r="K200" s="321">
        <v>1.1100000000000001</v>
      </c>
      <c r="L200" s="294">
        <v>1.1100000000000001</v>
      </c>
      <c r="M200" s="293"/>
      <c r="N200" s="292">
        <v>0.1</v>
      </c>
      <c r="O200" s="292">
        <v>0.1</v>
      </c>
      <c r="P200" s="292">
        <v>0.1</v>
      </c>
      <c r="Q200" s="292">
        <v>0.1</v>
      </c>
      <c r="R200" s="294">
        <v>5.2999999999999999E-2</v>
      </c>
      <c r="S200" s="295"/>
      <c r="T200" s="445" t="s">
        <v>589</v>
      </c>
      <c r="U200" s="300"/>
    </row>
    <row r="201" spans="2:21" ht="13.8">
      <c r="B201" s="300"/>
      <c r="C201" s="296" t="s">
        <v>580</v>
      </c>
      <c r="D201" s="295" t="s">
        <v>579</v>
      </c>
      <c r="E201" s="439">
        <v>0</v>
      </c>
      <c r="F201" s="439">
        <v>0</v>
      </c>
      <c r="G201" s="439">
        <v>0</v>
      </c>
      <c r="H201" s="439">
        <v>0</v>
      </c>
      <c r="I201" s="412">
        <v>2010</v>
      </c>
      <c r="J201" s="321">
        <v>1</v>
      </c>
      <c r="K201" s="321">
        <v>1.1100000000000001</v>
      </c>
      <c r="L201" s="294">
        <v>1.1100000000000001</v>
      </c>
      <c r="M201" s="293"/>
      <c r="N201" s="292">
        <v>0.1</v>
      </c>
      <c r="O201" s="292">
        <v>0.1</v>
      </c>
      <c r="P201" s="292">
        <v>0.1</v>
      </c>
      <c r="Q201" s="292">
        <v>0.1</v>
      </c>
      <c r="R201" s="294">
        <v>5.2999999999999999E-2</v>
      </c>
      <c r="S201" s="295"/>
      <c r="T201" s="445" t="s">
        <v>589</v>
      </c>
      <c r="U201" s="300"/>
    </row>
    <row r="202" spans="2:21" ht="13.8">
      <c r="B202" s="300"/>
      <c r="C202" s="296" t="s">
        <v>581</v>
      </c>
      <c r="D202" s="295" t="s">
        <v>579</v>
      </c>
      <c r="E202" s="439">
        <v>0</v>
      </c>
      <c r="F202" s="439">
        <v>0</v>
      </c>
      <c r="G202" s="439">
        <v>0</v>
      </c>
      <c r="H202" s="439">
        <v>0</v>
      </c>
      <c r="I202" s="412">
        <v>2010</v>
      </c>
      <c r="J202" s="321">
        <v>1</v>
      </c>
      <c r="K202" s="321">
        <v>1.1100000000000001</v>
      </c>
      <c r="L202" s="294">
        <v>1.1100000000000001</v>
      </c>
      <c r="M202" s="293"/>
      <c r="N202" s="292">
        <v>0</v>
      </c>
      <c r="O202" s="292">
        <v>0</v>
      </c>
      <c r="P202" s="292">
        <v>0</v>
      </c>
      <c r="Q202" s="292">
        <v>0</v>
      </c>
      <c r="R202" s="294">
        <v>0.02</v>
      </c>
      <c r="S202" s="295"/>
      <c r="T202" s="445" t="s">
        <v>589</v>
      </c>
      <c r="U202" s="300"/>
    </row>
    <row r="203" spans="2:21" ht="13.8">
      <c r="B203" s="300"/>
      <c r="C203" s="296" t="s">
        <v>582</v>
      </c>
      <c r="D203" s="295" t="s">
        <v>579</v>
      </c>
      <c r="E203" s="439">
        <v>0.1</v>
      </c>
      <c r="F203" s="439">
        <v>0.1</v>
      </c>
      <c r="G203" s="439">
        <v>0.1</v>
      </c>
      <c r="H203" s="439">
        <v>0.1</v>
      </c>
      <c r="I203" s="412">
        <v>2010</v>
      </c>
      <c r="J203" s="321">
        <v>1</v>
      </c>
      <c r="K203" s="321">
        <v>1.1100000000000001</v>
      </c>
      <c r="L203" s="294">
        <v>1.1100000000000001</v>
      </c>
      <c r="M203" s="293"/>
      <c r="N203" s="292">
        <v>0.1</v>
      </c>
      <c r="O203" s="292">
        <v>0.1</v>
      </c>
      <c r="P203" s="292">
        <v>0.1</v>
      </c>
      <c r="Q203" s="292">
        <v>0.1</v>
      </c>
      <c r="R203" s="294">
        <v>0.108</v>
      </c>
      <c r="S203" s="295"/>
      <c r="T203" s="445" t="s">
        <v>589</v>
      </c>
      <c r="U203" s="300"/>
    </row>
    <row r="204" spans="2:21" ht="13.8">
      <c r="B204" s="300"/>
      <c r="C204" s="296" t="s">
        <v>583</v>
      </c>
      <c r="D204" s="295" t="s">
        <v>579</v>
      </c>
      <c r="E204" s="439">
        <v>0</v>
      </c>
      <c r="F204" s="439">
        <v>0</v>
      </c>
      <c r="G204" s="439">
        <v>0</v>
      </c>
      <c r="H204" s="439">
        <v>0</v>
      </c>
      <c r="I204" s="412">
        <v>2010</v>
      </c>
      <c r="J204" s="321">
        <v>1</v>
      </c>
      <c r="K204" s="321">
        <v>1.1100000000000001</v>
      </c>
      <c r="L204" s="294">
        <v>1.1100000000000001</v>
      </c>
      <c r="M204" s="293"/>
      <c r="N204" s="292">
        <v>0</v>
      </c>
      <c r="O204" s="292">
        <v>0</v>
      </c>
      <c r="P204" s="292">
        <v>0</v>
      </c>
      <c r="Q204" s="292">
        <v>0</v>
      </c>
      <c r="R204" s="294">
        <v>0</v>
      </c>
      <c r="S204" s="295"/>
      <c r="T204" s="445" t="s">
        <v>589</v>
      </c>
      <c r="U204" s="300"/>
    </row>
    <row r="205" spans="2:21" ht="13.8">
      <c r="B205" s="300"/>
      <c r="C205" s="296" t="s">
        <v>584</v>
      </c>
      <c r="D205" s="295" t="s">
        <v>579</v>
      </c>
      <c r="E205" s="439">
        <v>0</v>
      </c>
      <c r="F205" s="439">
        <v>0</v>
      </c>
      <c r="G205" s="439">
        <v>0</v>
      </c>
      <c r="H205" s="439">
        <v>0</v>
      </c>
      <c r="I205" s="412">
        <v>2010</v>
      </c>
      <c r="J205" s="321">
        <v>1</v>
      </c>
      <c r="K205" s="321">
        <v>1.1100000000000001</v>
      </c>
      <c r="L205" s="294">
        <v>1.1100000000000001</v>
      </c>
      <c r="M205" s="293"/>
      <c r="N205" s="292">
        <v>0</v>
      </c>
      <c r="O205" s="292">
        <v>0</v>
      </c>
      <c r="P205" s="292">
        <v>0</v>
      </c>
      <c r="Q205" s="292">
        <v>0</v>
      </c>
      <c r="R205" s="294">
        <v>0</v>
      </c>
      <c r="S205" s="295"/>
      <c r="T205" s="445" t="s">
        <v>589</v>
      </c>
      <c r="U205" s="300"/>
    </row>
    <row r="206" spans="2:21" ht="13.8">
      <c r="B206" s="300"/>
      <c r="C206" s="296" t="s">
        <v>585</v>
      </c>
      <c r="D206" s="295" t="s">
        <v>579</v>
      </c>
      <c r="E206" s="439">
        <v>0</v>
      </c>
      <c r="F206" s="439">
        <v>0</v>
      </c>
      <c r="G206" s="439">
        <v>0</v>
      </c>
      <c r="H206" s="439">
        <v>0</v>
      </c>
      <c r="I206" s="412">
        <v>2010</v>
      </c>
      <c r="J206" s="321">
        <v>1</v>
      </c>
      <c r="K206" s="321">
        <v>1.1100000000000001</v>
      </c>
      <c r="L206" s="294">
        <v>1.1100000000000001</v>
      </c>
      <c r="M206" s="293"/>
      <c r="N206" s="292">
        <v>0</v>
      </c>
      <c r="O206" s="292">
        <v>0</v>
      </c>
      <c r="P206" s="292">
        <v>0</v>
      </c>
      <c r="Q206" s="292">
        <v>0</v>
      </c>
      <c r="R206" s="294">
        <v>0</v>
      </c>
      <c r="S206" s="295"/>
      <c r="T206" s="445" t="s">
        <v>589</v>
      </c>
      <c r="U206" s="300"/>
    </row>
    <row r="207" spans="2:21" ht="13.8">
      <c r="B207" s="300"/>
      <c r="C207" s="296" t="s">
        <v>586</v>
      </c>
      <c r="D207" s="295" t="s">
        <v>579</v>
      </c>
      <c r="E207" s="439">
        <v>0</v>
      </c>
      <c r="F207" s="439">
        <v>0</v>
      </c>
      <c r="G207" s="439">
        <v>0</v>
      </c>
      <c r="H207" s="439">
        <v>0</v>
      </c>
      <c r="I207" s="412">
        <v>2010</v>
      </c>
      <c r="J207" s="321">
        <v>1</v>
      </c>
      <c r="K207" s="321">
        <v>1.1100000000000001</v>
      </c>
      <c r="L207" s="294">
        <v>1.1100000000000001</v>
      </c>
      <c r="M207" s="293"/>
      <c r="N207" s="292">
        <v>0</v>
      </c>
      <c r="O207" s="292">
        <v>0</v>
      </c>
      <c r="P207" s="292">
        <v>0</v>
      </c>
      <c r="Q207" s="292">
        <v>0</v>
      </c>
      <c r="R207" s="294">
        <v>0</v>
      </c>
      <c r="S207" s="295"/>
      <c r="T207" s="445" t="s">
        <v>589</v>
      </c>
      <c r="U207" s="300"/>
    </row>
    <row r="208" spans="2:21" ht="13.8">
      <c r="B208" s="300"/>
      <c r="C208" s="296" t="s">
        <v>689</v>
      </c>
      <c r="D208" s="295" t="s">
        <v>412</v>
      </c>
      <c r="E208" s="330">
        <v>467.1</v>
      </c>
      <c r="F208" s="330">
        <v>287.89999999999998</v>
      </c>
      <c r="G208" s="330">
        <v>355.4</v>
      </c>
      <c r="H208" s="324">
        <v>357.4</v>
      </c>
      <c r="I208" s="286">
        <v>2015</v>
      </c>
      <c r="J208" s="321">
        <v>1</v>
      </c>
      <c r="K208" s="321">
        <v>1</v>
      </c>
      <c r="L208" s="294">
        <v>1</v>
      </c>
      <c r="M208" s="293"/>
      <c r="N208" s="292">
        <v>467.1</v>
      </c>
      <c r="O208" s="292">
        <v>287.89999999999998</v>
      </c>
      <c r="P208" s="292">
        <v>355.4</v>
      </c>
      <c r="Q208" s="292">
        <v>357.4</v>
      </c>
      <c r="R208" s="292">
        <v>467.1</v>
      </c>
      <c r="S208" s="295"/>
      <c r="T208" s="287" t="s">
        <v>690</v>
      </c>
      <c r="U208" s="300"/>
    </row>
    <row r="209" spans="2:21" ht="13.8">
      <c r="B209" s="300"/>
      <c r="C209" s="296"/>
      <c r="D209" s="295"/>
      <c r="E209" s="330"/>
      <c r="F209" s="330"/>
      <c r="G209" s="330"/>
      <c r="H209" s="324"/>
      <c r="I209" s="286"/>
      <c r="J209" s="321"/>
      <c r="K209" s="321"/>
      <c r="L209" s="294"/>
      <c r="M209" s="293"/>
      <c r="N209" s="292"/>
      <c r="O209" s="292"/>
      <c r="P209" s="292"/>
      <c r="Q209" s="292"/>
      <c r="R209" s="292"/>
      <c r="S209" s="295"/>
      <c r="T209" s="287"/>
      <c r="U209" s="300"/>
    </row>
    <row r="210" spans="2:21" ht="13.8">
      <c r="B210" s="300"/>
      <c r="C210" s="296"/>
      <c r="D210" s="295"/>
      <c r="E210" s="330"/>
      <c r="F210" s="330"/>
      <c r="G210" s="330"/>
      <c r="H210" s="324"/>
      <c r="I210" s="286"/>
      <c r="J210" s="321"/>
      <c r="K210" s="321"/>
      <c r="L210" s="294"/>
      <c r="M210" s="293"/>
      <c r="N210" s="292"/>
      <c r="O210" s="292"/>
      <c r="P210" s="292"/>
      <c r="Q210" s="292"/>
      <c r="R210" s="292"/>
      <c r="S210" s="295"/>
      <c r="T210" s="287"/>
      <c r="U210" s="300"/>
    </row>
    <row r="211" spans="2:21" ht="13.8">
      <c r="B211" s="300"/>
      <c r="C211" s="296"/>
      <c r="D211" s="295"/>
      <c r="E211" s="330"/>
      <c r="F211" s="330"/>
      <c r="G211" s="330"/>
      <c r="H211" s="324"/>
      <c r="I211" s="286"/>
      <c r="J211" s="321"/>
      <c r="K211" s="321"/>
      <c r="L211" s="294"/>
      <c r="M211" s="293"/>
      <c r="N211" s="292"/>
      <c r="O211" s="292"/>
      <c r="P211" s="292"/>
      <c r="Q211" s="292"/>
      <c r="R211" s="292"/>
      <c r="S211" s="295"/>
      <c r="T211" s="287"/>
      <c r="U211" s="300"/>
    </row>
    <row r="212" spans="2:21" ht="13.8">
      <c r="B212" s="300"/>
      <c r="C212" s="296"/>
      <c r="D212" s="295"/>
      <c r="E212" s="330"/>
      <c r="F212" s="330"/>
      <c r="G212" s="330"/>
      <c r="H212" s="324"/>
      <c r="I212" s="286"/>
      <c r="J212" s="321"/>
      <c r="K212" s="321"/>
      <c r="L212" s="294"/>
      <c r="M212" s="293"/>
      <c r="N212" s="292"/>
      <c r="O212" s="292"/>
      <c r="P212" s="292"/>
      <c r="Q212" s="292"/>
      <c r="R212" s="292"/>
      <c r="S212" s="295"/>
      <c r="T212" s="287"/>
      <c r="U212" s="300"/>
    </row>
    <row r="213" spans="2:21" ht="14.4" thickBot="1">
      <c r="B213" s="300"/>
      <c r="C213" s="285"/>
      <c r="D213" s="284"/>
      <c r="E213" s="332"/>
      <c r="F213" s="332"/>
      <c r="G213" s="332"/>
      <c r="H213" s="333"/>
      <c r="I213" s="283"/>
      <c r="J213" s="322"/>
      <c r="K213" s="322"/>
      <c r="L213" s="282"/>
      <c r="M213" s="281"/>
      <c r="N213" s="280"/>
      <c r="O213" s="280"/>
      <c r="P213" s="280"/>
      <c r="Q213" s="280"/>
      <c r="R213" s="280"/>
      <c r="S213" s="284"/>
      <c r="T213" s="279"/>
      <c r="U213" s="300"/>
    </row>
    <row r="214" spans="2:21" ht="14.4" thickBot="1">
      <c r="B214" s="300"/>
      <c r="C214" s="278" t="s">
        <v>587</v>
      </c>
      <c r="D214" s="277"/>
      <c r="E214" s="277">
        <v>1</v>
      </c>
      <c r="F214" s="277"/>
      <c r="G214" s="277"/>
      <c r="H214" s="277"/>
      <c r="I214" s="277">
        <v>2005</v>
      </c>
      <c r="J214" s="323">
        <v>1</v>
      </c>
      <c r="K214" s="323">
        <v>1.2689999999999999</v>
      </c>
      <c r="L214" s="276">
        <v>0.78800000000000003</v>
      </c>
      <c r="M214" s="276"/>
      <c r="N214" s="277"/>
      <c r="O214" s="277"/>
      <c r="P214" s="277"/>
      <c r="Q214" s="277"/>
      <c r="R214" s="277"/>
      <c r="S214" s="279"/>
      <c r="T214" s="300"/>
      <c r="U214" s="300"/>
    </row>
    <row r="215" spans="2:21" ht="13.8">
      <c r="B215" s="300"/>
      <c r="C215" s="554" t="s">
        <v>588</v>
      </c>
      <c r="D215" s="300"/>
      <c r="E215" s="300"/>
      <c r="F215" s="300"/>
      <c r="G215" s="300"/>
      <c r="H215" s="300"/>
      <c r="I215" s="300"/>
      <c r="J215" s="300"/>
      <c r="K215" s="300"/>
      <c r="L215" s="300"/>
      <c r="M215" s="300"/>
      <c r="N215" s="300"/>
      <c r="O215" s="300"/>
      <c r="P215" s="300"/>
      <c r="Q215" s="300"/>
      <c r="R215" s="300"/>
      <c r="S215" s="300"/>
      <c r="T215" s="300"/>
      <c r="U215" s="300"/>
    </row>
    <row r="216" spans="2:21" ht="13.8">
      <c r="B216" s="300"/>
      <c r="C216" s="555" t="s">
        <v>691</v>
      </c>
      <c r="D216" s="300"/>
      <c r="E216" s="300"/>
      <c r="F216" s="300"/>
      <c r="G216" s="300"/>
      <c r="H216" s="300"/>
      <c r="I216" s="300"/>
      <c r="J216" s="300"/>
      <c r="K216" s="300"/>
      <c r="L216" s="300"/>
      <c r="M216" s="300"/>
      <c r="N216" s="300"/>
      <c r="O216" s="300"/>
      <c r="P216" s="300"/>
      <c r="Q216" s="300"/>
      <c r="R216" s="300"/>
      <c r="S216" s="300"/>
      <c r="T216" s="300"/>
      <c r="U216" s="300"/>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8">
    <tabColor theme="4"/>
  </sheetPr>
  <dimension ref="A1:AY42"/>
  <sheetViews>
    <sheetView workbookViewId="0">
      <pane xSplit="2" topLeftCell="C1" activePane="topRight" state="frozen"/>
      <selection activeCell="A6" sqref="A6"/>
      <selection pane="topRight" activeCell="B1" sqref="B1:B2"/>
    </sheetView>
  </sheetViews>
  <sheetFormatPr defaultColWidth="8.6640625" defaultRowHeight="13.2"/>
  <cols>
    <col min="1" max="1" width="32.44140625" bestFit="1" customWidth="1"/>
    <col min="2" max="2" width="40.6640625" bestFit="1" customWidth="1"/>
    <col min="3" max="3" width="20.6640625" bestFit="1" customWidth="1"/>
    <col min="4" max="6" width="11.109375" bestFit="1" customWidth="1"/>
    <col min="7" max="7" width="13.109375" bestFit="1" customWidth="1"/>
    <col min="8" max="11" width="11.109375" bestFit="1" customWidth="1"/>
    <col min="12" max="12" width="19" bestFit="1" customWidth="1"/>
    <col min="13" max="49" width="11.109375" bestFit="1" customWidth="1"/>
    <col min="51" max="51" width="16.6640625" bestFit="1" customWidth="1"/>
  </cols>
  <sheetData>
    <row r="1" spans="1:51" ht="14.4" thickBot="1">
      <c r="A1" s="838" t="s">
        <v>101</v>
      </c>
      <c r="B1" s="839" t="s">
        <v>102</v>
      </c>
      <c r="C1" s="841" t="s">
        <v>103</v>
      </c>
      <c r="D1" s="841" t="s">
        <v>104</v>
      </c>
      <c r="E1" s="831" t="s">
        <v>105</v>
      </c>
      <c r="F1" s="843"/>
      <c r="G1" s="844" t="s">
        <v>106</v>
      </c>
      <c r="H1" s="844"/>
      <c r="I1" s="831" t="s">
        <v>107</v>
      </c>
      <c r="J1" s="833" t="s">
        <v>108</v>
      </c>
    </row>
    <row r="2" spans="1:51" ht="14.4" thickBot="1">
      <c r="A2" s="838"/>
      <c r="B2" s="840"/>
      <c r="C2" s="842"/>
      <c r="D2" s="842"/>
      <c r="E2" s="58" t="s">
        <v>110</v>
      </c>
      <c r="F2" s="26" t="s">
        <v>111</v>
      </c>
      <c r="G2" s="27" t="s">
        <v>110</v>
      </c>
      <c r="H2" s="27" t="s">
        <v>111</v>
      </c>
      <c r="I2" s="832"/>
      <c r="J2" s="834"/>
      <c r="L2" s="59" t="s">
        <v>165</v>
      </c>
      <c r="M2" s="835" t="s">
        <v>166</v>
      </c>
      <c r="N2" s="836"/>
      <c r="O2" s="836"/>
      <c r="P2" s="837"/>
    </row>
    <row r="3" spans="1:51" ht="13.8">
      <c r="A3" s="28" t="s">
        <v>112</v>
      </c>
      <c r="B3" s="29" t="str">
        <f>+B1</f>
        <v>Navn</v>
      </c>
      <c r="C3" s="30" t="s">
        <v>103</v>
      </c>
      <c r="D3" s="31" t="str">
        <f>+D1</f>
        <v>Enhed</v>
      </c>
      <c r="E3" s="32" t="str">
        <f>+E2</f>
        <v>Rækker</v>
      </c>
      <c r="F3" s="33" t="str">
        <f>+F2</f>
        <v>Søjler</v>
      </c>
      <c r="G3" s="31" t="str">
        <f>+G2</f>
        <v>Rækker</v>
      </c>
      <c r="H3" s="31" t="str">
        <f>+H2</f>
        <v>Søjler</v>
      </c>
      <c r="I3" s="32" t="str">
        <f>+I1</f>
        <v>Første år</v>
      </c>
      <c r="J3" s="34" t="str">
        <f>+J1</f>
        <v>Sidste år</v>
      </c>
    </row>
    <row r="4" spans="1:51" ht="28.2" thickBot="1">
      <c r="A4" s="35"/>
      <c r="B4" s="36" t="s">
        <v>113</v>
      </c>
      <c r="C4" s="37" t="s">
        <v>114</v>
      </c>
      <c r="D4" s="38" t="s">
        <v>115</v>
      </c>
      <c r="E4" s="39">
        <v>120</v>
      </c>
      <c r="F4" s="40">
        <v>46</v>
      </c>
      <c r="G4" s="38" t="s">
        <v>116</v>
      </c>
      <c r="H4" s="38" t="s">
        <v>117</v>
      </c>
      <c r="I4" s="39">
        <v>1966</v>
      </c>
      <c r="J4" s="41">
        <v>2012</v>
      </c>
    </row>
    <row r="6" spans="1:51" ht="15.6">
      <c r="A6" s="70" t="s">
        <v>109</v>
      </c>
      <c r="B6" s="71"/>
      <c r="C6" s="71"/>
    </row>
    <row r="7" spans="1:51" ht="14.4">
      <c r="A7" s="72"/>
      <c r="B7" s="72"/>
      <c r="C7" s="73"/>
    </row>
    <row r="8" spans="1:51" ht="14.4">
      <c r="A8" s="74" t="s">
        <v>167</v>
      </c>
      <c r="B8" s="74" t="s">
        <v>168</v>
      </c>
      <c r="C8" s="74" t="s">
        <v>174</v>
      </c>
    </row>
    <row r="9" spans="1:51" ht="14.4">
      <c r="A9" s="75" t="s">
        <v>119</v>
      </c>
      <c r="B9" s="75" t="s">
        <v>118</v>
      </c>
      <c r="C9" s="75" t="s">
        <v>120</v>
      </c>
      <c r="AU9">
        <f>('MIN-IMP-EXP_Data'!AU25+'MIN-IMP-EXP_Data'!AU26+'MIN-IMP-EXP_Data'!AU27)*10^-6</f>
        <v>93.795397999999992</v>
      </c>
    </row>
    <row r="13" spans="1:51" ht="13.8" thickBot="1">
      <c r="A13" s="57" t="s">
        <v>173</v>
      </c>
    </row>
    <row r="14" spans="1:51" ht="30" thickTop="1" thickBot="1">
      <c r="A14" s="42" t="s">
        <v>136</v>
      </c>
      <c r="B14" s="43" t="s">
        <v>137</v>
      </c>
      <c r="C14" s="44">
        <v>1966</v>
      </c>
      <c r="D14" s="45">
        <v>1967</v>
      </c>
      <c r="E14" s="45">
        <v>1968</v>
      </c>
      <c r="F14" s="45">
        <v>1969</v>
      </c>
      <c r="G14" s="45">
        <v>1970</v>
      </c>
      <c r="H14" s="45">
        <v>1971</v>
      </c>
      <c r="I14" s="45">
        <v>1972</v>
      </c>
      <c r="J14" s="45">
        <v>1973</v>
      </c>
      <c r="K14" s="45">
        <v>1974</v>
      </c>
      <c r="L14" s="45">
        <v>1975</v>
      </c>
      <c r="M14" s="45">
        <v>1976</v>
      </c>
      <c r="N14" s="45">
        <v>1977</v>
      </c>
      <c r="O14" s="45">
        <v>1978</v>
      </c>
      <c r="P14" s="45">
        <v>1979</v>
      </c>
      <c r="Q14" s="45">
        <v>1980</v>
      </c>
      <c r="R14" s="45">
        <v>1981</v>
      </c>
      <c r="S14" s="45">
        <v>1982</v>
      </c>
      <c r="T14" s="45">
        <v>1983</v>
      </c>
      <c r="U14" s="45">
        <v>1984</v>
      </c>
      <c r="V14" s="45">
        <v>1985</v>
      </c>
      <c r="W14" s="45">
        <v>1986</v>
      </c>
      <c r="X14" s="45">
        <v>1987</v>
      </c>
      <c r="Y14" s="45">
        <v>1988</v>
      </c>
      <c r="Z14" s="45">
        <v>1989</v>
      </c>
      <c r="AA14" s="45">
        <v>1990</v>
      </c>
      <c r="AB14" s="45">
        <v>1991</v>
      </c>
      <c r="AC14" s="45">
        <v>1992</v>
      </c>
      <c r="AD14" s="45">
        <v>1993</v>
      </c>
      <c r="AE14" s="45">
        <v>1994</v>
      </c>
      <c r="AF14" s="45">
        <v>1995</v>
      </c>
      <c r="AG14" s="45">
        <v>1996</v>
      </c>
      <c r="AH14" s="45">
        <v>1997</v>
      </c>
      <c r="AI14" s="45">
        <v>1998</v>
      </c>
      <c r="AJ14" s="45">
        <v>1999</v>
      </c>
      <c r="AK14" s="45">
        <v>2000</v>
      </c>
      <c r="AL14" s="45">
        <v>2001</v>
      </c>
      <c r="AM14" s="45">
        <v>2002</v>
      </c>
      <c r="AN14" s="45">
        <v>2003</v>
      </c>
      <c r="AO14" s="45">
        <v>2004</v>
      </c>
      <c r="AP14" s="45">
        <v>2005</v>
      </c>
      <c r="AQ14" s="45">
        <v>2006</v>
      </c>
      <c r="AR14" s="45">
        <v>2007</v>
      </c>
      <c r="AS14" s="45">
        <v>2008</v>
      </c>
      <c r="AT14" s="45">
        <v>2009</v>
      </c>
      <c r="AU14" s="45">
        <v>2010</v>
      </c>
      <c r="AV14" s="45">
        <v>2011</v>
      </c>
      <c r="AW14" s="46">
        <v>2012</v>
      </c>
      <c r="AY14" s="24" t="s">
        <v>176</v>
      </c>
    </row>
    <row r="15" spans="1:51" ht="14.4">
      <c r="A15" s="60" t="s">
        <v>167</v>
      </c>
      <c r="B15" s="61" t="s">
        <v>142</v>
      </c>
      <c r="C15" s="62">
        <v>0</v>
      </c>
      <c r="D15" s="63">
        <v>0</v>
      </c>
      <c r="E15" s="63">
        <v>0</v>
      </c>
      <c r="F15" s="63">
        <v>0</v>
      </c>
      <c r="G15" s="63">
        <v>0</v>
      </c>
      <c r="H15" s="63">
        <v>0</v>
      </c>
      <c r="I15" s="63">
        <v>3943200</v>
      </c>
      <c r="J15" s="63">
        <v>5851200</v>
      </c>
      <c r="K15" s="63">
        <v>3816000</v>
      </c>
      <c r="L15" s="63">
        <v>7038400</v>
      </c>
      <c r="M15" s="63">
        <v>8417036</v>
      </c>
      <c r="N15" s="63">
        <v>21802080</v>
      </c>
      <c r="O15" s="63">
        <v>18235138</v>
      </c>
      <c r="P15" s="63">
        <v>17871091</v>
      </c>
      <c r="Q15" s="63">
        <v>11870855</v>
      </c>
      <c r="R15" s="63">
        <v>32227731</v>
      </c>
      <c r="S15" s="63">
        <v>70507723</v>
      </c>
      <c r="T15" s="63">
        <v>91105389</v>
      </c>
      <c r="U15" s="63">
        <v>94094292</v>
      </c>
      <c r="V15" s="63">
        <v>120982803</v>
      </c>
      <c r="W15" s="63">
        <v>154620031</v>
      </c>
      <c r="X15" s="63">
        <v>196484178</v>
      </c>
      <c r="Y15" s="63">
        <v>202144405</v>
      </c>
      <c r="Z15" s="63">
        <v>236154058</v>
      </c>
      <c r="AA15" s="63">
        <v>255958660</v>
      </c>
      <c r="AB15" s="63">
        <v>298602296</v>
      </c>
      <c r="AC15" s="63">
        <v>331178681</v>
      </c>
      <c r="AD15" s="63">
        <v>352919428</v>
      </c>
      <c r="AE15" s="63">
        <v>389346927</v>
      </c>
      <c r="AF15" s="63">
        <v>391563313</v>
      </c>
      <c r="AG15" s="63">
        <v>432220203</v>
      </c>
      <c r="AH15" s="63">
        <v>479242009</v>
      </c>
      <c r="AI15" s="63">
        <v>491587352</v>
      </c>
      <c r="AJ15" s="63">
        <v>621996548</v>
      </c>
      <c r="AK15" s="63">
        <v>764525681</v>
      </c>
      <c r="AL15" s="63">
        <v>726121091</v>
      </c>
      <c r="AM15" s="63">
        <v>780149645</v>
      </c>
      <c r="AN15" s="63">
        <v>780139669</v>
      </c>
      <c r="AO15" s="63">
        <v>828270558</v>
      </c>
      <c r="AP15" s="63">
        <v>796223690</v>
      </c>
      <c r="AQ15" s="63">
        <v>724062380</v>
      </c>
      <c r="AR15" s="63">
        <v>652260507</v>
      </c>
      <c r="AS15" s="63">
        <v>603525081</v>
      </c>
      <c r="AT15" s="63">
        <v>554826033</v>
      </c>
      <c r="AU15" s="63">
        <v>525175985</v>
      </c>
      <c r="AV15" s="63">
        <v>471290965</v>
      </c>
      <c r="AW15" s="64">
        <v>430009460</v>
      </c>
      <c r="AY15" s="51">
        <f>MAX(AK15:AW15)</f>
        <v>828270558</v>
      </c>
    </row>
    <row r="16" spans="1:51" ht="14.4">
      <c r="A16" s="47" t="s">
        <v>168</v>
      </c>
      <c r="B16" s="25" t="s">
        <v>142</v>
      </c>
      <c r="C16" s="48">
        <v>196941298</v>
      </c>
      <c r="D16" s="49">
        <v>277214038</v>
      </c>
      <c r="E16" s="49">
        <v>286342334</v>
      </c>
      <c r="F16" s="49">
        <v>388734091</v>
      </c>
      <c r="G16" s="49">
        <v>429165846</v>
      </c>
      <c r="H16" s="49">
        <v>452172421</v>
      </c>
      <c r="I16" s="49">
        <v>418706948</v>
      </c>
      <c r="J16" s="49">
        <v>413649094</v>
      </c>
      <c r="K16" s="49">
        <v>396674048</v>
      </c>
      <c r="L16" s="49">
        <v>335615589</v>
      </c>
      <c r="M16" s="49">
        <v>321557233</v>
      </c>
      <c r="N16" s="49">
        <v>311044916</v>
      </c>
      <c r="O16" s="49">
        <v>327532538</v>
      </c>
      <c r="P16" s="49">
        <v>337192318</v>
      </c>
      <c r="Q16" s="49">
        <v>244395762</v>
      </c>
      <c r="R16" s="49">
        <v>214909789</v>
      </c>
      <c r="S16" s="49">
        <v>171458496</v>
      </c>
      <c r="T16" s="49">
        <v>225247211</v>
      </c>
      <c r="U16" s="49">
        <v>224562410</v>
      </c>
      <c r="V16" s="49">
        <v>203795189</v>
      </c>
      <c r="W16" s="49">
        <v>182507705</v>
      </c>
      <c r="X16" s="49">
        <v>179713926</v>
      </c>
      <c r="Y16" s="49">
        <v>191400808</v>
      </c>
      <c r="Z16" s="49">
        <v>183504868</v>
      </c>
      <c r="AA16" s="49">
        <v>174344602</v>
      </c>
      <c r="AB16" s="49">
        <v>216764827</v>
      </c>
      <c r="AC16" s="49">
        <v>222381725</v>
      </c>
      <c r="AD16" s="49">
        <v>215692870</v>
      </c>
      <c r="AE16" s="49">
        <v>224694787</v>
      </c>
      <c r="AF16" s="49">
        <v>228986000</v>
      </c>
      <c r="AG16" s="49">
        <v>234594868</v>
      </c>
      <c r="AH16" s="49">
        <v>186062075</v>
      </c>
      <c r="AI16" s="49">
        <v>202439141</v>
      </c>
      <c r="AJ16" s="49">
        <v>194807415</v>
      </c>
      <c r="AK16" s="49">
        <v>159349314</v>
      </c>
      <c r="AL16" s="49">
        <v>130795852</v>
      </c>
      <c r="AM16" s="49">
        <v>140204037</v>
      </c>
      <c r="AN16" s="49">
        <v>150155484</v>
      </c>
      <c r="AO16" s="49">
        <v>160588660</v>
      </c>
      <c r="AP16" s="49">
        <v>116941725</v>
      </c>
      <c r="AQ16" s="49">
        <v>116460856</v>
      </c>
      <c r="AR16" s="49">
        <v>87380816</v>
      </c>
      <c r="AS16" s="49">
        <v>101651484</v>
      </c>
      <c r="AT16" s="49">
        <v>150972441</v>
      </c>
      <c r="AU16" s="49">
        <v>116616731</v>
      </c>
      <c r="AV16" s="49">
        <v>112892716</v>
      </c>
      <c r="AW16" s="50">
        <v>135466598</v>
      </c>
      <c r="AY16" s="51">
        <f t="shared" ref="AY16:AY41" si="0">MAX(AK16:AW16)</f>
        <v>160588660</v>
      </c>
    </row>
    <row r="17" spans="1:51" ht="14.4">
      <c r="A17" s="47" t="s">
        <v>168</v>
      </c>
      <c r="B17" s="82" t="s">
        <v>169</v>
      </c>
      <c r="C17" s="48">
        <v>0</v>
      </c>
      <c r="D17" s="49">
        <v>0</v>
      </c>
      <c r="E17" s="49">
        <v>0</v>
      </c>
      <c r="F17" s="49">
        <v>0</v>
      </c>
      <c r="G17" s="49">
        <v>0</v>
      </c>
      <c r="H17" s="49">
        <v>0</v>
      </c>
      <c r="I17" s="49">
        <v>0</v>
      </c>
      <c r="J17" s="49">
        <v>0</v>
      </c>
      <c r="K17" s="49">
        <v>1007677</v>
      </c>
      <c r="L17" s="49">
        <v>3453</v>
      </c>
      <c r="M17" s="49">
        <v>6843491</v>
      </c>
      <c r="N17" s="49">
        <v>7373766</v>
      </c>
      <c r="O17" s="49">
        <v>6215206</v>
      </c>
      <c r="P17" s="49">
        <v>45518013</v>
      </c>
      <c r="Q17" s="49">
        <v>43374006</v>
      </c>
      <c r="R17" s="49">
        <v>27077992</v>
      </c>
      <c r="S17" s="49">
        <v>38060467</v>
      </c>
      <c r="T17" s="49">
        <v>24187070</v>
      </c>
      <c r="U17" s="49">
        <v>31302961</v>
      </c>
      <c r="V17" s="49">
        <v>47546206</v>
      </c>
      <c r="W17" s="49">
        <v>53675970</v>
      </c>
      <c r="X17" s="49">
        <v>45690104</v>
      </c>
      <c r="Y17" s="49">
        <v>26849070</v>
      </c>
      <c r="Z17" s="49">
        <v>37413510</v>
      </c>
      <c r="AA17" s="49">
        <v>28896669</v>
      </c>
      <c r="AB17" s="49">
        <v>24512179</v>
      </c>
      <c r="AC17" s="49">
        <v>24181337</v>
      </c>
      <c r="AD17" s="49">
        <v>30738686</v>
      </c>
      <c r="AE17" s="49">
        <v>19418975</v>
      </c>
      <c r="AF17" s="49">
        <v>20788331</v>
      </c>
      <c r="AG17" s="49">
        <v>11654274</v>
      </c>
      <c r="AH17" s="49">
        <v>4533207</v>
      </c>
      <c r="AI17" s="49">
        <v>9675167</v>
      </c>
      <c r="AJ17" s="49">
        <v>2391359</v>
      </c>
      <c r="AK17" s="49">
        <v>2978521</v>
      </c>
      <c r="AL17" s="49">
        <v>2441311</v>
      </c>
      <c r="AM17" s="49">
        <v>4867367</v>
      </c>
      <c r="AN17" s="49">
        <v>3213358</v>
      </c>
      <c r="AO17" s="49">
        <v>1481007</v>
      </c>
      <c r="AP17" s="49">
        <v>2938494</v>
      </c>
      <c r="AQ17" s="49">
        <v>6643309</v>
      </c>
      <c r="AR17" s="49">
        <v>3534535</v>
      </c>
      <c r="AS17" s="49">
        <v>15610181</v>
      </c>
      <c r="AT17" s="49">
        <v>11392403</v>
      </c>
      <c r="AU17" s="49">
        <v>7738385</v>
      </c>
      <c r="AV17" s="49">
        <v>5023583</v>
      </c>
      <c r="AW17" s="50">
        <v>3242595</v>
      </c>
      <c r="AY17" s="51">
        <f t="shared" si="0"/>
        <v>15610181</v>
      </c>
    </row>
    <row r="18" spans="1:51" ht="14.4">
      <c r="A18" s="47" t="s">
        <v>168</v>
      </c>
      <c r="B18" s="25" t="s">
        <v>98</v>
      </c>
      <c r="C18" s="48">
        <v>0</v>
      </c>
      <c r="D18" s="49">
        <v>0</v>
      </c>
      <c r="E18" s="49">
        <v>0</v>
      </c>
      <c r="F18" s="49">
        <v>0</v>
      </c>
      <c r="G18" s="49">
        <v>0</v>
      </c>
      <c r="H18" s="49">
        <v>0</v>
      </c>
      <c r="I18" s="49">
        <v>0</v>
      </c>
      <c r="J18" s="49">
        <v>0</v>
      </c>
      <c r="K18" s="49">
        <v>0</v>
      </c>
      <c r="L18" s="49">
        <v>0</v>
      </c>
      <c r="M18" s="49">
        <v>0</v>
      </c>
      <c r="N18" s="49">
        <v>0</v>
      </c>
      <c r="O18" s="49">
        <v>0</v>
      </c>
      <c r="P18" s="49">
        <v>0</v>
      </c>
      <c r="Q18" s="49">
        <v>0</v>
      </c>
      <c r="R18" s="49">
        <v>0</v>
      </c>
      <c r="S18" s="49">
        <v>0</v>
      </c>
      <c r="T18" s="49">
        <v>0</v>
      </c>
      <c r="U18" s="49">
        <v>0</v>
      </c>
      <c r="V18" s="49">
        <v>0</v>
      </c>
      <c r="W18" s="49">
        <v>0</v>
      </c>
      <c r="X18" s="49">
        <v>0</v>
      </c>
      <c r="Y18" s="49">
        <v>0</v>
      </c>
      <c r="Z18" s="49">
        <v>0</v>
      </c>
      <c r="AA18" s="49">
        <v>0</v>
      </c>
      <c r="AB18" s="49">
        <v>0</v>
      </c>
      <c r="AC18" s="49">
        <v>0</v>
      </c>
      <c r="AD18" s="49">
        <v>0</v>
      </c>
      <c r="AE18" s="49">
        <v>0</v>
      </c>
      <c r="AF18" s="49">
        <v>0</v>
      </c>
      <c r="AG18" s="49">
        <v>0</v>
      </c>
      <c r="AH18" s="49">
        <v>0</v>
      </c>
      <c r="AI18" s="49">
        <v>0</v>
      </c>
      <c r="AJ18" s="49">
        <v>0</v>
      </c>
      <c r="AK18" s="49">
        <v>0</v>
      </c>
      <c r="AL18" s="49">
        <v>0</v>
      </c>
      <c r="AM18" s="49">
        <v>0</v>
      </c>
      <c r="AN18" s="49">
        <v>0</v>
      </c>
      <c r="AO18" s="49">
        <v>0</v>
      </c>
      <c r="AP18" s="49">
        <v>0</v>
      </c>
      <c r="AQ18" s="49">
        <v>0</v>
      </c>
      <c r="AR18" s="49">
        <v>0</v>
      </c>
      <c r="AS18" s="49">
        <v>0</v>
      </c>
      <c r="AT18" s="49">
        <v>0</v>
      </c>
      <c r="AU18" s="49">
        <v>0</v>
      </c>
      <c r="AV18" s="49">
        <v>0</v>
      </c>
      <c r="AW18" s="50">
        <v>0</v>
      </c>
      <c r="AY18" s="51">
        <f t="shared" si="0"/>
        <v>0</v>
      </c>
    </row>
    <row r="19" spans="1:51" ht="14.4">
      <c r="A19" s="47" t="s">
        <v>168</v>
      </c>
      <c r="B19" s="25" t="s">
        <v>75</v>
      </c>
      <c r="C19" s="48">
        <v>4258396</v>
      </c>
      <c r="D19" s="49">
        <v>3579987</v>
      </c>
      <c r="E19" s="49">
        <v>4006136</v>
      </c>
      <c r="F19" s="49">
        <v>4193671</v>
      </c>
      <c r="G19" s="49">
        <v>5051592</v>
      </c>
      <c r="H19" s="49">
        <v>4893607</v>
      </c>
      <c r="I19" s="49">
        <v>5369083</v>
      </c>
      <c r="J19" s="49">
        <v>5340316</v>
      </c>
      <c r="K19" s="49">
        <v>4751619</v>
      </c>
      <c r="L19" s="49">
        <v>4200540</v>
      </c>
      <c r="M19" s="49">
        <v>5328837</v>
      </c>
      <c r="N19" s="49">
        <v>4900015</v>
      </c>
      <c r="O19" s="49">
        <v>4366250</v>
      </c>
      <c r="P19" s="49">
        <v>4936976</v>
      </c>
      <c r="Q19" s="49">
        <v>6731697</v>
      </c>
      <c r="R19" s="49">
        <v>7008906</v>
      </c>
      <c r="S19" s="49">
        <v>7542607</v>
      </c>
      <c r="T19" s="49">
        <v>6377538</v>
      </c>
      <c r="U19" s="49">
        <v>5409506</v>
      </c>
      <c r="V19" s="49">
        <v>5271068</v>
      </c>
      <c r="W19" s="49">
        <v>2659500</v>
      </c>
      <c r="X19" s="49">
        <v>2393277</v>
      </c>
      <c r="Y19" s="49">
        <v>1493254</v>
      </c>
      <c r="Z19" s="49">
        <v>952066</v>
      </c>
      <c r="AA19" s="49">
        <v>785376</v>
      </c>
      <c r="AB19" s="49">
        <v>794074</v>
      </c>
      <c r="AC19" s="49">
        <v>642566</v>
      </c>
      <c r="AD19" s="49">
        <v>751710</v>
      </c>
      <c r="AE19" s="49">
        <v>903691</v>
      </c>
      <c r="AF19" s="49">
        <v>842773</v>
      </c>
      <c r="AG19" s="49">
        <v>765101</v>
      </c>
      <c r="AH19" s="49">
        <v>339217</v>
      </c>
      <c r="AI19" s="49">
        <v>531812</v>
      </c>
      <c r="AJ19" s="49">
        <v>1345345</v>
      </c>
      <c r="AK19" s="49">
        <v>350106</v>
      </c>
      <c r="AL19" s="49">
        <v>306044</v>
      </c>
      <c r="AM19" s="49">
        <v>117435</v>
      </c>
      <c r="AN19" s="49">
        <v>188587</v>
      </c>
      <c r="AO19" s="49">
        <v>179630</v>
      </c>
      <c r="AP19" s="49">
        <v>275632</v>
      </c>
      <c r="AQ19" s="49">
        <v>110262</v>
      </c>
      <c r="AR19" s="49">
        <v>186208</v>
      </c>
      <c r="AS19" s="49">
        <v>737849</v>
      </c>
      <c r="AT19" s="49">
        <v>174584</v>
      </c>
      <c r="AU19" s="49">
        <v>456016</v>
      </c>
      <c r="AV19" s="49">
        <v>356960</v>
      </c>
      <c r="AW19" s="50">
        <v>3391120</v>
      </c>
      <c r="AY19" s="51">
        <f t="shared" si="0"/>
        <v>3391120</v>
      </c>
    </row>
    <row r="20" spans="1:51" ht="14.4">
      <c r="A20" s="47" t="s">
        <v>168</v>
      </c>
      <c r="B20" s="25" t="s">
        <v>100</v>
      </c>
      <c r="C20" s="48">
        <v>13055002</v>
      </c>
      <c r="D20" s="49">
        <v>9425232</v>
      </c>
      <c r="E20" s="49">
        <v>11776233</v>
      </c>
      <c r="F20" s="49">
        <v>10553100</v>
      </c>
      <c r="G20" s="49">
        <v>10417424</v>
      </c>
      <c r="H20" s="49">
        <v>11315524</v>
      </c>
      <c r="I20" s="49">
        <v>15900511</v>
      </c>
      <c r="J20" s="49">
        <v>18780037</v>
      </c>
      <c r="K20" s="49">
        <v>13993385</v>
      </c>
      <c r="L20" s="49">
        <v>13183502</v>
      </c>
      <c r="M20" s="49">
        <v>14846115</v>
      </c>
      <c r="N20" s="49">
        <v>15632465</v>
      </c>
      <c r="O20" s="49">
        <v>7156968</v>
      </c>
      <c r="P20" s="49">
        <v>2988668</v>
      </c>
      <c r="Q20" s="49">
        <v>2408595</v>
      </c>
      <c r="R20" s="49">
        <v>5199932</v>
      </c>
      <c r="S20" s="49">
        <v>6027608</v>
      </c>
      <c r="T20" s="49">
        <v>3657496</v>
      </c>
      <c r="U20" s="49">
        <v>2392517</v>
      </c>
      <c r="V20" s="49">
        <v>2787342</v>
      </c>
      <c r="W20" s="49">
        <v>1900915</v>
      </c>
      <c r="X20" s="49">
        <v>1923866</v>
      </c>
      <c r="Y20" s="49">
        <v>5521001</v>
      </c>
      <c r="Z20" s="49">
        <v>4668412</v>
      </c>
      <c r="AA20" s="49">
        <v>4736878</v>
      </c>
      <c r="AB20" s="49">
        <v>4874213</v>
      </c>
      <c r="AC20" s="49">
        <v>5934123</v>
      </c>
      <c r="AD20" s="49">
        <v>3174491</v>
      </c>
      <c r="AE20" s="49">
        <v>3563043</v>
      </c>
      <c r="AF20" s="49">
        <v>475262</v>
      </c>
      <c r="AG20" s="49">
        <v>3117610</v>
      </c>
      <c r="AH20" s="49">
        <v>1322684</v>
      </c>
      <c r="AI20" s="49">
        <v>3071024</v>
      </c>
      <c r="AJ20" s="49">
        <v>7321139</v>
      </c>
      <c r="AK20" s="49">
        <v>5973868</v>
      </c>
      <c r="AL20" s="49">
        <v>4982020</v>
      </c>
      <c r="AM20" s="49">
        <v>8658979</v>
      </c>
      <c r="AN20" s="49">
        <v>4292582</v>
      </c>
      <c r="AO20" s="49">
        <v>4935006</v>
      </c>
      <c r="AP20" s="49">
        <v>7877746</v>
      </c>
      <c r="AQ20" s="49">
        <v>1726956</v>
      </c>
      <c r="AR20" s="49">
        <v>2750946</v>
      </c>
      <c r="AS20" s="49">
        <v>6425935</v>
      </c>
      <c r="AT20" s="49">
        <v>5337986</v>
      </c>
      <c r="AU20" s="49">
        <v>5949700</v>
      </c>
      <c r="AV20" s="49">
        <v>7728600</v>
      </c>
      <c r="AW20" s="50">
        <v>5288469</v>
      </c>
      <c r="AY20" s="51">
        <f t="shared" si="0"/>
        <v>8658979</v>
      </c>
    </row>
    <row r="21" spans="1:51" ht="14.4">
      <c r="A21" s="47" t="s">
        <v>168</v>
      </c>
      <c r="B21" s="25" t="s">
        <v>77</v>
      </c>
      <c r="C21" s="48">
        <v>34434729</v>
      </c>
      <c r="D21" s="49">
        <v>25095323</v>
      </c>
      <c r="E21" s="49">
        <v>27044080</v>
      </c>
      <c r="F21" s="49">
        <v>24605122</v>
      </c>
      <c r="G21" s="49">
        <v>28571844</v>
      </c>
      <c r="H21" s="49">
        <v>29139475</v>
      </c>
      <c r="I21" s="49">
        <v>31582783</v>
      </c>
      <c r="J21" s="49">
        <v>32152546</v>
      </c>
      <c r="K21" s="49">
        <v>26930676</v>
      </c>
      <c r="L21" s="49">
        <v>32971486</v>
      </c>
      <c r="M21" s="49">
        <v>36963388</v>
      </c>
      <c r="N21" s="49">
        <v>34318118</v>
      </c>
      <c r="O21" s="49">
        <v>34166680</v>
      </c>
      <c r="P21" s="49">
        <v>34417581</v>
      </c>
      <c r="Q21" s="49">
        <v>32204457</v>
      </c>
      <c r="R21" s="49">
        <v>29183656</v>
      </c>
      <c r="S21" s="49">
        <v>29407503</v>
      </c>
      <c r="T21" s="49">
        <v>26835834</v>
      </c>
      <c r="U21" s="49">
        <v>27481911</v>
      </c>
      <c r="V21" s="49">
        <v>28575748</v>
      </c>
      <c r="W21" s="49">
        <v>26409292</v>
      </c>
      <c r="X21" s="49">
        <v>30774763</v>
      </c>
      <c r="Y21" s="49">
        <v>23500474</v>
      </c>
      <c r="Z21" s="49">
        <v>24573906</v>
      </c>
      <c r="AA21" s="49">
        <v>23853830</v>
      </c>
      <c r="AB21" s="49">
        <v>26329397</v>
      </c>
      <c r="AC21" s="49">
        <v>27645293</v>
      </c>
      <c r="AD21" s="49">
        <v>33481333</v>
      </c>
      <c r="AE21" s="49">
        <v>40808791</v>
      </c>
      <c r="AF21" s="49">
        <v>31562258</v>
      </c>
      <c r="AG21" s="49">
        <v>31938057</v>
      </c>
      <c r="AH21" s="49">
        <v>42647972</v>
      </c>
      <c r="AI21" s="49">
        <v>34662909</v>
      </c>
      <c r="AJ21" s="49">
        <v>30306592</v>
      </c>
      <c r="AK21" s="49">
        <v>34695370</v>
      </c>
      <c r="AL21" s="49">
        <v>33851559</v>
      </c>
      <c r="AM21" s="49">
        <v>35509022</v>
      </c>
      <c r="AN21" s="49">
        <v>33347925</v>
      </c>
      <c r="AO21" s="49">
        <v>31811172</v>
      </c>
      <c r="AP21" s="49">
        <v>32077373</v>
      </c>
      <c r="AQ21" s="49">
        <v>31050389</v>
      </c>
      <c r="AR21" s="49">
        <v>34569632</v>
      </c>
      <c r="AS21" s="49">
        <v>26221978</v>
      </c>
      <c r="AT21" s="49">
        <v>24673627</v>
      </c>
      <c r="AU21" s="49">
        <v>21552177</v>
      </c>
      <c r="AV21" s="49">
        <v>20554416</v>
      </c>
      <c r="AW21" s="50">
        <v>17493238</v>
      </c>
      <c r="AY21" s="51">
        <f t="shared" si="0"/>
        <v>35509022</v>
      </c>
    </row>
    <row r="22" spans="1:51" ht="14.4">
      <c r="A22" s="47" t="s">
        <v>168</v>
      </c>
      <c r="B22" s="25" t="s">
        <v>96</v>
      </c>
      <c r="C22" s="48">
        <v>17762926</v>
      </c>
      <c r="D22" s="49">
        <v>17465214</v>
      </c>
      <c r="E22" s="49">
        <v>23471146</v>
      </c>
      <c r="F22" s="49">
        <v>25771924</v>
      </c>
      <c r="G22" s="49">
        <v>25431929</v>
      </c>
      <c r="H22" s="49">
        <v>25369007</v>
      </c>
      <c r="I22" s="49">
        <v>28575952</v>
      </c>
      <c r="J22" s="49">
        <v>29303359</v>
      </c>
      <c r="K22" s="49">
        <v>32273650</v>
      </c>
      <c r="L22" s="49">
        <v>34368934</v>
      </c>
      <c r="M22" s="49">
        <v>35729542</v>
      </c>
      <c r="N22" s="49">
        <v>37175919</v>
      </c>
      <c r="O22" s="49">
        <v>38461922</v>
      </c>
      <c r="P22" s="49">
        <v>39098768</v>
      </c>
      <c r="Q22" s="49">
        <v>35898230</v>
      </c>
      <c r="R22" s="49">
        <v>32142321</v>
      </c>
      <c r="S22" s="49">
        <v>33215329</v>
      </c>
      <c r="T22" s="49">
        <v>34724959</v>
      </c>
      <c r="U22" s="49">
        <v>33300471</v>
      </c>
      <c r="V22" s="49">
        <v>31112832</v>
      </c>
      <c r="W22" s="49">
        <v>28830827</v>
      </c>
      <c r="X22" s="49">
        <v>26655694</v>
      </c>
      <c r="Y22" s="49">
        <v>27463410</v>
      </c>
      <c r="Z22" s="49">
        <v>31669960</v>
      </c>
      <c r="AA22" s="49">
        <v>31883160</v>
      </c>
      <c r="AB22" s="49">
        <v>28514468</v>
      </c>
      <c r="AC22" s="49">
        <v>24763478</v>
      </c>
      <c r="AD22" s="49">
        <v>24224685</v>
      </c>
      <c r="AE22" s="49">
        <v>22915510</v>
      </c>
      <c r="AF22" s="49">
        <v>20682090</v>
      </c>
      <c r="AG22" s="49">
        <v>16765676</v>
      </c>
      <c r="AH22" s="49">
        <v>19066785</v>
      </c>
      <c r="AI22" s="49">
        <v>28757159</v>
      </c>
      <c r="AJ22" s="49">
        <v>27747721</v>
      </c>
      <c r="AK22" s="49">
        <v>31495822</v>
      </c>
      <c r="AL22" s="49">
        <v>30279134</v>
      </c>
      <c r="AM22" s="49">
        <v>31382466</v>
      </c>
      <c r="AN22" s="49">
        <v>19726856</v>
      </c>
      <c r="AO22" s="49">
        <v>27976699</v>
      </c>
      <c r="AP22" s="49">
        <v>39363665</v>
      </c>
      <c r="AQ22" s="49">
        <v>21383367</v>
      </c>
      <c r="AR22" s="49">
        <v>33463473</v>
      </c>
      <c r="AS22" s="49">
        <v>36723119</v>
      </c>
      <c r="AT22" s="49">
        <v>31727981</v>
      </c>
      <c r="AU22" s="49">
        <v>35424433</v>
      </c>
      <c r="AV22" s="49">
        <v>31716587</v>
      </c>
      <c r="AW22" s="50">
        <v>36679311</v>
      </c>
      <c r="AY22" s="51">
        <f t="shared" si="0"/>
        <v>39363665</v>
      </c>
    </row>
    <row r="23" spans="1:51" ht="14.4">
      <c r="A23" s="47" t="s">
        <v>168</v>
      </c>
      <c r="B23" s="84" t="s">
        <v>69</v>
      </c>
      <c r="C23" s="85">
        <v>103530803</v>
      </c>
      <c r="D23" s="86">
        <v>87930785</v>
      </c>
      <c r="E23" s="86">
        <v>102151935</v>
      </c>
      <c r="F23" s="86">
        <v>112426921</v>
      </c>
      <c r="G23" s="86">
        <v>146765622</v>
      </c>
      <c r="H23" s="86">
        <v>119670891</v>
      </c>
      <c r="I23" s="86">
        <v>149254261</v>
      </c>
      <c r="J23" s="86">
        <v>160035628</v>
      </c>
      <c r="K23" s="86">
        <v>144443553</v>
      </c>
      <c r="L23" s="86">
        <v>146048970</v>
      </c>
      <c r="M23" s="86">
        <v>165708783</v>
      </c>
      <c r="N23" s="86">
        <v>156985706</v>
      </c>
      <c r="O23" s="86">
        <v>153497566</v>
      </c>
      <c r="P23" s="86">
        <v>140786671</v>
      </c>
      <c r="Q23" s="86">
        <v>114613033</v>
      </c>
      <c r="R23" s="86">
        <v>91982268</v>
      </c>
      <c r="S23" s="86">
        <v>93611522</v>
      </c>
      <c r="T23" s="86">
        <v>72819077</v>
      </c>
      <c r="U23" s="86">
        <v>63815134</v>
      </c>
      <c r="V23" s="86">
        <v>71887492</v>
      </c>
      <c r="W23" s="86">
        <v>60705335</v>
      </c>
      <c r="X23" s="86">
        <v>71512887</v>
      </c>
      <c r="Y23" s="86">
        <v>57568869</v>
      </c>
      <c r="Z23" s="86">
        <v>48412451</v>
      </c>
      <c r="AA23" s="86">
        <v>42045124</v>
      </c>
      <c r="AB23" s="86">
        <v>43962655</v>
      </c>
      <c r="AC23" s="86">
        <v>39281430</v>
      </c>
      <c r="AD23" s="86">
        <v>44734033</v>
      </c>
      <c r="AE23" s="86">
        <v>44355061</v>
      </c>
      <c r="AF23" s="86">
        <v>31106888</v>
      </c>
      <c r="AG23" s="86">
        <v>29068732</v>
      </c>
      <c r="AH23" s="86">
        <v>49546528</v>
      </c>
      <c r="AI23" s="86">
        <v>53339697</v>
      </c>
      <c r="AJ23" s="86">
        <v>42243988</v>
      </c>
      <c r="AK23" s="86">
        <v>44039914</v>
      </c>
      <c r="AL23" s="86">
        <v>42483640</v>
      </c>
      <c r="AM23" s="86">
        <v>36988970</v>
      </c>
      <c r="AN23" s="86">
        <v>41433319</v>
      </c>
      <c r="AO23" s="86">
        <v>34276142</v>
      </c>
      <c r="AP23" s="86">
        <v>50125053</v>
      </c>
      <c r="AQ23" s="86">
        <v>45647718</v>
      </c>
      <c r="AR23" s="86">
        <v>36277302</v>
      </c>
      <c r="AS23" s="86">
        <v>46648019</v>
      </c>
      <c r="AT23" s="86">
        <v>47556345</v>
      </c>
      <c r="AU23" s="86">
        <v>44360833</v>
      </c>
      <c r="AV23" s="86">
        <v>53992310</v>
      </c>
      <c r="AW23" s="87">
        <v>60139549</v>
      </c>
      <c r="AY23" s="51">
        <f t="shared" si="0"/>
        <v>60139549</v>
      </c>
    </row>
    <row r="24" spans="1:51" ht="14.4">
      <c r="A24" s="47" t="s">
        <v>168</v>
      </c>
      <c r="B24" s="84" t="s">
        <v>51</v>
      </c>
      <c r="C24" s="85">
        <v>29906823</v>
      </c>
      <c r="D24" s="86">
        <v>27440215</v>
      </c>
      <c r="E24" s="86">
        <v>25944263</v>
      </c>
      <c r="F24" s="86">
        <v>26131759</v>
      </c>
      <c r="G24" s="86">
        <v>19768990</v>
      </c>
      <c r="H24" s="86">
        <v>21557607</v>
      </c>
      <c r="I24" s="86">
        <v>22835575</v>
      </c>
      <c r="J24" s="86">
        <v>21231721</v>
      </c>
      <c r="K24" s="86">
        <v>20803611</v>
      </c>
      <c r="L24" s="86">
        <v>16246855</v>
      </c>
      <c r="M24" s="86">
        <v>18147809</v>
      </c>
      <c r="N24" s="86">
        <v>18293524</v>
      </c>
      <c r="O24" s="86">
        <v>22339156</v>
      </c>
      <c r="P24" s="86">
        <v>21554118</v>
      </c>
      <c r="Q24" s="86">
        <v>22067746</v>
      </c>
      <c r="R24" s="86">
        <v>20029629</v>
      </c>
      <c r="S24" s="86">
        <v>24210496</v>
      </c>
      <c r="T24" s="86">
        <v>21820124</v>
      </c>
      <c r="U24" s="86">
        <v>22584162</v>
      </c>
      <c r="V24" s="86">
        <v>23226750</v>
      </c>
      <c r="W24" s="86">
        <v>22834014</v>
      </c>
      <c r="X24" s="86">
        <v>27805383</v>
      </c>
      <c r="Y24" s="86">
        <v>24515957</v>
      </c>
      <c r="Z24" s="86">
        <v>23715167</v>
      </c>
      <c r="AA24" s="86">
        <v>23592151</v>
      </c>
      <c r="AB24" s="86">
        <v>24251787</v>
      </c>
      <c r="AC24" s="86">
        <v>21741626</v>
      </c>
      <c r="AD24" s="86">
        <v>25120114</v>
      </c>
      <c r="AE24" s="86">
        <v>27781044</v>
      </c>
      <c r="AF24" s="86">
        <v>19310419</v>
      </c>
      <c r="AG24" s="86">
        <v>17687273</v>
      </c>
      <c r="AH24" s="86">
        <v>29502639</v>
      </c>
      <c r="AI24" s="86">
        <v>35147180</v>
      </c>
      <c r="AJ24" s="86">
        <v>32342618</v>
      </c>
      <c r="AK24" s="86">
        <v>33361110</v>
      </c>
      <c r="AL24" s="86">
        <v>32653138</v>
      </c>
      <c r="AM24" s="86">
        <v>30028238</v>
      </c>
      <c r="AN24" s="86">
        <v>35796315</v>
      </c>
      <c r="AO24" s="86">
        <v>32748511</v>
      </c>
      <c r="AP24" s="86">
        <v>49289373</v>
      </c>
      <c r="AQ24" s="86">
        <v>54361105</v>
      </c>
      <c r="AR24" s="86">
        <v>48823626</v>
      </c>
      <c r="AS24" s="86">
        <v>60041264</v>
      </c>
      <c r="AT24" s="86">
        <v>60566630</v>
      </c>
      <c r="AU24" s="86">
        <v>59999763</v>
      </c>
      <c r="AV24" s="86">
        <v>50583771</v>
      </c>
      <c r="AW24" s="87">
        <v>42038946</v>
      </c>
      <c r="AY24" s="51">
        <f t="shared" si="0"/>
        <v>60566630</v>
      </c>
    </row>
    <row r="25" spans="1:51" ht="14.4">
      <c r="A25" s="47" t="s">
        <v>168</v>
      </c>
      <c r="B25" s="83" t="s">
        <v>99</v>
      </c>
      <c r="C25" s="88">
        <v>117845882</v>
      </c>
      <c r="D25" s="89">
        <v>91052320</v>
      </c>
      <c r="E25" s="89">
        <v>118668114</v>
      </c>
      <c r="F25" s="89">
        <v>146166169</v>
      </c>
      <c r="G25" s="89">
        <v>196310054</v>
      </c>
      <c r="H25" s="89">
        <v>188023386</v>
      </c>
      <c r="I25" s="89">
        <v>234117215</v>
      </c>
      <c r="J25" s="89">
        <v>205373592</v>
      </c>
      <c r="K25" s="89">
        <v>191736423</v>
      </c>
      <c r="L25" s="89">
        <v>197193144</v>
      </c>
      <c r="M25" s="89">
        <v>166421592</v>
      </c>
      <c r="N25" s="89">
        <v>197299070</v>
      </c>
      <c r="O25" s="89">
        <v>170084768</v>
      </c>
      <c r="P25" s="89">
        <v>117733357</v>
      </c>
      <c r="Q25" s="89">
        <v>101264095</v>
      </c>
      <c r="R25" s="89">
        <v>66324957</v>
      </c>
      <c r="S25" s="89">
        <v>62432776</v>
      </c>
      <c r="T25" s="89">
        <v>46976057</v>
      </c>
      <c r="U25" s="89">
        <v>39954948</v>
      </c>
      <c r="V25" s="89">
        <v>41717376</v>
      </c>
      <c r="W25" s="89">
        <v>45120522</v>
      </c>
      <c r="X25" s="89">
        <v>13400981</v>
      </c>
      <c r="Y25" s="89">
        <v>30720786</v>
      </c>
      <c r="Z25" s="89">
        <v>16075270</v>
      </c>
      <c r="AA25" s="89">
        <v>16567094</v>
      </c>
      <c r="AB25" s="89">
        <v>18106660</v>
      </c>
      <c r="AC25" s="89">
        <v>28331768</v>
      </c>
      <c r="AD25" s="89">
        <v>33247042</v>
      </c>
      <c r="AE25" s="89">
        <v>55737331</v>
      </c>
      <c r="AF25" s="89">
        <v>33293836</v>
      </c>
      <c r="AG25" s="89">
        <v>42220678</v>
      </c>
      <c r="AH25" s="89">
        <v>29460121</v>
      </c>
      <c r="AI25" s="89">
        <v>33094914</v>
      </c>
      <c r="AJ25" s="89">
        <v>28804956</v>
      </c>
      <c r="AK25" s="89">
        <v>29702165</v>
      </c>
      <c r="AL25" s="89">
        <v>45048054</v>
      </c>
      <c r="AM25" s="89">
        <v>34346624</v>
      </c>
      <c r="AN25" s="89">
        <v>51881655</v>
      </c>
      <c r="AO25" s="89">
        <v>86081538</v>
      </c>
      <c r="AP25" s="89">
        <v>89248002</v>
      </c>
      <c r="AQ25" s="89">
        <v>96391719</v>
      </c>
      <c r="AR25" s="89">
        <v>65154227</v>
      </c>
      <c r="AS25" s="89">
        <v>138316637</v>
      </c>
      <c r="AT25" s="89">
        <v>73583532</v>
      </c>
      <c r="AU25" s="89">
        <v>92666691</v>
      </c>
      <c r="AV25" s="89">
        <v>94455497</v>
      </c>
      <c r="AW25" s="90">
        <v>86071985</v>
      </c>
      <c r="AY25" s="51">
        <f t="shared" si="0"/>
        <v>138316637</v>
      </c>
    </row>
    <row r="26" spans="1:51" ht="14.4">
      <c r="A26" s="47" t="s">
        <v>168</v>
      </c>
      <c r="B26" s="83" t="s">
        <v>170</v>
      </c>
      <c r="C26" s="88">
        <v>0</v>
      </c>
      <c r="D26" s="89">
        <v>0</v>
      </c>
      <c r="E26" s="89">
        <v>0</v>
      </c>
      <c r="F26" s="89">
        <v>0</v>
      </c>
      <c r="G26" s="89">
        <v>0</v>
      </c>
      <c r="H26" s="89">
        <v>0</v>
      </c>
      <c r="I26" s="89">
        <v>0</v>
      </c>
      <c r="J26" s="89">
        <v>0</v>
      </c>
      <c r="K26" s="89">
        <v>0</v>
      </c>
      <c r="L26" s="89">
        <v>0</v>
      </c>
      <c r="M26" s="89">
        <v>0</v>
      </c>
      <c r="N26" s="89">
        <v>0</v>
      </c>
      <c r="O26" s="89">
        <v>0</v>
      </c>
      <c r="P26" s="89">
        <v>0</v>
      </c>
      <c r="Q26" s="89">
        <v>0</v>
      </c>
      <c r="R26" s="89">
        <v>0</v>
      </c>
      <c r="S26" s="89">
        <v>0</v>
      </c>
      <c r="T26" s="89">
        <v>0</v>
      </c>
      <c r="U26" s="89">
        <v>0</v>
      </c>
      <c r="V26" s="89">
        <v>0</v>
      </c>
      <c r="W26" s="89">
        <v>0</v>
      </c>
      <c r="X26" s="89">
        <v>0</v>
      </c>
      <c r="Y26" s="89">
        <v>0</v>
      </c>
      <c r="Z26" s="89">
        <v>0</v>
      </c>
      <c r="AA26" s="89">
        <v>0</v>
      </c>
      <c r="AB26" s="89">
        <v>0</v>
      </c>
      <c r="AC26" s="89">
        <v>0</v>
      </c>
      <c r="AD26" s="89">
        <v>0</v>
      </c>
      <c r="AE26" s="89">
        <v>0</v>
      </c>
      <c r="AF26" s="89">
        <v>0</v>
      </c>
      <c r="AG26" s="89">
        <v>0</v>
      </c>
      <c r="AH26" s="89">
        <v>0</v>
      </c>
      <c r="AI26" s="89">
        <v>0</v>
      </c>
      <c r="AJ26" s="89">
        <v>0</v>
      </c>
      <c r="AK26" s="89">
        <v>0</v>
      </c>
      <c r="AL26" s="89">
        <v>0</v>
      </c>
      <c r="AM26" s="89">
        <v>0</v>
      </c>
      <c r="AN26" s="89">
        <v>0</v>
      </c>
      <c r="AO26" s="89">
        <v>0</v>
      </c>
      <c r="AP26" s="89">
        <v>0</v>
      </c>
      <c r="AQ26" s="89">
        <v>0</v>
      </c>
      <c r="AR26" s="89">
        <v>0</v>
      </c>
      <c r="AS26" s="89">
        <v>0</v>
      </c>
      <c r="AT26" s="89">
        <v>0</v>
      </c>
      <c r="AU26" s="89">
        <v>0</v>
      </c>
      <c r="AV26" s="89">
        <v>0</v>
      </c>
      <c r="AW26" s="90">
        <v>0</v>
      </c>
      <c r="AY26" s="51">
        <f t="shared" si="0"/>
        <v>0</v>
      </c>
    </row>
    <row r="27" spans="1:51" ht="14.4">
      <c r="A27" s="47" t="s">
        <v>168</v>
      </c>
      <c r="B27" s="83" t="s">
        <v>171</v>
      </c>
      <c r="C27" s="88">
        <v>0</v>
      </c>
      <c r="D27" s="89">
        <v>0</v>
      </c>
      <c r="E27" s="89">
        <v>0</v>
      </c>
      <c r="F27" s="89">
        <v>0</v>
      </c>
      <c r="G27" s="89">
        <v>0</v>
      </c>
      <c r="H27" s="89">
        <v>0</v>
      </c>
      <c r="I27" s="89">
        <v>0</v>
      </c>
      <c r="J27" s="89">
        <v>0</v>
      </c>
      <c r="K27" s="89">
        <v>0</v>
      </c>
      <c r="L27" s="89">
        <v>0</v>
      </c>
      <c r="M27" s="89">
        <v>0</v>
      </c>
      <c r="N27" s="89">
        <v>0</v>
      </c>
      <c r="O27" s="89">
        <v>0</v>
      </c>
      <c r="P27" s="89">
        <v>0</v>
      </c>
      <c r="Q27" s="89">
        <v>0</v>
      </c>
      <c r="R27" s="89">
        <v>0</v>
      </c>
      <c r="S27" s="89">
        <v>0</v>
      </c>
      <c r="T27" s="89">
        <v>0</v>
      </c>
      <c r="U27" s="89">
        <v>0</v>
      </c>
      <c r="V27" s="89">
        <v>0</v>
      </c>
      <c r="W27" s="89">
        <v>0</v>
      </c>
      <c r="X27" s="89">
        <v>0</v>
      </c>
      <c r="Y27" s="89">
        <v>0</v>
      </c>
      <c r="Z27" s="89">
        <v>0</v>
      </c>
      <c r="AA27" s="89">
        <v>0</v>
      </c>
      <c r="AB27" s="89">
        <v>0</v>
      </c>
      <c r="AC27" s="89">
        <v>0</v>
      </c>
      <c r="AD27" s="89">
        <v>0</v>
      </c>
      <c r="AE27" s="89">
        <v>0</v>
      </c>
      <c r="AF27" s="89">
        <v>0</v>
      </c>
      <c r="AG27" s="89">
        <v>0</v>
      </c>
      <c r="AH27" s="89">
        <v>0</v>
      </c>
      <c r="AI27" s="89">
        <v>0</v>
      </c>
      <c r="AJ27" s="89">
        <v>0</v>
      </c>
      <c r="AK27" s="89">
        <v>0</v>
      </c>
      <c r="AL27" s="89">
        <v>0</v>
      </c>
      <c r="AM27" s="89">
        <v>0</v>
      </c>
      <c r="AN27" s="89">
        <v>0</v>
      </c>
      <c r="AO27" s="89">
        <v>0</v>
      </c>
      <c r="AP27" s="89">
        <v>0</v>
      </c>
      <c r="AQ27" s="89">
        <v>151174</v>
      </c>
      <c r="AR27" s="89">
        <v>252251</v>
      </c>
      <c r="AS27" s="89">
        <v>210326</v>
      </c>
      <c r="AT27" s="89">
        <v>239425</v>
      </c>
      <c r="AU27" s="89">
        <v>1128707</v>
      </c>
      <c r="AV27" s="89">
        <v>5525365</v>
      </c>
      <c r="AW27" s="90">
        <v>6963050</v>
      </c>
      <c r="AY27" s="51">
        <f t="shared" si="0"/>
        <v>6963050</v>
      </c>
    </row>
    <row r="28" spans="1:51" ht="14.4">
      <c r="A28" s="65" t="s">
        <v>168</v>
      </c>
      <c r="B28" s="66" t="s">
        <v>172</v>
      </c>
      <c r="C28" s="67">
        <v>71457026</v>
      </c>
      <c r="D28" s="68">
        <v>72720893</v>
      </c>
      <c r="E28" s="68">
        <v>81199128</v>
      </c>
      <c r="F28" s="68">
        <v>84453473</v>
      </c>
      <c r="G28" s="68">
        <v>93407107</v>
      </c>
      <c r="H28" s="68">
        <v>102565518</v>
      </c>
      <c r="I28" s="68">
        <v>87694729</v>
      </c>
      <c r="J28" s="68">
        <v>94037731</v>
      </c>
      <c r="K28" s="68">
        <v>86288155</v>
      </c>
      <c r="L28" s="68">
        <v>73164625</v>
      </c>
      <c r="M28" s="68">
        <v>90617651</v>
      </c>
      <c r="N28" s="68">
        <v>101039927</v>
      </c>
      <c r="O28" s="68">
        <v>97595427</v>
      </c>
      <c r="P28" s="68">
        <v>103613355</v>
      </c>
      <c r="Q28" s="68">
        <v>99181476</v>
      </c>
      <c r="R28" s="68">
        <v>125501650</v>
      </c>
      <c r="S28" s="68">
        <v>103782664</v>
      </c>
      <c r="T28" s="68">
        <v>79209736</v>
      </c>
      <c r="U28" s="68">
        <v>67538170</v>
      </c>
      <c r="V28" s="68">
        <v>68745599</v>
      </c>
      <c r="W28" s="68">
        <v>90373889</v>
      </c>
      <c r="X28" s="68">
        <v>84825573</v>
      </c>
      <c r="Y28" s="68">
        <v>100185314</v>
      </c>
      <c r="Z28" s="68">
        <v>101169344</v>
      </c>
      <c r="AA28" s="68">
        <v>121422160</v>
      </c>
      <c r="AB28" s="68">
        <v>147006547</v>
      </c>
      <c r="AC28" s="68">
        <v>122662776</v>
      </c>
      <c r="AD28" s="68">
        <v>154852339</v>
      </c>
      <c r="AE28" s="68">
        <v>133112842</v>
      </c>
      <c r="AF28" s="68">
        <v>146265588</v>
      </c>
      <c r="AG28" s="68">
        <v>144389148</v>
      </c>
      <c r="AH28" s="68">
        <v>159836256</v>
      </c>
      <c r="AI28" s="68">
        <v>216193020</v>
      </c>
      <c r="AJ28" s="68">
        <v>206571983</v>
      </c>
      <c r="AK28" s="68">
        <v>251608123</v>
      </c>
      <c r="AL28" s="68">
        <v>238951156</v>
      </c>
      <c r="AM28" s="68">
        <v>265123855</v>
      </c>
      <c r="AN28" s="68">
        <v>312559975</v>
      </c>
      <c r="AO28" s="68">
        <v>333436784</v>
      </c>
      <c r="AP28" s="68">
        <v>443681250</v>
      </c>
      <c r="AQ28" s="68">
        <v>568417489</v>
      </c>
      <c r="AR28" s="68">
        <v>586757511</v>
      </c>
      <c r="AS28" s="68">
        <v>558032892</v>
      </c>
      <c r="AT28" s="68">
        <v>508207211</v>
      </c>
      <c r="AU28" s="68">
        <v>478721324</v>
      </c>
      <c r="AV28" s="68">
        <v>516881156</v>
      </c>
      <c r="AW28" s="69">
        <v>490879729</v>
      </c>
      <c r="AY28" s="51">
        <f t="shared" si="0"/>
        <v>586757511</v>
      </c>
    </row>
    <row r="29" spans="1:51" ht="14.4">
      <c r="A29" s="47" t="s">
        <v>174</v>
      </c>
      <c r="B29" s="25" t="s">
        <v>142</v>
      </c>
      <c r="C29" s="48">
        <v>0</v>
      </c>
      <c r="D29" s="49">
        <v>42</v>
      </c>
      <c r="E29" s="49">
        <v>636</v>
      </c>
      <c r="F29" s="49">
        <v>127</v>
      </c>
      <c r="G29" s="49">
        <v>763</v>
      </c>
      <c r="H29" s="49">
        <v>0</v>
      </c>
      <c r="I29" s="49">
        <v>0</v>
      </c>
      <c r="J29" s="49">
        <v>0</v>
      </c>
      <c r="K29" s="49">
        <v>0</v>
      </c>
      <c r="L29" s="49">
        <v>0</v>
      </c>
      <c r="M29" s="49">
        <v>85</v>
      </c>
      <c r="N29" s="49">
        <v>5043946</v>
      </c>
      <c r="O29" s="49">
        <v>6218850</v>
      </c>
      <c r="P29" s="49">
        <v>4853401</v>
      </c>
      <c r="Q29" s="49">
        <v>1207510</v>
      </c>
      <c r="R29" s="49">
        <v>8791979</v>
      </c>
      <c r="S29" s="49">
        <v>30529442</v>
      </c>
      <c r="T29" s="49">
        <v>47393325</v>
      </c>
      <c r="U29" s="49">
        <v>34087097</v>
      </c>
      <c r="V29" s="49">
        <v>44213163</v>
      </c>
      <c r="W29" s="49">
        <v>35877949</v>
      </c>
      <c r="X29" s="49">
        <v>74234847</v>
      </c>
      <c r="Y29" s="49">
        <v>83439942</v>
      </c>
      <c r="Z29" s="49">
        <v>96770839</v>
      </c>
      <c r="AA29" s="49">
        <v>118256924</v>
      </c>
      <c r="AB29" s="49">
        <v>181644604</v>
      </c>
      <c r="AC29" s="49">
        <v>189009244</v>
      </c>
      <c r="AD29" s="49">
        <v>218421730</v>
      </c>
      <c r="AE29" s="49">
        <v>252323267</v>
      </c>
      <c r="AF29" s="49">
        <v>202957370</v>
      </c>
      <c r="AG29" s="49">
        <v>223787626</v>
      </c>
      <c r="AH29" s="49">
        <v>302271338</v>
      </c>
      <c r="AI29" s="49">
        <v>356384473</v>
      </c>
      <c r="AJ29" s="49">
        <v>473626553</v>
      </c>
      <c r="AK29" s="49">
        <v>575964575</v>
      </c>
      <c r="AL29" s="49">
        <v>513159592</v>
      </c>
      <c r="AM29" s="49">
        <v>590239070</v>
      </c>
      <c r="AN29" s="49">
        <v>574098977</v>
      </c>
      <c r="AO29" s="49">
        <v>642420559</v>
      </c>
      <c r="AP29" s="49">
        <v>585939629</v>
      </c>
      <c r="AQ29" s="49">
        <v>497478954</v>
      </c>
      <c r="AR29" s="49">
        <v>404314810</v>
      </c>
      <c r="AS29" s="49">
        <v>372225329</v>
      </c>
      <c r="AT29" s="49">
        <v>367920169</v>
      </c>
      <c r="AU29" s="49">
        <v>331207285</v>
      </c>
      <c r="AV29" s="49">
        <v>296672224</v>
      </c>
      <c r="AW29" s="50">
        <v>253531053</v>
      </c>
      <c r="AY29" s="51">
        <f t="shared" si="0"/>
        <v>642420559</v>
      </c>
    </row>
    <row r="30" spans="1:51" ht="14.4">
      <c r="A30" s="47" t="s">
        <v>174</v>
      </c>
      <c r="B30" s="25" t="s">
        <v>169</v>
      </c>
      <c r="C30" s="48">
        <v>0</v>
      </c>
      <c r="D30" s="49">
        <v>0</v>
      </c>
      <c r="E30" s="49">
        <v>0</v>
      </c>
      <c r="F30" s="49">
        <v>0</v>
      </c>
      <c r="G30" s="49">
        <v>0</v>
      </c>
      <c r="H30" s="49">
        <v>0</v>
      </c>
      <c r="I30" s="49">
        <v>0</v>
      </c>
      <c r="J30" s="49">
        <v>0</v>
      </c>
      <c r="K30" s="49">
        <v>4468173</v>
      </c>
      <c r="L30" s="49">
        <v>9057693</v>
      </c>
      <c r="M30" s="49">
        <v>10931523</v>
      </c>
      <c r="N30" s="49">
        <v>12719283</v>
      </c>
      <c r="O30" s="49">
        <v>14368474</v>
      </c>
      <c r="P30" s="49">
        <v>18342896</v>
      </c>
      <c r="Q30" s="49">
        <v>16401757</v>
      </c>
      <c r="R30" s="49">
        <v>1253250</v>
      </c>
      <c r="S30" s="49">
        <v>0</v>
      </c>
      <c r="T30" s="49">
        <v>0</v>
      </c>
      <c r="U30" s="49">
        <v>1</v>
      </c>
      <c r="V30" s="49">
        <v>2148</v>
      </c>
      <c r="W30" s="49">
        <v>1275</v>
      </c>
      <c r="X30" s="49">
        <v>1161216</v>
      </c>
      <c r="Y30" s="49">
        <v>1153734</v>
      </c>
      <c r="Z30" s="49">
        <v>919171</v>
      </c>
      <c r="AA30" s="49">
        <v>559679</v>
      </c>
      <c r="AB30" s="49">
        <v>655792</v>
      </c>
      <c r="AC30" s="49">
        <v>837998</v>
      </c>
      <c r="AD30" s="49">
        <v>7749913</v>
      </c>
      <c r="AE30" s="49">
        <v>8386889</v>
      </c>
      <c r="AF30" s="49">
        <v>7885326</v>
      </c>
      <c r="AG30" s="49">
        <v>697385</v>
      </c>
      <c r="AH30" s="49">
        <v>1701738</v>
      </c>
      <c r="AI30" s="49">
        <v>1024424</v>
      </c>
      <c r="AJ30" s="49">
        <v>1327292</v>
      </c>
      <c r="AK30" s="49">
        <v>157831</v>
      </c>
      <c r="AL30" s="49">
        <v>1163642</v>
      </c>
      <c r="AM30" s="49">
        <v>2251528</v>
      </c>
      <c r="AN30" s="49">
        <v>1409702</v>
      </c>
      <c r="AO30" s="49">
        <v>179932</v>
      </c>
      <c r="AP30" s="49">
        <v>155886</v>
      </c>
      <c r="AQ30" s="49">
        <v>3538632</v>
      </c>
      <c r="AR30" s="49">
        <v>2755297</v>
      </c>
      <c r="AS30" s="49">
        <v>6295023</v>
      </c>
      <c r="AT30" s="49">
        <v>4346348</v>
      </c>
      <c r="AU30" s="49">
        <v>2791747</v>
      </c>
      <c r="AV30" s="49">
        <v>480959</v>
      </c>
      <c r="AW30" s="50">
        <v>1011221</v>
      </c>
      <c r="AY30" s="51">
        <f t="shared" si="0"/>
        <v>6295023</v>
      </c>
    </row>
    <row r="31" spans="1:51" ht="14.4">
      <c r="A31" s="47" t="s">
        <v>174</v>
      </c>
      <c r="B31" s="25" t="s">
        <v>98</v>
      </c>
      <c r="C31" s="48">
        <v>0</v>
      </c>
      <c r="D31" s="49">
        <v>0</v>
      </c>
      <c r="E31" s="49">
        <v>0</v>
      </c>
      <c r="F31" s="49">
        <v>0</v>
      </c>
      <c r="G31" s="49">
        <v>0</v>
      </c>
      <c r="H31" s="49">
        <v>0</v>
      </c>
      <c r="I31" s="49">
        <v>0</v>
      </c>
      <c r="J31" s="49">
        <v>0</v>
      </c>
      <c r="K31" s="49">
        <v>0</v>
      </c>
      <c r="L31" s="49">
        <v>0</v>
      </c>
      <c r="M31" s="49">
        <v>0</v>
      </c>
      <c r="N31" s="49">
        <v>0</v>
      </c>
      <c r="O31" s="49">
        <v>0</v>
      </c>
      <c r="P31" s="49">
        <v>0</v>
      </c>
      <c r="Q31" s="49">
        <v>0</v>
      </c>
      <c r="R31" s="49">
        <v>0</v>
      </c>
      <c r="S31" s="49">
        <v>0</v>
      </c>
      <c r="T31" s="49">
        <v>0</v>
      </c>
      <c r="U31" s="49">
        <v>0</v>
      </c>
      <c r="V31" s="49">
        <v>0</v>
      </c>
      <c r="W31" s="49">
        <v>0</v>
      </c>
      <c r="X31" s="49">
        <v>0</v>
      </c>
      <c r="Y31" s="49">
        <v>0</v>
      </c>
      <c r="Z31" s="49">
        <v>0</v>
      </c>
      <c r="AA31" s="49">
        <v>0</v>
      </c>
      <c r="AB31" s="49">
        <v>0</v>
      </c>
      <c r="AC31" s="49">
        <v>0</v>
      </c>
      <c r="AD31" s="49">
        <v>0</v>
      </c>
      <c r="AE31" s="49">
        <v>0</v>
      </c>
      <c r="AF31" s="49">
        <v>0</v>
      </c>
      <c r="AG31" s="49">
        <v>0</v>
      </c>
      <c r="AH31" s="49">
        <v>0</v>
      </c>
      <c r="AI31" s="49">
        <v>0</v>
      </c>
      <c r="AJ31" s="49">
        <v>0</v>
      </c>
      <c r="AK31" s="49">
        <v>0</v>
      </c>
      <c r="AL31" s="49">
        <v>0</v>
      </c>
      <c r="AM31" s="49">
        <v>0</v>
      </c>
      <c r="AN31" s="49">
        <v>0</v>
      </c>
      <c r="AO31" s="49">
        <v>0</v>
      </c>
      <c r="AP31" s="49">
        <v>0</v>
      </c>
      <c r="AQ31" s="49">
        <v>0</v>
      </c>
      <c r="AR31" s="49">
        <v>0</v>
      </c>
      <c r="AS31" s="49">
        <v>0</v>
      </c>
      <c r="AT31" s="49">
        <v>0</v>
      </c>
      <c r="AU31" s="49">
        <v>0</v>
      </c>
      <c r="AV31" s="49">
        <v>0</v>
      </c>
      <c r="AW31" s="50">
        <v>0</v>
      </c>
      <c r="AY31" s="51">
        <f t="shared" si="0"/>
        <v>0</v>
      </c>
    </row>
    <row r="32" spans="1:51" ht="14.4">
      <c r="A32" s="47" t="s">
        <v>174</v>
      </c>
      <c r="B32" s="25" t="s">
        <v>75</v>
      </c>
      <c r="C32" s="48">
        <v>485295</v>
      </c>
      <c r="D32" s="49">
        <v>796470</v>
      </c>
      <c r="E32" s="49">
        <v>503827</v>
      </c>
      <c r="F32" s="49">
        <v>344644</v>
      </c>
      <c r="G32" s="49">
        <v>410013</v>
      </c>
      <c r="H32" s="49">
        <v>153190</v>
      </c>
      <c r="I32" s="49">
        <v>222847</v>
      </c>
      <c r="J32" s="49">
        <v>476812</v>
      </c>
      <c r="K32" s="49">
        <v>212844</v>
      </c>
      <c r="L32" s="49">
        <v>462014</v>
      </c>
      <c r="M32" s="49">
        <v>99391</v>
      </c>
      <c r="N32" s="49">
        <v>976075</v>
      </c>
      <c r="O32" s="49">
        <v>1015292</v>
      </c>
      <c r="P32" s="49">
        <v>386222</v>
      </c>
      <c r="Q32" s="49">
        <v>573963</v>
      </c>
      <c r="R32" s="49">
        <v>345650</v>
      </c>
      <c r="S32" s="49">
        <v>708786</v>
      </c>
      <c r="T32" s="49">
        <v>704434</v>
      </c>
      <c r="U32" s="49">
        <v>1072524</v>
      </c>
      <c r="V32" s="49">
        <v>1386163</v>
      </c>
      <c r="W32" s="49">
        <v>2109300</v>
      </c>
      <c r="X32" s="49">
        <v>2805697</v>
      </c>
      <c r="Y32" s="49">
        <v>2959922</v>
      </c>
      <c r="Z32" s="49">
        <v>2095306</v>
      </c>
      <c r="AA32" s="49">
        <v>3043077</v>
      </c>
      <c r="AB32" s="49">
        <v>3027047</v>
      </c>
      <c r="AC32" s="49">
        <v>2847025</v>
      </c>
      <c r="AD32" s="49">
        <v>2049161</v>
      </c>
      <c r="AE32" s="49">
        <v>1664050</v>
      </c>
      <c r="AF32" s="49">
        <v>1682521</v>
      </c>
      <c r="AG32" s="49">
        <v>3181344</v>
      </c>
      <c r="AH32" s="49">
        <v>5064160</v>
      </c>
      <c r="AI32" s="49">
        <v>3447077</v>
      </c>
      <c r="AJ32" s="49">
        <v>10095438</v>
      </c>
      <c r="AK32" s="49">
        <v>7089280</v>
      </c>
      <c r="AL32" s="49">
        <v>6423808</v>
      </c>
      <c r="AM32" s="49">
        <v>5485478</v>
      </c>
      <c r="AN32" s="49">
        <v>4139586</v>
      </c>
      <c r="AO32" s="49">
        <v>4702534</v>
      </c>
      <c r="AP32" s="49">
        <v>3056700</v>
      </c>
      <c r="AQ32" s="49">
        <v>3984888</v>
      </c>
      <c r="AR32" s="49">
        <v>4337616</v>
      </c>
      <c r="AS32" s="49">
        <v>3481882</v>
      </c>
      <c r="AT32" s="49">
        <v>4480015</v>
      </c>
      <c r="AU32" s="49">
        <v>5805714</v>
      </c>
      <c r="AV32" s="49">
        <v>4390092</v>
      </c>
      <c r="AW32" s="50">
        <v>6381304</v>
      </c>
      <c r="AY32" s="51">
        <f t="shared" si="0"/>
        <v>7089280</v>
      </c>
    </row>
    <row r="33" spans="1:51" ht="14.4">
      <c r="A33" s="47" t="s">
        <v>174</v>
      </c>
      <c r="B33" s="25" t="s">
        <v>100</v>
      </c>
      <c r="C33" s="48">
        <v>3915435</v>
      </c>
      <c r="D33" s="49">
        <v>846162</v>
      </c>
      <c r="E33" s="49">
        <v>1836613</v>
      </c>
      <c r="F33" s="49">
        <v>1219000</v>
      </c>
      <c r="G33" s="49">
        <v>5505752</v>
      </c>
      <c r="H33" s="49">
        <v>2152815</v>
      </c>
      <c r="I33" s="49">
        <v>4626834</v>
      </c>
      <c r="J33" s="49">
        <v>8043454</v>
      </c>
      <c r="K33" s="49">
        <v>5432889</v>
      </c>
      <c r="L33" s="49">
        <v>4161602</v>
      </c>
      <c r="M33" s="49">
        <v>2424995</v>
      </c>
      <c r="N33" s="49">
        <v>3173760</v>
      </c>
      <c r="O33" s="49">
        <v>3032777</v>
      </c>
      <c r="P33" s="49">
        <v>1769537</v>
      </c>
      <c r="Q33" s="49">
        <v>2638275</v>
      </c>
      <c r="R33" s="49">
        <v>3067434</v>
      </c>
      <c r="S33" s="49">
        <v>4281148</v>
      </c>
      <c r="T33" s="49">
        <v>3591675</v>
      </c>
      <c r="U33" s="49">
        <v>6175917</v>
      </c>
      <c r="V33" s="49">
        <v>12108552</v>
      </c>
      <c r="W33" s="49">
        <v>13378524</v>
      </c>
      <c r="X33" s="49">
        <v>13142882</v>
      </c>
      <c r="Y33" s="49">
        <v>10900130</v>
      </c>
      <c r="Z33" s="49">
        <v>14161616</v>
      </c>
      <c r="AA33" s="49">
        <v>15917518</v>
      </c>
      <c r="AB33" s="49">
        <v>15337304</v>
      </c>
      <c r="AC33" s="49">
        <v>20819794</v>
      </c>
      <c r="AD33" s="49">
        <v>16584620</v>
      </c>
      <c r="AE33" s="49">
        <v>17458513</v>
      </c>
      <c r="AF33" s="49">
        <v>20924810</v>
      </c>
      <c r="AG33" s="49">
        <v>21503660</v>
      </c>
      <c r="AH33" s="49">
        <v>18215628</v>
      </c>
      <c r="AI33" s="49">
        <v>15296311</v>
      </c>
      <c r="AJ33" s="49">
        <v>13483912</v>
      </c>
      <c r="AK33" s="49">
        <v>12059690</v>
      </c>
      <c r="AL33" s="49">
        <v>10953969</v>
      </c>
      <c r="AM33" s="49">
        <v>10640783</v>
      </c>
      <c r="AN33" s="49">
        <v>10857037</v>
      </c>
      <c r="AO33" s="49">
        <v>11317563</v>
      </c>
      <c r="AP33" s="49">
        <v>8855189</v>
      </c>
      <c r="AQ33" s="49">
        <v>11638972</v>
      </c>
      <c r="AR33" s="49">
        <v>12206684</v>
      </c>
      <c r="AS33" s="49">
        <v>8738279</v>
      </c>
      <c r="AT33" s="49">
        <v>8603788</v>
      </c>
      <c r="AU33" s="49">
        <v>8665999</v>
      </c>
      <c r="AV33" s="49">
        <v>9162081</v>
      </c>
      <c r="AW33" s="50">
        <v>20765080</v>
      </c>
      <c r="AY33" s="51">
        <f t="shared" si="0"/>
        <v>20765080</v>
      </c>
    </row>
    <row r="34" spans="1:51" ht="14.4">
      <c r="A34" s="47" t="s">
        <v>174</v>
      </c>
      <c r="B34" s="25" t="s">
        <v>77</v>
      </c>
      <c r="C34" s="48">
        <v>10372488</v>
      </c>
      <c r="D34" s="49">
        <v>12099264</v>
      </c>
      <c r="E34" s="49">
        <v>12125277</v>
      </c>
      <c r="F34" s="49">
        <v>13269196</v>
      </c>
      <c r="G34" s="49">
        <v>17225913</v>
      </c>
      <c r="H34" s="49">
        <v>23988118</v>
      </c>
      <c r="I34" s="49">
        <v>21755872</v>
      </c>
      <c r="J34" s="49">
        <v>23512489</v>
      </c>
      <c r="K34" s="49">
        <v>24293532</v>
      </c>
      <c r="L34" s="49">
        <v>25066266</v>
      </c>
      <c r="M34" s="49">
        <v>24461486</v>
      </c>
      <c r="N34" s="49">
        <v>21475863</v>
      </c>
      <c r="O34" s="49">
        <v>22155333</v>
      </c>
      <c r="P34" s="49">
        <v>24264126</v>
      </c>
      <c r="Q34" s="49">
        <v>15840003</v>
      </c>
      <c r="R34" s="49">
        <v>17134569</v>
      </c>
      <c r="S34" s="49">
        <v>11942449</v>
      </c>
      <c r="T34" s="49">
        <v>14543736</v>
      </c>
      <c r="U34" s="49">
        <v>17697716</v>
      </c>
      <c r="V34" s="49">
        <v>16055428</v>
      </c>
      <c r="W34" s="49">
        <v>17967949</v>
      </c>
      <c r="X34" s="49">
        <v>20206103</v>
      </c>
      <c r="Y34" s="49">
        <v>21576175</v>
      </c>
      <c r="Z34" s="49">
        <v>22325759</v>
      </c>
      <c r="AA34" s="49">
        <v>16140332</v>
      </c>
      <c r="AB34" s="49">
        <v>17455509</v>
      </c>
      <c r="AC34" s="49">
        <v>14519279</v>
      </c>
      <c r="AD34" s="49">
        <v>19302485</v>
      </c>
      <c r="AE34" s="49">
        <v>16802662</v>
      </c>
      <c r="AF34" s="49">
        <v>22046700</v>
      </c>
      <c r="AG34" s="49">
        <v>53271236</v>
      </c>
      <c r="AH34" s="49">
        <v>48636821</v>
      </c>
      <c r="AI34" s="49">
        <v>28086275</v>
      </c>
      <c r="AJ34" s="49">
        <v>34201719</v>
      </c>
      <c r="AK34" s="49">
        <v>48820968</v>
      </c>
      <c r="AL34" s="49">
        <v>43289826</v>
      </c>
      <c r="AM34" s="49">
        <v>39113594</v>
      </c>
      <c r="AN34" s="49">
        <v>36267263</v>
      </c>
      <c r="AO34" s="49">
        <v>35719847</v>
      </c>
      <c r="AP34" s="49">
        <v>37434896</v>
      </c>
      <c r="AQ34" s="49">
        <v>37758929</v>
      </c>
      <c r="AR34" s="49">
        <v>39483291</v>
      </c>
      <c r="AS34" s="49">
        <v>40032811</v>
      </c>
      <c r="AT34" s="49">
        <v>41795268</v>
      </c>
      <c r="AU34" s="49">
        <v>34108807</v>
      </c>
      <c r="AV34" s="49">
        <v>33146198</v>
      </c>
      <c r="AW34" s="50">
        <v>42409131</v>
      </c>
      <c r="AY34" s="51">
        <f t="shared" si="0"/>
        <v>48820968</v>
      </c>
    </row>
    <row r="35" spans="1:51" ht="14.4">
      <c r="A35" s="47" t="s">
        <v>174</v>
      </c>
      <c r="B35" s="25" t="s">
        <v>96</v>
      </c>
      <c r="C35" s="48">
        <v>1216085</v>
      </c>
      <c r="D35" s="49">
        <v>716271</v>
      </c>
      <c r="E35" s="49">
        <v>566326</v>
      </c>
      <c r="F35" s="49">
        <v>905931</v>
      </c>
      <c r="G35" s="49">
        <v>831242</v>
      </c>
      <c r="H35" s="49">
        <v>1032951</v>
      </c>
      <c r="I35" s="49">
        <v>1057441</v>
      </c>
      <c r="J35" s="49">
        <v>1634034</v>
      </c>
      <c r="K35" s="49">
        <v>1428341</v>
      </c>
      <c r="L35" s="49">
        <v>1013298</v>
      </c>
      <c r="M35" s="49">
        <v>1666274</v>
      </c>
      <c r="N35" s="49">
        <v>786956</v>
      </c>
      <c r="O35" s="49">
        <v>339127</v>
      </c>
      <c r="P35" s="49">
        <v>911239</v>
      </c>
      <c r="Q35" s="49">
        <v>106619</v>
      </c>
      <c r="R35" s="49">
        <v>48994</v>
      </c>
      <c r="S35" s="49">
        <v>124676</v>
      </c>
      <c r="T35" s="49">
        <v>644425</v>
      </c>
      <c r="U35" s="49">
        <v>3092461</v>
      </c>
      <c r="V35" s="49">
        <v>4912570</v>
      </c>
      <c r="W35" s="49">
        <v>3773383</v>
      </c>
      <c r="X35" s="49">
        <v>299788</v>
      </c>
      <c r="Y35" s="49">
        <v>2860866</v>
      </c>
      <c r="Z35" s="49">
        <v>2882644</v>
      </c>
      <c r="AA35" s="49">
        <v>2077061</v>
      </c>
      <c r="AB35" s="49">
        <v>2356313</v>
      </c>
      <c r="AC35" s="49">
        <v>3969004</v>
      </c>
      <c r="AD35" s="49">
        <v>3741044</v>
      </c>
      <c r="AE35" s="49">
        <v>2547977</v>
      </c>
      <c r="AF35" s="49">
        <v>12309074</v>
      </c>
      <c r="AG35" s="49">
        <v>16717962</v>
      </c>
      <c r="AH35" s="49">
        <v>16562537</v>
      </c>
      <c r="AI35" s="49">
        <v>12136193</v>
      </c>
      <c r="AJ35" s="49">
        <v>27804502</v>
      </c>
      <c r="AK35" s="49">
        <v>26346961</v>
      </c>
      <c r="AL35" s="49">
        <v>25658098</v>
      </c>
      <c r="AM35" s="49">
        <v>24882344</v>
      </c>
      <c r="AN35" s="49">
        <v>27207992</v>
      </c>
      <c r="AO35" s="49">
        <v>29056586</v>
      </c>
      <c r="AP35" s="49">
        <v>41893657</v>
      </c>
      <c r="AQ35" s="49">
        <v>30200387</v>
      </c>
      <c r="AR35" s="49">
        <v>45188997</v>
      </c>
      <c r="AS35" s="49">
        <v>25469945</v>
      </c>
      <c r="AT35" s="49">
        <v>32019391</v>
      </c>
      <c r="AU35" s="49">
        <v>20554460</v>
      </c>
      <c r="AV35" s="49">
        <v>17053417</v>
      </c>
      <c r="AW35" s="50">
        <v>12638723</v>
      </c>
      <c r="AY35" s="51">
        <f t="shared" si="0"/>
        <v>45188997</v>
      </c>
    </row>
    <row r="36" spans="1:51" ht="14.4">
      <c r="A36" s="47" t="s">
        <v>174</v>
      </c>
      <c r="B36" s="84" t="s">
        <v>69</v>
      </c>
      <c r="C36" s="85">
        <v>12223174</v>
      </c>
      <c r="D36" s="86">
        <v>13434231</v>
      </c>
      <c r="E36" s="86">
        <v>10330454</v>
      </c>
      <c r="F36" s="86">
        <v>10460219</v>
      </c>
      <c r="G36" s="86">
        <v>14303134</v>
      </c>
      <c r="H36" s="86">
        <v>18441831</v>
      </c>
      <c r="I36" s="86">
        <v>23522661</v>
      </c>
      <c r="J36" s="86">
        <v>26568153</v>
      </c>
      <c r="K36" s="86">
        <v>25899770</v>
      </c>
      <c r="L36" s="86">
        <v>41578303</v>
      </c>
      <c r="M36" s="86">
        <v>47026577</v>
      </c>
      <c r="N36" s="86">
        <v>38476203</v>
      </c>
      <c r="O36" s="86">
        <v>35901332</v>
      </c>
      <c r="P36" s="86">
        <v>39156803</v>
      </c>
      <c r="Q36" s="86">
        <v>25908817</v>
      </c>
      <c r="R36" s="86">
        <v>28258593</v>
      </c>
      <c r="S36" s="86">
        <v>20644062</v>
      </c>
      <c r="T36" s="86">
        <v>29147039</v>
      </c>
      <c r="U36" s="86">
        <v>30242272</v>
      </c>
      <c r="V36" s="86">
        <v>29371139</v>
      </c>
      <c r="W36" s="86">
        <v>29367557</v>
      </c>
      <c r="X36" s="86">
        <v>25381235</v>
      </c>
      <c r="Y36" s="86">
        <v>26716086</v>
      </c>
      <c r="Z36" s="86">
        <v>31516710</v>
      </c>
      <c r="AA36" s="86">
        <v>31249682</v>
      </c>
      <c r="AB36" s="86">
        <v>37222119</v>
      </c>
      <c r="AC36" s="86">
        <v>48537109</v>
      </c>
      <c r="AD36" s="86">
        <v>50836014</v>
      </c>
      <c r="AE36" s="86">
        <v>53695385</v>
      </c>
      <c r="AF36" s="86">
        <v>53958051</v>
      </c>
      <c r="AG36" s="86">
        <v>47278869</v>
      </c>
      <c r="AH36" s="86">
        <v>38979594</v>
      </c>
      <c r="AI36" s="86">
        <v>37378273</v>
      </c>
      <c r="AJ36" s="86">
        <v>36379300</v>
      </c>
      <c r="AK36" s="86">
        <v>35684531</v>
      </c>
      <c r="AL36" s="86">
        <v>28452271</v>
      </c>
      <c r="AM36" s="86">
        <v>27235325</v>
      </c>
      <c r="AN36" s="86">
        <v>36102238</v>
      </c>
      <c r="AO36" s="86">
        <v>32075546</v>
      </c>
      <c r="AP36" s="86">
        <v>30791141</v>
      </c>
      <c r="AQ36" s="86">
        <v>49830336</v>
      </c>
      <c r="AR36" s="86">
        <v>31748428</v>
      </c>
      <c r="AS36" s="86">
        <v>31958951</v>
      </c>
      <c r="AT36" s="86">
        <v>34350058</v>
      </c>
      <c r="AU36" s="86">
        <v>32921067</v>
      </c>
      <c r="AV36" s="86">
        <v>39998435</v>
      </c>
      <c r="AW36" s="87">
        <v>46109256</v>
      </c>
      <c r="AY36" s="51">
        <f t="shared" si="0"/>
        <v>49830336</v>
      </c>
    </row>
    <row r="37" spans="1:51" ht="14.4">
      <c r="A37" s="47" t="s">
        <v>174</v>
      </c>
      <c r="B37" s="84" t="s">
        <v>51</v>
      </c>
      <c r="C37" s="85">
        <v>5713473</v>
      </c>
      <c r="D37" s="86">
        <v>6420884</v>
      </c>
      <c r="E37" s="86">
        <v>5809805</v>
      </c>
      <c r="F37" s="86">
        <v>8909355</v>
      </c>
      <c r="G37" s="86">
        <v>7454822</v>
      </c>
      <c r="H37" s="86">
        <v>10852717</v>
      </c>
      <c r="I37" s="86">
        <v>12057370</v>
      </c>
      <c r="J37" s="86">
        <v>16637286</v>
      </c>
      <c r="K37" s="86">
        <v>17793261</v>
      </c>
      <c r="L37" s="86">
        <v>4625275</v>
      </c>
      <c r="M37" s="86">
        <v>5150176</v>
      </c>
      <c r="N37" s="86">
        <v>4483627</v>
      </c>
      <c r="O37" s="86">
        <v>5224874</v>
      </c>
      <c r="P37" s="86">
        <v>5994817</v>
      </c>
      <c r="Q37" s="86">
        <v>4988518</v>
      </c>
      <c r="R37" s="86">
        <v>6153459</v>
      </c>
      <c r="S37" s="86">
        <v>5339118</v>
      </c>
      <c r="T37" s="86">
        <v>8733865</v>
      </c>
      <c r="U37" s="86">
        <v>10702733</v>
      </c>
      <c r="V37" s="86">
        <v>9489775</v>
      </c>
      <c r="W37" s="86">
        <v>11046462</v>
      </c>
      <c r="X37" s="86">
        <v>9868640</v>
      </c>
      <c r="Y37" s="86">
        <v>11377163</v>
      </c>
      <c r="Z37" s="86">
        <v>15438674</v>
      </c>
      <c r="AA37" s="86">
        <v>17534666</v>
      </c>
      <c r="AB37" s="86">
        <v>20533403</v>
      </c>
      <c r="AC37" s="86">
        <v>26864493</v>
      </c>
      <c r="AD37" s="86">
        <v>28546643</v>
      </c>
      <c r="AE37" s="86">
        <v>33631199</v>
      </c>
      <c r="AF37" s="86">
        <v>16848569</v>
      </c>
      <c r="AG37" s="86">
        <v>17195948</v>
      </c>
      <c r="AH37" s="86">
        <v>11725517</v>
      </c>
      <c r="AI37" s="86">
        <v>5261970</v>
      </c>
      <c r="AJ37" s="86">
        <v>10800604</v>
      </c>
      <c r="AK37" s="86">
        <v>18782911</v>
      </c>
      <c r="AL37" s="86">
        <v>18229716</v>
      </c>
      <c r="AM37" s="86">
        <v>14586320</v>
      </c>
      <c r="AN37" s="86">
        <v>19350884</v>
      </c>
      <c r="AO37" s="86">
        <v>18938223</v>
      </c>
      <c r="AP37" s="86">
        <v>18572086</v>
      </c>
      <c r="AQ37" s="86">
        <v>26536230</v>
      </c>
      <c r="AR37" s="86">
        <v>30044881</v>
      </c>
      <c r="AS37" s="86">
        <v>24374944</v>
      </c>
      <c r="AT37" s="86">
        <v>39197258</v>
      </c>
      <c r="AU37" s="86">
        <v>25180340</v>
      </c>
      <c r="AV37" s="86">
        <v>25884963</v>
      </c>
      <c r="AW37" s="87">
        <v>25655285</v>
      </c>
      <c r="AY37" s="51">
        <f t="shared" si="0"/>
        <v>39197258</v>
      </c>
    </row>
    <row r="38" spans="1:51" ht="14.4">
      <c r="A38" s="47" t="s">
        <v>174</v>
      </c>
      <c r="B38" s="83" t="s">
        <v>99</v>
      </c>
      <c r="C38" s="88">
        <v>16496632</v>
      </c>
      <c r="D38" s="89">
        <v>26161381</v>
      </c>
      <c r="E38" s="89">
        <v>30470178</v>
      </c>
      <c r="F38" s="89">
        <v>45559005</v>
      </c>
      <c r="G38" s="89">
        <v>46580380</v>
      </c>
      <c r="H38" s="89">
        <v>54587998</v>
      </c>
      <c r="I38" s="89">
        <v>59721097</v>
      </c>
      <c r="J38" s="89">
        <v>66689802</v>
      </c>
      <c r="K38" s="89">
        <v>40293186</v>
      </c>
      <c r="L38" s="89">
        <v>30627341</v>
      </c>
      <c r="M38" s="89">
        <v>30668225</v>
      </c>
      <c r="N38" s="89">
        <v>20298701</v>
      </c>
      <c r="O38" s="89">
        <v>18932248</v>
      </c>
      <c r="P38" s="89">
        <v>18161133</v>
      </c>
      <c r="Q38" s="89">
        <v>16242335</v>
      </c>
      <c r="R38" s="89">
        <v>14690566</v>
      </c>
      <c r="S38" s="89">
        <v>21257452</v>
      </c>
      <c r="T38" s="89">
        <v>32334429</v>
      </c>
      <c r="U38" s="89">
        <v>44704109</v>
      </c>
      <c r="V38" s="89">
        <v>37516363</v>
      </c>
      <c r="W38" s="89">
        <v>51532084</v>
      </c>
      <c r="X38" s="89">
        <v>52601999</v>
      </c>
      <c r="Y38" s="89">
        <v>79066721</v>
      </c>
      <c r="Z38" s="89">
        <v>79929607</v>
      </c>
      <c r="AA38" s="89">
        <v>75832760</v>
      </c>
      <c r="AB38" s="89">
        <v>75395555</v>
      </c>
      <c r="AC38" s="89">
        <v>91337961</v>
      </c>
      <c r="AD38" s="89">
        <v>88874529</v>
      </c>
      <c r="AE38" s="89">
        <v>86717696</v>
      </c>
      <c r="AF38" s="89">
        <v>74105560</v>
      </c>
      <c r="AG38" s="89">
        <v>68945438</v>
      </c>
      <c r="AH38" s="89">
        <v>48648328</v>
      </c>
      <c r="AI38" s="89">
        <v>41963587</v>
      </c>
      <c r="AJ38" s="89">
        <v>61431920</v>
      </c>
      <c r="AK38" s="89">
        <v>55367063</v>
      </c>
      <c r="AL38" s="89">
        <v>45373236</v>
      </c>
      <c r="AM38" s="89">
        <v>58621301</v>
      </c>
      <c r="AN38" s="89">
        <v>86746374</v>
      </c>
      <c r="AO38" s="89">
        <v>123816354</v>
      </c>
      <c r="AP38" s="89">
        <v>125078469</v>
      </c>
      <c r="AQ38" s="89">
        <v>126875996</v>
      </c>
      <c r="AR38" s="89">
        <v>137445612</v>
      </c>
      <c r="AS38" s="89">
        <v>166481069</v>
      </c>
      <c r="AT38" s="89">
        <v>122439323</v>
      </c>
      <c r="AU38" s="89">
        <v>107091131</v>
      </c>
      <c r="AV38" s="89">
        <v>95167031</v>
      </c>
      <c r="AW38" s="90">
        <v>128988988</v>
      </c>
      <c r="AY38" s="51">
        <f t="shared" si="0"/>
        <v>166481069</v>
      </c>
    </row>
    <row r="39" spans="1:51" ht="14.4">
      <c r="A39" s="47" t="s">
        <v>174</v>
      </c>
      <c r="B39" s="83" t="s">
        <v>170</v>
      </c>
      <c r="C39" s="88">
        <v>0</v>
      </c>
      <c r="D39" s="89">
        <v>0</v>
      </c>
      <c r="E39" s="89">
        <v>0</v>
      </c>
      <c r="F39" s="89">
        <v>0</v>
      </c>
      <c r="G39" s="89">
        <v>0</v>
      </c>
      <c r="H39" s="89">
        <v>0</v>
      </c>
      <c r="I39" s="89">
        <v>0</v>
      </c>
      <c r="J39" s="89">
        <v>0</v>
      </c>
      <c r="K39" s="89">
        <v>0</v>
      </c>
      <c r="L39" s="89">
        <v>0</v>
      </c>
      <c r="M39" s="89">
        <v>0</v>
      </c>
      <c r="N39" s="89">
        <v>0</v>
      </c>
      <c r="O39" s="89">
        <v>0</v>
      </c>
      <c r="P39" s="89">
        <v>0</v>
      </c>
      <c r="Q39" s="89">
        <v>0</v>
      </c>
      <c r="R39" s="89">
        <v>0</v>
      </c>
      <c r="S39" s="89">
        <v>0</v>
      </c>
      <c r="T39" s="89">
        <v>0</v>
      </c>
      <c r="U39" s="89">
        <v>0</v>
      </c>
      <c r="V39" s="89">
        <v>0</v>
      </c>
      <c r="W39" s="89">
        <v>0</v>
      </c>
      <c r="X39" s="89">
        <v>0</v>
      </c>
      <c r="Y39" s="89">
        <v>0</v>
      </c>
      <c r="Z39" s="89">
        <v>0</v>
      </c>
      <c r="AA39" s="89">
        <v>0</v>
      </c>
      <c r="AB39" s="89">
        <v>0</v>
      </c>
      <c r="AC39" s="89">
        <v>0</v>
      </c>
      <c r="AD39" s="89">
        <v>0</v>
      </c>
      <c r="AE39" s="89">
        <v>0</v>
      </c>
      <c r="AF39" s="89">
        <v>0</v>
      </c>
      <c r="AG39" s="89">
        <v>0</v>
      </c>
      <c r="AH39" s="89">
        <v>0</v>
      </c>
      <c r="AI39" s="89">
        <v>0</v>
      </c>
      <c r="AJ39" s="89">
        <v>0</v>
      </c>
      <c r="AK39" s="89">
        <v>0</v>
      </c>
      <c r="AL39" s="89">
        <v>0</v>
      </c>
      <c r="AM39" s="89">
        <v>0</v>
      </c>
      <c r="AN39" s="89">
        <v>0</v>
      </c>
      <c r="AO39" s="89">
        <v>0</v>
      </c>
      <c r="AP39" s="89">
        <v>0</v>
      </c>
      <c r="AQ39" s="89">
        <v>0</v>
      </c>
      <c r="AR39" s="89">
        <v>0</v>
      </c>
      <c r="AS39" s="89">
        <v>0</v>
      </c>
      <c r="AT39" s="89">
        <v>0</v>
      </c>
      <c r="AU39" s="89">
        <v>0</v>
      </c>
      <c r="AV39" s="89">
        <v>0</v>
      </c>
      <c r="AW39" s="90">
        <v>0</v>
      </c>
      <c r="AY39" s="51">
        <f t="shared" si="0"/>
        <v>0</v>
      </c>
    </row>
    <row r="40" spans="1:51" ht="14.4">
      <c r="A40" s="47" t="s">
        <v>174</v>
      </c>
      <c r="B40" s="83" t="s">
        <v>171</v>
      </c>
      <c r="C40" s="88">
        <v>0</v>
      </c>
      <c r="D40" s="89">
        <v>0</v>
      </c>
      <c r="E40" s="89">
        <v>0</v>
      </c>
      <c r="F40" s="89">
        <v>0</v>
      </c>
      <c r="G40" s="89">
        <v>0</v>
      </c>
      <c r="H40" s="89">
        <v>0</v>
      </c>
      <c r="I40" s="89">
        <v>0</v>
      </c>
      <c r="J40" s="89">
        <v>0</v>
      </c>
      <c r="K40" s="89">
        <v>0</v>
      </c>
      <c r="L40" s="89">
        <v>0</v>
      </c>
      <c r="M40" s="89">
        <v>0</v>
      </c>
      <c r="N40" s="89">
        <v>0</v>
      </c>
      <c r="O40" s="89">
        <v>0</v>
      </c>
      <c r="P40" s="89">
        <v>0</v>
      </c>
      <c r="Q40" s="89">
        <v>0</v>
      </c>
      <c r="R40" s="89">
        <v>0</v>
      </c>
      <c r="S40" s="89">
        <v>0</v>
      </c>
      <c r="T40" s="89">
        <v>0</v>
      </c>
      <c r="U40" s="89">
        <v>0</v>
      </c>
      <c r="V40" s="89">
        <v>0</v>
      </c>
      <c r="W40" s="89">
        <v>0</v>
      </c>
      <c r="X40" s="89">
        <v>0</v>
      </c>
      <c r="Y40" s="89">
        <v>0</v>
      </c>
      <c r="Z40" s="89">
        <v>0</v>
      </c>
      <c r="AA40" s="89">
        <v>0</v>
      </c>
      <c r="AB40" s="89">
        <v>0</v>
      </c>
      <c r="AC40" s="89">
        <v>0</v>
      </c>
      <c r="AD40" s="89">
        <v>0</v>
      </c>
      <c r="AE40" s="89">
        <v>0</v>
      </c>
      <c r="AF40" s="89">
        <v>0</v>
      </c>
      <c r="AG40" s="89">
        <v>0</v>
      </c>
      <c r="AH40" s="89">
        <v>0</v>
      </c>
      <c r="AI40" s="89">
        <v>0</v>
      </c>
      <c r="AJ40" s="89">
        <v>0</v>
      </c>
      <c r="AK40" s="89">
        <v>0</v>
      </c>
      <c r="AL40" s="89">
        <v>940000</v>
      </c>
      <c r="AM40" s="89">
        <v>1504000</v>
      </c>
      <c r="AN40" s="89">
        <v>1692000</v>
      </c>
      <c r="AO40" s="89">
        <v>2444000</v>
      </c>
      <c r="AP40" s="89">
        <v>2632000</v>
      </c>
      <c r="AQ40" s="89">
        <v>2632000</v>
      </c>
      <c r="AR40" s="89">
        <v>2632000</v>
      </c>
      <c r="AS40" s="89">
        <v>3660750</v>
      </c>
      <c r="AT40" s="89">
        <v>3122250</v>
      </c>
      <c r="AU40" s="89">
        <v>2845800</v>
      </c>
      <c r="AV40" s="89">
        <v>2092133</v>
      </c>
      <c r="AW40" s="90">
        <v>1488045</v>
      </c>
      <c r="AY40" s="51">
        <f t="shared" si="0"/>
        <v>3660750</v>
      </c>
    </row>
    <row r="41" spans="1:51" ht="15" thickBot="1">
      <c r="A41" s="76" t="s">
        <v>174</v>
      </c>
      <c r="B41" s="77" t="s">
        <v>172</v>
      </c>
      <c r="C41" s="78">
        <v>0</v>
      </c>
      <c r="D41" s="79">
        <v>0</v>
      </c>
      <c r="E41" s="79">
        <v>0</v>
      </c>
      <c r="F41" s="79">
        <v>0</v>
      </c>
      <c r="G41" s="79">
        <v>0</v>
      </c>
      <c r="H41" s="79">
        <v>0</v>
      </c>
      <c r="I41" s="79">
        <v>0</v>
      </c>
      <c r="J41" s="79">
        <v>0</v>
      </c>
      <c r="K41" s="79">
        <v>0</v>
      </c>
      <c r="L41" s="79">
        <v>0</v>
      </c>
      <c r="M41" s="79">
        <v>0</v>
      </c>
      <c r="N41" s="79">
        <v>0</v>
      </c>
      <c r="O41" s="79">
        <v>0</v>
      </c>
      <c r="P41" s="79">
        <v>0</v>
      </c>
      <c r="Q41" s="79">
        <v>0</v>
      </c>
      <c r="R41" s="79">
        <v>0</v>
      </c>
      <c r="S41" s="79">
        <v>0</v>
      </c>
      <c r="T41" s="79">
        <v>0</v>
      </c>
      <c r="U41" s="79">
        <v>0</v>
      </c>
      <c r="V41" s="79">
        <v>0</v>
      </c>
      <c r="W41" s="79">
        <v>0</v>
      </c>
      <c r="X41" s="79">
        <v>0</v>
      </c>
      <c r="Y41" s="79">
        <v>0</v>
      </c>
      <c r="Z41" s="79">
        <v>0</v>
      </c>
      <c r="AA41" s="79">
        <v>0</v>
      </c>
      <c r="AB41" s="79">
        <v>0</v>
      </c>
      <c r="AC41" s="79">
        <v>0</v>
      </c>
      <c r="AD41" s="79">
        <v>0</v>
      </c>
      <c r="AE41" s="79">
        <v>0</v>
      </c>
      <c r="AF41" s="79">
        <v>0</v>
      </c>
      <c r="AG41" s="79">
        <v>0</v>
      </c>
      <c r="AH41" s="79">
        <v>0</v>
      </c>
      <c r="AI41" s="79">
        <v>0</v>
      </c>
      <c r="AJ41" s="79">
        <v>0</v>
      </c>
      <c r="AK41" s="79">
        <v>0</v>
      </c>
      <c r="AL41" s="79">
        <v>0</v>
      </c>
      <c r="AM41" s="79">
        <v>0</v>
      </c>
      <c r="AN41" s="79">
        <v>0</v>
      </c>
      <c r="AO41" s="79">
        <v>0</v>
      </c>
      <c r="AP41" s="79">
        <v>0</v>
      </c>
      <c r="AQ41" s="79">
        <v>0</v>
      </c>
      <c r="AR41" s="79">
        <v>0</v>
      </c>
      <c r="AS41" s="79">
        <v>0</v>
      </c>
      <c r="AT41" s="79">
        <v>0</v>
      </c>
      <c r="AU41" s="79">
        <v>0</v>
      </c>
      <c r="AV41" s="79">
        <v>0</v>
      </c>
      <c r="AW41" s="80">
        <v>0</v>
      </c>
      <c r="AY41" s="51">
        <f t="shared" si="0"/>
        <v>0</v>
      </c>
    </row>
    <row r="42" spans="1:51" ht="13.8" thickTop="1"/>
  </sheetData>
  <mergeCells count="9">
    <mergeCell ref="I1:I2"/>
    <mergeCell ref="J1:J2"/>
    <mergeCell ref="M2:P2"/>
    <mergeCell ref="A1:A2"/>
    <mergeCell ref="B1:B2"/>
    <mergeCell ref="C1:C2"/>
    <mergeCell ref="D1:D2"/>
    <mergeCell ref="E1:F1"/>
    <mergeCell ref="G1:H1"/>
  </mergeCells>
  <conditionalFormatting sqref="A8:B9">
    <cfRule type="containsBlanks" dxfId="1" priority="2">
      <formula>LEN(TRIM(A8))=0</formula>
    </cfRule>
  </conditionalFormatting>
  <conditionalFormatting sqref="C8:C9">
    <cfRule type="containsBlanks" dxfId="0" priority="1">
      <formula>LEN(TRIM(C8))=0</formula>
    </cfRule>
  </conditionalFormatting>
  <pageMargins left="0.7" right="0.7" top="0.75" bottom="0.75" header="0.3" footer="0.3"/>
  <pageSetup paperSize="9" orientation="portrait" horizontalDpi="0" verticalDpi="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5">
    <tabColor theme="4"/>
  </sheetPr>
  <dimension ref="A1:DJ111"/>
  <sheetViews>
    <sheetView topLeftCell="AC66" zoomScaleNormal="100" workbookViewId="0">
      <selection activeCell="AV95" sqref="AV95"/>
    </sheetView>
  </sheetViews>
  <sheetFormatPr defaultColWidth="9.109375" defaultRowHeight="13.2"/>
  <cols>
    <col min="1" max="1" width="19.44140625" style="119" bestFit="1" customWidth="1"/>
    <col min="2" max="2" width="18.44140625" style="119" bestFit="1" customWidth="1"/>
    <col min="3" max="3" width="15.44140625" style="119" customWidth="1"/>
    <col min="4" max="4" width="14.6640625" style="119" customWidth="1"/>
    <col min="5" max="6" width="11.6640625" style="119" bestFit="1" customWidth="1"/>
    <col min="7" max="7" width="13.109375" style="119" bestFit="1" customWidth="1"/>
    <col min="8" max="9" width="12" style="119" bestFit="1" customWidth="1"/>
    <col min="10" max="10" width="12.44140625" style="119" customWidth="1"/>
    <col min="11" max="11" width="11.6640625" style="119" customWidth="1"/>
    <col min="12" max="12" width="12.44140625" style="119" customWidth="1"/>
    <col min="13" max="13" width="14.33203125" style="119" customWidth="1"/>
    <col min="14" max="14" width="13.6640625" style="119" customWidth="1"/>
    <col min="15" max="15" width="12.33203125" style="119" customWidth="1"/>
    <col min="16" max="16" width="12.44140625" style="119" customWidth="1"/>
    <col min="17" max="17" width="12.109375" style="119" customWidth="1"/>
    <col min="18" max="18" width="11.6640625" style="119" customWidth="1"/>
    <col min="19" max="19" width="12" style="119" customWidth="1"/>
    <col min="20" max="20" width="12.33203125" style="119" customWidth="1"/>
    <col min="21" max="21" width="12" style="119" customWidth="1"/>
    <col min="22" max="22" width="12.109375" style="119" customWidth="1"/>
    <col min="23" max="23" width="12" style="119" customWidth="1"/>
    <col min="24" max="24" width="12.109375" style="119" customWidth="1"/>
    <col min="25" max="27" width="11.6640625" style="119" customWidth="1"/>
    <col min="28" max="28" width="12" style="119" customWidth="1"/>
    <col min="29" max="29" width="11.6640625" style="119" customWidth="1"/>
    <col min="30" max="49" width="11.109375" style="119" bestFit="1" customWidth="1"/>
    <col min="50" max="50" width="15.44140625" style="119" customWidth="1"/>
    <col min="51" max="51" width="28" style="119" bestFit="1" customWidth="1"/>
    <col min="52" max="52" width="11.33203125" style="119" bestFit="1" customWidth="1"/>
    <col min="53" max="94" width="10.6640625" style="119" bestFit="1" customWidth="1"/>
    <col min="95" max="95" width="12" style="119" bestFit="1" customWidth="1"/>
    <col min="96" max="96" width="13.109375" style="119" bestFit="1" customWidth="1"/>
    <col min="97" max="97" width="10.6640625" style="119" bestFit="1" customWidth="1"/>
    <col min="98" max="98" width="13.109375" style="119" bestFit="1" customWidth="1"/>
    <col min="99" max="99" width="9.109375" style="119"/>
    <col min="100" max="102" width="11.33203125" style="119" bestFit="1" customWidth="1"/>
    <col min="103" max="103" width="9.109375" style="119"/>
    <col min="104" max="104" width="9.6640625" style="119" bestFit="1" customWidth="1"/>
    <col min="105" max="107" width="11.33203125" style="119" bestFit="1" customWidth="1"/>
    <col min="108" max="16384" width="9.109375" style="119"/>
  </cols>
  <sheetData>
    <row r="1" spans="1:49" ht="15.6">
      <c r="A1" s="846"/>
      <c r="B1" s="845"/>
      <c r="C1" s="845"/>
      <c r="D1" s="845"/>
      <c r="E1" s="845"/>
      <c r="F1" s="845"/>
      <c r="G1" s="845"/>
      <c r="H1" s="845"/>
      <c r="I1" s="845"/>
      <c r="J1" s="845"/>
      <c r="K1" s="116"/>
      <c r="L1" s="117"/>
      <c r="M1" s="118"/>
      <c r="N1" s="118"/>
    </row>
    <row r="2" spans="1:49" ht="14.4">
      <c r="A2" s="846"/>
      <c r="B2" s="845"/>
      <c r="C2" s="845"/>
      <c r="D2" s="845"/>
      <c r="E2" s="120"/>
      <c r="F2" s="120"/>
      <c r="G2" s="120"/>
      <c r="H2" s="120"/>
      <c r="I2" s="845"/>
      <c r="J2" s="845"/>
      <c r="K2" s="116"/>
      <c r="L2" s="121"/>
      <c r="M2" s="121"/>
      <c r="N2" s="121"/>
    </row>
    <row r="3" spans="1:49">
      <c r="A3" s="122" t="s">
        <v>225</v>
      </c>
    </row>
    <row r="5" spans="1:49" ht="15" thickBot="1">
      <c r="A5" s="123" t="s">
        <v>226</v>
      </c>
    </row>
    <row r="6" spans="1:49" ht="15.6" thickTop="1" thickBot="1">
      <c r="A6" s="124" t="s">
        <v>227</v>
      </c>
      <c r="B6" s="125" t="s">
        <v>228</v>
      </c>
      <c r="C6" s="125" t="s">
        <v>229</v>
      </c>
      <c r="D6" s="125" t="s">
        <v>75</v>
      </c>
      <c r="E6" s="125" t="s">
        <v>100</v>
      </c>
      <c r="F6" s="125" t="s">
        <v>77</v>
      </c>
      <c r="G6" s="125" t="s">
        <v>96</v>
      </c>
      <c r="H6" s="125" t="s">
        <v>51</v>
      </c>
      <c r="I6" s="125" t="s">
        <v>230</v>
      </c>
      <c r="J6" s="125" t="s">
        <v>231</v>
      </c>
      <c r="K6" s="125" t="s">
        <v>232</v>
      </c>
      <c r="L6" s="125" t="s">
        <v>70</v>
      </c>
      <c r="M6" s="125" t="s">
        <v>233</v>
      </c>
      <c r="N6" s="126" t="s">
        <v>234</v>
      </c>
    </row>
    <row r="7" spans="1:49" ht="14.4">
      <c r="A7" s="127" t="s">
        <v>128</v>
      </c>
      <c r="B7" s="128" t="s">
        <v>235</v>
      </c>
      <c r="C7" s="128" t="s">
        <v>121</v>
      </c>
      <c r="D7" s="128" t="s">
        <v>122</v>
      </c>
      <c r="E7" s="128" t="s">
        <v>127</v>
      </c>
      <c r="F7" s="128" t="s">
        <v>123</v>
      </c>
      <c r="G7" s="128" t="s">
        <v>124</v>
      </c>
      <c r="H7" s="128" t="s">
        <v>125</v>
      </c>
      <c r="I7" s="128" t="s">
        <v>126</v>
      </c>
      <c r="J7" s="128" t="s">
        <v>236</v>
      </c>
      <c r="K7" s="128" t="s">
        <v>237</v>
      </c>
      <c r="L7" s="128" t="s">
        <v>238</v>
      </c>
      <c r="M7" s="128" t="s">
        <v>239</v>
      </c>
      <c r="N7" s="129" t="s">
        <v>240</v>
      </c>
    </row>
    <row r="8" spans="1:49" ht="14.4">
      <c r="A8" s="127"/>
      <c r="B8" s="128"/>
      <c r="C8" s="128"/>
      <c r="D8" s="128" t="s">
        <v>129</v>
      </c>
      <c r="E8" s="128"/>
      <c r="F8" s="128" t="s">
        <v>130</v>
      </c>
      <c r="G8" s="128" t="s">
        <v>131</v>
      </c>
      <c r="H8" s="128" t="s">
        <v>241</v>
      </c>
      <c r="I8" s="128" t="s">
        <v>132</v>
      </c>
      <c r="J8" s="128" t="s">
        <v>242</v>
      </c>
      <c r="K8" s="128"/>
      <c r="L8" s="128"/>
      <c r="M8" s="128"/>
      <c r="N8" s="129"/>
    </row>
    <row r="9" spans="1:49" ht="14.4">
      <c r="A9" s="127"/>
      <c r="B9" s="128"/>
      <c r="C9" s="128"/>
      <c r="D9" s="128"/>
      <c r="E9" s="128"/>
      <c r="F9" s="128" t="s">
        <v>133</v>
      </c>
      <c r="G9" s="128" t="s">
        <v>134</v>
      </c>
      <c r="H9" s="128"/>
      <c r="I9" s="128"/>
      <c r="J9" s="128" t="s">
        <v>243</v>
      </c>
      <c r="K9" s="128"/>
      <c r="L9" s="128"/>
      <c r="M9" s="128"/>
      <c r="N9" s="129"/>
    </row>
    <row r="10" spans="1:49" ht="15" thickBot="1">
      <c r="A10" s="130"/>
      <c r="B10" s="131"/>
      <c r="C10" s="131"/>
      <c r="D10" s="131"/>
      <c r="E10" s="131"/>
      <c r="F10" s="131"/>
      <c r="G10" s="131" t="s">
        <v>135</v>
      </c>
      <c r="H10" s="131"/>
      <c r="I10" s="131"/>
      <c r="J10" s="131"/>
      <c r="K10" s="131"/>
      <c r="L10" s="131"/>
      <c r="M10" s="131"/>
      <c r="N10" s="132"/>
    </row>
    <row r="11" spans="1:49" ht="13.8" thickTop="1"/>
    <row r="13" spans="1:49" ht="14.4">
      <c r="A13" s="123" t="s">
        <v>244</v>
      </c>
      <c r="C13" s="119">
        <f>C19</f>
        <v>1966</v>
      </c>
      <c r="D13" s="119">
        <f t="shared" ref="D13:AW13" si="0">D19</f>
        <v>1967</v>
      </c>
      <c r="E13" s="119">
        <f t="shared" si="0"/>
        <v>1968</v>
      </c>
      <c r="F13" s="119">
        <f t="shared" si="0"/>
        <v>1969</v>
      </c>
      <c r="G13" s="119">
        <f t="shared" si="0"/>
        <v>1970</v>
      </c>
      <c r="H13" s="119">
        <f t="shared" si="0"/>
        <v>1971</v>
      </c>
      <c r="I13" s="119">
        <f t="shared" si="0"/>
        <v>1972</v>
      </c>
      <c r="J13" s="119">
        <f t="shared" si="0"/>
        <v>1973</v>
      </c>
      <c r="K13" s="119">
        <f t="shared" si="0"/>
        <v>1974</v>
      </c>
      <c r="L13" s="119">
        <f t="shared" si="0"/>
        <v>1975</v>
      </c>
      <c r="M13" s="119">
        <f t="shared" si="0"/>
        <v>1976</v>
      </c>
      <c r="N13" s="119">
        <f t="shared" si="0"/>
        <v>1977</v>
      </c>
      <c r="O13" s="119">
        <f t="shared" si="0"/>
        <v>1978</v>
      </c>
      <c r="P13" s="119">
        <f t="shared" si="0"/>
        <v>1979</v>
      </c>
      <c r="Q13" s="119">
        <f t="shared" si="0"/>
        <v>1980</v>
      </c>
      <c r="R13" s="119">
        <f t="shared" si="0"/>
        <v>1981</v>
      </c>
      <c r="S13" s="119">
        <f t="shared" si="0"/>
        <v>1982</v>
      </c>
      <c r="T13" s="119">
        <f t="shared" si="0"/>
        <v>1983</v>
      </c>
      <c r="U13" s="119">
        <f t="shared" si="0"/>
        <v>1984</v>
      </c>
      <c r="V13" s="119">
        <f t="shared" si="0"/>
        <v>1985</v>
      </c>
      <c r="W13" s="119">
        <f t="shared" si="0"/>
        <v>1986</v>
      </c>
      <c r="X13" s="119">
        <f t="shared" si="0"/>
        <v>1987</v>
      </c>
      <c r="Y13" s="119">
        <f t="shared" si="0"/>
        <v>1988</v>
      </c>
      <c r="Z13" s="119">
        <f t="shared" si="0"/>
        <v>1989</v>
      </c>
      <c r="AA13" s="119">
        <f t="shared" si="0"/>
        <v>1990</v>
      </c>
      <c r="AB13" s="119">
        <f t="shared" si="0"/>
        <v>1991</v>
      </c>
      <c r="AC13" s="119">
        <f t="shared" si="0"/>
        <v>1992</v>
      </c>
      <c r="AD13" s="119">
        <f t="shared" si="0"/>
        <v>1993</v>
      </c>
      <c r="AE13" s="119">
        <f t="shared" si="0"/>
        <v>1994</v>
      </c>
      <c r="AF13" s="119">
        <f t="shared" si="0"/>
        <v>1995</v>
      </c>
      <c r="AG13" s="119">
        <f t="shared" si="0"/>
        <v>1996</v>
      </c>
      <c r="AH13" s="119">
        <f t="shared" si="0"/>
        <v>1997</v>
      </c>
      <c r="AI13" s="119">
        <f t="shared" si="0"/>
        <v>1998</v>
      </c>
      <c r="AJ13" s="119">
        <f t="shared" si="0"/>
        <v>1999</v>
      </c>
      <c r="AK13" s="119">
        <f t="shared" si="0"/>
        <v>2000</v>
      </c>
      <c r="AL13" s="119">
        <f t="shared" si="0"/>
        <v>2001</v>
      </c>
      <c r="AM13" s="119">
        <f t="shared" si="0"/>
        <v>2002</v>
      </c>
      <c r="AN13" s="119">
        <f t="shared" si="0"/>
        <v>2003</v>
      </c>
      <c r="AO13" s="119">
        <f t="shared" si="0"/>
        <v>2004</v>
      </c>
      <c r="AP13" s="119">
        <f t="shared" si="0"/>
        <v>2005</v>
      </c>
      <c r="AQ13" s="119">
        <f t="shared" si="0"/>
        <v>2006</v>
      </c>
      <c r="AR13" s="119">
        <f t="shared" si="0"/>
        <v>2007</v>
      </c>
      <c r="AS13" s="119">
        <f t="shared" si="0"/>
        <v>2008</v>
      </c>
      <c r="AT13" s="119">
        <f t="shared" si="0"/>
        <v>2009</v>
      </c>
      <c r="AU13" s="119">
        <f t="shared" si="0"/>
        <v>2010</v>
      </c>
      <c r="AV13" s="119">
        <f t="shared" si="0"/>
        <v>2011</v>
      </c>
      <c r="AW13" s="119">
        <f t="shared" si="0"/>
        <v>2012</v>
      </c>
    </row>
    <row r="14" spans="1:49">
      <c r="A14" s="122" t="s">
        <v>245</v>
      </c>
      <c r="C14" s="133">
        <f t="shared" ref="C14:AW14" si="1">SUM(C20:C33)/C37</f>
        <v>0.99971324958170915</v>
      </c>
      <c r="D14" s="133">
        <f t="shared" si="1"/>
        <v>0.9386694592656698</v>
      </c>
      <c r="E14" s="133">
        <f t="shared" si="1"/>
        <v>0.97891871130519703</v>
      </c>
      <c r="F14" s="133">
        <f t="shared" si="1"/>
        <v>0.92788728196621739</v>
      </c>
      <c r="G14" s="133">
        <f t="shared" si="1"/>
        <v>0.95907408347135203</v>
      </c>
      <c r="H14" s="133">
        <f t="shared" si="1"/>
        <v>0.98956750041324748</v>
      </c>
      <c r="I14" s="133">
        <f t="shared" si="1"/>
        <v>0.97409260022690913</v>
      </c>
      <c r="J14" s="133">
        <f t="shared" si="1"/>
        <v>0.91093512254792297</v>
      </c>
      <c r="K14" s="133">
        <f t="shared" si="1"/>
        <v>0.93168167262016899</v>
      </c>
      <c r="L14" s="133">
        <f t="shared" si="1"/>
        <v>0.99732568143711975</v>
      </c>
      <c r="M14" s="133">
        <f t="shared" si="1"/>
        <v>1.0448397164948047</v>
      </c>
      <c r="N14" s="133">
        <f t="shared" si="1"/>
        <v>1.012683036968768</v>
      </c>
      <c r="O14" s="133">
        <f t="shared" si="1"/>
        <v>1.0059976530878547</v>
      </c>
      <c r="P14" s="133">
        <f t="shared" si="1"/>
        <v>1.0367875218910647</v>
      </c>
      <c r="Q14" s="133">
        <f t="shared" si="1"/>
        <v>1.080310540402269</v>
      </c>
      <c r="R14" s="133">
        <f t="shared" si="1"/>
        <v>1.0617087861714194</v>
      </c>
      <c r="S14" s="133">
        <f t="shared" si="1"/>
        <v>1.1379179798011689</v>
      </c>
      <c r="T14" s="133">
        <f t="shared" si="1"/>
        <v>1.0906838246304673</v>
      </c>
      <c r="U14" s="133">
        <f t="shared" si="1"/>
        <v>1.0883657291397635</v>
      </c>
      <c r="V14" s="133">
        <f t="shared" si="1"/>
        <v>1.0546015713139747</v>
      </c>
      <c r="W14" s="133">
        <f t="shared" si="1"/>
        <v>1.0698631243333847</v>
      </c>
      <c r="X14" s="133">
        <f t="shared" si="1"/>
        <v>1.0882602957302334</v>
      </c>
      <c r="Y14" s="133">
        <f t="shared" si="1"/>
        <v>1.0941005317018644</v>
      </c>
      <c r="Z14" s="133">
        <f t="shared" si="1"/>
        <v>1.0876472933388903</v>
      </c>
      <c r="AA14" s="133">
        <f t="shared" si="1"/>
        <v>1.0759188408148379</v>
      </c>
      <c r="AB14" s="133">
        <f t="shared" si="1"/>
        <v>1.0417788397807244</v>
      </c>
      <c r="AC14" s="133">
        <f t="shared" si="1"/>
        <v>1.0077152739722475</v>
      </c>
      <c r="AD14" s="133">
        <f t="shared" si="1"/>
        <v>1.035019602292633</v>
      </c>
      <c r="AE14" s="133">
        <f t="shared" si="1"/>
        <v>1.0322608116348859</v>
      </c>
      <c r="AF14" s="133">
        <f t="shared" si="1"/>
        <v>1.0142434107296672</v>
      </c>
      <c r="AG14" s="133">
        <f t="shared" si="1"/>
        <v>1.0259817392235322</v>
      </c>
      <c r="AH14" s="133">
        <f t="shared" si="1"/>
        <v>1.0158211589344759</v>
      </c>
      <c r="AI14" s="133">
        <f t="shared" si="1"/>
        <v>0.99599229065103967</v>
      </c>
      <c r="AJ14" s="133">
        <f t="shared" si="1"/>
        <v>1.0169909632468461</v>
      </c>
      <c r="AK14" s="133">
        <f t="shared" si="1"/>
        <v>1.0241370135623036</v>
      </c>
      <c r="AL14" s="133">
        <f t="shared" si="1"/>
        <v>1.0358092568020993</v>
      </c>
      <c r="AM14" s="133">
        <f t="shared" si="1"/>
        <v>1.0216634157279378</v>
      </c>
      <c r="AN14" s="133">
        <f t="shared" si="1"/>
        <v>1.0055409827568671</v>
      </c>
      <c r="AO14" s="133">
        <f t="shared" si="1"/>
        <v>0.99816572816425353</v>
      </c>
      <c r="AP14" s="133">
        <f t="shared" si="1"/>
        <v>0.99869959691354637</v>
      </c>
      <c r="AQ14" s="133">
        <f t="shared" si="1"/>
        <v>1.0091910673742228</v>
      </c>
      <c r="AR14" s="133">
        <f t="shared" si="1"/>
        <v>1.0188577573407216</v>
      </c>
      <c r="AS14" s="133">
        <f t="shared" si="1"/>
        <v>1.0351881023668079</v>
      </c>
      <c r="AT14" s="133">
        <f t="shared" si="1"/>
        <v>1.0237459002311977</v>
      </c>
      <c r="AU14" s="133">
        <f t="shared" si="1"/>
        <v>1.0457724442255836</v>
      </c>
      <c r="AV14" s="133">
        <f t="shared" si="1"/>
        <v>1.0168160085485036</v>
      </c>
      <c r="AW14" s="133">
        <f t="shared" si="1"/>
        <v>1.0143530385297808</v>
      </c>
    </row>
    <row r="15" spans="1:49">
      <c r="A15" s="134" t="s">
        <v>246</v>
      </c>
      <c r="B15" s="134"/>
      <c r="C15" s="135">
        <f t="shared" ref="C15:AW15" si="2">SUM(C20:C33)/SUM(C37:C38)</f>
        <v>0.99971324958170915</v>
      </c>
      <c r="D15" s="135">
        <f t="shared" si="2"/>
        <v>0.9386694592656698</v>
      </c>
      <c r="E15" s="135">
        <f t="shared" si="2"/>
        <v>0.97891871130519703</v>
      </c>
      <c r="F15" s="135">
        <f t="shared" si="2"/>
        <v>0.92788728196621739</v>
      </c>
      <c r="G15" s="135">
        <f t="shared" si="2"/>
        <v>0.95907408347135203</v>
      </c>
      <c r="H15" s="135">
        <f t="shared" si="2"/>
        <v>0.98956750041324748</v>
      </c>
      <c r="I15" s="135">
        <f t="shared" si="2"/>
        <v>0.97409260022690913</v>
      </c>
      <c r="J15" s="135">
        <f t="shared" si="2"/>
        <v>0.91093512254792297</v>
      </c>
      <c r="K15" s="135">
        <f t="shared" si="2"/>
        <v>0.93031515320643832</v>
      </c>
      <c r="L15" s="135">
        <f t="shared" si="2"/>
        <v>0.99422165091952031</v>
      </c>
      <c r="M15" s="135">
        <f t="shared" si="2"/>
        <v>0.99115054358254828</v>
      </c>
      <c r="N15" s="135">
        <f t="shared" si="2"/>
        <v>0.98822678278892562</v>
      </c>
      <c r="O15" s="135">
        <f t="shared" si="2"/>
        <v>0.98525584633938368</v>
      </c>
      <c r="P15" s="135">
        <f t="shared" si="2"/>
        <v>0.99227845916788582</v>
      </c>
      <c r="Q15" s="135">
        <f t="shared" si="2"/>
        <v>0.940175410953077</v>
      </c>
      <c r="R15" s="135">
        <f t="shared" si="2"/>
        <v>0.9855104613992699</v>
      </c>
      <c r="S15" s="135">
        <f t="shared" si="2"/>
        <v>0.98195548868960603</v>
      </c>
      <c r="T15" s="135">
        <f t="shared" si="2"/>
        <v>0.98745562846712442</v>
      </c>
      <c r="U15" s="135">
        <f t="shared" si="2"/>
        <v>1.0073943369735952</v>
      </c>
      <c r="V15" s="135">
        <f t="shared" si="2"/>
        <v>0.99249846864526947</v>
      </c>
      <c r="W15" s="135">
        <f t="shared" si="2"/>
        <v>0.98802817518584696</v>
      </c>
      <c r="X15" s="135">
        <f t="shared" si="2"/>
        <v>1.0001575545723</v>
      </c>
      <c r="Y15" s="135">
        <f t="shared" si="2"/>
        <v>0.99670807267209294</v>
      </c>
      <c r="Z15" s="135">
        <f t="shared" si="2"/>
        <v>0.9837586491949607</v>
      </c>
      <c r="AA15" s="135">
        <f t="shared" si="2"/>
        <v>0.98974980067726581</v>
      </c>
      <c r="AB15" s="135">
        <f t="shared" si="2"/>
        <v>0.99155629245539434</v>
      </c>
      <c r="AC15" s="135">
        <f t="shared" si="2"/>
        <v>0.98708931870790462</v>
      </c>
      <c r="AD15" s="135">
        <f t="shared" si="2"/>
        <v>0.97308021500790876</v>
      </c>
      <c r="AE15" s="135">
        <f t="shared" si="2"/>
        <v>1.0001805502821794</v>
      </c>
      <c r="AF15" s="135">
        <f t="shared" si="2"/>
        <v>0.99542600741164156</v>
      </c>
      <c r="AG15" s="135">
        <f t="shared" si="2"/>
        <v>1.0144510579268426</v>
      </c>
      <c r="AH15" s="135">
        <f t="shared" si="2"/>
        <v>1.0066474998304233</v>
      </c>
      <c r="AI15" s="135">
        <f t="shared" si="2"/>
        <v>0.98778553531420821</v>
      </c>
      <c r="AJ15" s="135">
        <f t="shared" si="2"/>
        <v>0.98546621367577902</v>
      </c>
      <c r="AK15" s="135">
        <f t="shared" si="2"/>
        <v>1.0075033397553534</v>
      </c>
      <c r="AL15" s="135">
        <f t="shared" si="2"/>
        <v>1.027618554535213</v>
      </c>
      <c r="AM15" s="135">
        <f t="shared" si="2"/>
        <v>1.0133324765597054</v>
      </c>
      <c r="AN15" s="135">
        <f t="shared" si="2"/>
        <v>0.9982290068070625</v>
      </c>
      <c r="AO15" s="135">
        <f t="shared" si="2"/>
        <v>0.99606147265323708</v>
      </c>
      <c r="AP15" s="135">
        <f t="shared" si="2"/>
        <v>0.98997275809571494</v>
      </c>
      <c r="AQ15" s="135">
        <f t="shared" si="2"/>
        <v>0.99741178955276766</v>
      </c>
      <c r="AR15" s="135">
        <f t="shared" si="2"/>
        <v>1.0152177808950613</v>
      </c>
      <c r="AS15" s="135">
        <f t="shared" si="2"/>
        <v>1.0310703294009813</v>
      </c>
      <c r="AT15" s="135">
        <f t="shared" si="2"/>
        <v>1.0182730495141552</v>
      </c>
      <c r="AU15" s="135">
        <f t="shared" si="2"/>
        <v>1.0384561173065334</v>
      </c>
      <c r="AV15" s="135">
        <f t="shared" si="2"/>
        <v>1.0093708173955545</v>
      </c>
      <c r="AW15" s="135">
        <f t="shared" si="2"/>
        <v>1.0122844099143604</v>
      </c>
    </row>
    <row r="16" spans="1:49">
      <c r="A16" s="122" t="s">
        <v>247</v>
      </c>
      <c r="C16" s="133">
        <f>(SUM(C59:C64))/(C74+C75)</f>
        <v>0.97414622529378481</v>
      </c>
      <c r="D16" s="133">
        <f t="shared" ref="D16:AW16" si="3">(SUM(D59:D64))/(D74+D75)</f>
        <v>0.92116210588242409</v>
      </c>
      <c r="E16" s="133">
        <f t="shared" si="3"/>
        <v>0.95923300239725406</v>
      </c>
      <c r="F16" s="133">
        <f t="shared" si="3"/>
        <v>0.909222941215312</v>
      </c>
      <c r="G16" s="133">
        <f t="shared" si="3"/>
        <v>0.9385918334270531</v>
      </c>
      <c r="H16" s="133">
        <f t="shared" si="3"/>
        <v>0.96988247645129022</v>
      </c>
      <c r="I16" s="133">
        <f t="shared" si="3"/>
        <v>0.95184268288326179</v>
      </c>
      <c r="J16" s="133">
        <f t="shared" si="3"/>
        <v>0.89277234684846407</v>
      </c>
      <c r="K16" s="133">
        <f t="shared" si="3"/>
        <v>0.91074344750086533</v>
      </c>
      <c r="L16" s="133">
        <f t="shared" si="3"/>
        <v>0.92611395879821268</v>
      </c>
      <c r="M16" s="133">
        <f t="shared" si="3"/>
        <v>0.93115394143508257</v>
      </c>
      <c r="N16" s="133">
        <f t="shared" si="3"/>
        <v>0.92519123193623809</v>
      </c>
      <c r="O16" s="133">
        <f t="shared" si="3"/>
        <v>0.93339715245183874</v>
      </c>
      <c r="P16" s="133">
        <f t="shared" si="3"/>
        <v>0.93900737817089952</v>
      </c>
      <c r="Q16" s="133">
        <f t="shared" si="3"/>
        <v>0.88755559353951907</v>
      </c>
      <c r="R16" s="133">
        <f t="shared" si="3"/>
        <v>0.91829442302846376</v>
      </c>
      <c r="S16" s="133">
        <f t="shared" si="3"/>
        <v>0.91715279027341501</v>
      </c>
      <c r="T16" s="133">
        <f t="shared" si="3"/>
        <v>0.93648078170559701</v>
      </c>
      <c r="U16" s="133">
        <f t="shared" si="3"/>
        <v>0.95601349878020536</v>
      </c>
      <c r="V16" s="133">
        <f t="shared" si="3"/>
        <v>0.93942437829262038</v>
      </c>
      <c r="W16" s="133">
        <f t="shared" si="3"/>
        <v>0.93933500640655243</v>
      </c>
      <c r="X16" s="133">
        <f t="shared" si="3"/>
        <v>0.95184586466737842</v>
      </c>
      <c r="Y16" s="133">
        <f t="shared" si="3"/>
        <v>0.94597813671044551</v>
      </c>
      <c r="Z16" s="133">
        <f t="shared" si="3"/>
        <v>0.93770162033724302</v>
      </c>
      <c r="AA16" s="133">
        <f t="shared" si="3"/>
        <v>0.94321265977467672</v>
      </c>
      <c r="AB16" s="133">
        <f t="shared" si="3"/>
        <v>0.94351289958826434</v>
      </c>
      <c r="AC16" s="133">
        <f t="shared" si="3"/>
        <v>0.93585662444873774</v>
      </c>
      <c r="AD16" s="133">
        <f t="shared" si="3"/>
        <v>0.92281149245327843</v>
      </c>
      <c r="AE16" s="133">
        <f t="shared" si="3"/>
        <v>0.94865830051698496</v>
      </c>
      <c r="AF16" s="133">
        <f t="shared" si="3"/>
        <v>0.94259015965260662</v>
      </c>
      <c r="AG16" s="133">
        <f t="shared" si="3"/>
        <v>0.96204768257313333</v>
      </c>
      <c r="AH16" s="133">
        <f t="shared" si="3"/>
        <v>0.95605468080331579</v>
      </c>
      <c r="AI16" s="133">
        <f t="shared" si="3"/>
        <v>0.93960386296821785</v>
      </c>
      <c r="AJ16" s="133">
        <f t="shared" si="3"/>
        <v>0.9210920147181878</v>
      </c>
      <c r="AK16" s="133">
        <f t="shared" si="3"/>
        <v>0.94127795574163764</v>
      </c>
      <c r="AL16" s="133">
        <f t="shared" si="3"/>
        <v>0.95505806547322025</v>
      </c>
      <c r="AM16" s="133">
        <f t="shared" si="3"/>
        <v>0.94381895297795082</v>
      </c>
      <c r="AN16" s="133">
        <f t="shared" si="3"/>
        <v>0.93597707006052944</v>
      </c>
      <c r="AO16" s="133">
        <f t="shared" si="3"/>
        <v>0.93428673416228647</v>
      </c>
      <c r="AP16" s="133">
        <f t="shared" si="3"/>
        <v>0.92857144928227087</v>
      </c>
      <c r="AQ16" s="133">
        <f t="shared" si="3"/>
        <v>0.93767904472045227</v>
      </c>
      <c r="AR16" s="133">
        <f t="shared" si="3"/>
        <v>0.95297496095970646</v>
      </c>
      <c r="AS16" s="133">
        <f t="shared" si="3"/>
        <v>0.93712510490814094</v>
      </c>
      <c r="AT16" s="133">
        <f t="shared" si="3"/>
        <v>0.93676195774884319</v>
      </c>
      <c r="AU16" s="133">
        <f t="shared" si="3"/>
        <v>0.9554443053405679</v>
      </c>
      <c r="AV16" s="133">
        <f t="shared" si="3"/>
        <v>0.92652401501752812</v>
      </c>
      <c r="AW16" s="133">
        <f t="shared" si="3"/>
        <v>0.93850532367061368</v>
      </c>
    </row>
    <row r="18" spans="1:114" ht="15" thickBot="1">
      <c r="A18" s="123" t="s">
        <v>248</v>
      </c>
    </row>
    <row r="19" spans="1:114" ht="30" thickTop="1" thickBot="1">
      <c r="A19" s="136" t="s">
        <v>136</v>
      </c>
      <c r="B19" s="137" t="s">
        <v>137</v>
      </c>
      <c r="C19" s="138">
        <v>1966</v>
      </c>
      <c r="D19" s="139">
        <v>1967</v>
      </c>
      <c r="E19" s="139">
        <v>1968</v>
      </c>
      <c r="F19" s="139">
        <v>1969</v>
      </c>
      <c r="G19" s="139">
        <v>1970</v>
      </c>
      <c r="H19" s="139">
        <v>1971</v>
      </c>
      <c r="I19" s="139">
        <v>1972</v>
      </c>
      <c r="J19" s="139">
        <v>1973</v>
      </c>
      <c r="K19" s="139">
        <v>1974</v>
      </c>
      <c r="L19" s="139">
        <v>1975</v>
      </c>
      <c r="M19" s="139">
        <v>1976</v>
      </c>
      <c r="N19" s="139">
        <v>1977</v>
      </c>
      <c r="O19" s="139">
        <v>1978</v>
      </c>
      <c r="P19" s="139">
        <v>1979</v>
      </c>
      <c r="Q19" s="139">
        <v>1980</v>
      </c>
      <c r="R19" s="139">
        <v>1981</v>
      </c>
      <c r="S19" s="139">
        <v>1982</v>
      </c>
      <c r="T19" s="139">
        <v>1983</v>
      </c>
      <c r="U19" s="139">
        <v>1984</v>
      </c>
      <c r="V19" s="139">
        <v>1985</v>
      </c>
      <c r="W19" s="139">
        <v>1986</v>
      </c>
      <c r="X19" s="139">
        <v>1987</v>
      </c>
      <c r="Y19" s="139">
        <v>1988</v>
      </c>
      <c r="Z19" s="139">
        <v>1989</v>
      </c>
      <c r="AA19" s="139">
        <v>1990</v>
      </c>
      <c r="AB19" s="139">
        <v>1991</v>
      </c>
      <c r="AC19" s="139">
        <v>1992</v>
      </c>
      <c r="AD19" s="139">
        <v>1993</v>
      </c>
      <c r="AE19" s="139">
        <v>1994</v>
      </c>
      <c r="AF19" s="139">
        <v>1995</v>
      </c>
      <c r="AG19" s="139">
        <v>1996</v>
      </c>
      <c r="AH19" s="139">
        <v>1997</v>
      </c>
      <c r="AI19" s="139">
        <v>1998</v>
      </c>
      <c r="AJ19" s="139">
        <v>1999</v>
      </c>
      <c r="AK19" s="139">
        <v>2000</v>
      </c>
      <c r="AL19" s="139">
        <v>2001</v>
      </c>
      <c r="AM19" s="139">
        <v>2002</v>
      </c>
      <c r="AN19" s="139">
        <v>2003</v>
      </c>
      <c r="AO19" s="139">
        <v>2004</v>
      </c>
      <c r="AP19" s="139">
        <v>2005</v>
      </c>
      <c r="AQ19" s="139">
        <v>2006</v>
      </c>
      <c r="AR19" s="139">
        <v>2007</v>
      </c>
      <c r="AS19" s="139">
        <v>2008</v>
      </c>
      <c r="AT19" s="139">
        <v>2009</v>
      </c>
      <c r="AU19" s="139">
        <v>2010</v>
      </c>
      <c r="AV19" s="139">
        <v>2011</v>
      </c>
      <c r="AW19" s="140">
        <v>2012</v>
      </c>
      <c r="CW19" s="122" t="s">
        <v>249</v>
      </c>
      <c r="DB19" s="122" t="s">
        <v>250</v>
      </c>
    </row>
    <row r="20" spans="1:114" ht="15.6" thickTop="1" thickBot="1">
      <c r="A20" s="141" t="s">
        <v>251</v>
      </c>
      <c r="B20" s="142" t="s">
        <v>227</v>
      </c>
      <c r="C20" s="143">
        <v>0</v>
      </c>
      <c r="D20" s="144">
        <v>0</v>
      </c>
      <c r="E20" s="144">
        <v>0</v>
      </c>
      <c r="F20" s="144">
        <v>0</v>
      </c>
      <c r="G20" s="144">
        <v>0</v>
      </c>
      <c r="H20" s="144">
        <v>0</v>
      </c>
      <c r="I20" s="144">
        <v>0</v>
      </c>
      <c r="J20" s="144">
        <v>0</v>
      </c>
      <c r="K20" s="144">
        <v>0</v>
      </c>
      <c r="L20" s="144">
        <v>0</v>
      </c>
      <c r="M20" s="144">
        <v>0</v>
      </c>
      <c r="N20" s="144">
        <v>0</v>
      </c>
      <c r="O20" s="144">
        <v>0</v>
      </c>
      <c r="P20" s="144">
        <v>0</v>
      </c>
      <c r="Q20" s="144">
        <v>0</v>
      </c>
      <c r="R20" s="144">
        <v>0</v>
      </c>
      <c r="S20" s="144">
        <v>0</v>
      </c>
      <c r="T20" s="144">
        <v>0</v>
      </c>
      <c r="U20" s="144">
        <v>0</v>
      </c>
      <c r="V20" s="144">
        <v>0</v>
      </c>
      <c r="W20" s="144">
        <v>0</v>
      </c>
      <c r="X20" s="144">
        <v>0</v>
      </c>
      <c r="Y20" s="144">
        <v>0</v>
      </c>
      <c r="Z20" s="144">
        <v>0</v>
      </c>
      <c r="AA20" s="144">
        <v>0</v>
      </c>
      <c r="AB20" s="144">
        <v>0</v>
      </c>
      <c r="AC20" s="144">
        <v>0</v>
      </c>
      <c r="AD20" s="144">
        <v>0</v>
      </c>
      <c r="AE20" s="144">
        <v>0</v>
      </c>
      <c r="AF20" s="144">
        <v>0</v>
      </c>
      <c r="AG20" s="144">
        <v>0</v>
      </c>
      <c r="AH20" s="144">
        <v>0</v>
      </c>
      <c r="AI20" s="144">
        <v>0</v>
      </c>
      <c r="AJ20" s="144">
        <v>0</v>
      </c>
      <c r="AK20" s="144">
        <v>0</v>
      </c>
      <c r="AL20" s="144">
        <v>0</v>
      </c>
      <c r="AM20" s="144">
        <v>0</v>
      </c>
      <c r="AN20" s="144">
        <v>0</v>
      </c>
      <c r="AO20" s="144">
        <v>0</v>
      </c>
      <c r="AP20" s="144">
        <v>0</v>
      </c>
      <c r="AQ20" s="144">
        <v>0</v>
      </c>
      <c r="AR20" s="144">
        <v>0</v>
      </c>
      <c r="AS20" s="144">
        <v>0</v>
      </c>
      <c r="AT20" s="144">
        <v>0</v>
      </c>
      <c r="AU20" s="144">
        <v>0</v>
      </c>
      <c r="AV20" s="144">
        <v>0</v>
      </c>
      <c r="AW20" s="145">
        <v>0</v>
      </c>
      <c r="AX20" s="146"/>
      <c r="AY20" s="147"/>
      <c r="AZ20" s="139">
        <v>1966</v>
      </c>
      <c r="BA20" s="139">
        <v>1967</v>
      </c>
      <c r="BB20" s="139">
        <v>1968</v>
      </c>
      <c r="BC20" s="139">
        <v>1969</v>
      </c>
      <c r="BD20" s="139">
        <v>1970</v>
      </c>
      <c r="BE20" s="139">
        <v>1971</v>
      </c>
      <c r="BF20" s="139">
        <v>1972</v>
      </c>
      <c r="BG20" s="139">
        <v>1973</v>
      </c>
      <c r="BH20" s="139">
        <v>1974</v>
      </c>
      <c r="BI20" s="139">
        <v>1975</v>
      </c>
      <c r="BJ20" s="139">
        <v>1976</v>
      </c>
      <c r="BK20" s="139">
        <v>1977</v>
      </c>
      <c r="BL20" s="139">
        <v>1978</v>
      </c>
      <c r="BM20" s="139">
        <v>1979</v>
      </c>
      <c r="BN20" s="139">
        <v>1980</v>
      </c>
      <c r="BO20" s="139">
        <v>1981</v>
      </c>
      <c r="BP20" s="139">
        <v>1982</v>
      </c>
      <c r="BQ20" s="139">
        <v>1983</v>
      </c>
      <c r="BR20" s="139">
        <v>1984</v>
      </c>
      <c r="BS20" s="139">
        <v>1985</v>
      </c>
      <c r="BT20" s="139">
        <v>1986</v>
      </c>
      <c r="BU20" s="139">
        <v>1987</v>
      </c>
      <c r="BV20" s="139">
        <v>1988</v>
      </c>
      <c r="BW20" s="139">
        <v>1989</v>
      </c>
      <c r="BX20" s="139">
        <v>1990</v>
      </c>
      <c r="BY20" s="139">
        <v>1991</v>
      </c>
      <c r="BZ20" s="139">
        <v>1992</v>
      </c>
      <c r="CA20" s="139">
        <v>1993</v>
      </c>
      <c r="CB20" s="139">
        <v>1994</v>
      </c>
      <c r="CC20" s="139">
        <v>1995</v>
      </c>
      <c r="CD20" s="139">
        <v>1996</v>
      </c>
      <c r="CE20" s="139">
        <v>1997</v>
      </c>
      <c r="CF20" s="55">
        <v>1998</v>
      </c>
      <c r="CG20" s="139">
        <v>1999</v>
      </c>
      <c r="CH20" s="139">
        <v>2000</v>
      </c>
      <c r="CI20" s="139">
        <v>2001</v>
      </c>
      <c r="CJ20" s="139">
        <v>2002</v>
      </c>
      <c r="CK20" s="139">
        <v>2003</v>
      </c>
      <c r="CL20" s="139">
        <v>2004</v>
      </c>
      <c r="CM20" s="139">
        <v>2005</v>
      </c>
      <c r="CN20" s="139">
        <v>2006</v>
      </c>
      <c r="CO20" s="139">
        <v>2007</v>
      </c>
      <c r="CP20" s="139">
        <v>2008</v>
      </c>
      <c r="CQ20" s="139">
        <v>2009</v>
      </c>
      <c r="CR20" s="139">
        <v>2010</v>
      </c>
      <c r="CS20" s="139">
        <v>2011</v>
      </c>
      <c r="CT20" s="140">
        <v>2012</v>
      </c>
      <c r="CU20" s="146"/>
      <c r="CV20" s="146" t="s">
        <v>138</v>
      </c>
      <c r="CW20" s="146" t="s">
        <v>139</v>
      </c>
      <c r="CX20" s="146" t="s">
        <v>140</v>
      </c>
      <c r="CY20" s="146"/>
      <c r="CZ20" s="146" t="s">
        <v>141</v>
      </c>
      <c r="DA20" s="146" t="s">
        <v>138</v>
      </c>
      <c r="DB20" s="146" t="s">
        <v>139</v>
      </c>
      <c r="DC20" s="146" t="s">
        <v>140</v>
      </c>
      <c r="DD20" s="146"/>
      <c r="DE20" s="146"/>
      <c r="DF20" s="146"/>
      <c r="DG20" s="146"/>
      <c r="DH20" s="146"/>
      <c r="DI20" s="146"/>
      <c r="DJ20" s="146"/>
    </row>
    <row r="21" spans="1:114" ht="14.4">
      <c r="A21" s="141" t="s">
        <v>251</v>
      </c>
      <c r="B21" s="142" t="s">
        <v>228</v>
      </c>
      <c r="C21" s="143">
        <v>0</v>
      </c>
      <c r="D21" s="144">
        <v>0</v>
      </c>
      <c r="E21" s="144">
        <v>0</v>
      </c>
      <c r="F21" s="144">
        <v>0</v>
      </c>
      <c r="G21" s="144">
        <v>0</v>
      </c>
      <c r="H21" s="144">
        <v>0</v>
      </c>
      <c r="I21" s="144">
        <v>0</v>
      </c>
      <c r="J21" s="144">
        <v>0</v>
      </c>
      <c r="K21" s="144">
        <v>4038819</v>
      </c>
      <c r="L21" s="144">
        <v>8658083</v>
      </c>
      <c r="M21" s="144">
        <v>11469162</v>
      </c>
      <c r="N21" s="144">
        <v>13424070</v>
      </c>
      <c r="O21" s="144">
        <v>15272774</v>
      </c>
      <c r="P21" s="144">
        <v>18400013</v>
      </c>
      <c r="Q21" s="144">
        <v>16825661</v>
      </c>
      <c r="R21" s="144">
        <v>4223274</v>
      </c>
      <c r="S21" s="144">
        <v>1255405</v>
      </c>
      <c r="T21" s="144">
        <v>160410</v>
      </c>
      <c r="U21" s="144">
        <v>0</v>
      </c>
      <c r="V21" s="144">
        <v>0</v>
      </c>
      <c r="W21" s="144">
        <v>0</v>
      </c>
      <c r="X21" s="144">
        <v>0</v>
      </c>
      <c r="Y21" s="144">
        <v>0</v>
      </c>
      <c r="Z21" s="144">
        <v>0</v>
      </c>
      <c r="AA21" s="144">
        <v>0</v>
      </c>
      <c r="AB21" s="144">
        <v>0</v>
      </c>
      <c r="AC21" s="144">
        <v>0</v>
      </c>
      <c r="AD21" s="144">
        <v>179338</v>
      </c>
      <c r="AE21" s="144">
        <v>0</v>
      </c>
      <c r="AF21" s="144">
        <v>10240900</v>
      </c>
      <c r="AG21" s="144">
        <v>720512</v>
      </c>
      <c r="AH21" s="144">
        <v>56672</v>
      </c>
      <c r="AI21" s="144">
        <v>1858646</v>
      </c>
      <c r="AJ21" s="144">
        <v>2033844</v>
      </c>
      <c r="AK21" s="144">
        <v>603095</v>
      </c>
      <c r="AL21" s="144">
        <v>418759</v>
      </c>
      <c r="AM21" s="144">
        <v>577005</v>
      </c>
      <c r="AN21" s="144">
        <v>589772</v>
      </c>
      <c r="AO21" s="144">
        <v>531402</v>
      </c>
      <c r="AP21" s="144">
        <v>570728</v>
      </c>
      <c r="AQ21" s="144">
        <v>660014</v>
      </c>
      <c r="AR21" s="144">
        <v>550085</v>
      </c>
      <c r="AS21" s="144">
        <v>854023</v>
      </c>
      <c r="AT21" s="144">
        <v>485934</v>
      </c>
      <c r="AU21" s="144">
        <v>139942</v>
      </c>
      <c r="AV21" s="144">
        <v>5903</v>
      </c>
      <c r="AW21" s="145">
        <v>5167</v>
      </c>
      <c r="AX21" s="148" t="s">
        <v>75</v>
      </c>
      <c r="AY21" s="149" t="s">
        <v>75</v>
      </c>
      <c r="AZ21" s="150">
        <f t="shared" ref="AZ21:CT26" si="4">C59/SUM(C$59:C$64)</f>
        <v>3.2988477488742639E-2</v>
      </c>
      <c r="BA21" s="150">
        <f t="shared" si="4"/>
        <v>2.8008219136295906E-2</v>
      </c>
      <c r="BB21" s="150">
        <f t="shared" si="4"/>
        <v>2.9247314860320374E-2</v>
      </c>
      <c r="BC21" s="150">
        <f t="shared" si="4"/>
        <v>2.6512036055193176E-2</v>
      </c>
      <c r="BD21" s="150">
        <f t="shared" si="4"/>
        <v>2.3021272490604039E-2</v>
      </c>
      <c r="BE21" s="150">
        <f t="shared" si="4"/>
        <v>2.1128670835618996E-2</v>
      </c>
      <c r="BF21" s="150">
        <f t="shared" si="4"/>
        <v>2.2743088401453445E-2</v>
      </c>
      <c r="BG21" s="150">
        <f t="shared" si="4"/>
        <v>2.231918385476685E-2</v>
      </c>
      <c r="BH21" s="150">
        <f t="shared" si="4"/>
        <v>2.0172163764593184E-2</v>
      </c>
      <c r="BI21" s="150">
        <f t="shared" si="4"/>
        <v>1.6804482254449384E-2</v>
      </c>
      <c r="BJ21" s="150">
        <f t="shared" si="4"/>
        <v>1.8494531926320418E-2</v>
      </c>
      <c r="BK21" s="150">
        <f t="shared" si="4"/>
        <v>2.1274951671942294E-2</v>
      </c>
      <c r="BL21" s="150">
        <f t="shared" si="4"/>
        <v>2.0974148960440059E-2</v>
      </c>
      <c r="BM21" s="150">
        <f t="shared" si="4"/>
        <v>1.7974262998814199E-2</v>
      </c>
      <c r="BN21" s="150">
        <f t="shared" si="4"/>
        <v>2.1602424257766727E-2</v>
      </c>
      <c r="BO21" s="150">
        <f t="shared" si="4"/>
        <v>2.2367210394707501E-2</v>
      </c>
      <c r="BP21" s="150">
        <f t="shared" si="4"/>
        <v>2.5851983120397923E-2</v>
      </c>
      <c r="BQ21" s="150">
        <f t="shared" si="4"/>
        <v>2.1892159821625116E-2</v>
      </c>
      <c r="BR21" s="150">
        <f t="shared" si="4"/>
        <v>2.2862047014854441E-2</v>
      </c>
      <c r="BS21" s="150">
        <f t="shared" si="4"/>
        <v>2.1747379311276412E-2</v>
      </c>
      <c r="BT21" s="150">
        <f t="shared" si="4"/>
        <v>2.2518489803622664E-2</v>
      </c>
      <c r="BU21" s="150">
        <f t="shared" si="4"/>
        <v>2.3842780012971378E-2</v>
      </c>
      <c r="BV21" s="150">
        <f t="shared" si="4"/>
        <v>2.2136254569772678E-2</v>
      </c>
      <c r="BW21" s="150">
        <f t="shared" si="4"/>
        <v>1.9669338522627099E-2</v>
      </c>
      <c r="BX21" s="150">
        <f t="shared" si="4"/>
        <v>2.0573268161460264E-2</v>
      </c>
      <c r="BY21" s="150">
        <f t="shared" si="4"/>
        <v>1.9478061508629428E-2</v>
      </c>
      <c r="BZ21" s="150">
        <f t="shared" si="4"/>
        <v>1.778756804096367E-2</v>
      </c>
      <c r="CA21" s="150">
        <f t="shared" si="4"/>
        <v>2.0509463528101825E-2</v>
      </c>
      <c r="CB21" s="150">
        <f t="shared" si="4"/>
        <v>1.9720566024033059E-2</v>
      </c>
      <c r="CC21" s="150">
        <f t="shared" si="4"/>
        <v>1.7795895417559469E-2</v>
      </c>
      <c r="CD21" s="150">
        <f t="shared" si="4"/>
        <v>1.6991531381570567E-2</v>
      </c>
      <c r="CE21" s="150">
        <f t="shared" si="4"/>
        <v>2.3499905794932455E-2</v>
      </c>
      <c r="CF21" s="150">
        <f t="shared" si="4"/>
        <v>2.0419163344182142E-2</v>
      </c>
      <c r="CG21" s="150">
        <f t="shared" si="4"/>
        <v>2.3305671453114872E-2</v>
      </c>
      <c r="CH21" s="150">
        <f t="shared" si="4"/>
        <v>2.6209679369957096E-2</v>
      </c>
      <c r="CI21" s="150">
        <f t="shared" si="4"/>
        <v>2.5489299544864792E-2</v>
      </c>
      <c r="CJ21" s="150">
        <f t="shared" si="4"/>
        <v>2.3423570547292102E-2</v>
      </c>
      <c r="CK21" s="150">
        <f t="shared" si="4"/>
        <v>2.5213819640943984E-2</v>
      </c>
      <c r="CL21" s="150">
        <f t="shared" si="4"/>
        <v>2.5902539048912456E-2</v>
      </c>
      <c r="CM21" s="150">
        <f t="shared" si="4"/>
        <v>2.1427464047289301E-2</v>
      </c>
      <c r="CN21" s="150">
        <f t="shared" si="4"/>
        <v>2.2712450145405669E-2</v>
      </c>
      <c r="CO21" s="150">
        <f t="shared" si="4"/>
        <v>2.2407386980394781E-2</v>
      </c>
      <c r="CP21" s="150">
        <f t="shared" si="4"/>
        <v>1.7177091872849815E-2</v>
      </c>
      <c r="CQ21" s="150">
        <f t="shared" si="4"/>
        <v>2.0455551757717936E-2</v>
      </c>
      <c r="CR21" s="150">
        <f t="shared" si="4"/>
        <v>2.2963077063261395E-2</v>
      </c>
      <c r="CS21" s="150">
        <f t="shared" si="4"/>
        <v>2.0009641213521421E-2</v>
      </c>
      <c r="CT21" s="150">
        <f t="shared" si="4"/>
        <v>2.1959855754299481E-2</v>
      </c>
      <c r="CV21" s="151">
        <f t="shared" ref="CV21:CV28" si="5">MIN(AZ21:CT21)</f>
        <v>1.6804482254449384E-2</v>
      </c>
      <c r="CW21" s="151">
        <f t="shared" ref="CW21:CW26" si="6">AVERAGE(AZ21:CT21)</f>
        <v>2.2161391344051807E-2</v>
      </c>
      <c r="CX21" s="151">
        <f t="shared" ref="CX21:CX26" si="7">MAX(AZ21:CT21)</f>
        <v>3.2988477488742639E-2</v>
      </c>
      <c r="DA21" s="151">
        <f t="shared" ref="DA21:DA28" si="8">MIN(CF21:CT21)</f>
        <v>1.7177091872849815E-2</v>
      </c>
      <c r="DB21" s="151">
        <f t="shared" ref="DB21:DB28" si="9">AVERAGE(CF21:CT21)</f>
        <v>2.2605084118933819E-2</v>
      </c>
      <c r="DC21" s="151">
        <f t="shared" ref="DC21:DC28" si="10">MAX(CF21:CT21)</f>
        <v>2.6209679369957096E-2</v>
      </c>
      <c r="DE21" s="454" t="s">
        <v>628</v>
      </c>
      <c r="DF21" s="455" t="s">
        <v>75</v>
      </c>
    </row>
    <row r="22" spans="1:114" ht="14.4">
      <c r="A22" s="141" t="s">
        <v>251</v>
      </c>
      <c r="B22" s="142" t="s">
        <v>229</v>
      </c>
      <c r="C22" s="143">
        <v>0</v>
      </c>
      <c r="D22" s="144">
        <v>0</v>
      </c>
      <c r="E22" s="144">
        <v>0</v>
      </c>
      <c r="F22" s="144">
        <v>0</v>
      </c>
      <c r="G22" s="144">
        <v>0</v>
      </c>
      <c r="H22" s="144">
        <v>0</v>
      </c>
      <c r="I22" s="144">
        <v>0</v>
      </c>
      <c r="J22" s="144">
        <v>0</v>
      </c>
      <c r="K22" s="144">
        <v>0</v>
      </c>
      <c r="L22" s="144">
        <v>16323187</v>
      </c>
      <c r="M22" s="144">
        <v>15047699</v>
      </c>
      <c r="N22" s="144">
        <v>15637362</v>
      </c>
      <c r="O22" s="144">
        <v>13193154</v>
      </c>
      <c r="P22" s="144">
        <v>14051245</v>
      </c>
      <c r="Q22" s="144">
        <v>11201509</v>
      </c>
      <c r="R22" s="144">
        <v>13766937</v>
      </c>
      <c r="S22" s="144">
        <v>13831447</v>
      </c>
      <c r="T22" s="144">
        <v>12413750</v>
      </c>
      <c r="U22" s="144">
        <v>13392263</v>
      </c>
      <c r="V22" s="144">
        <v>11667536</v>
      </c>
      <c r="W22" s="144">
        <v>13168000</v>
      </c>
      <c r="X22" s="144">
        <v>13253000</v>
      </c>
      <c r="Y22" s="144">
        <v>13619000</v>
      </c>
      <c r="Z22" s="144">
        <v>14632000</v>
      </c>
      <c r="AA22" s="144">
        <v>14169000</v>
      </c>
      <c r="AB22" s="144">
        <v>14537000</v>
      </c>
      <c r="AC22" s="144">
        <v>14865000</v>
      </c>
      <c r="AD22" s="144">
        <v>15405000</v>
      </c>
      <c r="AE22" s="144">
        <v>15895000</v>
      </c>
      <c r="AF22" s="144">
        <v>19345000</v>
      </c>
      <c r="AG22" s="144">
        <v>21440796</v>
      </c>
      <c r="AH22" s="144">
        <v>16905304</v>
      </c>
      <c r="AI22" s="144">
        <v>15225340</v>
      </c>
      <c r="AJ22" s="144">
        <v>15723812</v>
      </c>
      <c r="AK22" s="144">
        <v>15556268</v>
      </c>
      <c r="AL22" s="144">
        <v>15755428</v>
      </c>
      <c r="AM22" s="144">
        <v>15197000</v>
      </c>
      <c r="AN22" s="144">
        <v>16554512</v>
      </c>
      <c r="AO22" s="144">
        <v>15890576</v>
      </c>
      <c r="AP22" s="144">
        <v>15347072</v>
      </c>
      <c r="AQ22" s="144">
        <v>16115632</v>
      </c>
      <c r="AR22" s="144">
        <v>15916264</v>
      </c>
      <c r="AS22" s="144">
        <v>14782248</v>
      </c>
      <c r="AT22" s="144">
        <v>15419352</v>
      </c>
      <c r="AU22" s="144">
        <v>13679796</v>
      </c>
      <c r="AV22" s="144">
        <v>14957592</v>
      </c>
      <c r="AW22" s="145">
        <v>15632500</v>
      </c>
      <c r="AX22" s="148" t="s">
        <v>100</v>
      </c>
      <c r="AY22" s="149" t="s">
        <v>100</v>
      </c>
      <c r="AZ22" s="150">
        <f t="shared" si="4"/>
        <v>5.2846997229167615E-2</v>
      </c>
      <c r="BA22" s="150">
        <f t="shared" si="4"/>
        <v>3.7524041109538983E-2</v>
      </c>
      <c r="BB22" s="150">
        <f t="shared" si="4"/>
        <v>3.5428377919582942E-2</v>
      </c>
      <c r="BC22" s="150">
        <f t="shared" si="4"/>
        <v>3.7466884769569574E-2</v>
      </c>
      <c r="BD22" s="150">
        <f t="shared" si="4"/>
        <v>3.8579583484112515E-2</v>
      </c>
      <c r="BE22" s="150">
        <f t="shared" si="4"/>
        <v>2.8760908562002675E-2</v>
      </c>
      <c r="BF22" s="150">
        <f t="shared" si="4"/>
        <v>2.6279580636569329E-2</v>
      </c>
      <c r="BG22" s="150">
        <f t="shared" si="4"/>
        <v>2.6729068245373442E-2</v>
      </c>
      <c r="BH22" s="150">
        <f t="shared" si="4"/>
        <v>2.4988376960035492E-2</v>
      </c>
      <c r="BI22" s="150">
        <f t="shared" si="4"/>
        <v>2.2544351753393459E-2</v>
      </c>
      <c r="BJ22" s="150">
        <f t="shared" si="4"/>
        <v>1.4494276501082497E-2</v>
      </c>
      <c r="BK22" s="150">
        <f t="shared" si="4"/>
        <v>2.0618855553481658E-2</v>
      </c>
      <c r="BL22" s="150">
        <f t="shared" si="4"/>
        <v>2.0325654822170563E-2</v>
      </c>
      <c r="BM22" s="150">
        <f t="shared" si="4"/>
        <v>1.2108096162469061E-2</v>
      </c>
      <c r="BN22" s="150">
        <f t="shared" si="4"/>
        <v>2.0532158479420748E-2</v>
      </c>
      <c r="BO22" s="150">
        <f t="shared" si="4"/>
        <v>1.7924109404440034E-2</v>
      </c>
      <c r="BP22" s="150">
        <f t="shared" si="4"/>
        <v>2.3321705750765146E-2</v>
      </c>
      <c r="BQ22" s="150">
        <f t="shared" si="4"/>
        <v>1.7056141340036197E-2</v>
      </c>
      <c r="BR22" s="150">
        <f t="shared" si="4"/>
        <v>1.6450192246961884E-2</v>
      </c>
      <c r="BS22" s="150">
        <f t="shared" si="4"/>
        <v>2.0256999510432239E-2</v>
      </c>
      <c r="BT22" s="150">
        <f t="shared" si="4"/>
        <v>1.5159913794684768E-2</v>
      </c>
      <c r="BU22" s="150">
        <f t="shared" si="4"/>
        <v>1.7562410230185999E-2</v>
      </c>
      <c r="BV22" s="150">
        <f t="shared" si="4"/>
        <v>3.5017860855637101E-2</v>
      </c>
      <c r="BW22" s="150">
        <f t="shared" si="4"/>
        <v>3.7514889090675609E-2</v>
      </c>
      <c r="BX22" s="150">
        <f t="shared" si="4"/>
        <v>3.5827102119888078E-2</v>
      </c>
      <c r="BY22" s="150">
        <f t="shared" si="4"/>
        <v>4.3302228025177421E-2</v>
      </c>
      <c r="BZ22" s="150">
        <f t="shared" si="4"/>
        <v>5.173926352639277E-2</v>
      </c>
      <c r="CA22" s="150">
        <f t="shared" si="4"/>
        <v>3.8728612017402006E-2</v>
      </c>
      <c r="CB22" s="150">
        <f t="shared" si="4"/>
        <v>4.5456473727247836E-2</v>
      </c>
      <c r="CC22" s="150">
        <f t="shared" si="4"/>
        <v>4.2541749888150487E-2</v>
      </c>
      <c r="CD22" s="150">
        <f t="shared" si="4"/>
        <v>4.1840520535666219E-2</v>
      </c>
      <c r="CE22" s="150">
        <f t="shared" si="4"/>
        <v>3.1347166767224668E-2</v>
      </c>
      <c r="CF22" s="150">
        <f t="shared" si="4"/>
        <v>3.6493960464235059E-2</v>
      </c>
      <c r="CG22" s="150">
        <f t="shared" si="4"/>
        <v>2.8754021287538806E-2</v>
      </c>
      <c r="CH22" s="150">
        <f t="shared" si="4"/>
        <v>1.8856710271188924E-2</v>
      </c>
      <c r="CI22" s="150">
        <f t="shared" si="4"/>
        <v>1.8256981301149017E-2</v>
      </c>
      <c r="CJ22" s="150">
        <f t="shared" si="4"/>
        <v>1.8471985179919166E-2</v>
      </c>
      <c r="CK22" s="150">
        <f t="shared" si="4"/>
        <v>2.0104595461626119E-2</v>
      </c>
      <c r="CL22" s="150">
        <f t="shared" si="4"/>
        <v>2.0109974279746205E-2</v>
      </c>
      <c r="CM22" s="150">
        <f t="shared" si="4"/>
        <v>2.7620751398117156E-2</v>
      </c>
      <c r="CN22" s="150">
        <f t="shared" si="4"/>
        <v>3.2074499129942813E-2</v>
      </c>
      <c r="CO22" s="150">
        <f t="shared" si="4"/>
        <v>2.9839212256829444E-2</v>
      </c>
      <c r="CP22" s="150">
        <f t="shared" si="4"/>
        <v>7.8816209622916446E-3</v>
      </c>
      <c r="CQ22" s="150">
        <f t="shared" si="4"/>
        <v>1.0781054912565901E-2</v>
      </c>
      <c r="CR22" s="150">
        <f t="shared" si="4"/>
        <v>9.5723328931499145E-3</v>
      </c>
      <c r="CS22" s="150">
        <f t="shared" si="4"/>
        <v>2.5595789987060753E-2</v>
      </c>
      <c r="CT22" s="150">
        <f t="shared" si="4"/>
        <v>3.7578979000014598E-2</v>
      </c>
      <c r="CV22" s="151">
        <f t="shared" si="5"/>
        <v>7.8816209622916446E-3</v>
      </c>
      <c r="CW22" s="151">
        <f t="shared" si="6"/>
        <v>2.7495042974559881E-2</v>
      </c>
      <c r="CX22" s="151">
        <f t="shared" si="7"/>
        <v>5.2846997229167615E-2</v>
      </c>
      <c r="DA22" s="151">
        <f t="shared" si="8"/>
        <v>7.8816209622916446E-3</v>
      </c>
      <c r="DB22" s="151">
        <f t="shared" si="9"/>
        <v>2.2799497919025035E-2</v>
      </c>
      <c r="DC22" s="151">
        <f t="shared" si="10"/>
        <v>3.7578979000014598E-2</v>
      </c>
      <c r="DE22" s="454" t="s">
        <v>628</v>
      </c>
      <c r="DF22" s="149" t="s">
        <v>100</v>
      </c>
    </row>
    <row r="23" spans="1:114" ht="14.4">
      <c r="A23" s="141" t="s">
        <v>251</v>
      </c>
      <c r="B23" s="142" t="s">
        <v>75</v>
      </c>
      <c r="C23" s="143">
        <v>6676432</v>
      </c>
      <c r="D23" s="144">
        <v>7859220</v>
      </c>
      <c r="E23" s="144">
        <v>8812154</v>
      </c>
      <c r="F23" s="144">
        <v>10264856</v>
      </c>
      <c r="G23" s="144">
        <v>10175837</v>
      </c>
      <c r="H23" s="144">
        <v>9968525</v>
      </c>
      <c r="I23" s="144">
        <v>10166202</v>
      </c>
      <c r="J23" s="144">
        <v>9700915</v>
      </c>
      <c r="K23" s="144">
        <v>8423300</v>
      </c>
      <c r="L23" s="144">
        <v>6171453</v>
      </c>
      <c r="M23" s="144">
        <v>6437036</v>
      </c>
      <c r="N23" s="144">
        <v>6844652</v>
      </c>
      <c r="O23" s="144">
        <v>6503576</v>
      </c>
      <c r="P23" s="144">
        <v>6131143</v>
      </c>
      <c r="Q23" s="144">
        <v>5656140</v>
      </c>
      <c r="R23" s="144">
        <v>5327136</v>
      </c>
      <c r="S23" s="144">
        <v>6013331</v>
      </c>
      <c r="T23" s="144">
        <v>6021303</v>
      </c>
      <c r="U23" s="144">
        <v>6790510</v>
      </c>
      <c r="V23" s="144">
        <v>6072893</v>
      </c>
      <c r="W23" s="144">
        <v>6973048</v>
      </c>
      <c r="X23" s="144">
        <v>7333320</v>
      </c>
      <c r="Y23" s="144">
        <v>7146560</v>
      </c>
      <c r="Z23" s="144">
        <v>6589612</v>
      </c>
      <c r="AA23" s="144">
        <v>6511902</v>
      </c>
      <c r="AB23" s="144">
        <v>6413318</v>
      </c>
      <c r="AC23" s="144">
        <v>6058795</v>
      </c>
      <c r="AD23" s="144">
        <v>7202518</v>
      </c>
      <c r="AE23" s="144">
        <v>7082177</v>
      </c>
      <c r="AF23" s="144">
        <v>6898514</v>
      </c>
      <c r="AG23" s="144">
        <v>7400480</v>
      </c>
      <c r="AH23" s="144">
        <v>8277608</v>
      </c>
      <c r="AI23" s="144">
        <v>6549250</v>
      </c>
      <c r="AJ23" s="144">
        <v>7471320</v>
      </c>
      <c r="AK23" s="144">
        <v>8669068</v>
      </c>
      <c r="AL23" s="144">
        <v>8428948</v>
      </c>
      <c r="AM23" s="144">
        <v>7411934</v>
      </c>
      <c r="AN23" s="144">
        <v>8359488</v>
      </c>
      <c r="AO23" s="144">
        <v>8345734</v>
      </c>
      <c r="AP23" s="144">
        <v>6656522</v>
      </c>
      <c r="AQ23" s="144">
        <v>7388750</v>
      </c>
      <c r="AR23" s="144">
        <v>7132808</v>
      </c>
      <c r="AS23" s="144">
        <v>5394483</v>
      </c>
      <c r="AT23" s="144">
        <v>6456683</v>
      </c>
      <c r="AU23" s="144">
        <v>6938324</v>
      </c>
      <c r="AV23" s="144">
        <v>6112342</v>
      </c>
      <c r="AW23" s="145">
        <v>7483740</v>
      </c>
      <c r="AX23" s="148" t="s">
        <v>77</v>
      </c>
      <c r="AY23" s="149" t="s">
        <v>76</v>
      </c>
      <c r="AZ23" s="150">
        <f t="shared" si="4"/>
        <v>0.18668017997868361</v>
      </c>
      <c r="BA23" s="150">
        <f t="shared" si="4"/>
        <v>0.19167031515367289</v>
      </c>
      <c r="BB23" s="150">
        <f t="shared" si="4"/>
        <v>0.17947872262134443</v>
      </c>
      <c r="BC23" s="150">
        <f t="shared" si="4"/>
        <v>0.16422528392116445</v>
      </c>
      <c r="BD23" s="150">
        <f t="shared" si="4"/>
        <v>0.14293415183864372</v>
      </c>
      <c r="BE23" s="150">
        <f t="shared" si="4"/>
        <v>0.15250918073997943</v>
      </c>
      <c r="BF23" s="150">
        <f t="shared" si="4"/>
        <v>0.15884158478118895</v>
      </c>
      <c r="BG23" s="150">
        <f t="shared" si="4"/>
        <v>0.16542340367700487</v>
      </c>
      <c r="BH23" s="150">
        <f t="shared" si="4"/>
        <v>0.1805191712939522</v>
      </c>
      <c r="BI23" s="150">
        <f t="shared" si="4"/>
        <v>0.19488191610168679</v>
      </c>
      <c r="BJ23" s="150">
        <f t="shared" si="4"/>
        <v>0.19586581847383019</v>
      </c>
      <c r="BK23" s="150">
        <f t="shared" si="4"/>
        <v>0.20403902154940196</v>
      </c>
      <c r="BL23" s="150">
        <f t="shared" si="4"/>
        <v>0.20377162862847673</v>
      </c>
      <c r="BM23" s="150">
        <f t="shared" si="4"/>
        <v>0.18575423766081717</v>
      </c>
      <c r="BN23" s="150">
        <f t="shared" si="4"/>
        <v>0.18727085236222946</v>
      </c>
      <c r="BO23" s="150">
        <f t="shared" si="4"/>
        <v>0.19437712780740624</v>
      </c>
      <c r="BP23" s="150">
        <f t="shared" si="4"/>
        <v>0.1781500143706059</v>
      </c>
      <c r="BQ23" s="150">
        <f t="shared" si="4"/>
        <v>0.18304694702645699</v>
      </c>
      <c r="BR23" s="150">
        <f t="shared" si="4"/>
        <v>0.17098902243918035</v>
      </c>
      <c r="BS23" s="150">
        <f t="shared" si="4"/>
        <v>0.18404855677925291</v>
      </c>
      <c r="BT23" s="150">
        <f t="shared" si="4"/>
        <v>0.18042686600218394</v>
      </c>
      <c r="BU23" s="150">
        <f t="shared" si="4"/>
        <v>0.19419278371338475</v>
      </c>
      <c r="BV23" s="150">
        <f t="shared" si="4"/>
        <v>0.1944929957209614</v>
      </c>
      <c r="BW23" s="150">
        <f t="shared" si="4"/>
        <v>0.19875741236618252</v>
      </c>
      <c r="BX23" s="150">
        <f t="shared" si="4"/>
        <v>0.18239036018829821</v>
      </c>
      <c r="BY23" s="150">
        <f t="shared" si="4"/>
        <v>0.18866980300169026</v>
      </c>
      <c r="BZ23" s="150">
        <f t="shared" si="4"/>
        <v>0.17760513740431311</v>
      </c>
      <c r="CA23" s="150">
        <f t="shared" si="4"/>
        <v>0.16410973222341774</v>
      </c>
      <c r="CB23" s="150">
        <f t="shared" si="4"/>
        <v>0.17148286911183941</v>
      </c>
      <c r="CC23" s="150">
        <f t="shared" si="4"/>
        <v>0.23328455284295921</v>
      </c>
      <c r="CD23" s="150">
        <f t="shared" si="4"/>
        <v>0.2720484082405874</v>
      </c>
      <c r="CE23" s="150">
        <f t="shared" si="4"/>
        <v>0.26605194905816781</v>
      </c>
      <c r="CF23" s="150">
        <f t="shared" si="4"/>
        <v>0.2571474261312609</v>
      </c>
      <c r="CG23" s="150">
        <f t="shared" si="4"/>
        <v>0.3032999624209245</v>
      </c>
      <c r="CH23" s="150">
        <f t="shared" si="4"/>
        <v>0.28178298597388085</v>
      </c>
      <c r="CI23" s="150">
        <f t="shared" si="4"/>
        <v>0.28004552495177149</v>
      </c>
      <c r="CJ23" s="150">
        <f t="shared" si="4"/>
        <v>0.27401348149916721</v>
      </c>
      <c r="CK23" s="150">
        <f t="shared" si="4"/>
        <v>0.25287884854956061</v>
      </c>
      <c r="CL23" s="150">
        <f t="shared" si="4"/>
        <v>0.25495140662481786</v>
      </c>
      <c r="CM23" s="150">
        <f t="shared" si="4"/>
        <v>0.25676485704898727</v>
      </c>
      <c r="CN23" s="150">
        <f t="shared" si="4"/>
        <v>0.28006647226985698</v>
      </c>
      <c r="CO23" s="150">
        <f t="shared" si="4"/>
        <v>0.26558235157377552</v>
      </c>
      <c r="CP23" s="150">
        <f t="shared" si="4"/>
        <v>0.28056259026738289</v>
      </c>
      <c r="CQ23" s="150">
        <f t="shared" si="4"/>
        <v>0.29049969055538422</v>
      </c>
      <c r="CR23" s="150">
        <f t="shared" si="4"/>
        <v>0.28768438137344149</v>
      </c>
      <c r="CS23" s="150">
        <f t="shared" si="4"/>
        <v>0.27400559619886539</v>
      </c>
      <c r="CT23" s="150">
        <f t="shared" si="4"/>
        <v>0.26567063269258406</v>
      </c>
      <c r="CV23" s="151">
        <f t="shared" si="5"/>
        <v>0.14293415183864372</v>
      </c>
      <c r="CW23" s="151">
        <f t="shared" si="6"/>
        <v>0.21559460032363031</v>
      </c>
      <c r="CX23" s="151">
        <f t="shared" si="7"/>
        <v>0.3032999624209245</v>
      </c>
      <c r="DA23" s="151">
        <f t="shared" si="8"/>
        <v>0.25287884854956061</v>
      </c>
      <c r="DB23" s="151">
        <f t="shared" si="9"/>
        <v>0.2736637472087774</v>
      </c>
      <c r="DC23" s="151">
        <f t="shared" si="10"/>
        <v>0.3032999624209245</v>
      </c>
      <c r="DE23" s="454" t="s">
        <v>628</v>
      </c>
      <c r="DF23" s="149" t="s">
        <v>76</v>
      </c>
    </row>
    <row r="24" spans="1:114" ht="14.4">
      <c r="A24" s="141" t="s">
        <v>251</v>
      </c>
      <c r="B24" s="142" t="s">
        <v>100</v>
      </c>
      <c r="C24" s="143">
        <v>9575307</v>
      </c>
      <c r="D24" s="144">
        <v>9444981</v>
      </c>
      <c r="E24" s="144">
        <v>9592968</v>
      </c>
      <c r="F24" s="144">
        <v>13028293</v>
      </c>
      <c r="G24" s="144">
        <v>15134172</v>
      </c>
      <c r="H24" s="144">
        <v>11910082</v>
      </c>
      <c r="I24" s="144">
        <v>10146244</v>
      </c>
      <c r="J24" s="144">
        <v>10021051</v>
      </c>
      <c r="K24" s="144">
        <v>8920850</v>
      </c>
      <c r="L24" s="144">
        <v>6822453</v>
      </c>
      <c r="M24" s="144">
        <v>4496073</v>
      </c>
      <c r="N24" s="144">
        <v>6061464</v>
      </c>
      <c r="O24" s="144">
        <v>6195792</v>
      </c>
      <c r="P24" s="144">
        <v>4028100</v>
      </c>
      <c r="Q24" s="144">
        <v>5375730</v>
      </c>
      <c r="R24" s="144">
        <v>4268786</v>
      </c>
      <c r="S24" s="144">
        <v>5424624</v>
      </c>
      <c r="T24" s="144">
        <v>4691084</v>
      </c>
      <c r="U24" s="144">
        <v>4885964</v>
      </c>
      <c r="V24" s="144">
        <v>5656610</v>
      </c>
      <c r="W24" s="144">
        <v>4694261</v>
      </c>
      <c r="X24" s="144">
        <v>5401499</v>
      </c>
      <c r="Y24" s="144">
        <v>11304914</v>
      </c>
      <c r="Z24" s="144">
        <v>12567468</v>
      </c>
      <c r="AA24" s="144">
        <v>11339312</v>
      </c>
      <c r="AB24" s="144">
        <v>14225315</v>
      </c>
      <c r="AC24" s="144">
        <v>17570959</v>
      </c>
      <c r="AD24" s="144">
        <v>13556836</v>
      </c>
      <c r="AE24" s="144">
        <v>16260478</v>
      </c>
      <c r="AF24" s="144">
        <v>16423526</v>
      </c>
      <c r="AG24" s="144">
        <v>18222884</v>
      </c>
      <c r="AH24" s="144">
        <v>11039632</v>
      </c>
      <c r="AI24" s="144">
        <v>11702561</v>
      </c>
      <c r="AJ24" s="144">
        <v>14012338</v>
      </c>
      <c r="AK24" s="144">
        <v>12630168</v>
      </c>
      <c r="AL24" s="144">
        <v>13127500</v>
      </c>
      <c r="AM24" s="144">
        <v>10743858</v>
      </c>
      <c r="AN24" s="144">
        <v>9604702</v>
      </c>
      <c r="AO24" s="144">
        <v>8344863</v>
      </c>
      <c r="AP24" s="144">
        <v>10400184</v>
      </c>
      <c r="AQ24" s="144">
        <v>11758814</v>
      </c>
      <c r="AR24" s="144">
        <v>10910845</v>
      </c>
      <c r="AS24" s="144">
        <v>12460072</v>
      </c>
      <c r="AT24" s="144">
        <v>12102315</v>
      </c>
      <c r="AU24" s="144">
        <v>12128322</v>
      </c>
      <c r="AV24" s="144">
        <v>16458691</v>
      </c>
      <c r="AW24" s="145">
        <v>19521794</v>
      </c>
      <c r="AX24" s="148" t="s">
        <v>96</v>
      </c>
      <c r="AY24" s="149" t="s">
        <v>79</v>
      </c>
      <c r="AZ24" s="150">
        <f t="shared" si="4"/>
        <v>2.7642624574246918E-2</v>
      </c>
      <c r="BA24" s="150">
        <f t="shared" si="4"/>
        <v>2.9365829358680508E-2</v>
      </c>
      <c r="BB24" s="150">
        <f t="shared" si="4"/>
        <v>2.6949570255813869E-2</v>
      </c>
      <c r="BC24" s="150">
        <f t="shared" si="4"/>
        <v>2.5271265303359793E-2</v>
      </c>
      <c r="BD24" s="150">
        <f t="shared" si="4"/>
        <v>1.932677765557508E-2</v>
      </c>
      <c r="BE24" s="150">
        <f t="shared" si="4"/>
        <v>1.8593760730177981E-2</v>
      </c>
      <c r="BF24" s="150">
        <f t="shared" si="4"/>
        <v>1.925777873133001E-2</v>
      </c>
      <c r="BG24" s="150">
        <f t="shared" si="4"/>
        <v>1.543359113171958E-2</v>
      </c>
      <c r="BH24" s="150">
        <f t="shared" si="4"/>
        <v>1.221565064694668E-2</v>
      </c>
      <c r="BI24" s="150">
        <f t="shared" si="4"/>
        <v>1.3888463855950694E-2</v>
      </c>
      <c r="BJ24" s="150">
        <f t="shared" si="4"/>
        <v>1.5689564227819221E-2</v>
      </c>
      <c r="BK24" s="150">
        <f t="shared" si="4"/>
        <v>1.4267574220998835E-2</v>
      </c>
      <c r="BL24" s="150">
        <f t="shared" si="4"/>
        <v>1.389269059994234E-2</v>
      </c>
      <c r="BM24" s="150">
        <f t="shared" si="4"/>
        <v>1.3170368857619569E-2</v>
      </c>
      <c r="BN24" s="150">
        <f t="shared" si="4"/>
        <v>1.0586073876636772E-2</v>
      </c>
      <c r="BO24" s="150">
        <f t="shared" si="4"/>
        <v>4.0674610131076778E-3</v>
      </c>
      <c r="BP24" s="150">
        <f t="shared" si="4"/>
        <v>7.5891339130839137E-3</v>
      </c>
      <c r="BQ24" s="150">
        <f t="shared" si="4"/>
        <v>1.036375636828773E-2</v>
      </c>
      <c r="BR24" s="150">
        <f t="shared" si="4"/>
        <v>2.7990120802301111E-2</v>
      </c>
      <c r="BS24" s="150">
        <f t="shared" si="4"/>
        <v>4.0489385982731177E-2</v>
      </c>
      <c r="BT24" s="150">
        <f t="shared" si="4"/>
        <v>3.2703525285536959E-2</v>
      </c>
      <c r="BU24" s="150">
        <f t="shared" si="4"/>
        <v>4.2284198548242752E-2</v>
      </c>
      <c r="BV24" s="150">
        <f t="shared" si="4"/>
        <v>3.6636537778295994E-2</v>
      </c>
      <c r="BW24" s="150">
        <f t="shared" si="4"/>
        <v>3.6184657139354107E-2</v>
      </c>
      <c r="BX24" s="150">
        <f t="shared" si="4"/>
        <v>4.5624696600440579E-2</v>
      </c>
      <c r="BY24" s="150">
        <f t="shared" si="4"/>
        <v>2.6483025776163377E-2</v>
      </c>
      <c r="BZ24" s="150">
        <f t="shared" si="4"/>
        <v>1.7615530392277021E-2</v>
      </c>
      <c r="CA24" s="150">
        <f t="shared" si="4"/>
        <v>2.3354995374335975E-2</v>
      </c>
      <c r="CB24" s="150">
        <f t="shared" si="4"/>
        <v>3.0964542837428936E-2</v>
      </c>
      <c r="CC24" s="150">
        <f t="shared" si="4"/>
        <v>3.0330262684781069E-2</v>
      </c>
      <c r="CD24" s="150">
        <f t="shared" si="4"/>
        <v>4.2882659895348854E-2</v>
      </c>
      <c r="CE24" s="150">
        <f t="shared" si="4"/>
        <v>5.5450999836021024E-2</v>
      </c>
      <c r="CF24" s="150">
        <f t="shared" si="4"/>
        <v>5.752907565715995E-2</v>
      </c>
      <c r="CG24" s="150">
        <f t="shared" si="4"/>
        <v>8.2656034887786903E-2</v>
      </c>
      <c r="CH24" s="150">
        <f t="shared" si="4"/>
        <v>7.5696362040342566E-2</v>
      </c>
      <c r="CI24" s="150">
        <f t="shared" si="4"/>
        <v>7.9692044932276176E-2</v>
      </c>
      <c r="CJ24" s="150">
        <f t="shared" si="4"/>
        <v>8.0084469990764157E-2</v>
      </c>
      <c r="CK24" s="150">
        <f t="shared" si="4"/>
        <v>8.4916147464492317E-2</v>
      </c>
      <c r="CL24" s="150">
        <f t="shared" si="4"/>
        <v>8.2747355921819074E-2</v>
      </c>
      <c r="CM24" s="150">
        <f t="shared" si="4"/>
        <v>9.0572985472252079E-2</v>
      </c>
      <c r="CN24" s="150">
        <f t="shared" si="4"/>
        <v>7.7741693787451008E-2</v>
      </c>
      <c r="CO24" s="150">
        <f t="shared" si="4"/>
        <v>7.2054753605048372E-2</v>
      </c>
      <c r="CP24" s="150">
        <f t="shared" si="4"/>
        <v>8.2714111469160162E-2</v>
      </c>
      <c r="CQ24" s="150">
        <f t="shared" si="4"/>
        <v>5.5209833844451016E-2</v>
      </c>
      <c r="CR24" s="150">
        <f t="shared" si="4"/>
        <v>0.10953963139753704</v>
      </c>
      <c r="CS24" s="150">
        <f t="shared" si="4"/>
        <v>0.12513263625088755</v>
      </c>
      <c r="CT24" s="150">
        <f t="shared" si="4"/>
        <v>0.10111975211050818</v>
      </c>
      <c r="CV24" s="151">
        <f t="shared" si="5"/>
        <v>4.0674610131076778E-3</v>
      </c>
      <c r="CW24" s="151">
        <f t="shared" si="6"/>
        <v>4.3488807725244522E-2</v>
      </c>
      <c r="CX24" s="151">
        <f t="shared" si="7"/>
        <v>0.12513263625088755</v>
      </c>
      <c r="DA24" s="151">
        <f t="shared" si="8"/>
        <v>5.5209833844451016E-2</v>
      </c>
      <c r="DB24" s="151">
        <f t="shared" si="9"/>
        <v>8.3827125922129112E-2</v>
      </c>
      <c r="DC24" s="151">
        <f t="shared" si="10"/>
        <v>0.12513263625088755</v>
      </c>
      <c r="DE24" s="454" t="s">
        <v>628</v>
      </c>
      <c r="DF24" s="149" t="s">
        <v>79</v>
      </c>
    </row>
    <row r="25" spans="1:114" ht="14.4">
      <c r="A25" s="141" t="s">
        <v>251</v>
      </c>
      <c r="B25" s="142" t="s">
        <v>77</v>
      </c>
      <c r="C25" s="143">
        <v>33833131</v>
      </c>
      <c r="D25" s="144">
        <v>48252857</v>
      </c>
      <c r="E25" s="144">
        <v>48605703</v>
      </c>
      <c r="F25" s="144">
        <v>57113486</v>
      </c>
      <c r="G25" s="144">
        <v>56078535</v>
      </c>
      <c r="H25" s="144">
        <v>63162041</v>
      </c>
      <c r="I25" s="144">
        <v>61333145</v>
      </c>
      <c r="J25" s="144">
        <v>62025366</v>
      </c>
      <c r="K25" s="144">
        <v>64450529</v>
      </c>
      <c r="L25" s="144">
        <v>58982042</v>
      </c>
      <c r="M25" s="144">
        <v>60762674</v>
      </c>
      <c r="N25" s="144">
        <v>59988391</v>
      </c>
      <c r="O25" s="144">
        <v>62120632</v>
      </c>
      <c r="P25" s="144">
        <v>61801669</v>
      </c>
      <c r="Q25" s="144">
        <v>49035342</v>
      </c>
      <c r="R25" s="144">
        <v>46296245</v>
      </c>
      <c r="S25" s="144">
        <v>41441026</v>
      </c>
      <c r="T25" s="144">
        <v>50348621</v>
      </c>
      <c r="U25" s="144">
        <v>50790859</v>
      </c>
      <c r="V25" s="144">
        <v>51399589</v>
      </c>
      <c r="W25" s="144">
        <v>55876208</v>
      </c>
      <c r="X25" s="144">
        <v>59738623</v>
      </c>
      <c r="Y25" s="144">
        <v>62800133</v>
      </c>
      <c r="Z25" s="144">
        <v>66589578</v>
      </c>
      <c r="AA25" s="144">
        <v>57733207</v>
      </c>
      <c r="AB25" s="144">
        <v>61986505</v>
      </c>
      <c r="AC25" s="144">
        <v>60322159</v>
      </c>
      <c r="AD25" s="144">
        <v>57452942</v>
      </c>
      <c r="AE25" s="144">
        <v>61346060</v>
      </c>
      <c r="AF25" s="144">
        <v>90062568</v>
      </c>
      <c r="AG25" s="144">
        <v>118487749</v>
      </c>
      <c r="AH25" s="144">
        <v>93698328</v>
      </c>
      <c r="AI25" s="144">
        <v>82462254</v>
      </c>
      <c r="AJ25" s="144">
        <v>97227631</v>
      </c>
      <c r="AK25" s="144">
        <v>93201560</v>
      </c>
      <c r="AL25" s="144">
        <v>92606253</v>
      </c>
      <c r="AM25" s="144">
        <v>86713258</v>
      </c>
      <c r="AN25" s="144">
        <v>83845092</v>
      </c>
      <c r="AO25" s="144">
        <v>82150218</v>
      </c>
      <c r="AP25" s="144">
        <v>79768943</v>
      </c>
      <c r="AQ25" s="144">
        <v>91113286</v>
      </c>
      <c r="AR25" s="144">
        <v>84545651</v>
      </c>
      <c r="AS25" s="144">
        <v>88114059</v>
      </c>
      <c r="AT25" s="144">
        <v>91697205</v>
      </c>
      <c r="AU25" s="144">
        <v>86925896</v>
      </c>
      <c r="AV25" s="144">
        <v>83704909</v>
      </c>
      <c r="AW25" s="145">
        <v>90540929</v>
      </c>
      <c r="AX25" s="148" t="s">
        <v>51</v>
      </c>
      <c r="AY25" s="149" t="s">
        <v>45</v>
      </c>
      <c r="AZ25" s="150">
        <f t="shared" si="4"/>
        <v>0.25645133939662584</v>
      </c>
      <c r="BA25" s="150">
        <f t="shared" si="4"/>
        <v>0.28057164966262682</v>
      </c>
      <c r="BB25" s="150">
        <f t="shared" si="4"/>
        <v>0.28773843829364765</v>
      </c>
      <c r="BC25" s="150">
        <f t="shared" si="4"/>
        <v>0.28841031985739113</v>
      </c>
      <c r="BD25" s="150">
        <f t="shared" si="4"/>
        <v>0.28422274789741619</v>
      </c>
      <c r="BE25" s="150">
        <f t="shared" si="4"/>
        <v>0.32735663873677279</v>
      </c>
      <c r="BF25" s="150">
        <f t="shared" si="4"/>
        <v>0.34518717929714071</v>
      </c>
      <c r="BG25" s="150">
        <f t="shared" si="4"/>
        <v>0.36789294202980316</v>
      </c>
      <c r="BH25" s="150">
        <f t="shared" si="4"/>
        <v>0.38789789053683887</v>
      </c>
      <c r="BI25" s="150">
        <f t="shared" si="4"/>
        <v>0.42770290506584907</v>
      </c>
      <c r="BJ25" s="150">
        <f t="shared" si="4"/>
        <v>0.44244952042357727</v>
      </c>
      <c r="BK25" s="150">
        <f t="shared" si="4"/>
        <v>0.45914864768741248</v>
      </c>
      <c r="BL25" s="150">
        <f t="shared" si="4"/>
        <v>0.45093222533231508</v>
      </c>
      <c r="BM25" s="150">
        <f t="shared" si="4"/>
        <v>0.46196496236017609</v>
      </c>
      <c r="BN25" s="150">
        <f t="shared" si="4"/>
        <v>0.4540248418672258</v>
      </c>
      <c r="BO25" s="150">
        <f t="shared" si="4"/>
        <v>0.48066935061714472</v>
      </c>
      <c r="BP25" s="150">
        <f t="shared" si="4"/>
        <v>0.47108159974482522</v>
      </c>
      <c r="BQ25" s="150">
        <f t="shared" si="4"/>
        <v>0.47277981300491967</v>
      </c>
      <c r="BR25" s="150">
        <f t="shared" si="4"/>
        <v>0.47245731189952883</v>
      </c>
      <c r="BS25" s="150">
        <f t="shared" si="4"/>
        <v>0.46113000724918968</v>
      </c>
      <c r="BT25" s="150">
        <f t="shared" si="4"/>
        <v>0.47344931036626225</v>
      </c>
      <c r="BU25" s="150">
        <f t="shared" si="4"/>
        <v>0.43423315252127165</v>
      </c>
      <c r="BV25" s="150">
        <f t="shared" si="4"/>
        <v>0.41091234478598421</v>
      </c>
      <c r="BW25" s="150">
        <f t="shared" si="4"/>
        <v>0.41171465014044756</v>
      </c>
      <c r="BX25" s="150">
        <f t="shared" si="4"/>
        <v>0.4414023535613103</v>
      </c>
      <c r="BY25" s="150">
        <f t="shared" si="4"/>
        <v>0.47362484689348522</v>
      </c>
      <c r="BZ25" s="150">
        <f t="shared" si="4"/>
        <v>0.49162041494232356</v>
      </c>
      <c r="CA25" s="150">
        <f t="shared" si="4"/>
        <v>0.49332581701019385</v>
      </c>
      <c r="CB25" s="150">
        <f t="shared" si="4"/>
        <v>0.48242217266270387</v>
      </c>
      <c r="CC25" s="150">
        <f t="shared" si="4"/>
        <v>0.45832203393417409</v>
      </c>
      <c r="CD25" s="150">
        <f t="shared" si="4"/>
        <v>0.44780525659790726</v>
      </c>
      <c r="CE25" s="150">
        <f t="shared" si="4"/>
        <v>0.46602233351663991</v>
      </c>
      <c r="CF25" s="150">
        <f t="shared" si="4"/>
        <v>0.43563404842412246</v>
      </c>
      <c r="CG25" s="150">
        <f t="shared" si="4"/>
        <v>0.37712497539959222</v>
      </c>
      <c r="CH25" s="150">
        <f t="shared" si="4"/>
        <v>0.38914202552242272</v>
      </c>
      <c r="CI25" s="150">
        <f t="shared" si="4"/>
        <v>0.39786795126969371</v>
      </c>
      <c r="CJ25" s="150">
        <f t="shared" si="4"/>
        <v>0.3962468117604378</v>
      </c>
      <c r="CK25" s="150">
        <f t="shared" si="4"/>
        <v>0.41315932457565641</v>
      </c>
      <c r="CL25" s="150">
        <f t="shared" si="4"/>
        <v>0.4138814904499008</v>
      </c>
      <c r="CM25" s="150">
        <f t="shared" si="4"/>
        <v>0.40072993809803015</v>
      </c>
      <c r="CN25" s="150">
        <f t="shared" si="4"/>
        <v>0.39675085897917917</v>
      </c>
      <c r="CO25" s="150">
        <f t="shared" si="4"/>
        <v>0.43232634460278896</v>
      </c>
      <c r="CP25" s="150">
        <f t="shared" si="4"/>
        <v>0.37049313457542904</v>
      </c>
      <c r="CQ25" s="150">
        <f t="shared" si="4"/>
        <v>0.42174228212268494</v>
      </c>
      <c r="CR25" s="150">
        <f t="shared" si="4"/>
        <v>0.38762795666507732</v>
      </c>
      <c r="CS25" s="150">
        <f t="shared" si="4"/>
        <v>0.39938963533372662</v>
      </c>
      <c r="CT25" s="150">
        <f t="shared" si="4"/>
        <v>0.42727798049258547</v>
      </c>
      <c r="CV25" s="151">
        <f t="shared" si="5"/>
        <v>0.25645133939662584</v>
      </c>
      <c r="CW25" s="151">
        <f t="shared" si="6"/>
        <v>0.41328339949286091</v>
      </c>
      <c r="CX25" s="151">
        <f t="shared" si="7"/>
        <v>0.49332581701019385</v>
      </c>
      <c r="DA25" s="151">
        <f t="shared" si="8"/>
        <v>0.37049313457542904</v>
      </c>
      <c r="DB25" s="151">
        <f t="shared" si="9"/>
        <v>0.40395965055142186</v>
      </c>
      <c r="DC25" s="151">
        <f>MAX(CF25:CT25)</f>
        <v>0.43563404842412246</v>
      </c>
      <c r="DE25" s="454" t="s">
        <v>628</v>
      </c>
      <c r="DF25" s="149" t="s">
        <v>45</v>
      </c>
    </row>
    <row r="26" spans="1:114" ht="14.4">
      <c r="A26" s="141" t="s">
        <v>251</v>
      </c>
      <c r="B26" s="142" t="s">
        <v>96</v>
      </c>
      <c r="C26" s="143">
        <v>5008546</v>
      </c>
      <c r="D26" s="144">
        <v>7391520</v>
      </c>
      <c r="E26" s="144">
        <v>7297155</v>
      </c>
      <c r="F26" s="144">
        <v>8787532</v>
      </c>
      <c r="G26" s="144">
        <v>7581595</v>
      </c>
      <c r="H26" s="144">
        <v>7699799</v>
      </c>
      <c r="I26" s="144">
        <v>7435207</v>
      </c>
      <c r="J26" s="144">
        <v>5786240</v>
      </c>
      <c r="K26" s="144">
        <v>4360987</v>
      </c>
      <c r="L26" s="144">
        <v>4202977</v>
      </c>
      <c r="M26" s="144">
        <v>4866847</v>
      </c>
      <c r="N26" s="144">
        <v>4194335</v>
      </c>
      <c r="O26" s="144">
        <v>4234856</v>
      </c>
      <c r="P26" s="144">
        <v>4381495</v>
      </c>
      <c r="Q26" s="144">
        <v>2771646</v>
      </c>
      <c r="R26" s="144">
        <v>968702</v>
      </c>
      <c r="S26" s="144">
        <v>1765231</v>
      </c>
      <c r="T26" s="144">
        <v>2850425</v>
      </c>
      <c r="U26" s="144">
        <v>8313503</v>
      </c>
      <c r="V26" s="144">
        <v>11306347</v>
      </c>
      <c r="W26" s="144">
        <v>10126633</v>
      </c>
      <c r="X26" s="144">
        <v>13004938</v>
      </c>
      <c r="Y26" s="144">
        <v>11827476</v>
      </c>
      <c r="Z26" s="144">
        <v>12121841</v>
      </c>
      <c r="AA26" s="144">
        <v>14440260</v>
      </c>
      <c r="AB26" s="144">
        <v>8700000</v>
      </c>
      <c r="AC26" s="144">
        <v>5982338</v>
      </c>
      <c r="AD26" s="144">
        <v>8175347</v>
      </c>
      <c r="AE26" s="144">
        <v>11076492</v>
      </c>
      <c r="AF26" s="144">
        <v>11709200</v>
      </c>
      <c r="AG26" s="144">
        <v>18676769</v>
      </c>
      <c r="AH26" s="144">
        <v>19528356</v>
      </c>
      <c r="AI26" s="144">
        <v>18447916</v>
      </c>
      <c r="AJ26" s="144">
        <v>26496112</v>
      </c>
      <c r="AK26" s="144">
        <v>25036556</v>
      </c>
      <c r="AL26" s="144">
        <v>26352301</v>
      </c>
      <c r="AM26" s="144">
        <v>25340447</v>
      </c>
      <c r="AN26" s="144">
        <v>28152548</v>
      </c>
      <c r="AO26" s="144">
        <v>26660150</v>
      </c>
      <c r="AP26" s="144">
        <v>28135844</v>
      </c>
      <c r="AQ26" s="144">
        <v>25289900</v>
      </c>
      <c r="AR26" s="144">
        <v>22936754</v>
      </c>
      <c r="AS26" s="144">
        <v>25976450</v>
      </c>
      <c r="AT26" s="144">
        <v>17426682</v>
      </c>
      <c r="AU26" s="144">
        <v>33097544</v>
      </c>
      <c r="AV26" s="144">
        <v>38224247</v>
      </c>
      <c r="AW26" s="145">
        <v>34460788</v>
      </c>
      <c r="AX26" s="148" t="s">
        <v>230</v>
      </c>
      <c r="AY26" s="149" t="s">
        <v>44</v>
      </c>
      <c r="AZ26" s="150">
        <f t="shared" si="4"/>
        <v>0.44339038133253333</v>
      </c>
      <c r="BA26" s="150">
        <f t="shared" si="4"/>
        <v>0.43285994557918489</v>
      </c>
      <c r="BB26" s="150">
        <f t="shared" si="4"/>
        <v>0.44115757604929073</v>
      </c>
      <c r="BC26" s="150">
        <f t="shared" si="4"/>
        <v>0.45811421009332187</v>
      </c>
      <c r="BD26" s="150">
        <f t="shared" si="4"/>
        <v>0.49191546663364843</v>
      </c>
      <c r="BE26" s="150">
        <f t="shared" si="4"/>
        <v>0.45165084039544812</v>
      </c>
      <c r="BF26" s="150">
        <f t="shared" si="4"/>
        <v>0.42769078815231754</v>
      </c>
      <c r="BG26" s="150">
        <f t="shared" si="4"/>
        <v>0.40220181106133207</v>
      </c>
      <c r="BH26" s="150">
        <f t="shared" si="4"/>
        <v>0.37420674679763355</v>
      </c>
      <c r="BI26" s="150">
        <f t="shared" si="4"/>
        <v>0.32417788096867062</v>
      </c>
      <c r="BJ26" s="150">
        <f t="shared" si="4"/>
        <v>0.31300628844737038</v>
      </c>
      <c r="BK26" s="150">
        <f t="shared" si="4"/>
        <v>0.28065094931676277</v>
      </c>
      <c r="BL26" s="150">
        <f t="shared" si="4"/>
        <v>0.29010365165665519</v>
      </c>
      <c r="BM26" s="150">
        <f t="shared" si="4"/>
        <v>0.3090280719601039</v>
      </c>
      <c r="BN26" s="150">
        <f t="shared" si="4"/>
        <v>0.30598364915672049</v>
      </c>
      <c r="BO26" s="150">
        <f t="shared" si="4"/>
        <v>0.28059474076319385</v>
      </c>
      <c r="BP26" s="150">
        <f t="shared" si="4"/>
        <v>0.29400556310032189</v>
      </c>
      <c r="BQ26" s="150">
        <f t="shared" si="4"/>
        <v>0.29486118243867432</v>
      </c>
      <c r="BR26" s="150">
        <f t="shared" si="4"/>
        <v>0.28925130559717338</v>
      </c>
      <c r="BS26" s="150">
        <f t="shared" si="4"/>
        <v>0.27232767116711754</v>
      </c>
      <c r="BT26" s="150">
        <f t="shared" ref="BT26:CT26" si="11">W64/SUM(W$59:W$64)</f>
        <v>0.27574189474770938</v>
      </c>
      <c r="BU26" s="150">
        <f t="shared" si="11"/>
        <v>0.28788467497394349</v>
      </c>
      <c r="BV26" s="150">
        <f t="shared" si="11"/>
        <v>0.30080400628934856</v>
      </c>
      <c r="BW26" s="150">
        <f t="shared" si="11"/>
        <v>0.29615905274071314</v>
      </c>
      <c r="BX26" s="150">
        <f t="shared" si="11"/>
        <v>0.2741822193686026</v>
      </c>
      <c r="BY26" s="150">
        <f t="shared" si="11"/>
        <v>0.2484420347948543</v>
      </c>
      <c r="BZ26" s="150">
        <f t="shared" si="11"/>
        <v>0.24363208569372988</v>
      </c>
      <c r="CA26" s="150">
        <f t="shared" si="11"/>
        <v>0.25997137984654861</v>
      </c>
      <c r="CB26" s="150">
        <f t="shared" si="11"/>
        <v>0.24995337563674688</v>
      </c>
      <c r="CC26" s="150">
        <f t="shared" si="11"/>
        <v>0.21772550523237569</v>
      </c>
      <c r="CD26" s="150">
        <f t="shared" si="11"/>
        <v>0.17843162334891968</v>
      </c>
      <c r="CE26" s="150">
        <f t="shared" si="11"/>
        <v>0.1576276450270141</v>
      </c>
      <c r="CF26" s="150">
        <f t="shared" si="11"/>
        <v>0.19277632597903951</v>
      </c>
      <c r="CG26" s="150">
        <f t="shared" si="11"/>
        <v>0.18485933455104267</v>
      </c>
      <c r="CH26" s="150">
        <f t="shared" si="11"/>
        <v>0.2083122368222079</v>
      </c>
      <c r="CI26" s="150">
        <f t="shared" si="11"/>
        <v>0.19864819800024483</v>
      </c>
      <c r="CJ26" s="150">
        <f t="shared" si="11"/>
        <v>0.20775968102241957</v>
      </c>
      <c r="CK26" s="150">
        <f t="shared" si="11"/>
        <v>0.20372726430772056</v>
      </c>
      <c r="CL26" s="150">
        <f t="shared" si="11"/>
        <v>0.20240723367480362</v>
      </c>
      <c r="CM26" s="150">
        <f t="shared" si="11"/>
        <v>0.20288400393532405</v>
      </c>
      <c r="CN26" s="150">
        <f t="shared" si="11"/>
        <v>0.19065402568816434</v>
      </c>
      <c r="CO26" s="150">
        <f t="shared" si="11"/>
        <v>0.1777899509811629</v>
      </c>
      <c r="CP26" s="150">
        <f t="shared" si="11"/>
        <v>0.24117145085288647</v>
      </c>
      <c r="CQ26" s="150">
        <f t="shared" si="11"/>
        <v>0.20131158680719602</v>
      </c>
      <c r="CR26" s="150">
        <f t="shared" si="11"/>
        <v>0.18261262060753281</v>
      </c>
      <c r="CS26" s="150">
        <f>AV64/SUM(AV$59:AV$64)</f>
        <v>0.15586670101593825</v>
      </c>
      <c r="CT26" s="150">
        <f t="shared" si="11"/>
        <v>0.1463927999500082</v>
      </c>
      <c r="CV26" s="151">
        <f t="shared" si="5"/>
        <v>0.1463927999500082</v>
      </c>
      <c r="CW26" s="151">
        <f t="shared" si="6"/>
        <v>0.27797675813965261</v>
      </c>
      <c r="CX26" s="151">
        <f t="shared" si="7"/>
        <v>0.49191546663364843</v>
      </c>
      <c r="DA26" s="151">
        <f t="shared" si="8"/>
        <v>0.1463927999500082</v>
      </c>
      <c r="DB26" s="151">
        <f>AVERAGE(CF26:CT26)</f>
        <v>0.19314489427971279</v>
      </c>
      <c r="DC26" s="151">
        <f t="shared" si="10"/>
        <v>0.24117145085288647</v>
      </c>
      <c r="DE26" s="454" t="s">
        <v>628</v>
      </c>
      <c r="DF26" s="149" t="s">
        <v>44</v>
      </c>
    </row>
    <row r="27" spans="1:114" ht="14.4">
      <c r="A27" s="141" t="s">
        <v>251</v>
      </c>
      <c r="B27" s="142" t="s">
        <v>51</v>
      </c>
      <c r="C27" s="143">
        <v>46508754</v>
      </c>
      <c r="D27" s="144">
        <v>70672171</v>
      </c>
      <c r="E27" s="144">
        <v>77962128</v>
      </c>
      <c r="F27" s="144">
        <v>100345169</v>
      </c>
      <c r="G27" s="144">
        <v>111538506</v>
      </c>
      <c r="H27" s="144">
        <v>135612977</v>
      </c>
      <c r="I27" s="144">
        <v>133331859</v>
      </c>
      <c r="J27" s="144">
        <v>138003152</v>
      </c>
      <c r="K27" s="144">
        <v>138527896</v>
      </c>
      <c r="L27" s="144">
        <v>129530664</v>
      </c>
      <c r="M27" s="144">
        <v>137341305</v>
      </c>
      <c r="N27" s="144">
        <v>135124150</v>
      </c>
      <c r="O27" s="144">
        <v>137599853</v>
      </c>
      <c r="P27" s="144">
        <v>153980000</v>
      </c>
      <c r="Q27" s="144">
        <v>118881497</v>
      </c>
      <c r="R27" s="144">
        <v>114484308</v>
      </c>
      <c r="S27" s="144">
        <v>109623166</v>
      </c>
      <c r="T27" s="144">
        <v>130082057</v>
      </c>
      <c r="U27" s="144">
        <v>140406069</v>
      </c>
      <c r="V27" s="144">
        <v>128874322</v>
      </c>
      <c r="W27" s="144">
        <v>146739328</v>
      </c>
      <c r="X27" s="144">
        <v>133717576</v>
      </c>
      <c r="Y27" s="144">
        <v>132849521</v>
      </c>
      <c r="Z27" s="144">
        <v>138086623</v>
      </c>
      <c r="AA27" s="144">
        <v>139834968</v>
      </c>
      <c r="AB27" s="144">
        <v>155723514</v>
      </c>
      <c r="AC27" s="144">
        <v>167090543</v>
      </c>
      <c r="AD27" s="144">
        <v>172825389</v>
      </c>
      <c r="AE27" s="144">
        <v>172798653</v>
      </c>
      <c r="AF27" s="144">
        <v>176978404</v>
      </c>
      <c r="AG27" s="144">
        <v>195090482</v>
      </c>
      <c r="AH27" s="144">
        <v>164214874</v>
      </c>
      <c r="AI27" s="144">
        <v>139764607</v>
      </c>
      <c r="AJ27" s="144">
        <v>120945572</v>
      </c>
      <c r="AK27" s="144">
        <v>128764241</v>
      </c>
      <c r="AL27" s="144">
        <v>131632485</v>
      </c>
      <c r="AM27" s="144">
        <v>125443163</v>
      </c>
      <c r="AN27" s="144">
        <v>137015010</v>
      </c>
      <c r="AO27" s="144">
        <v>133387879</v>
      </c>
      <c r="AP27" s="144">
        <v>124533548</v>
      </c>
      <c r="AQ27" s="144">
        <v>129089198</v>
      </c>
      <c r="AR27" s="144">
        <v>137627566</v>
      </c>
      <c r="AS27" s="144">
        <v>116362147</v>
      </c>
      <c r="AT27" s="144">
        <v>133128907</v>
      </c>
      <c r="AU27" s="144">
        <v>117131483</v>
      </c>
      <c r="AV27" s="144">
        <v>122018453</v>
      </c>
      <c r="AW27" s="145">
        <v>145640256</v>
      </c>
      <c r="AX27" s="148" t="s">
        <v>252</v>
      </c>
      <c r="AY27" s="152" t="s">
        <v>215</v>
      </c>
      <c r="AZ27" s="153">
        <f t="shared" ref="AZ27:CT27" si="12">C75</f>
        <v>0</v>
      </c>
      <c r="BA27" s="153">
        <f t="shared" si="12"/>
        <v>0</v>
      </c>
      <c r="BB27" s="153">
        <f t="shared" si="12"/>
        <v>0</v>
      </c>
      <c r="BC27" s="153">
        <f t="shared" si="12"/>
        <v>0</v>
      </c>
      <c r="BD27" s="153">
        <f t="shared" si="12"/>
        <v>0</v>
      </c>
      <c r="BE27" s="153">
        <f t="shared" si="12"/>
        <v>0</v>
      </c>
      <c r="BF27" s="153">
        <f t="shared" si="12"/>
        <v>0</v>
      </c>
      <c r="BG27" s="153">
        <f t="shared" si="12"/>
        <v>0</v>
      </c>
      <c r="BH27" s="153">
        <f t="shared" si="12"/>
        <v>-3457958</v>
      </c>
      <c r="BI27" s="153">
        <f t="shared" si="12"/>
        <v>-7614121</v>
      </c>
      <c r="BJ27" s="153">
        <f t="shared" si="12"/>
        <v>6238156</v>
      </c>
      <c r="BK27" s="153">
        <f t="shared" si="12"/>
        <v>-5426302</v>
      </c>
      <c r="BL27" s="153">
        <f t="shared" si="12"/>
        <v>-8224462</v>
      </c>
      <c r="BM27" s="153">
        <f t="shared" si="12"/>
        <v>-2400635</v>
      </c>
      <c r="BN27" s="153">
        <f t="shared" si="12"/>
        <v>23622270</v>
      </c>
      <c r="BO27" s="153">
        <f t="shared" si="12"/>
        <v>14693192</v>
      </c>
      <c r="BP27" s="153">
        <f t="shared" si="12"/>
        <v>33676426</v>
      </c>
      <c r="BQ27" s="153">
        <f t="shared" si="12"/>
        <v>27651458</v>
      </c>
      <c r="BR27" s="153">
        <f t="shared" si="12"/>
        <v>23113835</v>
      </c>
      <c r="BS27" s="153">
        <f t="shared" si="12"/>
        <v>17504277</v>
      </c>
      <c r="BT27" s="153">
        <f t="shared" si="12"/>
        <v>25215094</v>
      </c>
      <c r="BU27" s="153">
        <f t="shared" si="12"/>
        <v>26158943</v>
      </c>
      <c r="BV27" s="153">
        <f t="shared" si="12"/>
        <v>30378383</v>
      </c>
      <c r="BW27" s="153">
        <f t="shared" si="12"/>
        <v>34123962</v>
      </c>
      <c r="BX27" s="153">
        <f t="shared" si="12"/>
        <v>26874299</v>
      </c>
      <c r="BY27" s="153">
        <f t="shared" si="12"/>
        <v>16785219</v>
      </c>
      <c r="BZ27" s="153">
        <f t="shared" si="12"/>
        <v>7427491</v>
      </c>
      <c r="CA27" s="153">
        <f t="shared" si="12"/>
        <v>22531702</v>
      </c>
      <c r="CB27" s="153">
        <f t="shared" si="12"/>
        <v>11718613</v>
      </c>
      <c r="CC27" s="153">
        <f t="shared" si="12"/>
        <v>-2452088</v>
      </c>
      <c r="CD27" s="153">
        <f t="shared" si="12"/>
        <v>4375488</v>
      </c>
      <c r="CE27" s="153">
        <f t="shared" si="12"/>
        <v>3270427</v>
      </c>
      <c r="CF27" s="153">
        <f t="shared" si="12"/>
        <v>968768</v>
      </c>
      <c r="CG27" s="153">
        <f t="shared" si="12"/>
        <v>8817156</v>
      </c>
      <c r="CH27" s="153">
        <f t="shared" si="12"/>
        <v>5113752</v>
      </c>
      <c r="CI27" s="153">
        <f t="shared" si="12"/>
        <v>2322437</v>
      </c>
      <c r="CJ27" s="153">
        <f t="shared" si="12"/>
        <v>2161479</v>
      </c>
      <c r="CK27" s="153">
        <f t="shared" si="12"/>
        <v>1990228</v>
      </c>
      <c r="CL27" s="153">
        <f t="shared" si="12"/>
        <v>196701</v>
      </c>
      <c r="CM27" s="153">
        <f t="shared" si="12"/>
        <v>2357523</v>
      </c>
      <c r="CN27" s="153">
        <f t="shared" si="12"/>
        <v>3397029</v>
      </c>
      <c r="CO27" s="153">
        <f t="shared" si="12"/>
        <v>645244</v>
      </c>
      <c r="CP27" s="153">
        <f t="shared" si="12"/>
        <v>482422</v>
      </c>
      <c r="CQ27" s="153">
        <f t="shared" si="12"/>
        <v>1317982</v>
      </c>
      <c r="CR27" s="153">
        <f t="shared" si="12"/>
        <v>2073495</v>
      </c>
      <c r="CS27" s="153">
        <f t="shared" si="12"/>
        <v>2408184</v>
      </c>
      <c r="CT27" s="153">
        <f t="shared" si="12"/>
        <v>735379</v>
      </c>
      <c r="CV27" s="154">
        <f t="shared" si="5"/>
        <v>-8224462</v>
      </c>
      <c r="CW27" s="154">
        <f>AVERAGE(AZ27:CT27)</f>
        <v>7675988.2553191492</v>
      </c>
      <c r="CX27" s="154">
        <f>MAX(AZ27:CT27)</f>
        <v>34123962</v>
      </c>
      <c r="CY27" s="155"/>
      <c r="CZ27" s="155"/>
      <c r="DA27" s="154">
        <f t="shared" si="8"/>
        <v>196701</v>
      </c>
      <c r="DB27" s="154">
        <f>AVERAGE(CF27:CT27)</f>
        <v>2332518.6</v>
      </c>
      <c r="DC27" s="154">
        <f t="shared" si="10"/>
        <v>8817156</v>
      </c>
      <c r="DE27" s="454" t="s">
        <v>628</v>
      </c>
      <c r="DF27" s="152" t="s">
        <v>215</v>
      </c>
    </row>
    <row r="28" spans="1:114" ht="15" thickBot="1">
      <c r="A28" s="141" t="s">
        <v>251</v>
      </c>
      <c r="B28" s="142" t="s">
        <v>230</v>
      </c>
      <c r="C28" s="143">
        <v>84342480</v>
      </c>
      <c r="D28" s="144">
        <v>112867876</v>
      </c>
      <c r="E28" s="144">
        <v>124057479</v>
      </c>
      <c r="F28" s="144">
        <v>165326973</v>
      </c>
      <c r="G28" s="144">
        <v>200336396</v>
      </c>
      <c r="H28" s="144">
        <v>194158005</v>
      </c>
      <c r="I28" s="144">
        <v>172700908</v>
      </c>
      <c r="J28" s="144">
        <v>157002674</v>
      </c>
      <c r="K28" s="144">
        <v>139706833</v>
      </c>
      <c r="L28" s="144">
        <v>102796155</v>
      </c>
      <c r="M28" s="144">
        <v>101130053</v>
      </c>
      <c r="N28" s="144">
        <v>85997702</v>
      </c>
      <c r="O28" s="144">
        <v>91689012</v>
      </c>
      <c r="P28" s="144">
        <v>107035760</v>
      </c>
      <c r="Q28" s="144">
        <v>83413880</v>
      </c>
      <c r="R28" s="144">
        <v>70418006</v>
      </c>
      <c r="S28" s="144">
        <v>70912978</v>
      </c>
      <c r="T28" s="144">
        <v>83599526</v>
      </c>
      <c r="U28" s="144">
        <v>88399520</v>
      </c>
      <c r="V28" s="144">
        <v>80041127</v>
      </c>
      <c r="W28" s="144">
        <v>88123695</v>
      </c>
      <c r="X28" s="144">
        <v>90721741</v>
      </c>
      <c r="Y28" s="144">
        <v>100597737</v>
      </c>
      <c r="Z28" s="144">
        <v>100866496</v>
      </c>
      <c r="AA28" s="144">
        <v>88088136</v>
      </c>
      <c r="AB28" s="144">
        <v>83654407</v>
      </c>
      <c r="AC28" s="144">
        <v>86307546</v>
      </c>
      <c r="AD28" s="144">
        <v>94492449</v>
      </c>
      <c r="AE28" s="144">
        <v>92684234</v>
      </c>
      <c r="AF28" s="144">
        <v>86232588</v>
      </c>
      <c r="AG28" s="144">
        <v>79946929</v>
      </c>
      <c r="AH28" s="144">
        <v>57145892</v>
      </c>
      <c r="AI28" s="144">
        <v>62940143</v>
      </c>
      <c r="AJ28" s="144">
        <v>61055894</v>
      </c>
      <c r="AK28" s="144">
        <v>70166981</v>
      </c>
      <c r="AL28" s="144">
        <v>66968477</v>
      </c>
      <c r="AM28" s="144">
        <v>67380383</v>
      </c>
      <c r="AN28" s="144">
        <v>68359438</v>
      </c>
      <c r="AO28" s="144">
        <v>66264744</v>
      </c>
      <c r="AP28" s="144">
        <v>63704038</v>
      </c>
      <c r="AQ28" s="144">
        <v>62640431</v>
      </c>
      <c r="AR28" s="144">
        <v>57416743</v>
      </c>
      <c r="AS28" s="144">
        <v>78758521</v>
      </c>
      <c r="AT28" s="144">
        <v>63620014</v>
      </c>
      <c r="AU28" s="144">
        <v>55632005</v>
      </c>
      <c r="AV28" s="144">
        <v>48112486</v>
      </c>
      <c r="AW28" s="145">
        <v>50471365</v>
      </c>
      <c r="AX28" s="148" t="s">
        <v>142</v>
      </c>
      <c r="AY28" s="156" t="s">
        <v>93</v>
      </c>
      <c r="AZ28" s="157">
        <f>C74</f>
        <v>185997985</v>
      </c>
      <c r="BA28" s="157">
        <f t="shared" ref="BA28:CT28" si="13">D74</f>
        <v>273247012</v>
      </c>
      <c r="BB28" s="157">
        <f t="shared" si="13"/>
        <v>282278379</v>
      </c>
      <c r="BC28" s="157">
        <f t="shared" si="13"/>
        <v>382445493</v>
      </c>
      <c r="BD28" s="157">
        <f t="shared" si="13"/>
        <v>417950029</v>
      </c>
      <c r="BE28" s="157">
        <f t="shared" si="13"/>
        <v>426965749</v>
      </c>
      <c r="BF28" s="157">
        <f t="shared" si="13"/>
        <v>405622181</v>
      </c>
      <c r="BG28" s="157">
        <f t="shared" si="13"/>
        <v>419941430</v>
      </c>
      <c r="BH28" s="157">
        <f t="shared" si="13"/>
        <v>395445381</v>
      </c>
      <c r="BI28" s="157">
        <f t="shared" si="13"/>
        <v>334381256</v>
      </c>
      <c r="BJ28" s="157">
        <f t="shared" si="13"/>
        <v>326893057</v>
      </c>
      <c r="BK28" s="157">
        <f t="shared" si="13"/>
        <v>323173307</v>
      </c>
      <c r="BL28" s="157">
        <f t="shared" si="13"/>
        <v>334801625</v>
      </c>
      <c r="BM28" s="157">
        <f t="shared" si="13"/>
        <v>356687766</v>
      </c>
      <c r="BN28" s="157">
        <f t="shared" si="13"/>
        <v>271367717</v>
      </c>
      <c r="BO28" s="157">
        <f t="shared" si="13"/>
        <v>244655971</v>
      </c>
      <c r="BP28" s="157">
        <f t="shared" si="13"/>
        <v>219934312</v>
      </c>
      <c r="BQ28" s="157">
        <f t="shared" si="13"/>
        <v>266041514</v>
      </c>
      <c r="BR28" s="157">
        <f t="shared" si="13"/>
        <v>287567570</v>
      </c>
      <c r="BS28" s="157">
        <f t="shared" si="13"/>
        <v>279743964</v>
      </c>
      <c r="BT28" s="157">
        <f t="shared" si="13"/>
        <v>304432563</v>
      </c>
      <c r="BU28" s="157">
        <f t="shared" si="13"/>
        <v>296960845</v>
      </c>
      <c r="BV28" s="157">
        <f t="shared" si="13"/>
        <v>310890390</v>
      </c>
      <c r="BW28" s="157">
        <f t="shared" si="13"/>
        <v>323131975</v>
      </c>
      <c r="BX28" s="157">
        <f t="shared" si="13"/>
        <v>308682005</v>
      </c>
      <c r="BY28" s="157">
        <f t="shared" si="13"/>
        <v>331394770</v>
      </c>
      <c r="BZ28" s="157">
        <f t="shared" si="13"/>
        <v>355454908</v>
      </c>
      <c r="CA28" s="157">
        <f t="shared" si="13"/>
        <v>356795000</v>
      </c>
      <c r="CB28" s="157">
        <f t="shared" si="13"/>
        <v>365356400</v>
      </c>
      <c r="CC28" s="157">
        <f t="shared" si="13"/>
        <v>412022100</v>
      </c>
      <c r="CD28" s="157">
        <f t="shared" si="13"/>
        <v>448338000</v>
      </c>
      <c r="CE28" s="157">
        <f t="shared" si="13"/>
        <v>365090511</v>
      </c>
      <c r="CF28" s="157">
        <f t="shared" si="13"/>
        <v>340314599</v>
      </c>
      <c r="CG28" s="157">
        <f t="shared" si="13"/>
        <v>339203135</v>
      </c>
      <c r="CH28" s="157">
        <f t="shared" si="13"/>
        <v>346270013</v>
      </c>
      <c r="CI28" s="157">
        <f t="shared" si="13"/>
        <v>343914817</v>
      </c>
      <c r="CJ28" s="157">
        <f t="shared" si="13"/>
        <v>333095071</v>
      </c>
      <c r="CK28" s="157">
        <f t="shared" si="13"/>
        <v>352220912</v>
      </c>
      <c r="CL28" s="157">
        <f t="shared" si="13"/>
        <v>344651751</v>
      </c>
      <c r="CM28" s="157">
        <f t="shared" si="13"/>
        <v>332180848</v>
      </c>
      <c r="CN28" s="157">
        <f t="shared" si="13"/>
        <v>343530612</v>
      </c>
      <c r="CO28" s="157">
        <f t="shared" si="13"/>
        <v>333386568</v>
      </c>
      <c r="CP28" s="157">
        <f t="shared" si="13"/>
        <v>334639330</v>
      </c>
      <c r="CQ28" s="157">
        <f t="shared" si="13"/>
        <v>335634780</v>
      </c>
      <c r="CR28" s="157">
        <f t="shared" si="13"/>
        <v>314168191</v>
      </c>
      <c r="CS28" s="157">
        <f t="shared" si="13"/>
        <v>327286287</v>
      </c>
      <c r="CT28" s="157">
        <f t="shared" si="13"/>
        <v>362386542</v>
      </c>
      <c r="CV28" s="154">
        <f t="shared" si="5"/>
        <v>185997985</v>
      </c>
      <c r="CW28" s="154">
        <f>AVERAGE(AZ28:CT28)</f>
        <v>333969672.78723407</v>
      </c>
      <c r="CX28" s="154">
        <f>MAX(AZ28:CT28)</f>
        <v>448338000</v>
      </c>
      <c r="CY28" s="155"/>
      <c r="CZ28" s="155"/>
      <c r="DA28" s="154">
        <f t="shared" si="8"/>
        <v>314168191</v>
      </c>
      <c r="DB28" s="154">
        <f t="shared" si="9"/>
        <v>338858897.06666666</v>
      </c>
      <c r="DC28" s="154">
        <f t="shared" si="10"/>
        <v>362386542</v>
      </c>
      <c r="DE28" s="454" t="s">
        <v>628</v>
      </c>
      <c r="DF28" s="456" t="s">
        <v>93</v>
      </c>
    </row>
    <row r="29" spans="1:114" ht="14.4">
      <c r="A29" s="141" t="s">
        <v>251</v>
      </c>
      <c r="B29" s="142" t="s">
        <v>231</v>
      </c>
      <c r="C29" s="143">
        <v>0</v>
      </c>
      <c r="D29" s="144">
        <v>0</v>
      </c>
      <c r="E29" s="144">
        <v>0</v>
      </c>
      <c r="F29" s="144">
        <v>0</v>
      </c>
      <c r="G29" s="144">
        <v>0</v>
      </c>
      <c r="H29" s="144">
        <v>0</v>
      </c>
      <c r="I29" s="144">
        <v>0</v>
      </c>
      <c r="J29" s="144">
        <v>0</v>
      </c>
      <c r="K29" s="144">
        <v>0</v>
      </c>
      <c r="L29" s="144">
        <v>0</v>
      </c>
      <c r="M29" s="144">
        <v>0</v>
      </c>
      <c r="N29" s="144">
        <v>0</v>
      </c>
      <c r="O29" s="144">
        <v>0</v>
      </c>
      <c r="P29" s="144">
        <v>0</v>
      </c>
      <c r="Q29" s="144">
        <v>0</v>
      </c>
      <c r="R29" s="144">
        <v>0</v>
      </c>
      <c r="S29" s="144">
        <v>0</v>
      </c>
      <c r="T29" s="144">
        <v>0</v>
      </c>
      <c r="U29" s="144">
        <v>0</v>
      </c>
      <c r="V29" s="144">
        <v>0</v>
      </c>
      <c r="W29" s="144">
        <v>0</v>
      </c>
      <c r="X29" s="144">
        <v>0</v>
      </c>
      <c r="Y29" s="144">
        <v>0</v>
      </c>
      <c r="Z29" s="144">
        <v>0</v>
      </c>
      <c r="AA29" s="144">
        <v>0</v>
      </c>
      <c r="AB29" s="144">
        <v>0</v>
      </c>
      <c r="AC29" s="144">
        <v>0</v>
      </c>
      <c r="AD29" s="144">
        <v>0</v>
      </c>
      <c r="AE29" s="144">
        <v>0</v>
      </c>
      <c r="AF29" s="144">
        <v>0</v>
      </c>
      <c r="AG29" s="144">
        <v>0</v>
      </c>
      <c r="AH29" s="144">
        <v>0</v>
      </c>
      <c r="AI29" s="144">
        <v>0</v>
      </c>
      <c r="AJ29" s="144">
        <v>0</v>
      </c>
      <c r="AK29" s="144">
        <v>0</v>
      </c>
      <c r="AL29" s="144">
        <v>0</v>
      </c>
      <c r="AM29" s="144">
        <v>0</v>
      </c>
      <c r="AN29" s="144">
        <v>0</v>
      </c>
      <c r="AO29" s="144">
        <v>0</v>
      </c>
      <c r="AP29" s="144">
        <v>0</v>
      </c>
      <c r="AQ29" s="144">
        <v>0</v>
      </c>
      <c r="AR29" s="144">
        <v>0</v>
      </c>
      <c r="AS29" s="144">
        <v>0</v>
      </c>
      <c r="AT29" s="144">
        <v>0</v>
      </c>
      <c r="AU29" s="144">
        <v>0</v>
      </c>
      <c r="AV29" s="144">
        <v>0</v>
      </c>
      <c r="AW29" s="145">
        <v>0</v>
      </c>
      <c r="AX29" s="148" t="s">
        <v>253</v>
      </c>
      <c r="AY29" s="134" t="str">
        <f>B86</f>
        <v>Elec</v>
      </c>
      <c r="AZ29" s="134">
        <f t="shared" ref="AZ29:CT30" si="14">C86</f>
        <v>397650</v>
      </c>
      <c r="BA29" s="134">
        <f t="shared" si="14"/>
        <v>432699</v>
      </c>
      <c r="BB29" s="134">
        <f t="shared" si="14"/>
        <v>476143</v>
      </c>
      <c r="BC29" s="134">
        <f t="shared" si="14"/>
        <v>530132</v>
      </c>
      <c r="BD29" s="134">
        <f t="shared" si="14"/>
        <v>593411</v>
      </c>
      <c r="BE29" s="134">
        <f t="shared" si="14"/>
        <v>643437</v>
      </c>
      <c r="BF29" s="134">
        <f t="shared" si="14"/>
        <v>685084</v>
      </c>
      <c r="BG29" s="134">
        <f t="shared" si="14"/>
        <v>736411</v>
      </c>
      <c r="BH29" s="134">
        <f t="shared" si="14"/>
        <v>731086</v>
      </c>
      <c r="BI29" s="134">
        <f t="shared" si="14"/>
        <v>686570</v>
      </c>
      <c r="BJ29" s="134">
        <f t="shared" si="14"/>
        <v>613406</v>
      </c>
      <c r="BK29" s="134">
        <f t="shared" si="14"/>
        <v>594418</v>
      </c>
      <c r="BL29" s="134">
        <f t="shared" si="14"/>
        <v>639873</v>
      </c>
      <c r="BM29" s="134">
        <f t="shared" si="14"/>
        <v>625981</v>
      </c>
      <c r="BN29" s="134">
        <f t="shared" si="14"/>
        <v>647706</v>
      </c>
      <c r="BO29" s="134">
        <f t="shared" si="14"/>
        <v>763354</v>
      </c>
      <c r="BP29" s="134">
        <f t="shared" si="14"/>
        <v>759288</v>
      </c>
      <c r="BQ29" s="134">
        <f t="shared" si="14"/>
        <v>783722</v>
      </c>
      <c r="BR29" s="134">
        <f t="shared" si="14"/>
        <v>785727</v>
      </c>
      <c r="BS29" s="134">
        <f t="shared" si="14"/>
        <v>767902</v>
      </c>
      <c r="BT29" s="134">
        <f t="shared" si="14"/>
        <v>911578</v>
      </c>
      <c r="BU29" s="134">
        <f t="shared" si="14"/>
        <v>909734</v>
      </c>
      <c r="BV29" s="134">
        <f t="shared" si="14"/>
        <v>857186</v>
      </c>
      <c r="BW29" s="134">
        <f t="shared" si="14"/>
        <v>844713</v>
      </c>
      <c r="BX29" s="134">
        <f t="shared" si="14"/>
        <v>891592</v>
      </c>
      <c r="BY29" s="134">
        <f t="shared" si="14"/>
        <v>1096782</v>
      </c>
      <c r="BZ29" s="134">
        <f t="shared" si="14"/>
        <v>1163069</v>
      </c>
      <c r="CA29" s="134">
        <f t="shared" si="14"/>
        <v>1103643</v>
      </c>
      <c r="CB29" s="134">
        <f t="shared" si="14"/>
        <v>1200480</v>
      </c>
      <c r="CC29" s="134">
        <f t="shared" si="14"/>
        <v>1178367</v>
      </c>
      <c r="CD29" s="134">
        <f t="shared" si="14"/>
        <v>1231778</v>
      </c>
      <c r="CE29" s="134">
        <f t="shared" si="14"/>
        <v>1027529</v>
      </c>
      <c r="CF29" s="134">
        <f t="shared" si="14"/>
        <v>905799</v>
      </c>
      <c r="CG29" s="134">
        <f t="shared" si="14"/>
        <v>977882</v>
      </c>
      <c r="CH29" s="134">
        <f t="shared" si="14"/>
        <v>756137</v>
      </c>
      <c r="CI29" s="134">
        <f t="shared" si="14"/>
        <v>555652</v>
      </c>
      <c r="CJ29" s="134">
        <f t="shared" si="14"/>
        <v>565485</v>
      </c>
      <c r="CK29" s="134">
        <f t="shared" si="14"/>
        <v>904276</v>
      </c>
      <c r="CL29" s="134">
        <f t="shared" si="14"/>
        <v>922446</v>
      </c>
      <c r="CM29" s="134">
        <f t="shared" si="14"/>
        <v>644273</v>
      </c>
      <c r="CN29" s="134">
        <f t="shared" si="14"/>
        <v>781406</v>
      </c>
      <c r="CO29" s="134">
        <f t="shared" si="14"/>
        <v>1101084</v>
      </c>
      <c r="CP29" s="134">
        <f t="shared" si="14"/>
        <v>1285842</v>
      </c>
      <c r="CQ29" s="134">
        <f t="shared" si="14"/>
        <v>1153932</v>
      </c>
      <c r="CR29" s="158">
        <f t="shared" si="14"/>
        <v>1169936</v>
      </c>
      <c r="CS29" s="134">
        <f t="shared" si="14"/>
        <v>1056349</v>
      </c>
      <c r="CT29" s="158">
        <f t="shared" si="14"/>
        <v>1074112</v>
      </c>
      <c r="CV29" s="122" t="s">
        <v>140</v>
      </c>
      <c r="CW29" s="122" t="s">
        <v>138</v>
      </c>
      <c r="DA29" s="122" t="s">
        <v>140</v>
      </c>
      <c r="DB29" s="122" t="s">
        <v>138</v>
      </c>
    </row>
    <row r="30" spans="1:114" ht="14.4">
      <c r="A30" s="141" t="s">
        <v>251</v>
      </c>
      <c r="B30" s="142" t="s">
        <v>232</v>
      </c>
      <c r="C30" s="143">
        <v>0</v>
      </c>
      <c r="D30" s="144">
        <v>0</v>
      </c>
      <c r="E30" s="144">
        <v>0</v>
      </c>
      <c r="F30" s="144">
        <v>0</v>
      </c>
      <c r="G30" s="144">
        <v>0</v>
      </c>
      <c r="H30" s="144">
        <v>0</v>
      </c>
      <c r="I30" s="144">
        <v>0</v>
      </c>
      <c r="J30" s="144">
        <v>0</v>
      </c>
      <c r="K30" s="144">
        <v>0</v>
      </c>
      <c r="L30" s="144">
        <v>0</v>
      </c>
      <c r="M30" s="144">
        <v>0</v>
      </c>
      <c r="N30" s="144">
        <v>0</v>
      </c>
      <c r="O30" s="144">
        <v>0</v>
      </c>
      <c r="P30" s="144">
        <v>0</v>
      </c>
      <c r="Q30" s="144">
        <v>0</v>
      </c>
      <c r="R30" s="144">
        <v>0</v>
      </c>
      <c r="S30" s="144">
        <v>0</v>
      </c>
      <c r="T30" s="144">
        <v>0</v>
      </c>
      <c r="U30" s="144">
        <v>0</v>
      </c>
      <c r="V30" s="144">
        <v>0</v>
      </c>
      <c r="W30" s="144">
        <v>0</v>
      </c>
      <c r="X30" s="144">
        <v>0</v>
      </c>
      <c r="Y30" s="144">
        <v>0</v>
      </c>
      <c r="Z30" s="144">
        <v>0</v>
      </c>
      <c r="AA30" s="144">
        <v>0</v>
      </c>
      <c r="AB30" s="144">
        <v>0</v>
      </c>
      <c r="AC30" s="144">
        <v>0</v>
      </c>
      <c r="AD30" s="144">
        <v>0</v>
      </c>
      <c r="AE30" s="144">
        <v>0</v>
      </c>
      <c r="AF30" s="144">
        <v>0</v>
      </c>
      <c r="AG30" s="144">
        <v>0</v>
      </c>
      <c r="AH30" s="144">
        <v>0</v>
      </c>
      <c r="AI30" s="144">
        <v>0</v>
      </c>
      <c r="AJ30" s="144">
        <v>0</v>
      </c>
      <c r="AK30" s="144">
        <v>0</v>
      </c>
      <c r="AL30" s="144">
        <v>940000</v>
      </c>
      <c r="AM30" s="144">
        <v>1504000</v>
      </c>
      <c r="AN30" s="144">
        <v>1692000</v>
      </c>
      <c r="AO30" s="144">
        <v>2444000</v>
      </c>
      <c r="AP30" s="144">
        <v>2632000</v>
      </c>
      <c r="AQ30" s="144">
        <v>2632000</v>
      </c>
      <c r="AR30" s="144">
        <v>2636775</v>
      </c>
      <c r="AS30" s="144">
        <v>3712650</v>
      </c>
      <c r="AT30" s="144">
        <v>3267638</v>
      </c>
      <c r="AU30" s="144">
        <v>2875125</v>
      </c>
      <c r="AV30" s="144">
        <v>3195313</v>
      </c>
      <c r="AW30" s="145">
        <v>3831351</v>
      </c>
      <c r="AX30" s="148" t="s">
        <v>254</v>
      </c>
      <c r="AY30" s="134" t="str">
        <f>B87</f>
        <v>DistHeat</v>
      </c>
      <c r="AZ30" s="134">
        <f t="shared" si="14"/>
        <v>2278</v>
      </c>
      <c r="BA30" s="134">
        <f t="shared" si="14"/>
        <v>2479</v>
      </c>
      <c r="BB30" s="134">
        <f t="shared" si="14"/>
        <v>3063</v>
      </c>
      <c r="BC30" s="134">
        <f t="shared" si="14"/>
        <v>4198</v>
      </c>
      <c r="BD30" s="134">
        <f t="shared" si="14"/>
        <v>4495</v>
      </c>
      <c r="BE30" s="134">
        <f t="shared" si="14"/>
        <v>4899</v>
      </c>
      <c r="BF30" s="134">
        <f t="shared" si="14"/>
        <v>5362</v>
      </c>
      <c r="BG30" s="134">
        <f t="shared" si="14"/>
        <v>5639</v>
      </c>
      <c r="BH30" s="134">
        <f t="shared" si="14"/>
        <v>5838</v>
      </c>
      <c r="BI30" s="134">
        <f t="shared" si="14"/>
        <v>5961</v>
      </c>
      <c r="BJ30" s="134">
        <f t="shared" si="14"/>
        <v>5173</v>
      </c>
      <c r="BK30" s="134">
        <f t="shared" si="14"/>
        <v>5701</v>
      </c>
      <c r="BL30" s="134">
        <f t="shared" si="14"/>
        <v>5536</v>
      </c>
      <c r="BM30" s="134">
        <f t="shared" si="14"/>
        <v>5388</v>
      </c>
      <c r="BN30" s="134">
        <f t="shared" si="14"/>
        <v>0</v>
      </c>
      <c r="BO30" s="134">
        <f t="shared" si="14"/>
        <v>0</v>
      </c>
      <c r="BP30" s="134">
        <f t="shared" si="14"/>
        <v>294559</v>
      </c>
      <c r="BQ30" s="134">
        <f t="shared" si="14"/>
        <v>446939</v>
      </c>
      <c r="BR30" s="134">
        <f t="shared" si="14"/>
        <v>459885</v>
      </c>
      <c r="BS30" s="134">
        <f t="shared" si="14"/>
        <v>439145</v>
      </c>
      <c r="BT30" s="134">
        <f t="shared" si="14"/>
        <v>335697</v>
      </c>
      <c r="BU30" s="134">
        <f t="shared" si="14"/>
        <v>362024</v>
      </c>
      <c r="BV30" s="134">
        <f t="shared" si="14"/>
        <v>405850</v>
      </c>
      <c r="BW30" s="134">
        <f t="shared" si="14"/>
        <v>416804</v>
      </c>
      <c r="BX30" s="134">
        <f t="shared" si="14"/>
        <v>427758</v>
      </c>
      <c r="BY30" s="134">
        <f t="shared" si="14"/>
        <v>387197</v>
      </c>
      <c r="BZ30" s="134">
        <f t="shared" si="14"/>
        <v>346636</v>
      </c>
      <c r="CA30" s="134">
        <f t="shared" si="14"/>
        <v>306075</v>
      </c>
      <c r="CB30" s="134">
        <f t="shared" si="14"/>
        <v>351620</v>
      </c>
      <c r="CC30" s="134">
        <f t="shared" si="14"/>
        <v>380457</v>
      </c>
      <c r="CD30" s="134">
        <f t="shared" si="14"/>
        <v>318666</v>
      </c>
      <c r="CE30" s="134">
        <f t="shared" si="14"/>
        <v>256816</v>
      </c>
      <c r="CF30" s="134">
        <f t="shared" si="14"/>
        <v>222847</v>
      </c>
      <c r="CG30" s="134">
        <f t="shared" si="14"/>
        <v>299190</v>
      </c>
      <c r="CH30" s="134">
        <f t="shared" si="14"/>
        <v>275371</v>
      </c>
      <c r="CI30" s="134">
        <f t="shared" si="14"/>
        <v>252295</v>
      </c>
      <c r="CJ30" s="134">
        <f t="shared" si="14"/>
        <v>252295</v>
      </c>
      <c r="CK30" s="134">
        <f t="shared" si="14"/>
        <v>260862</v>
      </c>
      <c r="CL30" s="134">
        <f t="shared" si="14"/>
        <v>247819</v>
      </c>
      <c r="CM30" s="134">
        <f t="shared" si="14"/>
        <v>354806</v>
      </c>
      <c r="CN30" s="134">
        <f t="shared" si="14"/>
        <v>367693</v>
      </c>
      <c r="CO30" s="134">
        <f t="shared" si="14"/>
        <v>404977</v>
      </c>
      <c r="CP30" s="134">
        <f t="shared" si="14"/>
        <v>585757</v>
      </c>
      <c r="CQ30" s="134">
        <f t="shared" si="14"/>
        <v>585699</v>
      </c>
      <c r="CR30" s="158">
        <f t="shared" si="14"/>
        <v>583942</v>
      </c>
      <c r="CS30" s="134">
        <f t="shared" si="14"/>
        <v>558832</v>
      </c>
      <c r="CT30" s="134">
        <f t="shared" si="14"/>
        <v>558832</v>
      </c>
      <c r="CV30" s="159">
        <f>MAX(AZ33:CT33)</f>
        <v>435531962</v>
      </c>
      <c r="CW30" s="159">
        <f>MIN(AZ33:CT33)</f>
        <v>185997985</v>
      </c>
      <c r="DA30" s="159">
        <f>MAX(CF33:CT33)</f>
        <v>340791856</v>
      </c>
      <c r="DB30" s="159">
        <f>MIN(CF33:CT33)</f>
        <v>302151318</v>
      </c>
    </row>
    <row r="31" spans="1:114" ht="14.4">
      <c r="A31" s="141" t="s">
        <v>251</v>
      </c>
      <c r="B31" s="142" t="s">
        <v>70</v>
      </c>
      <c r="C31" s="143">
        <v>0</v>
      </c>
      <c r="D31" s="144">
        <v>0</v>
      </c>
      <c r="E31" s="144">
        <v>0</v>
      </c>
      <c r="F31" s="144">
        <v>0</v>
      </c>
      <c r="G31" s="144">
        <v>0</v>
      </c>
      <c r="H31" s="144">
        <v>0</v>
      </c>
      <c r="I31" s="144">
        <v>0</v>
      </c>
      <c r="J31" s="144">
        <v>0</v>
      </c>
      <c r="K31" s="144">
        <v>0</v>
      </c>
      <c r="L31" s="144">
        <v>0</v>
      </c>
      <c r="M31" s="144">
        <v>0</v>
      </c>
      <c r="N31" s="144">
        <v>0</v>
      </c>
      <c r="O31" s="144">
        <v>0</v>
      </c>
      <c r="P31" s="144">
        <v>0</v>
      </c>
      <c r="Q31" s="144">
        <v>0</v>
      </c>
      <c r="R31" s="144">
        <v>0</v>
      </c>
      <c r="S31" s="144">
        <v>0</v>
      </c>
      <c r="T31" s="144">
        <v>0</v>
      </c>
      <c r="U31" s="144">
        <v>0</v>
      </c>
      <c r="V31" s="144">
        <v>0</v>
      </c>
      <c r="W31" s="144">
        <v>0</v>
      </c>
      <c r="X31" s="144">
        <v>0</v>
      </c>
      <c r="Y31" s="144">
        <v>0</v>
      </c>
      <c r="Z31" s="144">
        <v>0</v>
      </c>
      <c r="AA31" s="144">
        <v>0</v>
      </c>
      <c r="AB31" s="144">
        <v>0</v>
      </c>
      <c r="AC31" s="144">
        <v>0</v>
      </c>
      <c r="AD31" s="144">
        <v>0</v>
      </c>
      <c r="AE31" s="144">
        <v>0</v>
      </c>
      <c r="AF31" s="144">
        <v>0</v>
      </c>
      <c r="AG31" s="144">
        <v>0</v>
      </c>
      <c r="AH31" s="144">
        <v>0</v>
      </c>
      <c r="AI31" s="144">
        <v>0</v>
      </c>
      <c r="AJ31" s="144">
        <v>0</v>
      </c>
      <c r="AK31" s="144">
        <v>0</v>
      </c>
      <c r="AL31" s="144">
        <v>0</v>
      </c>
      <c r="AM31" s="144">
        <v>0</v>
      </c>
      <c r="AN31" s="144">
        <v>0</v>
      </c>
      <c r="AO31" s="144">
        <v>0</v>
      </c>
      <c r="AP31" s="144">
        <v>0</v>
      </c>
      <c r="AQ31" s="144">
        <v>0</v>
      </c>
      <c r="AR31" s="144">
        <v>0</v>
      </c>
      <c r="AS31" s="144">
        <v>0</v>
      </c>
      <c r="AT31" s="144">
        <v>0</v>
      </c>
      <c r="AU31" s="144">
        <v>0</v>
      </c>
      <c r="AV31" s="144">
        <v>0</v>
      </c>
      <c r="AW31" s="145">
        <v>0</v>
      </c>
    </row>
    <row r="32" spans="1:114" ht="14.4">
      <c r="A32" s="141" t="s">
        <v>251</v>
      </c>
      <c r="B32" s="142" t="s">
        <v>233</v>
      </c>
      <c r="C32" s="143">
        <v>0</v>
      </c>
      <c r="D32" s="144">
        <v>0</v>
      </c>
      <c r="E32" s="144">
        <v>0</v>
      </c>
      <c r="F32" s="144">
        <v>0</v>
      </c>
      <c r="G32" s="144">
        <v>0</v>
      </c>
      <c r="H32" s="144">
        <v>0</v>
      </c>
      <c r="I32" s="144">
        <v>0</v>
      </c>
      <c r="J32" s="144">
        <v>0</v>
      </c>
      <c r="K32" s="144">
        <v>0</v>
      </c>
      <c r="L32" s="144">
        <v>0</v>
      </c>
      <c r="M32" s="144">
        <v>0</v>
      </c>
      <c r="N32" s="144">
        <v>0</v>
      </c>
      <c r="O32" s="144">
        <v>0</v>
      </c>
      <c r="P32" s="144">
        <v>0</v>
      </c>
      <c r="Q32" s="144">
        <v>0</v>
      </c>
      <c r="R32" s="144">
        <v>0</v>
      </c>
      <c r="S32" s="144">
        <v>0</v>
      </c>
      <c r="T32" s="144">
        <v>0</v>
      </c>
      <c r="U32" s="144">
        <v>0</v>
      </c>
      <c r="V32" s="144">
        <v>0</v>
      </c>
      <c r="W32" s="144">
        <v>0</v>
      </c>
      <c r="X32" s="144">
        <v>0</v>
      </c>
      <c r="Y32" s="144">
        <v>0</v>
      </c>
      <c r="Z32" s="144">
        <v>0</v>
      </c>
      <c r="AA32" s="144">
        <v>0</v>
      </c>
      <c r="AB32" s="144">
        <v>0</v>
      </c>
      <c r="AC32" s="144">
        <v>0</v>
      </c>
      <c r="AD32" s="144">
        <v>0</v>
      </c>
      <c r="AE32" s="144">
        <v>0</v>
      </c>
      <c r="AF32" s="144">
        <v>0</v>
      </c>
      <c r="AG32" s="144">
        <v>0</v>
      </c>
      <c r="AH32" s="144">
        <v>0</v>
      </c>
      <c r="AI32" s="144">
        <v>0</v>
      </c>
      <c r="AJ32" s="144">
        <v>0</v>
      </c>
      <c r="AK32" s="144">
        <v>0</v>
      </c>
      <c r="AL32" s="144">
        <v>0</v>
      </c>
      <c r="AM32" s="144">
        <v>0</v>
      </c>
      <c r="AN32" s="144">
        <v>0</v>
      </c>
      <c r="AO32" s="144">
        <v>0</v>
      </c>
      <c r="AP32" s="144">
        <v>0</v>
      </c>
      <c r="AQ32" s="144">
        <v>0</v>
      </c>
      <c r="AR32" s="144">
        <v>0</v>
      </c>
      <c r="AS32" s="144">
        <v>0</v>
      </c>
      <c r="AT32" s="144">
        <v>0</v>
      </c>
      <c r="AU32" s="144">
        <v>0</v>
      </c>
      <c r="AV32" s="144">
        <v>0</v>
      </c>
      <c r="AW32" s="145">
        <v>0</v>
      </c>
      <c r="AY32" s="122" t="s">
        <v>255</v>
      </c>
      <c r="AZ32" s="160">
        <f>AZ27+AZ28</f>
        <v>185997985</v>
      </c>
      <c r="BA32" s="160">
        <f t="shared" ref="BA32:CT32" si="15">BA27+BA28</f>
        <v>273247012</v>
      </c>
      <c r="BB32" s="160">
        <f t="shared" si="15"/>
        <v>282278379</v>
      </c>
      <c r="BC32" s="160">
        <f t="shared" si="15"/>
        <v>382445493</v>
      </c>
      <c r="BD32" s="160">
        <f t="shared" si="15"/>
        <v>417950029</v>
      </c>
      <c r="BE32" s="160">
        <f t="shared" si="15"/>
        <v>426965749</v>
      </c>
      <c r="BF32" s="160">
        <f t="shared" si="15"/>
        <v>405622181</v>
      </c>
      <c r="BG32" s="160">
        <f t="shared" si="15"/>
        <v>419941430</v>
      </c>
      <c r="BH32" s="160">
        <f t="shared" si="15"/>
        <v>391987423</v>
      </c>
      <c r="BI32" s="160">
        <f t="shared" si="15"/>
        <v>326767135</v>
      </c>
      <c r="BJ32" s="160">
        <f t="shared" si="15"/>
        <v>333131213</v>
      </c>
      <c r="BK32" s="160">
        <f t="shared" si="15"/>
        <v>317747005</v>
      </c>
      <c r="BL32" s="160">
        <f t="shared" si="15"/>
        <v>326577163</v>
      </c>
      <c r="BM32" s="160">
        <f t="shared" si="15"/>
        <v>354287131</v>
      </c>
      <c r="BN32" s="160">
        <f t="shared" si="15"/>
        <v>294989987</v>
      </c>
      <c r="BO32" s="160">
        <f t="shared" si="15"/>
        <v>259349163</v>
      </c>
      <c r="BP32" s="160">
        <f t="shared" si="15"/>
        <v>253610738</v>
      </c>
      <c r="BQ32" s="160">
        <f t="shared" si="15"/>
        <v>293692972</v>
      </c>
      <c r="BR32" s="160">
        <f t="shared" si="15"/>
        <v>310681405</v>
      </c>
      <c r="BS32" s="160">
        <f t="shared" si="15"/>
        <v>297248241</v>
      </c>
      <c r="BT32" s="160">
        <f t="shared" si="15"/>
        <v>329647657</v>
      </c>
      <c r="BU32" s="160">
        <f t="shared" si="15"/>
        <v>323119788</v>
      </c>
      <c r="BV32" s="160">
        <f t="shared" si="15"/>
        <v>341268773</v>
      </c>
      <c r="BW32" s="160">
        <f t="shared" si="15"/>
        <v>357255937</v>
      </c>
      <c r="BX32" s="160">
        <f t="shared" si="15"/>
        <v>335556304</v>
      </c>
      <c r="BY32" s="160">
        <f t="shared" si="15"/>
        <v>348179989</v>
      </c>
      <c r="BZ32" s="160">
        <f t="shared" si="15"/>
        <v>362882399</v>
      </c>
      <c r="CA32" s="160">
        <f t="shared" si="15"/>
        <v>379326702</v>
      </c>
      <c r="CB32" s="160">
        <f t="shared" si="15"/>
        <v>377075013</v>
      </c>
      <c r="CC32" s="160">
        <f t="shared" si="15"/>
        <v>409570012</v>
      </c>
      <c r="CD32" s="160">
        <f t="shared" si="15"/>
        <v>452713488</v>
      </c>
      <c r="CE32" s="160">
        <f t="shared" si="15"/>
        <v>368360938</v>
      </c>
      <c r="CF32" s="160">
        <f t="shared" si="15"/>
        <v>341283367</v>
      </c>
      <c r="CG32" s="160">
        <f t="shared" si="15"/>
        <v>348020291</v>
      </c>
      <c r="CH32" s="160">
        <f t="shared" si="15"/>
        <v>351383765</v>
      </c>
      <c r="CI32" s="160">
        <f t="shared" si="15"/>
        <v>346237254</v>
      </c>
      <c r="CJ32" s="160">
        <f t="shared" si="15"/>
        <v>335256550</v>
      </c>
      <c r="CK32" s="160">
        <f t="shared" si="15"/>
        <v>354211140</v>
      </c>
      <c r="CL32" s="160">
        <f t="shared" si="15"/>
        <v>344848452</v>
      </c>
      <c r="CM32" s="160">
        <f t="shared" si="15"/>
        <v>334538371</v>
      </c>
      <c r="CN32" s="160">
        <f t="shared" si="15"/>
        <v>346927641</v>
      </c>
      <c r="CO32" s="160">
        <f t="shared" si="15"/>
        <v>334031812</v>
      </c>
      <c r="CP32" s="160">
        <f t="shared" si="15"/>
        <v>335121752</v>
      </c>
      <c r="CQ32" s="160">
        <f t="shared" si="15"/>
        <v>336952762</v>
      </c>
      <c r="CR32" s="160">
        <f t="shared" si="15"/>
        <v>316241686</v>
      </c>
      <c r="CS32" s="160">
        <f t="shared" si="15"/>
        <v>329694471</v>
      </c>
      <c r="CT32" s="160">
        <f t="shared" si="15"/>
        <v>363121921</v>
      </c>
      <c r="CV32" s="146" t="s">
        <v>138</v>
      </c>
      <c r="CW32" s="146" t="s">
        <v>139</v>
      </c>
      <c r="CX32" s="146" t="s">
        <v>140</v>
      </c>
      <c r="CZ32" s="146" t="s">
        <v>141</v>
      </c>
      <c r="DA32" s="146" t="s">
        <v>138</v>
      </c>
      <c r="DB32" s="146" t="s">
        <v>139</v>
      </c>
      <c r="DC32" s="146" t="s">
        <v>140</v>
      </c>
    </row>
    <row r="33" spans="1:107" ht="15" thickBot="1">
      <c r="A33" s="161" t="s">
        <v>251</v>
      </c>
      <c r="B33" s="162" t="s">
        <v>234</v>
      </c>
      <c r="C33" s="163">
        <v>0</v>
      </c>
      <c r="D33" s="164">
        <v>0</v>
      </c>
      <c r="E33" s="164">
        <v>0</v>
      </c>
      <c r="F33" s="164">
        <v>0</v>
      </c>
      <c r="G33" s="164">
        <v>0</v>
      </c>
      <c r="H33" s="164">
        <v>0</v>
      </c>
      <c r="I33" s="164">
        <v>0</v>
      </c>
      <c r="J33" s="164">
        <v>0</v>
      </c>
      <c r="K33" s="164">
        <v>0</v>
      </c>
      <c r="L33" s="164">
        <v>0</v>
      </c>
      <c r="M33" s="164">
        <v>0</v>
      </c>
      <c r="N33" s="164">
        <v>0</v>
      </c>
      <c r="O33" s="164">
        <v>0</v>
      </c>
      <c r="P33" s="164">
        <v>0</v>
      </c>
      <c r="Q33" s="164">
        <v>0</v>
      </c>
      <c r="R33" s="164">
        <v>0</v>
      </c>
      <c r="S33" s="164">
        <v>0</v>
      </c>
      <c r="T33" s="164">
        <v>0</v>
      </c>
      <c r="U33" s="164">
        <v>0</v>
      </c>
      <c r="V33" s="164">
        <v>0</v>
      </c>
      <c r="W33" s="164">
        <v>0</v>
      </c>
      <c r="X33" s="164">
        <v>0</v>
      </c>
      <c r="Y33" s="164">
        <v>0</v>
      </c>
      <c r="Z33" s="164">
        <v>0</v>
      </c>
      <c r="AA33" s="164">
        <v>0</v>
      </c>
      <c r="AB33" s="164">
        <v>0</v>
      </c>
      <c r="AC33" s="164">
        <v>0</v>
      </c>
      <c r="AD33" s="164">
        <v>0</v>
      </c>
      <c r="AE33" s="164">
        <v>0</v>
      </c>
      <c r="AF33" s="164">
        <v>0</v>
      </c>
      <c r="AG33" s="164">
        <v>0</v>
      </c>
      <c r="AH33" s="164">
        <v>0</v>
      </c>
      <c r="AI33" s="164">
        <v>0</v>
      </c>
      <c r="AJ33" s="164">
        <v>0</v>
      </c>
      <c r="AK33" s="164">
        <v>0</v>
      </c>
      <c r="AL33" s="164">
        <v>0</v>
      </c>
      <c r="AM33" s="164">
        <v>0</v>
      </c>
      <c r="AN33" s="164">
        <v>0</v>
      </c>
      <c r="AO33" s="164">
        <v>0</v>
      </c>
      <c r="AP33" s="164">
        <v>0</v>
      </c>
      <c r="AQ33" s="164">
        <v>0</v>
      </c>
      <c r="AR33" s="164">
        <v>0</v>
      </c>
      <c r="AS33" s="164">
        <v>0</v>
      </c>
      <c r="AT33" s="164">
        <v>0</v>
      </c>
      <c r="AU33" s="164">
        <v>0</v>
      </c>
      <c r="AV33" s="164">
        <v>0</v>
      </c>
      <c r="AW33" s="165">
        <v>0</v>
      </c>
      <c r="AY33" s="166" t="s">
        <v>256</v>
      </c>
      <c r="AZ33" s="167">
        <f>AZ27+AZ28</f>
        <v>185997985</v>
      </c>
      <c r="BA33" s="167">
        <f t="shared" ref="BA33:CT33" si="16">SUM(D59:D64)</f>
        <v>251704793</v>
      </c>
      <c r="BB33" s="167">
        <f t="shared" si="16"/>
        <v>270770737</v>
      </c>
      <c r="BC33" s="167">
        <f t="shared" si="16"/>
        <v>347728216</v>
      </c>
      <c r="BD33" s="167">
        <f t="shared" si="16"/>
        <v>392284484</v>
      </c>
      <c r="BE33" s="167">
        <f t="shared" si="16"/>
        <v>414106598</v>
      </c>
      <c r="BF33" s="167">
        <f t="shared" si="16"/>
        <v>386088505</v>
      </c>
      <c r="BG33" s="167">
        <f t="shared" si="16"/>
        <v>374912096</v>
      </c>
      <c r="BH33" s="167">
        <f t="shared" si="16"/>
        <v>356999977</v>
      </c>
      <c r="BI33" s="167">
        <f t="shared" si="16"/>
        <v>302623605</v>
      </c>
      <c r="BJ33" s="167">
        <f t="shared" si="16"/>
        <v>310196442</v>
      </c>
      <c r="BK33" s="167">
        <f t="shared" si="16"/>
        <v>293976743</v>
      </c>
      <c r="BL33" s="167">
        <f t="shared" si="16"/>
        <v>304826194</v>
      </c>
      <c r="BM33" s="167">
        <f t="shared" si="16"/>
        <v>332678230</v>
      </c>
      <c r="BN33" s="167">
        <f t="shared" si="16"/>
        <v>261820013</v>
      </c>
      <c r="BO33" s="167">
        <f t="shared" si="16"/>
        <v>238158890</v>
      </c>
      <c r="BP33" s="167">
        <f t="shared" si="16"/>
        <v>232599796</v>
      </c>
      <c r="BQ33" s="167">
        <f t="shared" si="16"/>
        <v>275037824</v>
      </c>
      <c r="BR33" s="167">
        <f t="shared" si="16"/>
        <v>297015617</v>
      </c>
      <c r="BS33" s="167">
        <f t="shared" si="16"/>
        <v>279242244</v>
      </c>
      <c r="BT33" s="167">
        <f t="shared" si="16"/>
        <v>309649584</v>
      </c>
      <c r="BU33" s="167">
        <f t="shared" si="16"/>
        <v>307560234</v>
      </c>
      <c r="BV33" s="167">
        <f t="shared" si="16"/>
        <v>322832798</v>
      </c>
      <c r="BW33" s="167">
        <f t="shared" si="16"/>
        <v>334999471</v>
      </c>
      <c r="BX33" s="167">
        <f t="shared" si="16"/>
        <v>316500954</v>
      </c>
      <c r="BY33" s="167">
        <f t="shared" si="16"/>
        <v>328512311</v>
      </c>
      <c r="BZ33" s="167">
        <f t="shared" si="16"/>
        <v>339605897</v>
      </c>
      <c r="CA33" s="167">
        <f t="shared" si="16"/>
        <v>350047040</v>
      </c>
      <c r="CB33" s="167">
        <f t="shared" si="16"/>
        <v>357715341</v>
      </c>
      <c r="CC33" s="167">
        <f t="shared" si="16"/>
        <v>386056663</v>
      </c>
      <c r="CD33" s="167">
        <f t="shared" si="16"/>
        <v>435531962</v>
      </c>
      <c r="CE33" s="167">
        <f t="shared" si="16"/>
        <v>352173199</v>
      </c>
      <c r="CF33" s="167">
        <f t="shared" si="16"/>
        <v>320671170</v>
      </c>
      <c r="CG33" s="167">
        <f t="shared" si="16"/>
        <v>320558711</v>
      </c>
      <c r="CH33" s="167">
        <f t="shared" si="16"/>
        <v>330749792</v>
      </c>
      <c r="CI33" s="167">
        <f t="shared" si="16"/>
        <v>330676682</v>
      </c>
      <c r="CJ33" s="167">
        <f t="shared" si="16"/>
        <v>316421486</v>
      </c>
      <c r="CK33" s="167">
        <f t="shared" si="16"/>
        <v>331533505</v>
      </c>
      <c r="CL33" s="167">
        <f t="shared" si="16"/>
        <v>322187334</v>
      </c>
      <c r="CM33" s="167">
        <f t="shared" si="16"/>
        <v>310642780</v>
      </c>
      <c r="CN33" s="167">
        <f t="shared" si="16"/>
        <v>325306779</v>
      </c>
      <c r="CO33" s="167">
        <f t="shared" si="16"/>
        <v>318323953</v>
      </c>
      <c r="CP33" s="167">
        <f t="shared" si="16"/>
        <v>314051007</v>
      </c>
      <c r="CQ33" s="167">
        <f t="shared" si="16"/>
        <v>315644529</v>
      </c>
      <c r="CR33" s="167">
        <f t="shared" si="16"/>
        <v>302151318</v>
      </c>
      <c r="CS33" s="167">
        <f t="shared" si="16"/>
        <v>305469845</v>
      </c>
      <c r="CT33" s="167">
        <f t="shared" si="16"/>
        <v>340791856</v>
      </c>
      <c r="CV33" s="168">
        <f>MIN(AZ35:CT35)</f>
        <v>0.88755559353951907</v>
      </c>
      <c r="CW33" s="168">
        <f>AVERAGE(AZ35:CT35)</f>
        <v>0.93782004065320823</v>
      </c>
      <c r="CX33" s="168">
        <f>MAX(AZ35:CT35)</f>
        <v>1</v>
      </c>
      <c r="DA33" s="168">
        <f>MIN(CF35:CT35)</f>
        <v>0.9210920147181878</v>
      </c>
      <c r="DB33" s="168">
        <f>AVERAGE(CF35:CT35)</f>
        <v>0.93898005451667677</v>
      </c>
      <c r="DC33" s="168">
        <f>MAX(CF35:CT35)</f>
        <v>0.9554443053405679</v>
      </c>
    </row>
    <row r="34" spans="1:107" ht="14.4" thickTop="1">
      <c r="AZ34" s="169"/>
      <c r="BA34" s="169"/>
      <c r="BB34" s="169"/>
      <c r="BC34" s="169"/>
      <c r="BD34" s="169"/>
      <c r="BE34" s="169"/>
      <c r="BF34" s="169"/>
      <c r="BG34" s="169"/>
      <c r="BH34" s="169"/>
      <c r="BI34" s="169"/>
      <c r="BJ34" s="169"/>
      <c r="BK34" s="169"/>
      <c r="BL34" s="169"/>
      <c r="BM34" s="169"/>
      <c r="BN34" s="169"/>
      <c r="BO34" s="169"/>
      <c r="BP34" s="169"/>
      <c r="BQ34" s="169"/>
      <c r="BR34" s="169"/>
      <c r="BS34" s="169"/>
      <c r="BT34" s="169"/>
      <c r="BU34" s="169"/>
      <c r="BV34" s="169"/>
      <c r="BW34" s="169"/>
      <c r="BX34" s="169"/>
      <c r="BY34" s="169"/>
      <c r="BZ34" s="169"/>
      <c r="CA34" s="169"/>
      <c r="CB34" s="169"/>
      <c r="CC34" s="169"/>
      <c r="CD34" s="169"/>
      <c r="CE34" s="169"/>
      <c r="CF34" s="169"/>
      <c r="CG34" s="169"/>
      <c r="CH34" s="169"/>
      <c r="CI34" s="169"/>
      <c r="CJ34" s="169"/>
      <c r="CK34" s="169"/>
      <c r="CL34" s="169"/>
      <c r="CM34" s="169"/>
      <c r="CN34" s="169"/>
      <c r="CO34" s="169"/>
      <c r="CP34" s="169"/>
      <c r="CQ34" s="169"/>
      <c r="CR34" s="169"/>
      <c r="CS34" s="169"/>
      <c r="CT34" s="169"/>
    </row>
    <row r="35" spans="1:107" ht="15" thickBot="1">
      <c r="A35" s="123" t="s">
        <v>257</v>
      </c>
      <c r="AY35" s="119" t="s">
        <v>82</v>
      </c>
      <c r="AZ35" s="170">
        <f t="shared" ref="AZ35:CT35" si="17">AZ33/(AZ28+AZ27)</f>
        <v>1</v>
      </c>
      <c r="BA35" s="170">
        <f t="shared" si="17"/>
        <v>0.92116210588242409</v>
      </c>
      <c r="BB35" s="170">
        <f t="shared" si="17"/>
        <v>0.95923300239725406</v>
      </c>
      <c r="BC35" s="170">
        <f t="shared" si="17"/>
        <v>0.909222941215312</v>
      </c>
      <c r="BD35" s="170">
        <f t="shared" si="17"/>
        <v>0.9385918334270531</v>
      </c>
      <c r="BE35" s="170">
        <f t="shared" si="17"/>
        <v>0.96988247645129022</v>
      </c>
      <c r="BF35" s="170">
        <f t="shared" si="17"/>
        <v>0.95184268288326179</v>
      </c>
      <c r="BG35" s="170">
        <f t="shared" si="17"/>
        <v>0.89277234684846407</v>
      </c>
      <c r="BH35" s="170">
        <f t="shared" si="17"/>
        <v>0.91074344750086533</v>
      </c>
      <c r="BI35" s="170">
        <f t="shared" si="17"/>
        <v>0.92611395879821268</v>
      </c>
      <c r="BJ35" s="170">
        <f t="shared" si="17"/>
        <v>0.93115394143508257</v>
      </c>
      <c r="BK35" s="170">
        <f t="shared" si="17"/>
        <v>0.92519123193623809</v>
      </c>
      <c r="BL35" s="170">
        <f t="shared" si="17"/>
        <v>0.93339715245183874</v>
      </c>
      <c r="BM35" s="170">
        <f t="shared" si="17"/>
        <v>0.93900737817089952</v>
      </c>
      <c r="BN35" s="170">
        <f t="shared" si="17"/>
        <v>0.88755559353951907</v>
      </c>
      <c r="BO35" s="170">
        <f t="shared" si="17"/>
        <v>0.91829442302846376</v>
      </c>
      <c r="BP35" s="170">
        <f t="shared" si="17"/>
        <v>0.91715279027341501</v>
      </c>
      <c r="BQ35" s="170">
        <f t="shared" si="17"/>
        <v>0.93648078170559701</v>
      </c>
      <c r="BR35" s="170">
        <f t="shared" si="17"/>
        <v>0.95601349878020536</v>
      </c>
      <c r="BS35" s="170">
        <f t="shared" si="17"/>
        <v>0.93942437829262038</v>
      </c>
      <c r="BT35" s="170">
        <f t="shared" si="17"/>
        <v>0.93933500640655243</v>
      </c>
      <c r="BU35" s="170">
        <f t="shared" si="17"/>
        <v>0.95184586466737842</v>
      </c>
      <c r="BV35" s="170">
        <f t="shared" si="17"/>
        <v>0.94597813671044551</v>
      </c>
      <c r="BW35" s="170">
        <f t="shared" si="17"/>
        <v>0.93770162033724302</v>
      </c>
      <c r="BX35" s="170">
        <f t="shared" si="17"/>
        <v>0.94321265977467672</v>
      </c>
      <c r="BY35" s="170">
        <f t="shared" si="17"/>
        <v>0.94351289958826434</v>
      </c>
      <c r="BZ35" s="170">
        <f t="shared" si="17"/>
        <v>0.93585662444873774</v>
      </c>
      <c r="CA35" s="170">
        <f t="shared" si="17"/>
        <v>0.92281149245327843</v>
      </c>
      <c r="CB35" s="170">
        <f t="shared" si="17"/>
        <v>0.94865830051698496</v>
      </c>
      <c r="CC35" s="170">
        <f t="shared" si="17"/>
        <v>0.94259015965260662</v>
      </c>
      <c r="CD35" s="170">
        <f t="shared" si="17"/>
        <v>0.96204768257313333</v>
      </c>
      <c r="CE35" s="170">
        <f t="shared" si="17"/>
        <v>0.95605468080331579</v>
      </c>
      <c r="CF35" s="170">
        <f t="shared" si="17"/>
        <v>0.93960386296821785</v>
      </c>
      <c r="CG35" s="170">
        <f t="shared" si="17"/>
        <v>0.9210920147181878</v>
      </c>
      <c r="CH35" s="170">
        <f t="shared" si="17"/>
        <v>0.94127795574163764</v>
      </c>
      <c r="CI35" s="170">
        <f t="shared" si="17"/>
        <v>0.95505806547322025</v>
      </c>
      <c r="CJ35" s="170">
        <f t="shared" si="17"/>
        <v>0.94381895297795082</v>
      </c>
      <c r="CK35" s="170">
        <f t="shared" si="17"/>
        <v>0.93597707006052944</v>
      </c>
      <c r="CL35" s="170">
        <f t="shared" si="17"/>
        <v>0.93428673416228647</v>
      </c>
      <c r="CM35" s="170">
        <f t="shared" si="17"/>
        <v>0.92857144928227087</v>
      </c>
      <c r="CN35" s="170">
        <f t="shared" si="17"/>
        <v>0.93767904472045227</v>
      </c>
      <c r="CO35" s="170">
        <f t="shared" si="17"/>
        <v>0.95297496095970646</v>
      </c>
      <c r="CP35" s="170">
        <f t="shared" si="17"/>
        <v>0.93712510490814094</v>
      </c>
      <c r="CQ35" s="170">
        <f t="shared" si="17"/>
        <v>0.93676195774884319</v>
      </c>
      <c r="CR35" s="170">
        <f t="shared" si="17"/>
        <v>0.9554443053405679</v>
      </c>
      <c r="CS35" s="170">
        <f t="shared" si="17"/>
        <v>0.92652401501752812</v>
      </c>
      <c r="CT35" s="170">
        <f t="shared" si="17"/>
        <v>0.93850532367061368</v>
      </c>
    </row>
    <row r="36" spans="1:107" ht="30" thickTop="1" thickBot="1">
      <c r="A36" s="136" t="s">
        <v>136</v>
      </c>
      <c r="B36" s="137" t="s">
        <v>137</v>
      </c>
      <c r="C36" s="138">
        <v>1966</v>
      </c>
      <c r="D36" s="139">
        <v>1967</v>
      </c>
      <c r="E36" s="139">
        <v>1968</v>
      </c>
      <c r="F36" s="139">
        <v>1969</v>
      </c>
      <c r="G36" s="139">
        <v>1970</v>
      </c>
      <c r="H36" s="139">
        <v>1971</v>
      </c>
      <c r="I36" s="139">
        <v>1972</v>
      </c>
      <c r="J36" s="139">
        <v>1973</v>
      </c>
      <c r="K36" s="139">
        <v>1974</v>
      </c>
      <c r="L36" s="139">
        <v>1975</v>
      </c>
      <c r="M36" s="139">
        <v>1976</v>
      </c>
      <c r="N36" s="139">
        <v>1977</v>
      </c>
      <c r="O36" s="139">
        <v>1978</v>
      </c>
      <c r="P36" s="139">
        <v>1979</v>
      </c>
      <c r="Q36" s="139">
        <v>1980</v>
      </c>
      <c r="R36" s="139">
        <v>1981</v>
      </c>
      <c r="S36" s="139">
        <v>1982</v>
      </c>
      <c r="T36" s="139">
        <v>1983</v>
      </c>
      <c r="U36" s="139">
        <v>1984</v>
      </c>
      <c r="V36" s="139">
        <v>1985</v>
      </c>
      <c r="W36" s="139">
        <v>1986</v>
      </c>
      <c r="X36" s="139">
        <v>1987</v>
      </c>
      <c r="Y36" s="139">
        <v>1988</v>
      </c>
      <c r="Z36" s="139">
        <v>1989</v>
      </c>
      <c r="AA36" s="139">
        <v>1990</v>
      </c>
      <c r="AB36" s="139">
        <v>1991</v>
      </c>
      <c r="AC36" s="139">
        <v>1992</v>
      </c>
      <c r="AD36" s="139">
        <v>1993</v>
      </c>
      <c r="AE36" s="139">
        <v>1994</v>
      </c>
      <c r="AF36" s="139">
        <v>1995</v>
      </c>
      <c r="AG36" s="139">
        <v>1996</v>
      </c>
      <c r="AH36" s="139">
        <v>1997</v>
      </c>
      <c r="AI36" s="139">
        <v>1998</v>
      </c>
      <c r="AJ36" s="139">
        <v>1999</v>
      </c>
      <c r="AK36" s="139">
        <v>2000</v>
      </c>
      <c r="AL36" s="139">
        <v>2001</v>
      </c>
      <c r="AM36" s="139">
        <v>2002</v>
      </c>
      <c r="AN36" s="139">
        <v>2003</v>
      </c>
      <c r="AO36" s="139">
        <v>2004</v>
      </c>
      <c r="AP36" s="139">
        <v>2005</v>
      </c>
      <c r="AQ36" s="139">
        <v>2006</v>
      </c>
      <c r="AR36" s="139">
        <v>2007</v>
      </c>
      <c r="AS36" s="139">
        <v>2008</v>
      </c>
      <c r="AT36" s="139">
        <v>2009</v>
      </c>
      <c r="AU36" s="139">
        <v>2010</v>
      </c>
      <c r="AV36" s="139">
        <v>2011</v>
      </c>
      <c r="AW36" s="140">
        <v>2012</v>
      </c>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c r="CS36" s="169"/>
      <c r="CT36" s="169"/>
    </row>
    <row r="37" spans="1:107" ht="14.4">
      <c r="A37" s="171" t="s">
        <v>251</v>
      </c>
      <c r="B37" s="152" t="s">
        <v>227</v>
      </c>
      <c r="C37" s="172">
        <v>185997985</v>
      </c>
      <c r="D37" s="173">
        <v>273247012</v>
      </c>
      <c r="E37" s="173">
        <v>282278379</v>
      </c>
      <c r="F37" s="173">
        <v>382445493</v>
      </c>
      <c r="G37" s="173">
        <v>417950029</v>
      </c>
      <c r="H37" s="173">
        <v>426965749</v>
      </c>
      <c r="I37" s="173">
        <v>405622181</v>
      </c>
      <c r="J37" s="173">
        <v>419941430</v>
      </c>
      <c r="K37" s="173">
        <v>395445381</v>
      </c>
      <c r="L37" s="173">
        <v>334381256</v>
      </c>
      <c r="M37" s="173">
        <v>326893057</v>
      </c>
      <c r="N37" s="173">
        <v>323173307</v>
      </c>
      <c r="O37" s="173">
        <v>334801625</v>
      </c>
      <c r="P37" s="173">
        <v>356687766</v>
      </c>
      <c r="Q37" s="173">
        <v>271367717</v>
      </c>
      <c r="R37" s="173">
        <v>244655971</v>
      </c>
      <c r="S37" s="173">
        <v>219934312</v>
      </c>
      <c r="T37" s="173">
        <v>266041514</v>
      </c>
      <c r="U37" s="173">
        <v>287567570</v>
      </c>
      <c r="V37" s="173">
        <v>279743964</v>
      </c>
      <c r="W37" s="173">
        <v>304432563</v>
      </c>
      <c r="X37" s="173">
        <v>296960845</v>
      </c>
      <c r="Y37" s="173">
        <v>310890390</v>
      </c>
      <c r="Z37" s="173">
        <v>323131975</v>
      </c>
      <c r="AA37" s="173">
        <v>308682005</v>
      </c>
      <c r="AB37" s="173">
        <v>331394770</v>
      </c>
      <c r="AC37" s="173">
        <v>355454908</v>
      </c>
      <c r="AD37" s="173">
        <v>356795000</v>
      </c>
      <c r="AE37" s="173">
        <v>365356400</v>
      </c>
      <c r="AF37" s="173">
        <v>412022100</v>
      </c>
      <c r="AG37" s="173">
        <v>448338000</v>
      </c>
      <c r="AH37" s="173">
        <v>365090511</v>
      </c>
      <c r="AI37" s="173">
        <v>340314599</v>
      </c>
      <c r="AJ37" s="173">
        <v>339203135</v>
      </c>
      <c r="AK37" s="173">
        <v>346270013</v>
      </c>
      <c r="AL37" s="173">
        <v>343914817</v>
      </c>
      <c r="AM37" s="173">
        <v>333095071</v>
      </c>
      <c r="AN37" s="173">
        <v>352220912</v>
      </c>
      <c r="AO37" s="173">
        <v>344651751</v>
      </c>
      <c r="AP37" s="173">
        <v>332180848</v>
      </c>
      <c r="AQ37" s="173">
        <v>343530612</v>
      </c>
      <c r="AR37" s="173">
        <v>333386568</v>
      </c>
      <c r="AS37" s="173">
        <v>334639330</v>
      </c>
      <c r="AT37" s="173">
        <v>335634780</v>
      </c>
      <c r="AU37" s="173">
        <v>314168191</v>
      </c>
      <c r="AV37" s="173">
        <v>327286287</v>
      </c>
      <c r="AW37" s="174">
        <v>362386542</v>
      </c>
      <c r="AZ37" s="169"/>
      <c r="BA37" s="169"/>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75"/>
      <c r="CR37" s="169"/>
      <c r="CS37" s="169"/>
      <c r="CT37" s="169"/>
    </row>
    <row r="38" spans="1:107" ht="14.4">
      <c r="A38" s="171" t="s">
        <v>251</v>
      </c>
      <c r="B38" s="152" t="s">
        <v>228</v>
      </c>
      <c r="C38" s="172">
        <v>0</v>
      </c>
      <c r="D38" s="173">
        <v>0</v>
      </c>
      <c r="E38" s="173">
        <v>0</v>
      </c>
      <c r="F38" s="173">
        <v>0</v>
      </c>
      <c r="G38" s="173">
        <v>0</v>
      </c>
      <c r="H38" s="173">
        <v>0</v>
      </c>
      <c r="I38" s="173">
        <v>0</v>
      </c>
      <c r="J38" s="173">
        <v>0</v>
      </c>
      <c r="K38" s="173">
        <v>580861</v>
      </c>
      <c r="L38" s="173">
        <v>1043962</v>
      </c>
      <c r="M38" s="173">
        <v>17707318</v>
      </c>
      <c r="N38" s="173">
        <v>7997768</v>
      </c>
      <c r="O38" s="173">
        <v>7048312</v>
      </c>
      <c r="P38" s="173">
        <v>15999378</v>
      </c>
      <c r="Q38" s="173">
        <v>40447931</v>
      </c>
      <c r="R38" s="173">
        <v>18916466</v>
      </c>
      <c r="S38" s="173">
        <v>34931831</v>
      </c>
      <c r="T38" s="173">
        <v>27811868</v>
      </c>
      <c r="U38" s="173">
        <v>23113835</v>
      </c>
      <c r="V38" s="173">
        <v>17504277</v>
      </c>
      <c r="W38" s="173">
        <v>25215094</v>
      </c>
      <c r="X38" s="173">
        <v>26158943</v>
      </c>
      <c r="Y38" s="173">
        <v>30378383</v>
      </c>
      <c r="Z38" s="173">
        <v>34123962</v>
      </c>
      <c r="AA38" s="173">
        <v>26874299</v>
      </c>
      <c r="AB38" s="173">
        <v>16785219</v>
      </c>
      <c r="AC38" s="173">
        <v>7427491</v>
      </c>
      <c r="AD38" s="173">
        <v>22711040</v>
      </c>
      <c r="AE38" s="173">
        <v>11718613</v>
      </c>
      <c r="AF38" s="173">
        <v>7788812</v>
      </c>
      <c r="AG38" s="173">
        <v>5096000</v>
      </c>
      <c r="AH38" s="173">
        <v>3327099</v>
      </c>
      <c r="AI38" s="173">
        <v>2827414</v>
      </c>
      <c r="AJ38" s="173">
        <v>10851000</v>
      </c>
      <c r="AK38" s="173">
        <v>5716847</v>
      </c>
      <c r="AL38" s="173">
        <v>2741196</v>
      </c>
      <c r="AM38" s="173">
        <v>2738484</v>
      </c>
      <c r="AN38" s="173">
        <v>2580000</v>
      </c>
      <c r="AO38" s="173">
        <v>728103</v>
      </c>
      <c r="AP38" s="173">
        <v>2928251</v>
      </c>
      <c r="AQ38" s="173">
        <v>4057043</v>
      </c>
      <c r="AR38" s="173">
        <v>1195329</v>
      </c>
      <c r="AS38" s="173">
        <v>1336445</v>
      </c>
      <c r="AT38" s="173">
        <v>1803916</v>
      </c>
      <c r="AU38" s="173">
        <v>2213437</v>
      </c>
      <c r="AV38" s="173">
        <v>2414087</v>
      </c>
      <c r="AW38" s="174">
        <v>740546</v>
      </c>
      <c r="AZ38" s="176"/>
      <c r="BA38" s="176"/>
      <c r="BB38" s="176"/>
      <c r="BC38" s="176"/>
      <c r="BD38" s="176"/>
      <c r="BE38" s="176"/>
      <c r="BF38" s="176"/>
      <c r="BG38" s="176"/>
      <c r="BH38" s="176"/>
      <c r="BI38" s="176"/>
      <c r="BJ38" s="176"/>
      <c r="BK38" s="176"/>
      <c r="BL38" s="176"/>
      <c r="BM38" s="176"/>
      <c r="BN38" s="176"/>
      <c r="BO38" s="176"/>
      <c r="BP38" s="176"/>
      <c r="BQ38" s="176"/>
      <c r="BR38" s="176"/>
      <c r="BS38" s="176"/>
      <c r="BT38" s="176"/>
      <c r="BU38" s="176"/>
      <c r="BV38" s="176"/>
      <c r="BW38" s="176"/>
      <c r="BX38" s="176"/>
      <c r="BY38" s="176"/>
      <c r="BZ38" s="176"/>
      <c r="CA38" s="176"/>
      <c r="CB38" s="176"/>
      <c r="CC38" s="176"/>
      <c r="CD38" s="176"/>
      <c r="CE38" s="176"/>
      <c r="CF38" s="176"/>
      <c r="CG38" s="176"/>
      <c r="CH38" s="176"/>
      <c r="CI38" s="176"/>
      <c r="CJ38" s="176"/>
      <c r="CK38" s="176"/>
      <c r="CL38" s="176"/>
      <c r="CM38" s="176"/>
      <c r="CN38" s="176"/>
      <c r="CO38" s="176"/>
      <c r="CP38" s="176"/>
      <c r="CQ38" s="176"/>
      <c r="CR38" s="176"/>
      <c r="CS38" s="176"/>
      <c r="CT38" s="176"/>
    </row>
    <row r="39" spans="1:107" ht="14.4">
      <c r="A39" s="141" t="s">
        <v>251</v>
      </c>
      <c r="B39" s="142" t="s">
        <v>229</v>
      </c>
      <c r="C39" s="143">
        <v>0</v>
      </c>
      <c r="D39" s="144">
        <v>0</v>
      </c>
      <c r="E39" s="144">
        <v>0</v>
      </c>
      <c r="F39" s="144">
        <v>0</v>
      </c>
      <c r="G39" s="144">
        <v>0</v>
      </c>
      <c r="H39" s="144">
        <v>0</v>
      </c>
      <c r="I39" s="144">
        <v>0</v>
      </c>
      <c r="J39" s="144">
        <v>0</v>
      </c>
      <c r="K39" s="144">
        <v>0</v>
      </c>
      <c r="L39" s="144">
        <v>16323187</v>
      </c>
      <c r="M39" s="144">
        <v>15047699</v>
      </c>
      <c r="N39" s="144">
        <v>15637362</v>
      </c>
      <c r="O39" s="144">
        <v>13193154</v>
      </c>
      <c r="P39" s="144">
        <v>14051245</v>
      </c>
      <c r="Q39" s="144">
        <v>11201509</v>
      </c>
      <c r="R39" s="144">
        <v>13766937</v>
      </c>
      <c r="S39" s="144">
        <v>13831447</v>
      </c>
      <c r="T39" s="144">
        <v>12413750</v>
      </c>
      <c r="U39" s="144">
        <v>13392263</v>
      </c>
      <c r="V39" s="144">
        <v>11667536</v>
      </c>
      <c r="W39" s="144">
        <v>13168000</v>
      </c>
      <c r="X39" s="144">
        <v>13253000</v>
      </c>
      <c r="Y39" s="144">
        <v>13619000</v>
      </c>
      <c r="Z39" s="144">
        <v>14632000</v>
      </c>
      <c r="AA39" s="144">
        <v>14169000</v>
      </c>
      <c r="AB39" s="144">
        <v>14537000</v>
      </c>
      <c r="AC39" s="144">
        <v>14865000</v>
      </c>
      <c r="AD39" s="144">
        <v>15405000</v>
      </c>
      <c r="AE39" s="144">
        <v>15895000</v>
      </c>
      <c r="AF39" s="144">
        <v>19345000</v>
      </c>
      <c r="AG39" s="144">
        <v>21440796</v>
      </c>
      <c r="AH39" s="144">
        <v>16905304</v>
      </c>
      <c r="AI39" s="144">
        <v>15225340</v>
      </c>
      <c r="AJ39" s="144">
        <v>15723812</v>
      </c>
      <c r="AK39" s="144">
        <v>15556268</v>
      </c>
      <c r="AL39" s="144">
        <v>15755428</v>
      </c>
      <c r="AM39" s="144">
        <v>15197000</v>
      </c>
      <c r="AN39" s="144">
        <v>16554512</v>
      </c>
      <c r="AO39" s="144">
        <v>15890576</v>
      </c>
      <c r="AP39" s="144">
        <v>15347072</v>
      </c>
      <c r="AQ39" s="144">
        <v>16115632</v>
      </c>
      <c r="AR39" s="144">
        <v>15916264</v>
      </c>
      <c r="AS39" s="144">
        <v>14782248</v>
      </c>
      <c r="AT39" s="144">
        <v>15419352</v>
      </c>
      <c r="AU39" s="144">
        <v>13679796</v>
      </c>
      <c r="AV39" s="144">
        <v>14957592</v>
      </c>
      <c r="AW39" s="145">
        <v>15632500</v>
      </c>
    </row>
    <row r="40" spans="1:107" ht="14.4">
      <c r="A40" s="141" t="s">
        <v>251</v>
      </c>
      <c r="B40" s="142" t="s">
        <v>75</v>
      </c>
      <c r="C40" s="143">
        <v>699275</v>
      </c>
      <c r="D40" s="144">
        <v>809417</v>
      </c>
      <c r="E40" s="144">
        <v>892837</v>
      </c>
      <c r="F40" s="144">
        <v>1045873</v>
      </c>
      <c r="G40" s="144">
        <v>1144949</v>
      </c>
      <c r="H40" s="144">
        <v>1219003</v>
      </c>
      <c r="I40" s="144">
        <v>1385357</v>
      </c>
      <c r="J40" s="144">
        <v>1333183</v>
      </c>
      <c r="K40" s="144">
        <v>1221838</v>
      </c>
      <c r="L40" s="144">
        <v>1086020</v>
      </c>
      <c r="M40" s="144">
        <v>700098</v>
      </c>
      <c r="N40" s="144">
        <v>590311</v>
      </c>
      <c r="O40" s="144">
        <v>110106</v>
      </c>
      <c r="P40" s="144">
        <v>151497</v>
      </c>
      <c r="Q40" s="144">
        <v>193</v>
      </c>
      <c r="R40" s="144">
        <v>186</v>
      </c>
      <c r="S40" s="144">
        <v>165</v>
      </c>
      <c r="T40" s="144">
        <v>131</v>
      </c>
      <c r="U40" s="144">
        <v>125</v>
      </c>
      <c r="V40" s="144">
        <v>106</v>
      </c>
      <c r="W40" s="144">
        <v>207</v>
      </c>
      <c r="X40" s="144">
        <v>229</v>
      </c>
      <c r="Y40" s="144">
        <v>251</v>
      </c>
      <c r="Z40" s="144">
        <v>394</v>
      </c>
      <c r="AA40" s="144">
        <v>443</v>
      </c>
      <c r="AB40" s="144">
        <v>14535</v>
      </c>
      <c r="AC40" s="144">
        <v>18032</v>
      </c>
      <c r="AD40" s="144">
        <v>23241</v>
      </c>
      <c r="AE40" s="144">
        <v>27828</v>
      </c>
      <c r="AF40" s="144">
        <v>28290</v>
      </c>
      <c r="AG40" s="144">
        <v>125</v>
      </c>
      <c r="AH40" s="144">
        <v>1571</v>
      </c>
      <c r="AI40" s="144">
        <v>1413</v>
      </c>
      <c r="AJ40" s="144">
        <v>484</v>
      </c>
      <c r="AK40" s="144">
        <v>222</v>
      </c>
      <c r="AL40" s="144">
        <v>231</v>
      </c>
      <c r="AM40" s="144">
        <v>213</v>
      </c>
      <c r="AN40" s="144">
        <v>262</v>
      </c>
      <c r="AO40" s="144">
        <v>264</v>
      </c>
      <c r="AP40" s="144">
        <v>235</v>
      </c>
      <c r="AQ40" s="144">
        <v>236</v>
      </c>
      <c r="AR40" s="144">
        <v>0</v>
      </c>
      <c r="AS40" s="144">
        <v>0</v>
      </c>
      <c r="AT40" s="144">
        <v>0</v>
      </c>
      <c r="AU40" s="144">
        <v>0</v>
      </c>
      <c r="AV40" s="144">
        <v>0</v>
      </c>
      <c r="AW40" s="145">
        <v>0</v>
      </c>
      <c r="AZ40" s="159"/>
      <c r="BA40" s="159"/>
      <c r="BB40" s="159"/>
      <c r="BC40" s="159"/>
      <c r="BD40" s="159"/>
      <c r="BE40" s="159"/>
      <c r="BF40" s="159"/>
      <c r="BG40" s="159"/>
      <c r="BH40" s="159"/>
      <c r="BI40" s="159"/>
      <c r="BJ40" s="159"/>
      <c r="BK40" s="159"/>
      <c r="BL40" s="159"/>
      <c r="BM40" s="159"/>
      <c r="BN40" s="159"/>
      <c r="BO40" s="159"/>
      <c r="BP40" s="159"/>
      <c r="BQ40" s="159"/>
      <c r="BR40" s="159"/>
      <c r="BS40" s="159"/>
      <c r="BT40" s="159"/>
      <c r="BU40" s="159"/>
      <c r="BV40" s="159"/>
      <c r="BW40" s="159"/>
      <c r="BX40" s="159"/>
      <c r="BY40" s="159"/>
      <c r="BZ40" s="159"/>
      <c r="CA40" s="159"/>
      <c r="CB40" s="159"/>
      <c r="CC40" s="159"/>
      <c r="CD40" s="159"/>
      <c r="CE40" s="159"/>
      <c r="CF40" s="159"/>
      <c r="CG40" s="159"/>
      <c r="CH40" s="159"/>
      <c r="CI40" s="159"/>
      <c r="CJ40" s="159"/>
      <c r="CK40" s="159"/>
      <c r="CL40" s="159"/>
      <c r="CM40" s="159"/>
      <c r="CN40" s="159"/>
      <c r="CO40" s="159"/>
      <c r="CP40" s="159"/>
      <c r="CQ40" s="159"/>
      <c r="CR40" s="159"/>
      <c r="CS40" s="159"/>
      <c r="CT40" s="159"/>
    </row>
    <row r="41" spans="1:107" ht="14.4">
      <c r="A41" s="141" t="s">
        <v>251</v>
      </c>
      <c r="B41" s="142" t="s">
        <v>100</v>
      </c>
      <c r="C41" s="143">
        <v>0</v>
      </c>
      <c r="D41" s="144">
        <v>0</v>
      </c>
      <c r="E41" s="144">
        <v>0</v>
      </c>
      <c r="F41" s="144">
        <v>0</v>
      </c>
      <c r="G41" s="144">
        <v>0</v>
      </c>
      <c r="H41" s="144">
        <v>0</v>
      </c>
      <c r="I41" s="144">
        <v>0</v>
      </c>
      <c r="J41" s="144">
        <v>0</v>
      </c>
      <c r="K41" s="144">
        <v>0</v>
      </c>
      <c r="L41" s="144">
        <v>0</v>
      </c>
      <c r="M41" s="144">
        <v>0</v>
      </c>
      <c r="N41" s="144">
        <v>0</v>
      </c>
      <c r="O41" s="144">
        <v>0</v>
      </c>
      <c r="P41" s="144">
        <v>0</v>
      </c>
      <c r="Q41" s="144">
        <v>0</v>
      </c>
      <c r="R41" s="144">
        <v>0</v>
      </c>
      <c r="S41" s="144">
        <v>0</v>
      </c>
      <c r="T41" s="144">
        <v>0</v>
      </c>
      <c r="U41" s="144">
        <v>0</v>
      </c>
      <c r="V41" s="144">
        <v>0</v>
      </c>
      <c r="W41" s="144">
        <v>0</v>
      </c>
      <c r="X41" s="144">
        <v>0</v>
      </c>
      <c r="Y41" s="144">
        <v>0</v>
      </c>
      <c r="Z41" s="144">
        <v>0</v>
      </c>
      <c r="AA41" s="144">
        <v>0</v>
      </c>
      <c r="AB41" s="144">
        <v>0</v>
      </c>
      <c r="AC41" s="144">
        <v>0</v>
      </c>
      <c r="AD41" s="144">
        <v>0</v>
      </c>
      <c r="AE41" s="144">
        <v>0</v>
      </c>
      <c r="AF41" s="144">
        <v>0</v>
      </c>
      <c r="AG41" s="144">
        <v>0</v>
      </c>
      <c r="AH41" s="144">
        <v>0</v>
      </c>
      <c r="AI41" s="144">
        <v>0</v>
      </c>
      <c r="AJ41" s="144">
        <v>4794986</v>
      </c>
      <c r="AK41" s="144">
        <v>6393315</v>
      </c>
      <c r="AL41" s="144">
        <v>7090342</v>
      </c>
      <c r="AM41" s="144">
        <v>4898925</v>
      </c>
      <c r="AN41" s="144">
        <v>2939355</v>
      </c>
      <c r="AO41" s="144">
        <v>1865684</v>
      </c>
      <c r="AP41" s="144">
        <v>1819997</v>
      </c>
      <c r="AQ41" s="144">
        <v>1324762</v>
      </c>
      <c r="AR41" s="144">
        <v>1412309</v>
      </c>
      <c r="AS41" s="144">
        <v>9984841</v>
      </c>
      <c r="AT41" s="144">
        <v>8699334</v>
      </c>
      <c r="AU41" s="144">
        <v>9236029</v>
      </c>
      <c r="AV41" s="144">
        <v>8639949</v>
      </c>
      <c r="AW41" s="145">
        <v>6715184</v>
      </c>
      <c r="AZ41" s="177"/>
      <c r="BA41" s="177"/>
      <c r="BB41" s="177"/>
      <c r="BC41" s="177"/>
      <c r="BD41" s="177"/>
      <c r="BE41" s="177"/>
      <c r="BF41" s="177"/>
      <c r="BG41" s="177"/>
      <c r="BH41" s="177"/>
      <c r="BI41" s="177"/>
      <c r="BJ41" s="177"/>
      <c r="BK41" s="177"/>
      <c r="BL41" s="177"/>
      <c r="BM41" s="177"/>
      <c r="BN41" s="177"/>
      <c r="BO41" s="177"/>
      <c r="BP41" s="177"/>
      <c r="BQ41" s="177"/>
      <c r="BR41" s="177"/>
      <c r="BS41" s="177"/>
      <c r="BT41" s="177"/>
      <c r="BU41" s="177"/>
      <c r="BV41" s="177"/>
      <c r="BW41" s="177"/>
      <c r="BX41" s="177"/>
      <c r="BY41" s="177"/>
      <c r="BZ41" s="177"/>
      <c r="CA41" s="177"/>
      <c r="CB41" s="177"/>
      <c r="CC41" s="177"/>
      <c r="CD41" s="177"/>
      <c r="CE41" s="177"/>
      <c r="CF41" s="177"/>
      <c r="CG41" s="177"/>
      <c r="CH41" s="177"/>
      <c r="CI41" s="177"/>
      <c r="CJ41" s="177"/>
      <c r="CK41" s="177"/>
      <c r="CL41" s="177"/>
      <c r="CM41" s="177"/>
      <c r="CN41" s="177"/>
      <c r="CO41" s="177"/>
      <c r="CP41" s="177"/>
      <c r="CQ41" s="177"/>
      <c r="CR41" s="177"/>
      <c r="CS41" s="177"/>
      <c r="CT41" s="177"/>
    </row>
    <row r="42" spans="1:107" ht="14.4">
      <c r="A42" s="141" t="s">
        <v>251</v>
      </c>
      <c r="B42" s="142" t="s">
        <v>77</v>
      </c>
      <c r="C42" s="143">
        <v>8692</v>
      </c>
      <c r="D42" s="144">
        <v>8520</v>
      </c>
      <c r="E42" s="144">
        <v>8117</v>
      </c>
      <c r="F42" s="144">
        <v>7721</v>
      </c>
      <c r="G42" s="144">
        <v>7685</v>
      </c>
      <c r="H42" s="144">
        <v>6983</v>
      </c>
      <c r="I42" s="144">
        <v>6235</v>
      </c>
      <c r="J42" s="144">
        <v>6131</v>
      </c>
      <c r="K42" s="144">
        <v>5189</v>
      </c>
      <c r="L42" s="144">
        <v>6174</v>
      </c>
      <c r="M42" s="144">
        <v>5794</v>
      </c>
      <c r="N42" s="144">
        <v>5664</v>
      </c>
      <c r="O42" s="144">
        <v>5702</v>
      </c>
      <c r="P42" s="144">
        <v>5278</v>
      </c>
      <c r="Q42" s="144">
        <v>4085</v>
      </c>
      <c r="R42" s="144">
        <v>3604</v>
      </c>
      <c r="S42" s="144">
        <v>3369</v>
      </c>
      <c r="T42" s="144">
        <v>3787</v>
      </c>
      <c r="U42" s="144">
        <v>4449</v>
      </c>
      <c r="V42" s="144">
        <v>5457</v>
      </c>
      <c r="W42" s="144">
        <v>7104</v>
      </c>
      <c r="X42" s="144">
        <v>12645</v>
      </c>
      <c r="Y42" s="144">
        <v>11415</v>
      </c>
      <c r="Z42" s="144">
        <v>5950</v>
      </c>
      <c r="AA42" s="144">
        <v>6484</v>
      </c>
      <c r="AB42" s="144">
        <v>6152</v>
      </c>
      <c r="AC42" s="144">
        <v>6407</v>
      </c>
      <c r="AD42" s="144">
        <v>6816</v>
      </c>
      <c r="AE42" s="144">
        <v>4007</v>
      </c>
      <c r="AF42" s="144">
        <v>1512</v>
      </c>
      <c r="AG42" s="144">
        <v>1972</v>
      </c>
      <c r="AH42" s="144">
        <v>1962</v>
      </c>
      <c r="AI42" s="144">
        <v>2488</v>
      </c>
      <c r="AJ42" s="144">
        <v>2186</v>
      </c>
      <c r="AK42" s="144">
        <v>1896</v>
      </c>
      <c r="AL42" s="144">
        <v>1728</v>
      </c>
      <c r="AM42" s="144">
        <v>9505</v>
      </c>
      <c r="AN42" s="144">
        <v>7281</v>
      </c>
      <c r="AO42" s="144">
        <v>8104</v>
      </c>
      <c r="AP42" s="144">
        <v>6794</v>
      </c>
      <c r="AQ42" s="144">
        <v>5764</v>
      </c>
      <c r="AR42" s="144">
        <v>4427</v>
      </c>
      <c r="AS42" s="144">
        <v>3095</v>
      </c>
      <c r="AT42" s="144">
        <v>2567</v>
      </c>
      <c r="AU42" s="144">
        <v>1681</v>
      </c>
      <c r="AV42" s="144">
        <v>4462</v>
      </c>
      <c r="AW42" s="145">
        <v>2541</v>
      </c>
      <c r="CQ42" s="178"/>
    </row>
    <row r="43" spans="1:107" ht="14.4">
      <c r="A43" s="141" t="s">
        <v>251</v>
      </c>
      <c r="B43" s="142" t="s">
        <v>96</v>
      </c>
      <c r="C43" s="143">
        <v>0</v>
      </c>
      <c r="D43" s="144">
        <v>0</v>
      </c>
      <c r="E43" s="144">
        <v>0</v>
      </c>
      <c r="F43" s="144">
        <v>0</v>
      </c>
      <c r="G43" s="144">
        <v>0</v>
      </c>
      <c r="H43" s="144">
        <v>0</v>
      </c>
      <c r="I43" s="144">
        <v>0</v>
      </c>
      <c r="J43" s="144">
        <v>0</v>
      </c>
      <c r="K43" s="144">
        <v>0</v>
      </c>
      <c r="L43" s="144">
        <v>0</v>
      </c>
      <c r="M43" s="144">
        <v>0</v>
      </c>
      <c r="N43" s="144">
        <v>0</v>
      </c>
      <c r="O43" s="144">
        <v>0</v>
      </c>
      <c r="P43" s="144">
        <v>0</v>
      </c>
      <c r="Q43" s="144">
        <v>0</v>
      </c>
      <c r="R43" s="144">
        <v>0</v>
      </c>
      <c r="S43" s="144">
        <v>0</v>
      </c>
      <c r="T43" s="144">
        <v>0</v>
      </c>
      <c r="U43" s="144">
        <v>0</v>
      </c>
      <c r="V43" s="144">
        <v>0</v>
      </c>
      <c r="W43" s="144">
        <v>0</v>
      </c>
      <c r="X43" s="144">
        <v>0</v>
      </c>
      <c r="Y43" s="144">
        <v>0</v>
      </c>
      <c r="Z43" s="144">
        <v>0</v>
      </c>
      <c r="AA43" s="144">
        <v>0</v>
      </c>
      <c r="AB43" s="144">
        <v>0</v>
      </c>
      <c r="AC43" s="144">
        <v>0</v>
      </c>
      <c r="AD43" s="144">
        <v>0</v>
      </c>
      <c r="AE43" s="144">
        <v>0</v>
      </c>
      <c r="AF43" s="144">
        <v>0</v>
      </c>
      <c r="AG43" s="144">
        <v>0</v>
      </c>
      <c r="AH43" s="144">
        <v>0</v>
      </c>
      <c r="AI43" s="144">
        <v>0</v>
      </c>
      <c r="AJ43" s="144">
        <v>0</v>
      </c>
      <c r="AK43" s="144">
        <v>0</v>
      </c>
      <c r="AL43" s="144">
        <v>0</v>
      </c>
      <c r="AM43" s="144">
        <v>0</v>
      </c>
      <c r="AN43" s="144">
        <v>0</v>
      </c>
      <c r="AO43" s="144">
        <v>0</v>
      </c>
      <c r="AP43" s="144">
        <v>0</v>
      </c>
      <c r="AQ43" s="144">
        <v>0</v>
      </c>
      <c r="AR43" s="144">
        <v>0</v>
      </c>
      <c r="AS43" s="144">
        <v>0</v>
      </c>
      <c r="AT43" s="144">
        <v>0</v>
      </c>
      <c r="AU43" s="144">
        <v>0</v>
      </c>
      <c r="AV43" s="144">
        <v>0</v>
      </c>
      <c r="AW43" s="145">
        <v>0</v>
      </c>
      <c r="AZ43" s="159"/>
    </row>
    <row r="44" spans="1:107" ht="14.4">
      <c r="A44" s="141" t="s">
        <v>251</v>
      </c>
      <c r="B44" s="142" t="s">
        <v>51</v>
      </c>
      <c r="C44" s="143">
        <v>42532</v>
      </c>
      <c r="D44" s="144">
        <v>50942</v>
      </c>
      <c r="E44" s="144">
        <v>50979</v>
      </c>
      <c r="F44" s="144">
        <v>56763</v>
      </c>
      <c r="G44" s="144">
        <v>42332</v>
      </c>
      <c r="H44" s="144">
        <v>52433</v>
      </c>
      <c r="I44" s="144">
        <v>59057</v>
      </c>
      <c r="J44" s="144">
        <v>75638</v>
      </c>
      <c r="K44" s="144">
        <v>48358</v>
      </c>
      <c r="L44" s="144">
        <v>97669</v>
      </c>
      <c r="M44" s="144">
        <v>95038</v>
      </c>
      <c r="N44" s="144">
        <v>145126</v>
      </c>
      <c r="O44" s="144">
        <v>143899</v>
      </c>
      <c r="P44" s="144">
        <v>294314</v>
      </c>
      <c r="Q44" s="144">
        <v>8707</v>
      </c>
      <c r="R44" s="144">
        <v>8629</v>
      </c>
      <c r="S44" s="144">
        <v>49682</v>
      </c>
      <c r="T44" s="144">
        <v>49726</v>
      </c>
      <c r="U44" s="144">
        <v>78869</v>
      </c>
      <c r="V44" s="144">
        <v>107344</v>
      </c>
      <c r="W44" s="144">
        <v>135946</v>
      </c>
      <c r="X44" s="144">
        <v>164726</v>
      </c>
      <c r="Y44" s="144">
        <v>193539</v>
      </c>
      <c r="Z44" s="144">
        <v>162433</v>
      </c>
      <c r="AA44" s="144">
        <v>130702</v>
      </c>
      <c r="AB44" s="144">
        <v>131921</v>
      </c>
      <c r="AC44" s="144">
        <v>133351</v>
      </c>
      <c r="AD44" s="144">
        <v>138147</v>
      </c>
      <c r="AE44" s="144">
        <v>228841</v>
      </c>
      <c r="AF44" s="144">
        <v>40129</v>
      </c>
      <c r="AG44" s="144">
        <v>56980</v>
      </c>
      <c r="AH44" s="144">
        <v>94298</v>
      </c>
      <c r="AI44" s="144">
        <v>69327</v>
      </c>
      <c r="AJ44" s="144">
        <v>54876</v>
      </c>
      <c r="AK44" s="144">
        <v>55597</v>
      </c>
      <c r="AL44" s="144">
        <v>66831</v>
      </c>
      <c r="AM44" s="144">
        <v>62158</v>
      </c>
      <c r="AN44" s="144">
        <v>38851</v>
      </c>
      <c r="AO44" s="144">
        <v>40505</v>
      </c>
      <c r="AP44" s="144">
        <v>49686</v>
      </c>
      <c r="AQ44" s="144">
        <v>23454</v>
      </c>
      <c r="AR44" s="144">
        <v>7735</v>
      </c>
      <c r="AS44" s="144">
        <v>8405</v>
      </c>
      <c r="AT44" s="144">
        <v>8263</v>
      </c>
      <c r="AU44" s="144">
        <v>9185</v>
      </c>
      <c r="AV44" s="144">
        <v>16963</v>
      </c>
      <c r="AW44" s="145">
        <v>27400</v>
      </c>
    </row>
    <row r="45" spans="1:107" ht="14.4">
      <c r="A45" s="141" t="s">
        <v>251</v>
      </c>
      <c r="B45" s="142" t="s">
        <v>230</v>
      </c>
      <c r="C45" s="143">
        <v>4004916</v>
      </c>
      <c r="D45" s="144">
        <v>3914953</v>
      </c>
      <c r="E45" s="144">
        <v>4604917</v>
      </c>
      <c r="F45" s="144">
        <v>6027736</v>
      </c>
      <c r="G45" s="144">
        <v>7365591</v>
      </c>
      <c r="H45" s="144">
        <v>7126412</v>
      </c>
      <c r="I45" s="144">
        <v>7574411</v>
      </c>
      <c r="J45" s="144">
        <v>6212350</v>
      </c>
      <c r="K45" s="144">
        <v>6115033</v>
      </c>
      <c r="L45" s="144">
        <v>4692276</v>
      </c>
      <c r="M45" s="144">
        <v>4036616</v>
      </c>
      <c r="N45" s="144">
        <v>3492850</v>
      </c>
      <c r="O45" s="144">
        <v>3257820</v>
      </c>
      <c r="P45" s="144">
        <v>4228848</v>
      </c>
      <c r="Q45" s="144">
        <v>3301237</v>
      </c>
      <c r="R45" s="144">
        <v>3591874</v>
      </c>
      <c r="S45" s="144">
        <v>2527344</v>
      </c>
      <c r="T45" s="144">
        <v>2501548</v>
      </c>
      <c r="U45" s="144">
        <v>2487365</v>
      </c>
      <c r="V45" s="144">
        <v>3995737</v>
      </c>
      <c r="W45" s="144">
        <v>2740332</v>
      </c>
      <c r="X45" s="144">
        <v>2179863</v>
      </c>
      <c r="Y45" s="144">
        <v>3488338</v>
      </c>
      <c r="Z45" s="144">
        <v>1653370</v>
      </c>
      <c r="AA45" s="144">
        <v>1309202</v>
      </c>
      <c r="AB45" s="144">
        <v>2038140</v>
      </c>
      <c r="AC45" s="144">
        <v>3568653</v>
      </c>
      <c r="AD45" s="144">
        <v>3490237</v>
      </c>
      <c r="AE45" s="144">
        <v>3272077</v>
      </c>
      <c r="AF45" s="144">
        <v>2178206</v>
      </c>
      <c r="AG45" s="144">
        <v>2234254</v>
      </c>
      <c r="AH45" s="144">
        <v>1633660</v>
      </c>
      <c r="AI45" s="144">
        <v>1122333</v>
      </c>
      <c r="AJ45" s="144">
        <v>1797624</v>
      </c>
      <c r="AK45" s="144">
        <v>1267752</v>
      </c>
      <c r="AL45" s="144">
        <v>1280150</v>
      </c>
      <c r="AM45" s="144">
        <v>1640756</v>
      </c>
      <c r="AN45" s="144">
        <v>817024</v>
      </c>
      <c r="AO45" s="144">
        <v>1051697</v>
      </c>
      <c r="AP45" s="144">
        <v>679587</v>
      </c>
      <c r="AQ45" s="144">
        <v>619384</v>
      </c>
      <c r="AR45" s="144">
        <v>821943</v>
      </c>
      <c r="AS45" s="144">
        <v>3018384</v>
      </c>
      <c r="AT45" s="144">
        <v>77113</v>
      </c>
      <c r="AU45" s="144">
        <v>455361</v>
      </c>
      <c r="AV45" s="144">
        <v>499909</v>
      </c>
      <c r="AW45" s="145">
        <v>581891</v>
      </c>
      <c r="CQ45" s="160"/>
    </row>
    <row r="46" spans="1:107" ht="14.4">
      <c r="A46" s="141" t="s">
        <v>251</v>
      </c>
      <c r="B46" s="142" t="s">
        <v>231</v>
      </c>
      <c r="C46" s="143">
        <v>0</v>
      </c>
      <c r="D46" s="144">
        <v>0</v>
      </c>
      <c r="E46" s="144">
        <v>0</v>
      </c>
      <c r="F46" s="144">
        <v>0</v>
      </c>
      <c r="G46" s="144">
        <v>0</v>
      </c>
      <c r="H46" s="144">
        <v>0</v>
      </c>
      <c r="I46" s="144">
        <v>0</v>
      </c>
      <c r="J46" s="144">
        <v>0</v>
      </c>
      <c r="K46" s="144">
        <v>0</v>
      </c>
      <c r="L46" s="144">
        <v>0</v>
      </c>
      <c r="M46" s="144">
        <v>0</v>
      </c>
      <c r="N46" s="144">
        <v>0</v>
      </c>
      <c r="O46" s="144">
        <v>0</v>
      </c>
      <c r="P46" s="144">
        <v>0</v>
      </c>
      <c r="Q46" s="144">
        <v>0</v>
      </c>
      <c r="R46" s="144">
        <v>0</v>
      </c>
      <c r="S46" s="144">
        <v>0</v>
      </c>
      <c r="T46" s="144">
        <v>0</v>
      </c>
      <c r="U46" s="144">
        <v>0</v>
      </c>
      <c r="V46" s="144">
        <v>0</v>
      </c>
      <c r="W46" s="144">
        <v>0</v>
      </c>
      <c r="X46" s="144">
        <v>0</v>
      </c>
      <c r="Y46" s="144">
        <v>0</v>
      </c>
      <c r="Z46" s="144">
        <v>0</v>
      </c>
      <c r="AA46" s="144">
        <v>0</v>
      </c>
      <c r="AB46" s="144">
        <v>0</v>
      </c>
      <c r="AC46" s="144">
        <v>0</v>
      </c>
      <c r="AD46" s="144">
        <v>0</v>
      </c>
      <c r="AE46" s="144">
        <v>0</v>
      </c>
      <c r="AF46" s="144">
        <v>0</v>
      </c>
      <c r="AG46" s="144">
        <v>0</v>
      </c>
      <c r="AH46" s="144">
        <v>0</v>
      </c>
      <c r="AI46" s="144">
        <v>0</v>
      </c>
      <c r="AJ46" s="144">
        <v>0</v>
      </c>
      <c r="AK46" s="144">
        <v>0</v>
      </c>
      <c r="AL46" s="144">
        <v>0</v>
      </c>
      <c r="AM46" s="144">
        <v>0</v>
      </c>
      <c r="AN46" s="144">
        <v>0</v>
      </c>
      <c r="AO46" s="144">
        <v>0</v>
      </c>
      <c r="AP46" s="144">
        <v>0</v>
      </c>
      <c r="AQ46" s="144">
        <v>0</v>
      </c>
      <c r="AR46" s="144">
        <v>0</v>
      </c>
      <c r="AS46" s="144">
        <v>0</v>
      </c>
      <c r="AT46" s="144">
        <v>0</v>
      </c>
      <c r="AU46" s="144">
        <v>0</v>
      </c>
      <c r="AV46" s="144">
        <v>0</v>
      </c>
      <c r="AW46" s="145">
        <v>0</v>
      </c>
    </row>
    <row r="47" spans="1:107" ht="14.4">
      <c r="A47" s="141" t="s">
        <v>251</v>
      </c>
      <c r="B47" s="142" t="s">
        <v>232</v>
      </c>
      <c r="C47" s="143">
        <v>0</v>
      </c>
      <c r="D47" s="144">
        <v>0</v>
      </c>
      <c r="E47" s="144">
        <v>0</v>
      </c>
      <c r="F47" s="144">
        <v>0</v>
      </c>
      <c r="G47" s="144">
        <v>0</v>
      </c>
      <c r="H47" s="144">
        <v>0</v>
      </c>
      <c r="I47" s="144">
        <v>0</v>
      </c>
      <c r="J47" s="144">
        <v>0</v>
      </c>
      <c r="K47" s="144">
        <v>0</v>
      </c>
      <c r="L47" s="144">
        <v>0</v>
      </c>
      <c r="M47" s="144">
        <v>0</v>
      </c>
      <c r="N47" s="144">
        <v>0</v>
      </c>
      <c r="O47" s="144">
        <v>0</v>
      </c>
      <c r="P47" s="144">
        <v>0</v>
      </c>
      <c r="Q47" s="144">
        <v>0</v>
      </c>
      <c r="R47" s="144">
        <v>0</v>
      </c>
      <c r="S47" s="144">
        <v>0</v>
      </c>
      <c r="T47" s="144">
        <v>0</v>
      </c>
      <c r="U47" s="144">
        <v>0</v>
      </c>
      <c r="V47" s="144">
        <v>0</v>
      </c>
      <c r="W47" s="144">
        <v>0</v>
      </c>
      <c r="X47" s="144">
        <v>0</v>
      </c>
      <c r="Y47" s="144">
        <v>0</v>
      </c>
      <c r="Z47" s="144">
        <v>0</v>
      </c>
      <c r="AA47" s="144">
        <v>0</v>
      </c>
      <c r="AB47" s="144">
        <v>0</v>
      </c>
      <c r="AC47" s="144">
        <v>0</v>
      </c>
      <c r="AD47" s="144">
        <v>0</v>
      </c>
      <c r="AE47" s="144">
        <v>0</v>
      </c>
      <c r="AF47" s="144">
        <v>0</v>
      </c>
      <c r="AG47" s="144">
        <v>0</v>
      </c>
      <c r="AH47" s="144">
        <v>0</v>
      </c>
      <c r="AI47" s="144">
        <v>0</v>
      </c>
      <c r="AJ47" s="144">
        <v>0</v>
      </c>
      <c r="AK47" s="144">
        <v>0</v>
      </c>
      <c r="AL47" s="144">
        <v>0</v>
      </c>
      <c r="AM47" s="144">
        <v>0</v>
      </c>
      <c r="AN47" s="144">
        <v>0</v>
      </c>
      <c r="AO47" s="144">
        <v>0</v>
      </c>
      <c r="AP47" s="144">
        <v>0</v>
      </c>
      <c r="AQ47" s="144">
        <v>3</v>
      </c>
      <c r="AR47" s="144">
        <v>7</v>
      </c>
      <c r="AS47" s="144">
        <v>6</v>
      </c>
      <c r="AT47" s="144">
        <v>24</v>
      </c>
      <c r="AU47" s="144">
        <v>24</v>
      </c>
      <c r="AV47" s="144">
        <v>521</v>
      </c>
      <c r="AW47" s="145">
        <v>966</v>
      </c>
      <c r="AZ47" s="179">
        <v>2008</v>
      </c>
      <c r="BA47" s="179">
        <v>2009</v>
      </c>
      <c r="BB47" s="179">
        <v>2010</v>
      </c>
      <c r="BC47" s="179">
        <v>2011</v>
      </c>
      <c r="BD47" s="179">
        <v>2012</v>
      </c>
    </row>
    <row r="48" spans="1:107" ht="14.4">
      <c r="A48" s="141" t="s">
        <v>251</v>
      </c>
      <c r="B48" s="142" t="s">
        <v>70</v>
      </c>
      <c r="C48" s="143">
        <v>0</v>
      </c>
      <c r="D48" s="144">
        <v>0</v>
      </c>
      <c r="E48" s="144">
        <v>0</v>
      </c>
      <c r="F48" s="144">
        <v>0</v>
      </c>
      <c r="G48" s="144">
        <v>0</v>
      </c>
      <c r="H48" s="144">
        <v>0</v>
      </c>
      <c r="I48" s="144">
        <v>0</v>
      </c>
      <c r="J48" s="144">
        <v>0</v>
      </c>
      <c r="K48" s="144">
        <v>0</v>
      </c>
      <c r="L48" s="144">
        <v>0</v>
      </c>
      <c r="M48" s="144">
        <v>0</v>
      </c>
      <c r="N48" s="144">
        <v>0</v>
      </c>
      <c r="O48" s="144">
        <v>0</v>
      </c>
      <c r="P48" s="144">
        <v>0</v>
      </c>
      <c r="Q48" s="144">
        <v>0</v>
      </c>
      <c r="R48" s="144">
        <v>0</v>
      </c>
      <c r="S48" s="144">
        <v>0</v>
      </c>
      <c r="T48" s="144">
        <v>0</v>
      </c>
      <c r="U48" s="144">
        <v>0</v>
      </c>
      <c r="V48" s="144">
        <v>0</v>
      </c>
      <c r="W48" s="144">
        <v>0</v>
      </c>
      <c r="X48" s="144">
        <v>0</v>
      </c>
      <c r="Y48" s="144">
        <v>0</v>
      </c>
      <c r="Z48" s="144">
        <v>0</v>
      </c>
      <c r="AA48" s="144">
        <v>0</v>
      </c>
      <c r="AB48" s="144">
        <v>0</v>
      </c>
      <c r="AC48" s="144">
        <v>0</v>
      </c>
      <c r="AD48" s="144">
        <v>0</v>
      </c>
      <c r="AE48" s="144">
        <v>2824</v>
      </c>
      <c r="AF48" s="144">
        <v>2848</v>
      </c>
      <c r="AG48" s="144">
        <v>1199</v>
      </c>
      <c r="AH48" s="144">
        <v>8721</v>
      </c>
      <c r="AI48" s="144">
        <v>7725</v>
      </c>
      <c r="AJ48" s="144">
        <v>4955</v>
      </c>
      <c r="AK48" s="144">
        <v>5460</v>
      </c>
      <c r="AL48" s="144">
        <v>9186</v>
      </c>
      <c r="AM48" s="144">
        <v>8423</v>
      </c>
      <c r="AN48" s="144">
        <v>47522</v>
      </c>
      <c r="AO48" s="144">
        <v>45835</v>
      </c>
      <c r="AP48" s="144">
        <v>23236</v>
      </c>
      <c r="AQ48" s="144">
        <v>23237</v>
      </c>
      <c r="AR48" s="144">
        <v>0</v>
      </c>
      <c r="AS48" s="144">
        <v>0</v>
      </c>
      <c r="AT48" s="144">
        <v>0</v>
      </c>
      <c r="AU48" s="144">
        <v>0</v>
      </c>
      <c r="AV48" s="144">
        <v>0</v>
      </c>
      <c r="AW48" s="145">
        <v>0</v>
      </c>
      <c r="AY48" s="180" t="s">
        <v>159</v>
      </c>
      <c r="AZ48" s="179" t="s">
        <v>153</v>
      </c>
      <c r="BA48" s="179" t="s">
        <v>153</v>
      </c>
      <c r="BB48" s="179" t="s">
        <v>153</v>
      </c>
      <c r="BC48" s="179" t="s">
        <v>153</v>
      </c>
      <c r="BD48" s="179" t="s">
        <v>153</v>
      </c>
    </row>
    <row r="49" spans="1:58" ht="14.4">
      <c r="A49" s="141" t="s">
        <v>251</v>
      </c>
      <c r="B49" s="142" t="s">
        <v>233</v>
      </c>
      <c r="C49" s="143">
        <v>397650</v>
      </c>
      <c r="D49" s="144">
        <v>432699</v>
      </c>
      <c r="E49" s="144">
        <v>476143</v>
      </c>
      <c r="F49" s="144">
        <v>530132</v>
      </c>
      <c r="G49" s="144">
        <v>593411</v>
      </c>
      <c r="H49" s="144">
        <v>643437</v>
      </c>
      <c r="I49" s="144">
        <v>685084</v>
      </c>
      <c r="J49" s="144">
        <v>736411</v>
      </c>
      <c r="K49" s="144">
        <v>731086</v>
      </c>
      <c r="L49" s="144">
        <v>686570</v>
      </c>
      <c r="M49" s="144">
        <v>613406</v>
      </c>
      <c r="N49" s="144">
        <v>594418</v>
      </c>
      <c r="O49" s="144">
        <v>639873</v>
      </c>
      <c r="P49" s="144">
        <v>625981</v>
      </c>
      <c r="Q49" s="144">
        <v>647706</v>
      </c>
      <c r="R49" s="144">
        <v>763354</v>
      </c>
      <c r="S49" s="144">
        <v>759288</v>
      </c>
      <c r="T49" s="144">
        <v>783722</v>
      </c>
      <c r="U49" s="144">
        <v>785727</v>
      </c>
      <c r="V49" s="144">
        <v>767902</v>
      </c>
      <c r="W49" s="144">
        <v>911578</v>
      </c>
      <c r="X49" s="144">
        <v>909734</v>
      </c>
      <c r="Y49" s="144">
        <v>857186</v>
      </c>
      <c r="Z49" s="144">
        <v>844713</v>
      </c>
      <c r="AA49" s="144">
        <v>891592</v>
      </c>
      <c r="AB49" s="144">
        <v>1096782</v>
      </c>
      <c r="AC49" s="144">
        <v>1163069</v>
      </c>
      <c r="AD49" s="144">
        <v>1103643</v>
      </c>
      <c r="AE49" s="144">
        <v>1200480</v>
      </c>
      <c r="AF49" s="144">
        <v>1178367</v>
      </c>
      <c r="AG49" s="144">
        <v>1231778</v>
      </c>
      <c r="AH49" s="144">
        <v>1027529</v>
      </c>
      <c r="AI49" s="144">
        <v>905799</v>
      </c>
      <c r="AJ49" s="144">
        <v>977882</v>
      </c>
      <c r="AK49" s="144">
        <v>756137</v>
      </c>
      <c r="AL49" s="144">
        <v>555652</v>
      </c>
      <c r="AM49" s="144">
        <v>565485</v>
      </c>
      <c r="AN49" s="144">
        <v>904276</v>
      </c>
      <c r="AO49" s="144">
        <v>922446</v>
      </c>
      <c r="AP49" s="144">
        <v>644273</v>
      </c>
      <c r="AQ49" s="144">
        <v>781406</v>
      </c>
      <c r="AR49" s="144">
        <v>1101084</v>
      </c>
      <c r="AS49" s="144">
        <v>1285842</v>
      </c>
      <c r="AT49" s="144">
        <v>1153932</v>
      </c>
      <c r="AU49" s="144">
        <v>1169936</v>
      </c>
      <c r="AV49" s="144">
        <v>1056349</v>
      </c>
      <c r="AW49" s="145">
        <v>1074112</v>
      </c>
      <c r="AY49" s="119" t="s">
        <v>154</v>
      </c>
      <c r="AZ49" s="119">
        <v>4223</v>
      </c>
      <c r="BA49" s="119">
        <v>3754</v>
      </c>
      <c r="BB49" s="119">
        <v>3768</v>
      </c>
      <c r="BC49" s="119">
        <v>3365</v>
      </c>
      <c r="BD49" s="119">
        <v>3897</v>
      </c>
    </row>
    <row r="50" spans="1:58" ht="15" thickBot="1">
      <c r="A50" s="161" t="s">
        <v>251</v>
      </c>
      <c r="B50" s="162" t="s">
        <v>234</v>
      </c>
      <c r="C50" s="163">
        <v>2278</v>
      </c>
      <c r="D50" s="164">
        <v>2479</v>
      </c>
      <c r="E50" s="164">
        <v>3063</v>
      </c>
      <c r="F50" s="164">
        <v>4198</v>
      </c>
      <c r="G50" s="164">
        <v>4495</v>
      </c>
      <c r="H50" s="164">
        <v>4899</v>
      </c>
      <c r="I50" s="164">
        <v>5362</v>
      </c>
      <c r="J50" s="164">
        <v>5639</v>
      </c>
      <c r="K50" s="164">
        <v>5838</v>
      </c>
      <c r="L50" s="164">
        <v>5961</v>
      </c>
      <c r="M50" s="164">
        <v>5173</v>
      </c>
      <c r="N50" s="164">
        <v>5701</v>
      </c>
      <c r="O50" s="164">
        <v>5536</v>
      </c>
      <c r="P50" s="164">
        <v>5388</v>
      </c>
      <c r="Q50" s="164">
        <v>0</v>
      </c>
      <c r="R50" s="164">
        <v>0</v>
      </c>
      <c r="S50" s="164">
        <v>294559</v>
      </c>
      <c r="T50" s="164">
        <v>446939</v>
      </c>
      <c r="U50" s="164">
        <v>459885</v>
      </c>
      <c r="V50" s="164">
        <v>439145</v>
      </c>
      <c r="W50" s="164">
        <v>335697</v>
      </c>
      <c r="X50" s="164">
        <v>362024</v>
      </c>
      <c r="Y50" s="164">
        <v>405850</v>
      </c>
      <c r="Z50" s="164">
        <v>416804</v>
      </c>
      <c r="AA50" s="164">
        <v>427758</v>
      </c>
      <c r="AB50" s="164">
        <v>387197</v>
      </c>
      <c r="AC50" s="164">
        <v>346636</v>
      </c>
      <c r="AD50" s="164">
        <v>306075</v>
      </c>
      <c r="AE50" s="164">
        <v>351620</v>
      </c>
      <c r="AF50" s="164">
        <v>380457</v>
      </c>
      <c r="AG50" s="164">
        <v>318666</v>
      </c>
      <c r="AH50" s="164">
        <v>256816</v>
      </c>
      <c r="AI50" s="164">
        <v>222847</v>
      </c>
      <c r="AJ50" s="164">
        <v>299190</v>
      </c>
      <c r="AK50" s="164">
        <v>275371</v>
      </c>
      <c r="AL50" s="164">
        <v>252295</v>
      </c>
      <c r="AM50" s="164">
        <v>252295</v>
      </c>
      <c r="AN50" s="164">
        <v>260862</v>
      </c>
      <c r="AO50" s="164">
        <v>247819</v>
      </c>
      <c r="AP50" s="164">
        <v>354806</v>
      </c>
      <c r="AQ50" s="164">
        <v>367693</v>
      </c>
      <c r="AR50" s="164">
        <v>404977</v>
      </c>
      <c r="AS50" s="164">
        <v>585757</v>
      </c>
      <c r="AT50" s="164">
        <v>585699</v>
      </c>
      <c r="AU50" s="164">
        <v>583942</v>
      </c>
      <c r="AV50" s="164">
        <v>558832</v>
      </c>
      <c r="AW50" s="165">
        <v>558832</v>
      </c>
      <c r="AY50" s="119" t="s">
        <v>155</v>
      </c>
      <c r="BA50" s="119">
        <v>2985</v>
      </c>
      <c r="BB50" s="119">
        <v>2741</v>
      </c>
      <c r="BC50" s="119">
        <v>2656</v>
      </c>
    </row>
    <row r="51" spans="1:58" ht="13.8" thickTop="1">
      <c r="BF51" s="119" t="s">
        <v>139</v>
      </c>
    </row>
    <row r="52" spans="1:58">
      <c r="BA52" s="133">
        <f>BA49/(BA49+BA50)</f>
        <v>0.55705594301825201</v>
      </c>
      <c r="BB52" s="133">
        <f>BB49/(BB49+BB50)</f>
        <v>0.57889076663081884</v>
      </c>
      <c r="BC52" s="133">
        <f>BC49/(BC49+BC50)</f>
        <v>0.55887726291313733</v>
      </c>
      <c r="BF52" s="168">
        <f>AVERAGE(BA52:BC52)</f>
        <v>0.56494132418740273</v>
      </c>
    </row>
    <row r="54" spans="1:58" ht="15" thickBot="1">
      <c r="A54" s="123" t="s">
        <v>258</v>
      </c>
    </row>
    <row r="55" spans="1:58" ht="30" thickTop="1" thickBot="1">
      <c r="A55" s="136" t="s">
        <v>136</v>
      </c>
      <c r="B55" s="137" t="s">
        <v>137</v>
      </c>
      <c r="C55" s="138">
        <v>1966</v>
      </c>
      <c r="D55" s="139">
        <v>1967</v>
      </c>
      <c r="E55" s="139">
        <v>1968</v>
      </c>
      <c r="F55" s="139">
        <v>1969</v>
      </c>
      <c r="G55" s="139">
        <v>1970</v>
      </c>
      <c r="H55" s="139">
        <v>1971</v>
      </c>
      <c r="I55" s="139">
        <v>1972</v>
      </c>
      <c r="J55" s="139">
        <v>1973</v>
      </c>
      <c r="K55" s="139">
        <v>1974</v>
      </c>
      <c r="L55" s="139">
        <v>1975</v>
      </c>
      <c r="M55" s="139">
        <v>1976</v>
      </c>
      <c r="N55" s="139">
        <v>1977</v>
      </c>
      <c r="O55" s="139">
        <v>1978</v>
      </c>
      <c r="P55" s="139">
        <v>1979</v>
      </c>
      <c r="Q55" s="139">
        <v>1980</v>
      </c>
      <c r="R55" s="139">
        <v>1981</v>
      </c>
      <c r="S55" s="139">
        <v>1982</v>
      </c>
      <c r="T55" s="139">
        <v>1983</v>
      </c>
      <c r="U55" s="139">
        <v>1984</v>
      </c>
      <c r="V55" s="139">
        <v>1985</v>
      </c>
      <c r="W55" s="139">
        <v>1986</v>
      </c>
      <c r="X55" s="139">
        <v>1987</v>
      </c>
      <c r="Y55" s="139">
        <v>1988</v>
      </c>
      <c r="Z55" s="139">
        <v>1989</v>
      </c>
      <c r="AA55" s="139">
        <v>1990</v>
      </c>
      <c r="AB55" s="139">
        <v>1991</v>
      </c>
      <c r="AC55" s="139">
        <v>1992</v>
      </c>
      <c r="AD55" s="139">
        <v>1993</v>
      </c>
      <c r="AE55" s="139">
        <v>1994</v>
      </c>
      <c r="AF55" s="139">
        <v>1995</v>
      </c>
      <c r="AG55" s="139">
        <v>1996</v>
      </c>
      <c r="AH55" s="139">
        <v>1997</v>
      </c>
      <c r="AI55" s="139">
        <v>1998</v>
      </c>
      <c r="AJ55" s="139">
        <v>1999</v>
      </c>
      <c r="AK55" s="139">
        <v>2000</v>
      </c>
      <c r="AL55" s="139">
        <v>2001</v>
      </c>
      <c r="AM55" s="139">
        <v>2002</v>
      </c>
      <c r="AN55" s="139">
        <v>2003</v>
      </c>
      <c r="AO55" s="139">
        <v>2004</v>
      </c>
      <c r="AP55" s="139">
        <v>2005</v>
      </c>
      <c r="AQ55" s="139">
        <v>2006</v>
      </c>
      <c r="AR55" s="139">
        <v>2007</v>
      </c>
      <c r="AS55" s="139">
        <v>2008</v>
      </c>
      <c r="AT55" s="139">
        <v>2009</v>
      </c>
      <c r="AU55" s="139">
        <v>2010</v>
      </c>
      <c r="AV55" s="139">
        <v>2011</v>
      </c>
      <c r="AW55" s="140">
        <v>2012</v>
      </c>
    </row>
    <row r="56" spans="1:58" ht="14.4">
      <c r="A56" s="141" t="s">
        <v>251</v>
      </c>
      <c r="B56" s="142" t="s">
        <v>227</v>
      </c>
      <c r="C56" s="143">
        <f t="shared" ref="C56:AW61" si="18">C20-C37</f>
        <v>-185997985</v>
      </c>
      <c r="D56" s="143">
        <f t="shared" si="18"/>
        <v>-273247012</v>
      </c>
      <c r="E56" s="143">
        <f t="shared" si="18"/>
        <v>-282278379</v>
      </c>
      <c r="F56" s="143">
        <f t="shared" si="18"/>
        <v>-382445493</v>
      </c>
      <c r="G56" s="143">
        <f t="shared" si="18"/>
        <v>-417950029</v>
      </c>
      <c r="H56" s="143">
        <f t="shared" si="18"/>
        <v>-426965749</v>
      </c>
      <c r="I56" s="143">
        <f t="shared" si="18"/>
        <v>-405622181</v>
      </c>
      <c r="J56" s="143">
        <f t="shared" si="18"/>
        <v>-419941430</v>
      </c>
      <c r="K56" s="143">
        <f t="shared" si="18"/>
        <v>-395445381</v>
      </c>
      <c r="L56" s="143">
        <f t="shared" si="18"/>
        <v>-334381256</v>
      </c>
      <c r="M56" s="143">
        <f t="shared" si="18"/>
        <v>-326893057</v>
      </c>
      <c r="N56" s="143">
        <f t="shared" si="18"/>
        <v>-323173307</v>
      </c>
      <c r="O56" s="143">
        <f t="shared" si="18"/>
        <v>-334801625</v>
      </c>
      <c r="P56" s="143">
        <f t="shared" si="18"/>
        <v>-356687766</v>
      </c>
      <c r="Q56" s="143">
        <f t="shared" si="18"/>
        <v>-271367717</v>
      </c>
      <c r="R56" s="143">
        <f t="shared" si="18"/>
        <v>-244655971</v>
      </c>
      <c r="S56" s="143">
        <f t="shared" si="18"/>
        <v>-219934312</v>
      </c>
      <c r="T56" s="143">
        <f t="shared" si="18"/>
        <v>-266041514</v>
      </c>
      <c r="U56" s="143">
        <f t="shared" si="18"/>
        <v>-287567570</v>
      </c>
      <c r="V56" s="143">
        <f t="shared" si="18"/>
        <v>-279743964</v>
      </c>
      <c r="W56" s="143">
        <f t="shared" si="18"/>
        <v>-304432563</v>
      </c>
      <c r="X56" s="143">
        <f t="shared" si="18"/>
        <v>-296960845</v>
      </c>
      <c r="Y56" s="143">
        <f t="shared" si="18"/>
        <v>-310890390</v>
      </c>
      <c r="Z56" s="143">
        <f t="shared" si="18"/>
        <v>-323131975</v>
      </c>
      <c r="AA56" s="143">
        <f t="shared" si="18"/>
        <v>-308682005</v>
      </c>
      <c r="AB56" s="143">
        <f t="shared" si="18"/>
        <v>-331394770</v>
      </c>
      <c r="AC56" s="143">
        <f t="shared" si="18"/>
        <v>-355454908</v>
      </c>
      <c r="AD56" s="143">
        <f t="shared" si="18"/>
        <v>-356795000</v>
      </c>
      <c r="AE56" s="143">
        <f t="shared" si="18"/>
        <v>-365356400</v>
      </c>
      <c r="AF56" s="143">
        <f t="shared" si="18"/>
        <v>-412022100</v>
      </c>
      <c r="AG56" s="143">
        <f t="shared" si="18"/>
        <v>-448338000</v>
      </c>
      <c r="AH56" s="143">
        <f t="shared" si="18"/>
        <v>-365090511</v>
      </c>
      <c r="AI56" s="143">
        <f t="shared" si="18"/>
        <v>-340314599</v>
      </c>
      <c r="AJ56" s="143">
        <f t="shared" si="18"/>
        <v>-339203135</v>
      </c>
      <c r="AK56" s="143">
        <f t="shared" si="18"/>
        <v>-346270013</v>
      </c>
      <c r="AL56" s="143">
        <f t="shared" si="18"/>
        <v>-343914817</v>
      </c>
      <c r="AM56" s="143">
        <f t="shared" si="18"/>
        <v>-333095071</v>
      </c>
      <c r="AN56" s="143">
        <f t="shared" si="18"/>
        <v>-352220912</v>
      </c>
      <c r="AO56" s="143">
        <f t="shared" si="18"/>
        <v>-344651751</v>
      </c>
      <c r="AP56" s="143">
        <f t="shared" si="18"/>
        <v>-332180848</v>
      </c>
      <c r="AQ56" s="143">
        <f t="shared" si="18"/>
        <v>-343530612</v>
      </c>
      <c r="AR56" s="143">
        <f t="shared" si="18"/>
        <v>-333386568</v>
      </c>
      <c r="AS56" s="143">
        <f t="shared" si="18"/>
        <v>-334639330</v>
      </c>
      <c r="AT56" s="143">
        <f t="shared" si="18"/>
        <v>-335634780</v>
      </c>
      <c r="AU56" s="143">
        <f t="shared" si="18"/>
        <v>-314168191</v>
      </c>
      <c r="AV56" s="143">
        <f t="shared" si="18"/>
        <v>-327286287</v>
      </c>
      <c r="AW56" s="143">
        <f t="shared" si="18"/>
        <v>-362386542</v>
      </c>
    </row>
    <row r="57" spans="1:58" ht="14.4">
      <c r="A57" s="141" t="s">
        <v>251</v>
      </c>
      <c r="B57" s="142" t="s">
        <v>228</v>
      </c>
      <c r="C57" s="143">
        <f t="shared" si="18"/>
        <v>0</v>
      </c>
      <c r="D57" s="143">
        <f t="shared" si="18"/>
        <v>0</v>
      </c>
      <c r="E57" s="143">
        <f t="shared" si="18"/>
        <v>0</v>
      </c>
      <c r="F57" s="143">
        <f t="shared" si="18"/>
        <v>0</v>
      </c>
      <c r="G57" s="143">
        <f t="shared" si="18"/>
        <v>0</v>
      </c>
      <c r="H57" s="143">
        <f t="shared" si="18"/>
        <v>0</v>
      </c>
      <c r="I57" s="143">
        <f t="shared" si="18"/>
        <v>0</v>
      </c>
      <c r="J57" s="143">
        <f t="shared" si="18"/>
        <v>0</v>
      </c>
      <c r="K57" s="143">
        <f t="shared" si="18"/>
        <v>3457958</v>
      </c>
      <c r="L57" s="143">
        <f t="shared" si="18"/>
        <v>7614121</v>
      </c>
      <c r="M57" s="143">
        <f t="shared" si="18"/>
        <v>-6238156</v>
      </c>
      <c r="N57" s="143">
        <f t="shared" si="18"/>
        <v>5426302</v>
      </c>
      <c r="O57" s="143">
        <f t="shared" si="18"/>
        <v>8224462</v>
      </c>
      <c r="P57" s="143">
        <f t="shared" si="18"/>
        <v>2400635</v>
      </c>
      <c r="Q57" s="143">
        <f t="shared" si="18"/>
        <v>-23622270</v>
      </c>
      <c r="R57" s="143">
        <f t="shared" si="18"/>
        <v>-14693192</v>
      </c>
      <c r="S57" s="143">
        <f t="shared" si="18"/>
        <v>-33676426</v>
      </c>
      <c r="T57" s="143">
        <f t="shared" si="18"/>
        <v>-27651458</v>
      </c>
      <c r="U57" s="143">
        <f t="shared" si="18"/>
        <v>-23113835</v>
      </c>
      <c r="V57" s="143">
        <f t="shared" si="18"/>
        <v>-17504277</v>
      </c>
      <c r="W57" s="143">
        <f t="shared" si="18"/>
        <v>-25215094</v>
      </c>
      <c r="X57" s="143">
        <f t="shared" si="18"/>
        <v>-26158943</v>
      </c>
      <c r="Y57" s="143">
        <f t="shared" si="18"/>
        <v>-30378383</v>
      </c>
      <c r="Z57" s="143">
        <f t="shared" si="18"/>
        <v>-34123962</v>
      </c>
      <c r="AA57" s="143">
        <f t="shared" si="18"/>
        <v>-26874299</v>
      </c>
      <c r="AB57" s="143">
        <f t="shared" si="18"/>
        <v>-16785219</v>
      </c>
      <c r="AC57" s="143">
        <f t="shared" si="18"/>
        <v>-7427491</v>
      </c>
      <c r="AD57" s="143">
        <f t="shared" si="18"/>
        <v>-22531702</v>
      </c>
      <c r="AE57" s="143">
        <f t="shared" si="18"/>
        <v>-11718613</v>
      </c>
      <c r="AF57" s="143">
        <f t="shared" si="18"/>
        <v>2452088</v>
      </c>
      <c r="AG57" s="143">
        <f t="shared" si="18"/>
        <v>-4375488</v>
      </c>
      <c r="AH57" s="143">
        <f t="shared" si="18"/>
        <v>-3270427</v>
      </c>
      <c r="AI57" s="143">
        <f t="shared" si="18"/>
        <v>-968768</v>
      </c>
      <c r="AJ57" s="143">
        <f t="shared" si="18"/>
        <v>-8817156</v>
      </c>
      <c r="AK57" s="143">
        <f t="shared" si="18"/>
        <v>-5113752</v>
      </c>
      <c r="AL57" s="143">
        <f t="shared" si="18"/>
        <v>-2322437</v>
      </c>
      <c r="AM57" s="143">
        <f t="shared" si="18"/>
        <v>-2161479</v>
      </c>
      <c r="AN57" s="143">
        <f t="shared" si="18"/>
        <v>-1990228</v>
      </c>
      <c r="AO57" s="143">
        <f t="shared" si="18"/>
        <v>-196701</v>
      </c>
      <c r="AP57" s="143">
        <f t="shared" si="18"/>
        <v>-2357523</v>
      </c>
      <c r="AQ57" s="143">
        <f t="shared" si="18"/>
        <v>-3397029</v>
      </c>
      <c r="AR57" s="143">
        <f t="shared" si="18"/>
        <v>-645244</v>
      </c>
      <c r="AS57" s="143">
        <f t="shared" si="18"/>
        <v>-482422</v>
      </c>
      <c r="AT57" s="143">
        <f t="shared" si="18"/>
        <v>-1317982</v>
      </c>
      <c r="AU57" s="143">
        <f t="shared" si="18"/>
        <v>-2073495</v>
      </c>
      <c r="AV57" s="143">
        <f t="shared" si="18"/>
        <v>-2408184</v>
      </c>
      <c r="AW57" s="143">
        <f t="shared" si="18"/>
        <v>-735379</v>
      </c>
    </row>
    <row r="58" spans="1:58" ht="14.4">
      <c r="A58" s="141" t="s">
        <v>251</v>
      </c>
      <c r="B58" s="142" t="s">
        <v>229</v>
      </c>
      <c r="C58" s="143">
        <f t="shared" si="18"/>
        <v>0</v>
      </c>
      <c r="D58" s="143">
        <f t="shared" si="18"/>
        <v>0</v>
      </c>
      <c r="E58" s="143">
        <f t="shared" si="18"/>
        <v>0</v>
      </c>
      <c r="F58" s="143">
        <f t="shared" si="18"/>
        <v>0</v>
      </c>
      <c r="G58" s="143">
        <f t="shared" si="18"/>
        <v>0</v>
      </c>
      <c r="H58" s="143">
        <f t="shared" si="18"/>
        <v>0</v>
      </c>
      <c r="I58" s="143">
        <f t="shared" si="18"/>
        <v>0</v>
      </c>
      <c r="J58" s="143">
        <f t="shared" si="18"/>
        <v>0</v>
      </c>
      <c r="K58" s="143">
        <f t="shared" si="18"/>
        <v>0</v>
      </c>
      <c r="L58" s="143">
        <f t="shared" si="18"/>
        <v>0</v>
      </c>
      <c r="M58" s="143">
        <f t="shared" si="18"/>
        <v>0</v>
      </c>
      <c r="N58" s="143">
        <f t="shared" si="18"/>
        <v>0</v>
      </c>
      <c r="O58" s="143">
        <f t="shared" si="18"/>
        <v>0</v>
      </c>
      <c r="P58" s="143">
        <f t="shared" si="18"/>
        <v>0</v>
      </c>
      <c r="Q58" s="143">
        <f t="shared" si="18"/>
        <v>0</v>
      </c>
      <c r="R58" s="143">
        <f t="shared" si="18"/>
        <v>0</v>
      </c>
      <c r="S58" s="143">
        <f t="shared" si="18"/>
        <v>0</v>
      </c>
      <c r="T58" s="143">
        <f t="shared" si="18"/>
        <v>0</v>
      </c>
      <c r="U58" s="143">
        <f t="shared" si="18"/>
        <v>0</v>
      </c>
      <c r="V58" s="143">
        <f t="shared" si="18"/>
        <v>0</v>
      </c>
      <c r="W58" s="143">
        <f t="shared" si="18"/>
        <v>0</v>
      </c>
      <c r="X58" s="143">
        <f t="shared" si="18"/>
        <v>0</v>
      </c>
      <c r="Y58" s="143">
        <f t="shared" si="18"/>
        <v>0</v>
      </c>
      <c r="Z58" s="143">
        <f t="shared" si="18"/>
        <v>0</v>
      </c>
      <c r="AA58" s="143">
        <f t="shared" si="18"/>
        <v>0</v>
      </c>
      <c r="AB58" s="143">
        <f t="shared" si="18"/>
        <v>0</v>
      </c>
      <c r="AC58" s="143">
        <f t="shared" si="18"/>
        <v>0</v>
      </c>
      <c r="AD58" s="143">
        <f t="shared" si="18"/>
        <v>0</v>
      </c>
      <c r="AE58" s="143">
        <f t="shared" si="18"/>
        <v>0</v>
      </c>
      <c r="AF58" s="143">
        <f t="shared" si="18"/>
        <v>0</v>
      </c>
      <c r="AG58" s="143">
        <f t="shared" si="18"/>
        <v>0</v>
      </c>
      <c r="AH58" s="143">
        <f t="shared" si="18"/>
        <v>0</v>
      </c>
      <c r="AI58" s="143">
        <f t="shared" si="18"/>
        <v>0</v>
      </c>
      <c r="AJ58" s="143">
        <f t="shared" si="18"/>
        <v>0</v>
      </c>
      <c r="AK58" s="143">
        <f t="shared" si="18"/>
        <v>0</v>
      </c>
      <c r="AL58" s="143">
        <f t="shared" si="18"/>
        <v>0</v>
      </c>
      <c r="AM58" s="143">
        <f t="shared" si="18"/>
        <v>0</v>
      </c>
      <c r="AN58" s="143">
        <f t="shared" si="18"/>
        <v>0</v>
      </c>
      <c r="AO58" s="143">
        <f t="shared" si="18"/>
        <v>0</v>
      </c>
      <c r="AP58" s="143">
        <f t="shared" si="18"/>
        <v>0</v>
      </c>
      <c r="AQ58" s="143">
        <f t="shared" si="18"/>
        <v>0</v>
      </c>
      <c r="AR58" s="143">
        <f t="shared" si="18"/>
        <v>0</v>
      </c>
      <c r="AS58" s="143">
        <f t="shared" si="18"/>
        <v>0</v>
      </c>
      <c r="AT58" s="143">
        <f t="shared" si="18"/>
        <v>0</v>
      </c>
      <c r="AU58" s="143">
        <f t="shared" si="18"/>
        <v>0</v>
      </c>
      <c r="AV58" s="143">
        <f t="shared" si="18"/>
        <v>0</v>
      </c>
      <c r="AW58" s="143">
        <f t="shared" si="18"/>
        <v>0</v>
      </c>
    </row>
    <row r="59" spans="1:58" ht="14.4">
      <c r="A59" s="181" t="s">
        <v>251</v>
      </c>
      <c r="B59" s="149" t="s">
        <v>75</v>
      </c>
      <c r="C59" s="182">
        <f t="shared" si="18"/>
        <v>5977157</v>
      </c>
      <c r="D59" s="182">
        <f t="shared" si="18"/>
        <v>7049803</v>
      </c>
      <c r="E59" s="182">
        <f t="shared" si="18"/>
        <v>7919317</v>
      </c>
      <c r="F59" s="182">
        <f t="shared" si="18"/>
        <v>9218983</v>
      </c>
      <c r="G59" s="182">
        <f t="shared" si="18"/>
        <v>9030888</v>
      </c>
      <c r="H59" s="182">
        <f t="shared" si="18"/>
        <v>8749522</v>
      </c>
      <c r="I59" s="182">
        <f t="shared" si="18"/>
        <v>8780845</v>
      </c>
      <c r="J59" s="182">
        <f t="shared" si="18"/>
        <v>8367732</v>
      </c>
      <c r="K59" s="182">
        <f t="shared" si="18"/>
        <v>7201462</v>
      </c>
      <c r="L59" s="182">
        <f t="shared" si="18"/>
        <v>5085433</v>
      </c>
      <c r="M59" s="182">
        <f t="shared" si="18"/>
        <v>5736938</v>
      </c>
      <c r="N59" s="182">
        <f t="shared" si="18"/>
        <v>6254341</v>
      </c>
      <c r="O59" s="182">
        <f t="shared" si="18"/>
        <v>6393470</v>
      </c>
      <c r="P59" s="182">
        <f t="shared" si="18"/>
        <v>5979646</v>
      </c>
      <c r="Q59" s="182">
        <f t="shared" si="18"/>
        <v>5655947</v>
      </c>
      <c r="R59" s="182">
        <f t="shared" si="18"/>
        <v>5326950</v>
      </c>
      <c r="S59" s="182">
        <f t="shared" si="18"/>
        <v>6013166</v>
      </c>
      <c r="T59" s="182">
        <f t="shared" si="18"/>
        <v>6021172</v>
      </c>
      <c r="U59" s="182">
        <f t="shared" si="18"/>
        <v>6790385</v>
      </c>
      <c r="V59" s="182">
        <f t="shared" si="18"/>
        <v>6072787</v>
      </c>
      <c r="W59" s="182">
        <f t="shared" si="18"/>
        <v>6972841</v>
      </c>
      <c r="X59" s="182">
        <f t="shared" si="18"/>
        <v>7333091</v>
      </c>
      <c r="Y59" s="182">
        <f t="shared" si="18"/>
        <v>7146309</v>
      </c>
      <c r="Z59" s="182">
        <f t="shared" si="18"/>
        <v>6589218</v>
      </c>
      <c r="AA59" s="182">
        <f t="shared" si="18"/>
        <v>6511459</v>
      </c>
      <c r="AB59" s="182">
        <f t="shared" si="18"/>
        <v>6398783</v>
      </c>
      <c r="AC59" s="182">
        <f t="shared" si="18"/>
        <v>6040763</v>
      </c>
      <c r="AD59" s="182">
        <f t="shared" si="18"/>
        <v>7179277</v>
      </c>
      <c r="AE59" s="182">
        <f t="shared" si="18"/>
        <v>7054349</v>
      </c>
      <c r="AF59" s="182">
        <f t="shared" si="18"/>
        <v>6870224</v>
      </c>
      <c r="AG59" s="182">
        <f t="shared" si="18"/>
        <v>7400355</v>
      </c>
      <c r="AH59" s="182">
        <f t="shared" si="18"/>
        <v>8276037</v>
      </c>
      <c r="AI59" s="182">
        <f t="shared" si="18"/>
        <v>6547837</v>
      </c>
      <c r="AJ59" s="182">
        <f t="shared" si="18"/>
        <v>7470836</v>
      </c>
      <c r="AK59" s="182">
        <f t="shared" si="18"/>
        <v>8668846</v>
      </c>
      <c r="AL59" s="182">
        <f t="shared" si="18"/>
        <v>8428717</v>
      </c>
      <c r="AM59" s="182">
        <f t="shared" si="18"/>
        <v>7411721</v>
      </c>
      <c r="AN59" s="182">
        <f t="shared" si="18"/>
        <v>8359226</v>
      </c>
      <c r="AO59" s="182">
        <f t="shared" si="18"/>
        <v>8345470</v>
      </c>
      <c r="AP59" s="182">
        <f t="shared" si="18"/>
        <v>6656287</v>
      </c>
      <c r="AQ59" s="182">
        <f t="shared" si="18"/>
        <v>7388514</v>
      </c>
      <c r="AR59" s="182">
        <f t="shared" si="18"/>
        <v>7132808</v>
      </c>
      <c r="AS59" s="182">
        <f t="shared" si="18"/>
        <v>5394483</v>
      </c>
      <c r="AT59" s="182">
        <f t="shared" si="18"/>
        <v>6456683</v>
      </c>
      <c r="AU59" s="182">
        <f t="shared" si="18"/>
        <v>6938324</v>
      </c>
      <c r="AV59" s="182">
        <f t="shared" si="18"/>
        <v>6112342</v>
      </c>
      <c r="AW59" s="182">
        <f t="shared" si="18"/>
        <v>7483740</v>
      </c>
    </row>
    <row r="60" spans="1:58" ht="14.4">
      <c r="A60" s="181" t="s">
        <v>251</v>
      </c>
      <c r="B60" s="149" t="s">
        <v>100</v>
      </c>
      <c r="C60" s="182">
        <f t="shared" si="18"/>
        <v>9575307</v>
      </c>
      <c r="D60" s="182">
        <f t="shared" si="18"/>
        <v>9444981</v>
      </c>
      <c r="E60" s="182">
        <f t="shared" si="18"/>
        <v>9592968</v>
      </c>
      <c r="F60" s="182">
        <f t="shared" si="18"/>
        <v>13028293</v>
      </c>
      <c r="G60" s="182">
        <f t="shared" si="18"/>
        <v>15134172</v>
      </c>
      <c r="H60" s="182">
        <f t="shared" si="18"/>
        <v>11910082</v>
      </c>
      <c r="I60" s="182">
        <f t="shared" si="18"/>
        <v>10146244</v>
      </c>
      <c r="J60" s="182">
        <f t="shared" si="18"/>
        <v>10021051</v>
      </c>
      <c r="K60" s="182">
        <f t="shared" si="18"/>
        <v>8920850</v>
      </c>
      <c r="L60" s="182">
        <f t="shared" si="18"/>
        <v>6822453</v>
      </c>
      <c r="M60" s="182">
        <f t="shared" si="18"/>
        <v>4496073</v>
      </c>
      <c r="N60" s="182">
        <f t="shared" si="18"/>
        <v>6061464</v>
      </c>
      <c r="O60" s="182">
        <f t="shared" si="18"/>
        <v>6195792</v>
      </c>
      <c r="P60" s="182">
        <f t="shared" si="18"/>
        <v>4028100</v>
      </c>
      <c r="Q60" s="182">
        <f t="shared" si="18"/>
        <v>5375730</v>
      </c>
      <c r="R60" s="182">
        <f t="shared" si="18"/>
        <v>4268786</v>
      </c>
      <c r="S60" s="182">
        <f t="shared" si="18"/>
        <v>5424624</v>
      </c>
      <c r="T60" s="182">
        <f t="shared" si="18"/>
        <v>4691084</v>
      </c>
      <c r="U60" s="182">
        <f t="shared" si="18"/>
        <v>4885964</v>
      </c>
      <c r="V60" s="182">
        <f t="shared" si="18"/>
        <v>5656610</v>
      </c>
      <c r="W60" s="182">
        <f t="shared" si="18"/>
        <v>4694261</v>
      </c>
      <c r="X60" s="182">
        <f t="shared" si="18"/>
        <v>5401499</v>
      </c>
      <c r="Y60" s="182">
        <f t="shared" si="18"/>
        <v>11304914</v>
      </c>
      <c r="Z60" s="182">
        <f t="shared" si="18"/>
        <v>12567468</v>
      </c>
      <c r="AA60" s="182">
        <f t="shared" si="18"/>
        <v>11339312</v>
      </c>
      <c r="AB60" s="182">
        <f t="shared" si="18"/>
        <v>14225315</v>
      </c>
      <c r="AC60" s="182">
        <f t="shared" si="18"/>
        <v>17570959</v>
      </c>
      <c r="AD60" s="182">
        <f t="shared" si="18"/>
        <v>13556836</v>
      </c>
      <c r="AE60" s="182">
        <f t="shared" si="18"/>
        <v>16260478</v>
      </c>
      <c r="AF60" s="182">
        <f t="shared" si="18"/>
        <v>16423526</v>
      </c>
      <c r="AG60" s="182">
        <f t="shared" si="18"/>
        <v>18222884</v>
      </c>
      <c r="AH60" s="182">
        <f t="shared" si="18"/>
        <v>11039632</v>
      </c>
      <c r="AI60" s="182">
        <f t="shared" si="18"/>
        <v>11702561</v>
      </c>
      <c r="AJ60" s="182">
        <f t="shared" si="18"/>
        <v>9217352</v>
      </c>
      <c r="AK60" s="182">
        <f t="shared" si="18"/>
        <v>6236853</v>
      </c>
      <c r="AL60" s="182">
        <f t="shared" si="18"/>
        <v>6037158</v>
      </c>
      <c r="AM60" s="182">
        <f t="shared" si="18"/>
        <v>5844933</v>
      </c>
      <c r="AN60" s="182">
        <f t="shared" si="18"/>
        <v>6665347</v>
      </c>
      <c r="AO60" s="182">
        <f t="shared" si="18"/>
        <v>6479179</v>
      </c>
      <c r="AP60" s="182">
        <f t="shared" si="18"/>
        <v>8580187</v>
      </c>
      <c r="AQ60" s="182">
        <f t="shared" si="18"/>
        <v>10434052</v>
      </c>
      <c r="AR60" s="182">
        <f t="shared" si="18"/>
        <v>9498536</v>
      </c>
      <c r="AS60" s="182">
        <f t="shared" si="18"/>
        <v>2475231</v>
      </c>
      <c r="AT60" s="182">
        <f t="shared" si="18"/>
        <v>3402981</v>
      </c>
      <c r="AU60" s="182">
        <f t="shared" si="18"/>
        <v>2892293</v>
      </c>
      <c r="AV60" s="182">
        <f t="shared" si="18"/>
        <v>7818742</v>
      </c>
      <c r="AW60" s="182">
        <f t="shared" si="18"/>
        <v>12806610</v>
      </c>
    </row>
    <row r="61" spans="1:58" ht="14.4">
      <c r="A61" s="181" t="s">
        <v>251</v>
      </c>
      <c r="B61" s="149" t="s">
        <v>77</v>
      </c>
      <c r="C61" s="182">
        <f t="shared" si="18"/>
        <v>33824439</v>
      </c>
      <c r="D61" s="182">
        <f t="shared" si="18"/>
        <v>48244337</v>
      </c>
      <c r="E61" s="182">
        <f t="shared" si="18"/>
        <v>48597586</v>
      </c>
      <c r="F61" s="182">
        <f t="shared" si="18"/>
        <v>57105765</v>
      </c>
      <c r="G61" s="182">
        <f t="shared" si="18"/>
        <v>56070850</v>
      </c>
      <c r="H61" s="182">
        <f t="shared" si="18"/>
        <v>63155058</v>
      </c>
      <c r="I61" s="182">
        <f t="shared" si="18"/>
        <v>61326910</v>
      </c>
      <c r="J61" s="182">
        <f t="shared" si="18"/>
        <v>62019235</v>
      </c>
      <c r="K61" s="182">
        <f t="shared" si="18"/>
        <v>64445340</v>
      </c>
      <c r="L61" s="182">
        <f t="shared" si="18"/>
        <v>58975868</v>
      </c>
      <c r="M61" s="182">
        <f t="shared" si="18"/>
        <v>60756880</v>
      </c>
      <c r="N61" s="182">
        <f t="shared" si="18"/>
        <v>59982727</v>
      </c>
      <c r="O61" s="182">
        <f t="shared" si="18"/>
        <v>62114930</v>
      </c>
      <c r="P61" s="182">
        <f t="shared" si="18"/>
        <v>61796391</v>
      </c>
      <c r="Q61" s="182">
        <f t="shared" si="18"/>
        <v>49031257</v>
      </c>
      <c r="R61" s="182">
        <f t="shared" si="18"/>
        <v>46292641</v>
      </c>
      <c r="S61" s="182">
        <f t="shared" si="18"/>
        <v>41437657</v>
      </c>
      <c r="T61" s="182">
        <f t="shared" si="18"/>
        <v>50344834</v>
      </c>
      <c r="U61" s="182">
        <f t="shared" si="18"/>
        <v>50786410</v>
      </c>
      <c r="V61" s="182">
        <f t="shared" si="18"/>
        <v>51394132</v>
      </c>
      <c r="W61" s="182">
        <f t="shared" ref="W61:AW61" si="19">W25-W42</f>
        <v>55869104</v>
      </c>
      <c r="X61" s="182">
        <f t="shared" si="19"/>
        <v>59725978</v>
      </c>
      <c r="Y61" s="182">
        <f t="shared" si="19"/>
        <v>62788718</v>
      </c>
      <c r="Z61" s="182">
        <f t="shared" si="19"/>
        <v>66583628</v>
      </c>
      <c r="AA61" s="182">
        <f t="shared" si="19"/>
        <v>57726723</v>
      </c>
      <c r="AB61" s="182">
        <f t="shared" si="19"/>
        <v>61980353</v>
      </c>
      <c r="AC61" s="182">
        <f t="shared" si="19"/>
        <v>60315752</v>
      </c>
      <c r="AD61" s="182">
        <f t="shared" si="19"/>
        <v>57446126</v>
      </c>
      <c r="AE61" s="182">
        <f t="shared" si="19"/>
        <v>61342053</v>
      </c>
      <c r="AF61" s="182">
        <f t="shared" si="19"/>
        <v>90061056</v>
      </c>
      <c r="AG61" s="182">
        <f t="shared" si="19"/>
        <v>118485777</v>
      </c>
      <c r="AH61" s="182">
        <f t="shared" si="19"/>
        <v>93696366</v>
      </c>
      <c r="AI61" s="182">
        <f t="shared" si="19"/>
        <v>82459766</v>
      </c>
      <c r="AJ61" s="182">
        <f t="shared" si="19"/>
        <v>97225445</v>
      </c>
      <c r="AK61" s="182">
        <f t="shared" si="19"/>
        <v>93199664</v>
      </c>
      <c r="AL61" s="182">
        <f t="shared" si="19"/>
        <v>92604525</v>
      </c>
      <c r="AM61" s="182">
        <f t="shared" si="19"/>
        <v>86703753</v>
      </c>
      <c r="AN61" s="182">
        <f t="shared" si="19"/>
        <v>83837811</v>
      </c>
      <c r="AO61" s="182">
        <f t="shared" si="19"/>
        <v>82142114</v>
      </c>
      <c r="AP61" s="182">
        <f t="shared" si="19"/>
        <v>79762149</v>
      </c>
      <c r="AQ61" s="182">
        <f t="shared" si="19"/>
        <v>91107522</v>
      </c>
      <c r="AR61" s="182">
        <f t="shared" si="19"/>
        <v>84541224</v>
      </c>
      <c r="AS61" s="182">
        <f t="shared" si="19"/>
        <v>88110964</v>
      </c>
      <c r="AT61" s="182">
        <f t="shared" si="19"/>
        <v>91694638</v>
      </c>
      <c r="AU61" s="182">
        <f t="shared" si="19"/>
        <v>86924215</v>
      </c>
      <c r="AV61" s="182">
        <f t="shared" si="19"/>
        <v>83700447</v>
      </c>
      <c r="AW61" s="182">
        <f t="shared" si="19"/>
        <v>90538388</v>
      </c>
    </row>
    <row r="62" spans="1:58" ht="14.4">
      <c r="A62" s="181" t="s">
        <v>251</v>
      </c>
      <c r="B62" s="149" t="s">
        <v>96</v>
      </c>
      <c r="C62" s="182">
        <f t="shared" ref="C62:AW67" si="20">C26-C43</f>
        <v>5008546</v>
      </c>
      <c r="D62" s="182">
        <f t="shared" si="20"/>
        <v>7391520</v>
      </c>
      <c r="E62" s="182">
        <f t="shared" si="20"/>
        <v>7297155</v>
      </c>
      <c r="F62" s="182">
        <f t="shared" si="20"/>
        <v>8787532</v>
      </c>
      <c r="G62" s="182">
        <f t="shared" si="20"/>
        <v>7581595</v>
      </c>
      <c r="H62" s="182">
        <f t="shared" si="20"/>
        <v>7699799</v>
      </c>
      <c r="I62" s="182">
        <f t="shared" si="20"/>
        <v>7435207</v>
      </c>
      <c r="J62" s="182">
        <f t="shared" si="20"/>
        <v>5786240</v>
      </c>
      <c r="K62" s="182">
        <f t="shared" si="20"/>
        <v>4360987</v>
      </c>
      <c r="L62" s="182">
        <f t="shared" si="20"/>
        <v>4202977</v>
      </c>
      <c r="M62" s="182">
        <f t="shared" si="20"/>
        <v>4866847</v>
      </c>
      <c r="N62" s="182">
        <f t="shared" si="20"/>
        <v>4194335</v>
      </c>
      <c r="O62" s="182">
        <f t="shared" si="20"/>
        <v>4234856</v>
      </c>
      <c r="P62" s="182">
        <f t="shared" si="20"/>
        <v>4381495</v>
      </c>
      <c r="Q62" s="182">
        <f t="shared" si="20"/>
        <v>2771646</v>
      </c>
      <c r="R62" s="182">
        <f t="shared" si="20"/>
        <v>968702</v>
      </c>
      <c r="S62" s="182">
        <f t="shared" si="20"/>
        <v>1765231</v>
      </c>
      <c r="T62" s="182">
        <f t="shared" si="20"/>
        <v>2850425</v>
      </c>
      <c r="U62" s="182">
        <f t="shared" si="20"/>
        <v>8313503</v>
      </c>
      <c r="V62" s="182">
        <f t="shared" si="20"/>
        <v>11306347</v>
      </c>
      <c r="W62" s="182">
        <f t="shared" si="20"/>
        <v>10126633</v>
      </c>
      <c r="X62" s="182">
        <f t="shared" si="20"/>
        <v>13004938</v>
      </c>
      <c r="Y62" s="182">
        <f t="shared" si="20"/>
        <v>11827476</v>
      </c>
      <c r="Z62" s="182">
        <f t="shared" si="20"/>
        <v>12121841</v>
      </c>
      <c r="AA62" s="182">
        <f t="shared" si="20"/>
        <v>14440260</v>
      </c>
      <c r="AB62" s="182">
        <f t="shared" si="20"/>
        <v>8700000</v>
      </c>
      <c r="AC62" s="182">
        <f t="shared" si="20"/>
        <v>5982338</v>
      </c>
      <c r="AD62" s="182">
        <f t="shared" si="20"/>
        <v>8175347</v>
      </c>
      <c r="AE62" s="182">
        <f t="shared" si="20"/>
        <v>11076492</v>
      </c>
      <c r="AF62" s="182">
        <f t="shared" si="20"/>
        <v>11709200</v>
      </c>
      <c r="AG62" s="182">
        <f t="shared" si="20"/>
        <v>18676769</v>
      </c>
      <c r="AH62" s="182">
        <f t="shared" si="20"/>
        <v>19528356</v>
      </c>
      <c r="AI62" s="182">
        <f t="shared" si="20"/>
        <v>18447916</v>
      </c>
      <c r="AJ62" s="182">
        <f t="shared" si="20"/>
        <v>26496112</v>
      </c>
      <c r="AK62" s="182">
        <f t="shared" si="20"/>
        <v>25036556</v>
      </c>
      <c r="AL62" s="182">
        <f t="shared" si="20"/>
        <v>26352301</v>
      </c>
      <c r="AM62" s="182">
        <f t="shared" si="20"/>
        <v>25340447</v>
      </c>
      <c r="AN62" s="182">
        <f t="shared" si="20"/>
        <v>28152548</v>
      </c>
      <c r="AO62" s="182">
        <f t="shared" si="20"/>
        <v>26660150</v>
      </c>
      <c r="AP62" s="182">
        <f t="shared" si="20"/>
        <v>28135844</v>
      </c>
      <c r="AQ62" s="182">
        <f t="shared" si="20"/>
        <v>25289900</v>
      </c>
      <c r="AR62" s="182">
        <f t="shared" si="20"/>
        <v>22936754</v>
      </c>
      <c r="AS62" s="182">
        <f t="shared" si="20"/>
        <v>25976450</v>
      </c>
      <c r="AT62" s="182">
        <f t="shared" si="20"/>
        <v>17426682</v>
      </c>
      <c r="AU62" s="182">
        <f t="shared" si="20"/>
        <v>33097544</v>
      </c>
      <c r="AV62" s="182">
        <f t="shared" si="20"/>
        <v>38224247</v>
      </c>
      <c r="AW62" s="182">
        <f t="shared" si="20"/>
        <v>34460788</v>
      </c>
    </row>
    <row r="63" spans="1:58" ht="14.4">
      <c r="A63" s="181" t="s">
        <v>251</v>
      </c>
      <c r="B63" s="149" t="s">
        <v>51</v>
      </c>
      <c r="C63" s="182">
        <f t="shared" si="20"/>
        <v>46466222</v>
      </c>
      <c r="D63" s="182">
        <f t="shared" si="20"/>
        <v>70621229</v>
      </c>
      <c r="E63" s="182">
        <f t="shared" si="20"/>
        <v>77911149</v>
      </c>
      <c r="F63" s="182">
        <f t="shared" si="20"/>
        <v>100288406</v>
      </c>
      <c r="G63" s="182">
        <f t="shared" si="20"/>
        <v>111496174</v>
      </c>
      <c r="H63" s="182">
        <f t="shared" si="20"/>
        <v>135560544</v>
      </c>
      <c r="I63" s="182">
        <f t="shared" si="20"/>
        <v>133272802</v>
      </c>
      <c r="J63" s="182">
        <f t="shared" si="20"/>
        <v>137927514</v>
      </c>
      <c r="K63" s="182">
        <f t="shared" si="20"/>
        <v>138479538</v>
      </c>
      <c r="L63" s="182">
        <f t="shared" si="20"/>
        <v>129432995</v>
      </c>
      <c r="M63" s="182">
        <f t="shared" si="20"/>
        <v>137246267</v>
      </c>
      <c r="N63" s="182">
        <f t="shared" si="20"/>
        <v>134979024</v>
      </c>
      <c r="O63" s="182">
        <f t="shared" si="20"/>
        <v>137455954</v>
      </c>
      <c r="P63" s="182">
        <f t="shared" si="20"/>
        <v>153685686</v>
      </c>
      <c r="Q63" s="182">
        <f t="shared" si="20"/>
        <v>118872790</v>
      </c>
      <c r="R63" s="182">
        <f t="shared" si="20"/>
        <v>114475679</v>
      </c>
      <c r="S63" s="182">
        <f t="shared" si="20"/>
        <v>109573484</v>
      </c>
      <c r="T63" s="182">
        <f t="shared" si="20"/>
        <v>130032331</v>
      </c>
      <c r="U63" s="182">
        <f t="shared" si="20"/>
        <v>140327200</v>
      </c>
      <c r="V63" s="182">
        <f t="shared" si="20"/>
        <v>128766978</v>
      </c>
      <c r="W63" s="182">
        <f t="shared" si="20"/>
        <v>146603382</v>
      </c>
      <c r="X63" s="182">
        <f t="shared" si="20"/>
        <v>133552850</v>
      </c>
      <c r="Y63" s="182">
        <f t="shared" si="20"/>
        <v>132655982</v>
      </c>
      <c r="Z63" s="182">
        <f t="shared" si="20"/>
        <v>137924190</v>
      </c>
      <c r="AA63" s="182">
        <f t="shared" si="20"/>
        <v>139704266</v>
      </c>
      <c r="AB63" s="182">
        <f t="shared" si="20"/>
        <v>155591593</v>
      </c>
      <c r="AC63" s="182">
        <f t="shared" si="20"/>
        <v>166957192</v>
      </c>
      <c r="AD63" s="182">
        <f t="shared" si="20"/>
        <v>172687242</v>
      </c>
      <c r="AE63" s="182">
        <f t="shared" si="20"/>
        <v>172569812</v>
      </c>
      <c r="AF63" s="182">
        <f t="shared" si="20"/>
        <v>176938275</v>
      </c>
      <c r="AG63" s="182">
        <f t="shared" si="20"/>
        <v>195033502</v>
      </c>
      <c r="AH63" s="182">
        <f t="shared" si="20"/>
        <v>164120576</v>
      </c>
      <c r="AI63" s="182">
        <f t="shared" si="20"/>
        <v>139695280</v>
      </c>
      <c r="AJ63" s="182">
        <f t="shared" si="20"/>
        <v>120890696</v>
      </c>
      <c r="AK63" s="182">
        <f t="shared" si="20"/>
        <v>128708644</v>
      </c>
      <c r="AL63" s="182">
        <f t="shared" si="20"/>
        <v>131565654</v>
      </c>
      <c r="AM63" s="182">
        <f t="shared" si="20"/>
        <v>125381005</v>
      </c>
      <c r="AN63" s="182">
        <f t="shared" si="20"/>
        <v>136976159</v>
      </c>
      <c r="AO63" s="182">
        <f t="shared" si="20"/>
        <v>133347374</v>
      </c>
      <c r="AP63" s="182">
        <f t="shared" si="20"/>
        <v>124483862</v>
      </c>
      <c r="AQ63" s="182">
        <f t="shared" si="20"/>
        <v>129065744</v>
      </c>
      <c r="AR63" s="182">
        <f t="shared" si="20"/>
        <v>137619831</v>
      </c>
      <c r="AS63" s="182">
        <f t="shared" si="20"/>
        <v>116353742</v>
      </c>
      <c r="AT63" s="182">
        <f t="shared" si="20"/>
        <v>133120644</v>
      </c>
      <c r="AU63" s="182">
        <f t="shared" si="20"/>
        <v>117122298</v>
      </c>
      <c r="AV63" s="182">
        <f t="shared" si="20"/>
        <v>122001490</v>
      </c>
      <c r="AW63" s="182">
        <f t="shared" si="20"/>
        <v>145612856</v>
      </c>
    </row>
    <row r="64" spans="1:58" ht="14.4">
      <c r="A64" s="181" t="s">
        <v>251</v>
      </c>
      <c r="B64" s="149" t="s">
        <v>230</v>
      </c>
      <c r="C64" s="182">
        <f t="shared" si="20"/>
        <v>80337564</v>
      </c>
      <c r="D64" s="182">
        <f t="shared" si="20"/>
        <v>108952923</v>
      </c>
      <c r="E64" s="182">
        <f t="shared" si="20"/>
        <v>119452562</v>
      </c>
      <c r="F64" s="182">
        <f t="shared" si="20"/>
        <v>159299237</v>
      </c>
      <c r="G64" s="182">
        <f t="shared" si="20"/>
        <v>192970805</v>
      </c>
      <c r="H64" s="182">
        <f t="shared" si="20"/>
        <v>187031593</v>
      </c>
      <c r="I64" s="182">
        <f t="shared" si="20"/>
        <v>165126497</v>
      </c>
      <c r="J64" s="182">
        <f t="shared" si="20"/>
        <v>150790324</v>
      </c>
      <c r="K64" s="182">
        <f t="shared" si="20"/>
        <v>133591800</v>
      </c>
      <c r="L64" s="182">
        <f t="shared" si="20"/>
        <v>98103879</v>
      </c>
      <c r="M64" s="182">
        <f t="shared" si="20"/>
        <v>97093437</v>
      </c>
      <c r="N64" s="182">
        <f t="shared" si="20"/>
        <v>82504852</v>
      </c>
      <c r="O64" s="182">
        <f t="shared" si="20"/>
        <v>88431192</v>
      </c>
      <c r="P64" s="182">
        <f t="shared" si="20"/>
        <v>102806912</v>
      </c>
      <c r="Q64" s="182">
        <f t="shared" si="20"/>
        <v>80112643</v>
      </c>
      <c r="R64" s="182">
        <f t="shared" si="20"/>
        <v>66826132</v>
      </c>
      <c r="S64" s="182">
        <f t="shared" si="20"/>
        <v>68385634</v>
      </c>
      <c r="T64" s="182">
        <f t="shared" si="20"/>
        <v>81097978</v>
      </c>
      <c r="U64" s="182">
        <f t="shared" si="20"/>
        <v>85912155</v>
      </c>
      <c r="V64" s="182">
        <f t="shared" si="20"/>
        <v>76045390</v>
      </c>
      <c r="W64" s="182">
        <f t="shared" si="20"/>
        <v>85383363</v>
      </c>
      <c r="X64" s="182">
        <f t="shared" si="20"/>
        <v>88541878</v>
      </c>
      <c r="Y64" s="182">
        <f t="shared" si="20"/>
        <v>97109399</v>
      </c>
      <c r="Z64" s="182">
        <f t="shared" si="20"/>
        <v>99213126</v>
      </c>
      <c r="AA64" s="182">
        <f t="shared" si="20"/>
        <v>86778934</v>
      </c>
      <c r="AB64" s="182">
        <f t="shared" si="20"/>
        <v>81616267</v>
      </c>
      <c r="AC64" s="182">
        <f t="shared" si="20"/>
        <v>82738893</v>
      </c>
      <c r="AD64" s="182">
        <f t="shared" si="20"/>
        <v>91002212</v>
      </c>
      <c r="AE64" s="182">
        <f t="shared" si="20"/>
        <v>89412157</v>
      </c>
      <c r="AF64" s="182">
        <f t="shared" si="20"/>
        <v>84054382</v>
      </c>
      <c r="AG64" s="182">
        <f t="shared" si="20"/>
        <v>77712675</v>
      </c>
      <c r="AH64" s="182">
        <f t="shared" si="20"/>
        <v>55512232</v>
      </c>
      <c r="AI64" s="182">
        <f t="shared" si="20"/>
        <v>61817810</v>
      </c>
      <c r="AJ64" s="182">
        <f t="shared" si="20"/>
        <v>59258270</v>
      </c>
      <c r="AK64" s="182">
        <f t="shared" si="20"/>
        <v>68899229</v>
      </c>
      <c r="AL64" s="182">
        <f t="shared" si="20"/>
        <v>65688327</v>
      </c>
      <c r="AM64" s="182">
        <f t="shared" si="20"/>
        <v>65739627</v>
      </c>
      <c r="AN64" s="182">
        <f t="shared" si="20"/>
        <v>67542414</v>
      </c>
      <c r="AO64" s="182">
        <f t="shared" si="20"/>
        <v>65213047</v>
      </c>
      <c r="AP64" s="182">
        <f t="shared" si="20"/>
        <v>63024451</v>
      </c>
      <c r="AQ64" s="182">
        <f t="shared" si="20"/>
        <v>62021047</v>
      </c>
      <c r="AR64" s="182">
        <f t="shared" si="20"/>
        <v>56594800</v>
      </c>
      <c r="AS64" s="182">
        <f t="shared" si="20"/>
        <v>75740137</v>
      </c>
      <c r="AT64" s="182">
        <f t="shared" si="20"/>
        <v>63542901</v>
      </c>
      <c r="AU64" s="182">
        <f t="shared" si="20"/>
        <v>55176644</v>
      </c>
      <c r="AV64" s="182">
        <f t="shared" si="20"/>
        <v>47612577</v>
      </c>
      <c r="AW64" s="182">
        <f t="shared" si="20"/>
        <v>49889474</v>
      </c>
    </row>
    <row r="65" spans="1:49" ht="14.4">
      <c r="A65" s="141" t="s">
        <v>251</v>
      </c>
      <c r="B65" s="142" t="s">
        <v>231</v>
      </c>
      <c r="C65" s="143">
        <f t="shared" si="20"/>
        <v>0</v>
      </c>
      <c r="D65" s="143">
        <f t="shared" si="20"/>
        <v>0</v>
      </c>
      <c r="E65" s="143">
        <f t="shared" si="20"/>
        <v>0</v>
      </c>
      <c r="F65" s="143">
        <f t="shared" si="20"/>
        <v>0</v>
      </c>
      <c r="G65" s="143">
        <f t="shared" si="20"/>
        <v>0</v>
      </c>
      <c r="H65" s="143">
        <f t="shared" si="20"/>
        <v>0</v>
      </c>
      <c r="I65" s="143">
        <f t="shared" si="20"/>
        <v>0</v>
      </c>
      <c r="J65" s="143">
        <f t="shared" si="20"/>
        <v>0</v>
      </c>
      <c r="K65" s="143">
        <f t="shared" si="20"/>
        <v>0</v>
      </c>
      <c r="L65" s="143">
        <f t="shared" si="20"/>
        <v>0</v>
      </c>
      <c r="M65" s="143">
        <f t="shared" si="20"/>
        <v>0</v>
      </c>
      <c r="N65" s="143">
        <f t="shared" si="20"/>
        <v>0</v>
      </c>
      <c r="O65" s="143">
        <f t="shared" si="20"/>
        <v>0</v>
      </c>
      <c r="P65" s="143">
        <f t="shared" si="20"/>
        <v>0</v>
      </c>
      <c r="Q65" s="143">
        <f t="shared" si="20"/>
        <v>0</v>
      </c>
      <c r="R65" s="143">
        <f t="shared" si="20"/>
        <v>0</v>
      </c>
      <c r="S65" s="143">
        <f t="shared" si="20"/>
        <v>0</v>
      </c>
      <c r="T65" s="143">
        <f t="shared" si="20"/>
        <v>0</v>
      </c>
      <c r="U65" s="143">
        <f t="shared" si="20"/>
        <v>0</v>
      </c>
      <c r="V65" s="143">
        <f t="shared" si="20"/>
        <v>0</v>
      </c>
      <c r="W65" s="143">
        <f t="shared" si="20"/>
        <v>0</v>
      </c>
      <c r="X65" s="143">
        <f t="shared" si="20"/>
        <v>0</v>
      </c>
      <c r="Y65" s="143">
        <f t="shared" si="20"/>
        <v>0</v>
      </c>
      <c r="Z65" s="143">
        <f t="shared" si="20"/>
        <v>0</v>
      </c>
      <c r="AA65" s="143">
        <f t="shared" si="20"/>
        <v>0</v>
      </c>
      <c r="AB65" s="143">
        <f t="shared" si="20"/>
        <v>0</v>
      </c>
      <c r="AC65" s="143">
        <f t="shared" si="20"/>
        <v>0</v>
      </c>
      <c r="AD65" s="143">
        <f t="shared" si="20"/>
        <v>0</v>
      </c>
      <c r="AE65" s="143">
        <f t="shared" si="20"/>
        <v>0</v>
      </c>
      <c r="AF65" s="143">
        <f t="shared" si="20"/>
        <v>0</v>
      </c>
      <c r="AG65" s="143">
        <f t="shared" si="20"/>
        <v>0</v>
      </c>
      <c r="AH65" s="143">
        <f t="shared" si="20"/>
        <v>0</v>
      </c>
      <c r="AI65" s="143">
        <f t="shared" si="20"/>
        <v>0</v>
      </c>
      <c r="AJ65" s="143">
        <f t="shared" si="20"/>
        <v>0</v>
      </c>
      <c r="AK65" s="143">
        <f t="shared" si="20"/>
        <v>0</v>
      </c>
      <c r="AL65" s="143">
        <f t="shared" si="20"/>
        <v>0</v>
      </c>
      <c r="AM65" s="143">
        <f t="shared" si="20"/>
        <v>0</v>
      </c>
      <c r="AN65" s="143">
        <f t="shared" si="20"/>
        <v>0</v>
      </c>
      <c r="AO65" s="143">
        <f t="shared" si="20"/>
        <v>0</v>
      </c>
      <c r="AP65" s="143">
        <f t="shared" si="20"/>
        <v>0</v>
      </c>
      <c r="AQ65" s="143">
        <f t="shared" si="20"/>
        <v>0</v>
      </c>
      <c r="AR65" s="143">
        <f t="shared" si="20"/>
        <v>0</v>
      </c>
      <c r="AS65" s="143">
        <f t="shared" si="20"/>
        <v>0</v>
      </c>
      <c r="AT65" s="143">
        <f t="shared" si="20"/>
        <v>0</v>
      </c>
      <c r="AU65" s="143">
        <f t="shared" si="20"/>
        <v>0</v>
      </c>
      <c r="AV65" s="143">
        <f t="shared" si="20"/>
        <v>0</v>
      </c>
      <c r="AW65" s="143">
        <f t="shared" si="20"/>
        <v>0</v>
      </c>
    </row>
    <row r="66" spans="1:49" ht="14.4">
      <c r="A66" s="141" t="s">
        <v>251</v>
      </c>
      <c r="B66" s="142" t="s">
        <v>232</v>
      </c>
      <c r="C66" s="143">
        <f t="shared" si="20"/>
        <v>0</v>
      </c>
      <c r="D66" s="143">
        <f t="shared" si="20"/>
        <v>0</v>
      </c>
      <c r="E66" s="143">
        <f t="shared" si="20"/>
        <v>0</v>
      </c>
      <c r="F66" s="143">
        <f t="shared" si="20"/>
        <v>0</v>
      </c>
      <c r="G66" s="143">
        <f t="shared" si="20"/>
        <v>0</v>
      </c>
      <c r="H66" s="143">
        <f t="shared" si="20"/>
        <v>0</v>
      </c>
      <c r="I66" s="143">
        <f t="shared" si="20"/>
        <v>0</v>
      </c>
      <c r="J66" s="143">
        <f t="shared" si="20"/>
        <v>0</v>
      </c>
      <c r="K66" s="143">
        <f t="shared" si="20"/>
        <v>0</v>
      </c>
      <c r="L66" s="143">
        <f t="shared" si="20"/>
        <v>0</v>
      </c>
      <c r="M66" s="143">
        <f t="shared" si="20"/>
        <v>0</v>
      </c>
      <c r="N66" s="143">
        <f t="shared" si="20"/>
        <v>0</v>
      </c>
      <c r="O66" s="143">
        <f t="shared" si="20"/>
        <v>0</v>
      </c>
      <c r="P66" s="143">
        <f t="shared" si="20"/>
        <v>0</v>
      </c>
      <c r="Q66" s="143">
        <f t="shared" si="20"/>
        <v>0</v>
      </c>
      <c r="R66" s="143">
        <f t="shared" si="20"/>
        <v>0</v>
      </c>
      <c r="S66" s="143">
        <f t="shared" si="20"/>
        <v>0</v>
      </c>
      <c r="T66" s="143">
        <f t="shared" si="20"/>
        <v>0</v>
      </c>
      <c r="U66" s="143">
        <f t="shared" si="20"/>
        <v>0</v>
      </c>
      <c r="V66" s="143">
        <f t="shared" si="20"/>
        <v>0</v>
      </c>
      <c r="W66" s="143">
        <f t="shared" si="20"/>
        <v>0</v>
      </c>
      <c r="X66" s="143">
        <f t="shared" si="20"/>
        <v>0</v>
      </c>
      <c r="Y66" s="143">
        <f t="shared" si="20"/>
        <v>0</v>
      </c>
      <c r="Z66" s="143">
        <f t="shared" si="20"/>
        <v>0</v>
      </c>
      <c r="AA66" s="143">
        <f t="shared" si="20"/>
        <v>0</v>
      </c>
      <c r="AB66" s="143">
        <f t="shared" si="20"/>
        <v>0</v>
      </c>
      <c r="AC66" s="143">
        <f t="shared" si="20"/>
        <v>0</v>
      </c>
      <c r="AD66" s="143">
        <f t="shared" si="20"/>
        <v>0</v>
      </c>
      <c r="AE66" s="143">
        <f t="shared" si="20"/>
        <v>0</v>
      </c>
      <c r="AF66" s="143">
        <f t="shared" si="20"/>
        <v>0</v>
      </c>
      <c r="AG66" s="143">
        <f t="shared" si="20"/>
        <v>0</v>
      </c>
      <c r="AH66" s="143">
        <f t="shared" si="20"/>
        <v>0</v>
      </c>
      <c r="AI66" s="143">
        <f t="shared" si="20"/>
        <v>0</v>
      </c>
      <c r="AJ66" s="143">
        <f t="shared" si="20"/>
        <v>0</v>
      </c>
      <c r="AK66" s="143">
        <f t="shared" si="20"/>
        <v>0</v>
      </c>
      <c r="AL66" s="143">
        <f t="shared" si="20"/>
        <v>940000</v>
      </c>
      <c r="AM66" s="143">
        <f t="shared" si="20"/>
        <v>1504000</v>
      </c>
      <c r="AN66" s="143">
        <f t="shared" si="20"/>
        <v>1692000</v>
      </c>
      <c r="AO66" s="143">
        <f t="shared" si="20"/>
        <v>2444000</v>
      </c>
      <c r="AP66" s="143">
        <f t="shared" si="20"/>
        <v>2632000</v>
      </c>
      <c r="AQ66" s="143">
        <f t="shared" si="20"/>
        <v>2631997</v>
      </c>
      <c r="AR66" s="143">
        <f t="shared" si="20"/>
        <v>2636768</v>
      </c>
      <c r="AS66" s="143">
        <f t="shared" si="20"/>
        <v>3712644</v>
      </c>
      <c r="AT66" s="143">
        <f t="shared" si="20"/>
        <v>3267614</v>
      </c>
      <c r="AU66" s="143">
        <f t="shared" si="20"/>
        <v>2875101</v>
      </c>
      <c r="AV66" s="143">
        <f t="shared" si="20"/>
        <v>3194792</v>
      </c>
      <c r="AW66" s="143">
        <f t="shared" si="20"/>
        <v>3830385</v>
      </c>
    </row>
    <row r="67" spans="1:49" ht="14.4">
      <c r="A67" s="141" t="s">
        <v>251</v>
      </c>
      <c r="B67" s="142" t="s">
        <v>70</v>
      </c>
      <c r="C67" s="143">
        <f t="shared" si="20"/>
        <v>0</v>
      </c>
      <c r="D67" s="143">
        <f t="shared" si="20"/>
        <v>0</v>
      </c>
      <c r="E67" s="143">
        <f t="shared" si="20"/>
        <v>0</v>
      </c>
      <c r="F67" s="143">
        <f t="shared" si="20"/>
        <v>0</v>
      </c>
      <c r="G67" s="143">
        <f t="shared" si="20"/>
        <v>0</v>
      </c>
      <c r="H67" s="143">
        <f t="shared" si="20"/>
        <v>0</v>
      </c>
      <c r="I67" s="143">
        <f t="shared" si="20"/>
        <v>0</v>
      </c>
      <c r="J67" s="143">
        <f t="shared" si="20"/>
        <v>0</v>
      </c>
      <c r="K67" s="143">
        <f t="shared" si="20"/>
        <v>0</v>
      </c>
      <c r="L67" s="143">
        <f t="shared" si="20"/>
        <v>0</v>
      </c>
      <c r="M67" s="143">
        <f t="shared" si="20"/>
        <v>0</v>
      </c>
      <c r="N67" s="143">
        <f t="shared" si="20"/>
        <v>0</v>
      </c>
      <c r="O67" s="143">
        <f t="shared" si="20"/>
        <v>0</v>
      </c>
      <c r="P67" s="143">
        <f t="shared" si="20"/>
        <v>0</v>
      </c>
      <c r="Q67" s="143">
        <f t="shared" si="20"/>
        <v>0</v>
      </c>
      <c r="R67" s="143">
        <f t="shared" si="20"/>
        <v>0</v>
      </c>
      <c r="S67" s="143">
        <f t="shared" si="20"/>
        <v>0</v>
      </c>
      <c r="T67" s="143">
        <f t="shared" si="20"/>
        <v>0</v>
      </c>
      <c r="U67" s="143">
        <f t="shared" si="20"/>
        <v>0</v>
      </c>
      <c r="V67" s="143">
        <f t="shared" si="20"/>
        <v>0</v>
      </c>
      <c r="W67" s="143">
        <f t="shared" ref="W67:AW67" si="21">W31-W48</f>
        <v>0</v>
      </c>
      <c r="X67" s="143">
        <f t="shared" si="21"/>
        <v>0</v>
      </c>
      <c r="Y67" s="143">
        <f t="shared" si="21"/>
        <v>0</v>
      </c>
      <c r="Z67" s="143">
        <f t="shared" si="21"/>
        <v>0</v>
      </c>
      <c r="AA67" s="143">
        <f t="shared" si="21"/>
        <v>0</v>
      </c>
      <c r="AB67" s="143">
        <f t="shared" si="21"/>
        <v>0</v>
      </c>
      <c r="AC67" s="143">
        <f t="shared" si="21"/>
        <v>0</v>
      </c>
      <c r="AD67" s="143">
        <f t="shared" si="21"/>
        <v>0</v>
      </c>
      <c r="AE67" s="143">
        <f t="shared" si="21"/>
        <v>-2824</v>
      </c>
      <c r="AF67" s="143">
        <f t="shared" si="21"/>
        <v>-2848</v>
      </c>
      <c r="AG67" s="143">
        <f t="shared" si="21"/>
        <v>-1199</v>
      </c>
      <c r="AH67" s="143">
        <f t="shared" si="21"/>
        <v>-8721</v>
      </c>
      <c r="AI67" s="143">
        <f t="shared" si="21"/>
        <v>-7725</v>
      </c>
      <c r="AJ67" s="143">
        <f t="shared" si="21"/>
        <v>-4955</v>
      </c>
      <c r="AK67" s="143">
        <f t="shared" si="21"/>
        <v>-5460</v>
      </c>
      <c r="AL67" s="143">
        <f t="shared" si="21"/>
        <v>-9186</v>
      </c>
      <c r="AM67" s="143">
        <f t="shared" si="21"/>
        <v>-8423</v>
      </c>
      <c r="AN67" s="143">
        <f t="shared" si="21"/>
        <v>-47522</v>
      </c>
      <c r="AO67" s="143">
        <f t="shared" si="21"/>
        <v>-45835</v>
      </c>
      <c r="AP67" s="143">
        <f t="shared" si="21"/>
        <v>-23236</v>
      </c>
      <c r="AQ67" s="143">
        <f t="shared" si="21"/>
        <v>-23237</v>
      </c>
      <c r="AR67" s="143">
        <f t="shared" si="21"/>
        <v>0</v>
      </c>
      <c r="AS67" s="143">
        <f t="shared" si="21"/>
        <v>0</v>
      </c>
      <c r="AT67" s="143">
        <f t="shared" si="21"/>
        <v>0</v>
      </c>
      <c r="AU67" s="143">
        <f t="shared" si="21"/>
        <v>0</v>
      </c>
      <c r="AV67" s="143">
        <f t="shared" si="21"/>
        <v>0</v>
      </c>
      <c r="AW67" s="143">
        <f t="shared" si="21"/>
        <v>0</v>
      </c>
    </row>
    <row r="68" spans="1:49" ht="14.4">
      <c r="A68" s="141" t="s">
        <v>251</v>
      </c>
      <c r="B68" s="142" t="s">
        <v>233</v>
      </c>
      <c r="C68" s="183">
        <f t="shared" ref="C68:AW69" si="22">C32-C49</f>
        <v>-397650</v>
      </c>
      <c r="D68" s="143">
        <f t="shared" si="22"/>
        <v>-432699</v>
      </c>
      <c r="E68" s="143">
        <f t="shared" si="22"/>
        <v>-476143</v>
      </c>
      <c r="F68" s="143">
        <f t="shared" si="22"/>
        <v>-530132</v>
      </c>
      <c r="G68" s="143">
        <f t="shared" si="22"/>
        <v>-593411</v>
      </c>
      <c r="H68" s="143">
        <f t="shared" si="22"/>
        <v>-643437</v>
      </c>
      <c r="I68" s="143">
        <f t="shared" si="22"/>
        <v>-685084</v>
      </c>
      <c r="J68" s="143">
        <f t="shared" si="22"/>
        <v>-736411</v>
      </c>
      <c r="K68" s="143">
        <f t="shared" si="22"/>
        <v>-731086</v>
      </c>
      <c r="L68" s="143">
        <f t="shared" si="22"/>
        <v>-686570</v>
      </c>
      <c r="M68" s="143">
        <f t="shared" si="22"/>
        <v>-613406</v>
      </c>
      <c r="N68" s="143">
        <f t="shared" si="22"/>
        <v>-594418</v>
      </c>
      <c r="O68" s="143">
        <f t="shared" si="22"/>
        <v>-639873</v>
      </c>
      <c r="P68" s="143">
        <f t="shared" si="22"/>
        <v>-625981</v>
      </c>
      <c r="Q68" s="143">
        <f t="shared" si="22"/>
        <v>-647706</v>
      </c>
      <c r="R68" s="143">
        <f t="shared" si="22"/>
        <v>-763354</v>
      </c>
      <c r="S68" s="143">
        <f t="shared" si="22"/>
        <v>-759288</v>
      </c>
      <c r="T68" s="143">
        <f t="shared" si="22"/>
        <v>-783722</v>
      </c>
      <c r="U68" s="143">
        <f t="shared" si="22"/>
        <v>-785727</v>
      </c>
      <c r="V68" s="143">
        <f t="shared" si="22"/>
        <v>-767902</v>
      </c>
      <c r="W68" s="143">
        <f t="shared" si="22"/>
        <v>-911578</v>
      </c>
      <c r="X68" s="143">
        <f t="shared" si="22"/>
        <v>-909734</v>
      </c>
      <c r="Y68" s="143">
        <f t="shared" si="22"/>
        <v>-857186</v>
      </c>
      <c r="Z68" s="143">
        <f t="shared" si="22"/>
        <v>-844713</v>
      </c>
      <c r="AA68" s="143">
        <f t="shared" si="22"/>
        <v>-891592</v>
      </c>
      <c r="AB68" s="143">
        <f t="shared" si="22"/>
        <v>-1096782</v>
      </c>
      <c r="AC68" s="143">
        <f t="shared" si="22"/>
        <v>-1163069</v>
      </c>
      <c r="AD68" s="143">
        <f t="shared" si="22"/>
        <v>-1103643</v>
      </c>
      <c r="AE68" s="143">
        <f t="shared" si="22"/>
        <v>-1200480</v>
      </c>
      <c r="AF68" s="143">
        <f t="shared" si="22"/>
        <v>-1178367</v>
      </c>
      <c r="AG68" s="143">
        <f t="shared" si="22"/>
        <v>-1231778</v>
      </c>
      <c r="AH68" s="143">
        <f t="shared" si="22"/>
        <v>-1027529</v>
      </c>
      <c r="AI68" s="143">
        <f t="shared" si="22"/>
        <v>-905799</v>
      </c>
      <c r="AJ68" s="143">
        <f t="shared" si="22"/>
        <v>-977882</v>
      </c>
      <c r="AK68" s="143">
        <f t="shared" si="22"/>
        <v>-756137</v>
      </c>
      <c r="AL68" s="143">
        <f t="shared" si="22"/>
        <v>-555652</v>
      </c>
      <c r="AM68" s="143">
        <f t="shared" si="22"/>
        <v>-565485</v>
      </c>
      <c r="AN68" s="143">
        <f t="shared" si="22"/>
        <v>-904276</v>
      </c>
      <c r="AO68" s="143">
        <f t="shared" si="22"/>
        <v>-922446</v>
      </c>
      <c r="AP68" s="143">
        <f t="shared" si="22"/>
        <v>-644273</v>
      </c>
      <c r="AQ68" s="143">
        <f t="shared" si="22"/>
        <v>-781406</v>
      </c>
      <c r="AR68" s="143">
        <f t="shared" si="22"/>
        <v>-1101084</v>
      </c>
      <c r="AS68" s="143">
        <f t="shared" si="22"/>
        <v>-1285842</v>
      </c>
      <c r="AT68" s="143">
        <f t="shared" si="22"/>
        <v>-1153932</v>
      </c>
      <c r="AU68" s="143">
        <f t="shared" si="22"/>
        <v>-1169936</v>
      </c>
      <c r="AV68" s="143">
        <f t="shared" si="22"/>
        <v>-1056349</v>
      </c>
      <c r="AW68" s="143">
        <f t="shared" si="22"/>
        <v>-1074112</v>
      </c>
    </row>
    <row r="69" spans="1:49" ht="15" thickBot="1">
      <c r="A69" s="161" t="s">
        <v>251</v>
      </c>
      <c r="B69" s="162" t="s">
        <v>234</v>
      </c>
      <c r="C69" s="184">
        <f t="shared" si="22"/>
        <v>-2278</v>
      </c>
      <c r="D69" s="185">
        <f t="shared" si="22"/>
        <v>-2479</v>
      </c>
      <c r="E69" s="185">
        <f t="shared" si="22"/>
        <v>-3063</v>
      </c>
      <c r="F69" s="185">
        <f t="shared" si="22"/>
        <v>-4198</v>
      </c>
      <c r="G69" s="185">
        <f t="shared" si="22"/>
        <v>-4495</v>
      </c>
      <c r="H69" s="185">
        <f t="shared" si="22"/>
        <v>-4899</v>
      </c>
      <c r="I69" s="185">
        <f t="shared" si="22"/>
        <v>-5362</v>
      </c>
      <c r="J69" s="185">
        <f t="shared" si="22"/>
        <v>-5639</v>
      </c>
      <c r="K69" s="185">
        <f t="shared" si="22"/>
        <v>-5838</v>
      </c>
      <c r="L69" s="185">
        <f t="shared" si="22"/>
        <v>-5961</v>
      </c>
      <c r="M69" s="185">
        <f t="shared" si="22"/>
        <v>-5173</v>
      </c>
      <c r="N69" s="185">
        <f t="shared" si="22"/>
        <v>-5701</v>
      </c>
      <c r="O69" s="185">
        <f t="shared" si="22"/>
        <v>-5536</v>
      </c>
      <c r="P69" s="185">
        <f t="shared" si="22"/>
        <v>-5388</v>
      </c>
      <c r="Q69" s="185">
        <f t="shared" si="22"/>
        <v>0</v>
      </c>
      <c r="R69" s="185">
        <f t="shared" si="22"/>
        <v>0</v>
      </c>
      <c r="S69" s="185">
        <f t="shared" si="22"/>
        <v>-294559</v>
      </c>
      <c r="T69" s="185">
        <f t="shared" si="22"/>
        <v>-446939</v>
      </c>
      <c r="U69" s="185">
        <f t="shared" si="22"/>
        <v>-459885</v>
      </c>
      <c r="V69" s="185">
        <f t="shared" si="22"/>
        <v>-439145</v>
      </c>
      <c r="W69" s="185">
        <f t="shared" si="22"/>
        <v>-335697</v>
      </c>
      <c r="X69" s="185">
        <f t="shared" si="22"/>
        <v>-362024</v>
      </c>
      <c r="Y69" s="185">
        <f t="shared" si="22"/>
        <v>-405850</v>
      </c>
      <c r="Z69" s="185">
        <f t="shared" si="22"/>
        <v>-416804</v>
      </c>
      <c r="AA69" s="185">
        <f t="shared" si="22"/>
        <v>-427758</v>
      </c>
      <c r="AB69" s="185">
        <f t="shared" si="22"/>
        <v>-387197</v>
      </c>
      <c r="AC69" s="185">
        <f t="shared" si="22"/>
        <v>-346636</v>
      </c>
      <c r="AD69" s="185">
        <f t="shared" si="22"/>
        <v>-306075</v>
      </c>
      <c r="AE69" s="185">
        <f t="shared" si="22"/>
        <v>-351620</v>
      </c>
      <c r="AF69" s="185">
        <f t="shared" si="22"/>
        <v>-380457</v>
      </c>
      <c r="AG69" s="185">
        <f t="shared" si="22"/>
        <v>-318666</v>
      </c>
      <c r="AH69" s="185">
        <f t="shared" si="22"/>
        <v>-256816</v>
      </c>
      <c r="AI69" s="185">
        <f t="shared" si="22"/>
        <v>-222847</v>
      </c>
      <c r="AJ69" s="185">
        <f t="shared" si="22"/>
        <v>-299190</v>
      </c>
      <c r="AK69" s="185">
        <f t="shared" si="22"/>
        <v>-275371</v>
      </c>
      <c r="AL69" s="185">
        <f t="shared" si="22"/>
        <v>-252295</v>
      </c>
      <c r="AM69" s="185">
        <f t="shared" si="22"/>
        <v>-252295</v>
      </c>
      <c r="AN69" s="185">
        <f t="shared" si="22"/>
        <v>-260862</v>
      </c>
      <c r="AO69" s="185">
        <f t="shared" si="22"/>
        <v>-247819</v>
      </c>
      <c r="AP69" s="185">
        <f t="shared" si="22"/>
        <v>-354806</v>
      </c>
      <c r="AQ69" s="185">
        <f t="shared" si="22"/>
        <v>-367693</v>
      </c>
      <c r="AR69" s="185">
        <f t="shared" si="22"/>
        <v>-404977</v>
      </c>
      <c r="AS69" s="185">
        <f t="shared" si="22"/>
        <v>-585757</v>
      </c>
      <c r="AT69" s="185">
        <f t="shared" si="22"/>
        <v>-585699</v>
      </c>
      <c r="AU69" s="185">
        <f t="shared" si="22"/>
        <v>-583942</v>
      </c>
      <c r="AV69" s="185">
        <f t="shared" si="22"/>
        <v>-558832</v>
      </c>
      <c r="AW69" s="185">
        <f t="shared" si="22"/>
        <v>-558832</v>
      </c>
    </row>
    <row r="70" spans="1:49" ht="13.8" thickTop="1"/>
    <row r="72" spans="1:49" ht="15" thickBot="1">
      <c r="A72" s="123" t="s">
        <v>259</v>
      </c>
    </row>
    <row r="73" spans="1:49" ht="30" thickTop="1" thickBot="1">
      <c r="A73" s="136" t="s">
        <v>136</v>
      </c>
      <c r="B73" s="137" t="s">
        <v>137</v>
      </c>
      <c r="C73" s="138">
        <v>1966</v>
      </c>
      <c r="D73" s="139">
        <v>1967</v>
      </c>
      <c r="E73" s="139">
        <v>1968</v>
      </c>
      <c r="F73" s="139">
        <v>1969</v>
      </c>
      <c r="G73" s="139">
        <v>1970</v>
      </c>
      <c r="H73" s="139">
        <v>1971</v>
      </c>
      <c r="I73" s="139">
        <v>1972</v>
      </c>
      <c r="J73" s="139">
        <v>1973</v>
      </c>
      <c r="K73" s="139">
        <v>1974</v>
      </c>
      <c r="L73" s="139">
        <v>1975</v>
      </c>
      <c r="M73" s="139">
        <v>1976</v>
      </c>
      <c r="N73" s="139">
        <v>1977</v>
      </c>
      <c r="O73" s="139">
        <v>1978</v>
      </c>
      <c r="P73" s="139">
        <v>1979</v>
      </c>
      <c r="Q73" s="139">
        <v>1980</v>
      </c>
      <c r="R73" s="139">
        <v>1981</v>
      </c>
      <c r="S73" s="139">
        <v>1982</v>
      </c>
      <c r="T73" s="139">
        <v>1983</v>
      </c>
      <c r="U73" s="139">
        <v>1984</v>
      </c>
      <c r="V73" s="139">
        <v>1985</v>
      </c>
      <c r="W73" s="139">
        <v>1986</v>
      </c>
      <c r="X73" s="139">
        <v>1987</v>
      </c>
      <c r="Y73" s="139">
        <v>1988</v>
      </c>
      <c r="Z73" s="139">
        <v>1989</v>
      </c>
      <c r="AA73" s="139">
        <v>1990</v>
      </c>
      <c r="AB73" s="139">
        <v>1991</v>
      </c>
      <c r="AC73" s="139">
        <v>1992</v>
      </c>
      <c r="AD73" s="139">
        <v>1993</v>
      </c>
      <c r="AE73" s="139">
        <v>1994</v>
      </c>
      <c r="AF73" s="139">
        <v>1995</v>
      </c>
      <c r="AG73" s="139">
        <v>1996</v>
      </c>
      <c r="AH73" s="139">
        <v>1997</v>
      </c>
      <c r="AI73" s="139">
        <v>1998</v>
      </c>
      <c r="AJ73" s="139">
        <v>1999</v>
      </c>
      <c r="AK73" s="139">
        <v>2000</v>
      </c>
      <c r="AL73" s="139">
        <v>2001</v>
      </c>
      <c r="AM73" s="139">
        <v>2002</v>
      </c>
      <c r="AN73" s="139">
        <v>2003</v>
      </c>
      <c r="AO73" s="139">
        <v>2004</v>
      </c>
      <c r="AP73" s="139">
        <v>2005</v>
      </c>
      <c r="AQ73" s="139">
        <v>2006</v>
      </c>
      <c r="AR73" s="139">
        <v>2007</v>
      </c>
      <c r="AS73" s="139">
        <v>2008</v>
      </c>
      <c r="AT73" s="139">
        <v>2009</v>
      </c>
      <c r="AU73" s="139">
        <v>2010</v>
      </c>
      <c r="AV73" s="139">
        <v>2011</v>
      </c>
      <c r="AW73" s="140">
        <v>2012</v>
      </c>
    </row>
    <row r="74" spans="1:49" ht="14.4">
      <c r="A74" s="171" t="s">
        <v>251</v>
      </c>
      <c r="B74" s="152" t="s">
        <v>227</v>
      </c>
      <c r="C74" s="172">
        <f>-C56</f>
        <v>185997985</v>
      </c>
      <c r="D74" s="172">
        <f t="shared" ref="D74:AW75" si="23">-D56</f>
        <v>273247012</v>
      </c>
      <c r="E74" s="172">
        <f t="shared" si="23"/>
        <v>282278379</v>
      </c>
      <c r="F74" s="172">
        <f t="shared" si="23"/>
        <v>382445493</v>
      </c>
      <c r="G74" s="172">
        <f t="shared" si="23"/>
        <v>417950029</v>
      </c>
      <c r="H74" s="172">
        <f t="shared" si="23"/>
        <v>426965749</v>
      </c>
      <c r="I74" s="172">
        <f t="shared" si="23"/>
        <v>405622181</v>
      </c>
      <c r="J74" s="172">
        <f t="shared" si="23"/>
        <v>419941430</v>
      </c>
      <c r="K74" s="172">
        <f t="shared" si="23"/>
        <v>395445381</v>
      </c>
      <c r="L74" s="172">
        <f t="shared" si="23"/>
        <v>334381256</v>
      </c>
      <c r="M74" s="172">
        <f t="shared" si="23"/>
        <v>326893057</v>
      </c>
      <c r="N74" s="172">
        <f t="shared" si="23"/>
        <v>323173307</v>
      </c>
      <c r="O74" s="172">
        <f t="shared" si="23"/>
        <v>334801625</v>
      </c>
      <c r="P74" s="172">
        <f t="shared" si="23"/>
        <v>356687766</v>
      </c>
      <c r="Q74" s="172">
        <f t="shared" si="23"/>
        <v>271367717</v>
      </c>
      <c r="R74" s="172">
        <f t="shared" si="23"/>
        <v>244655971</v>
      </c>
      <c r="S74" s="172">
        <f t="shared" si="23"/>
        <v>219934312</v>
      </c>
      <c r="T74" s="172">
        <f t="shared" si="23"/>
        <v>266041514</v>
      </c>
      <c r="U74" s="172">
        <f t="shared" si="23"/>
        <v>287567570</v>
      </c>
      <c r="V74" s="172">
        <f t="shared" si="23"/>
        <v>279743964</v>
      </c>
      <c r="W74" s="172">
        <f t="shared" si="23"/>
        <v>304432563</v>
      </c>
      <c r="X74" s="172">
        <f t="shared" si="23"/>
        <v>296960845</v>
      </c>
      <c r="Y74" s="172">
        <f t="shared" si="23"/>
        <v>310890390</v>
      </c>
      <c r="Z74" s="172">
        <f t="shared" si="23"/>
        <v>323131975</v>
      </c>
      <c r="AA74" s="172">
        <f t="shared" si="23"/>
        <v>308682005</v>
      </c>
      <c r="AB74" s="172">
        <f t="shared" si="23"/>
        <v>331394770</v>
      </c>
      <c r="AC74" s="172">
        <f t="shared" si="23"/>
        <v>355454908</v>
      </c>
      <c r="AD74" s="172">
        <f t="shared" si="23"/>
        <v>356795000</v>
      </c>
      <c r="AE74" s="172">
        <f t="shared" si="23"/>
        <v>365356400</v>
      </c>
      <c r="AF74" s="172">
        <f t="shared" si="23"/>
        <v>412022100</v>
      </c>
      <c r="AG74" s="172">
        <f t="shared" si="23"/>
        <v>448338000</v>
      </c>
      <c r="AH74" s="172">
        <f t="shared" si="23"/>
        <v>365090511</v>
      </c>
      <c r="AI74" s="172">
        <f t="shared" si="23"/>
        <v>340314599</v>
      </c>
      <c r="AJ74" s="172">
        <f t="shared" si="23"/>
        <v>339203135</v>
      </c>
      <c r="AK74" s="172">
        <f t="shared" si="23"/>
        <v>346270013</v>
      </c>
      <c r="AL74" s="172">
        <f t="shared" si="23"/>
        <v>343914817</v>
      </c>
      <c r="AM74" s="172">
        <f t="shared" si="23"/>
        <v>333095071</v>
      </c>
      <c r="AN74" s="172">
        <f t="shared" si="23"/>
        <v>352220912</v>
      </c>
      <c r="AO74" s="172">
        <f t="shared" si="23"/>
        <v>344651751</v>
      </c>
      <c r="AP74" s="172">
        <f t="shared" si="23"/>
        <v>332180848</v>
      </c>
      <c r="AQ74" s="172">
        <f t="shared" si="23"/>
        <v>343530612</v>
      </c>
      <c r="AR74" s="172">
        <f t="shared" si="23"/>
        <v>333386568</v>
      </c>
      <c r="AS74" s="172">
        <f t="shared" si="23"/>
        <v>334639330</v>
      </c>
      <c r="AT74" s="172">
        <f t="shared" si="23"/>
        <v>335634780</v>
      </c>
      <c r="AU74" s="172">
        <f t="shared" si="23"/>
        <v>314168191</v>
      </c>
      <c r="AV74" s="172">
        <f t="shared" si="23"/>
        <v>327286287</v>
      </c>
      <c r="AW74" s="172">
        <f t="shared" si="23"/>
        <v>362386542</v>
      </c>
    </row>
    <row r="75" spans="1:49" ht="14.4">
      <c r="A75" s="171" t="s">
        <v>251</v>
      </c>
      <c r="B75" s="152" t="s">
        <v>228</v>
      </c>
      <c r="C75" s="172">
        <f>-C57</f>
        <v>0</v>
      </c>
      <c r="D75" s="172">
        <f t="shared" si="23"/>
        <v>0</v>
      </c>
      <c r="E75" s="172">
        <f t="shared" si="23"/>
        <v>0</v>
      </c>
      <c r="F75" s="172">
        <f t="shared" si="23"/>
        <v>0</v>
      </c>
      <c r="G75" s="172">
        <f t="shared" si="23"/>
        <v>0</v>
      </c>
      <c r="H75" s="172">
        <f t="shared" si="23"/>
        <v>0</v>
      </c>
      <c r="I75" s="172">
        <f t="shared" si="23"/>
        <v>0</v>
      </c>
      <c r="J75" s="172">
        <f t="shared" si="23"/>
        <v>0</v>
      </c>
      <c r="K75" s="172">
        <f t="shared" si="23"/>
        <v>-3457958</v>
      </c>
      <c r="L75" s="172">
        <f t="shared" si="23"/>
        <v>-7614121</v>
      </c>
      <c r="M75" s="172">
        <f t="shared" si="23"/>
        <v>6238156</v>
      </c>
      <c r="N75" s="172">
        <f t="shared" si="23"/>
        <v>-5426302</v>
      </c>
      <c r="O75" s="172">
        <f t="shared" si="23"/>
        <v>-8224462</v>
      </c>
      <c r="P75" s="172">
        <f t="shared" si="23"/>
        <v>-2400635</v>
      </c>
      <c r="Q75" s="172">
        <f t="shared" si="23"/>
        <v>23622270</v>
      </c>
      <c r="R75" s="172">
        <f t="shared" si="23"/>
        <v>14693192</v>
      </c>
      <c r="S75" s="172">
        <f t="shared" si="23"/>
        <v>33676426</v>
      </c>
      <c r="T75" s="172">
        <f t="shared" si="23"/>
        <v>27651458</v>
      </c>
      <c r="U75" s="172">
        <f t="shared" si="23"/>
        <v>23113835</v>
      </c>
      <c r="V75" s="172">
        <f t="shared" si="23"/>
        <v>17504277</v>
      </c>
      <c r="W75" s="172">
        <f t="shared" si="23"/>
        <v>25215094</v>
      </c>
      <c r="X75" s="172">
        <f t="shared" si="23"/>
        <v>26158943</v>
      </c>
      <c r="Y75" s="172">
        <f t="shared" si="23"/>
        <v>30378383</v>
      </c>
      <c r="Z75" s="172">
        <f t="shared" si="23"/>
        <v>34123962</v>
      </c>
      <c r="AA75" s="172">
        <f t="shared" si="23"/>
        <v>26874299</v>
      </c>
      <c r="AB75" s="172">
        <f t="shared" si="23"/>
        <v>16785219</v>
      </c>
      <c r="AC75" s="172">
        <f t="shared" si="23"/>
        <v>7427491</v>
      </c>
      <c r="AD75" s="172">
        <f t="shared" si="23"/>
        <v>22531702</v>
      </c>
      <c r="AE75" s="172">
        <f t="shared" si="23"/>
        <v>11718613</v>
      </c>
      <c r="AF75" s="172">
        <f t="shared" si="23"/>
        <v>-2452088</v>
      </c>
      <c r="AG75" s="172">
        <f t="shared" si="23"/>
        <v>4375488</v>
      </c>
      <c r="AH75" s="172">
        <f t="shared" si="23"/>
        <v>3270427</v>
      </c>
      <c r="AI75" s="172">
        <f t="shared" si="23"/>
        <v>968768</v>
      </c>
      <c r="AJ75" s="172">
        <f t="shared" si="23"/>
        <v>8817156</v>
      </c>
      <c r="AK75" s="172">
        <f t="shared" si="23"/>
        <v>5113752</v>
      </c>
      <c r="AL75" s="172">
        <f t="shared" si="23"/>
        <v>2322437</v>
      </c>
      <c r="AM75" s="172">
        <f t="shared" si="23"/>
        <v>2161479</v>
      </c>
      <c r="AN75" s="172">
        <f t="shared" si="23"/>
        <v>1990228</v>
      </c>
      <c r="AO75" s="172">
        <f t="shared" si="23"/>
        <v>196701</v>
      </c>
      <c r="AP75" s="172">
        <f t="shared" si="23"/>
        <v>2357523</v>
      </c>
      <c r="AQ75" s="172">
        <f t="shared" si="23"/>
        <v>3397029</v>
      </c>
      <c r="AR75" s="172">
        <f t="shared" si="23"/>
        <v>645244</v>
      </c>
      <c r="AS75" s="172">
        <f t="shared" si="23"/>
        <v>482422</v>
      </c>
      <c r="AT75" s="172">
        <f t="shared" si="23"/>
        <v>1317982</v>
      </c>
      <c r="AU75" s="172">
        <f t="shared" si="23"/>
        <v>2073495</v>
      </c>
      <c r="AV75" s="172">
        <f t="shared" si="23"/>
        <v>2408184</v>
      </c>
      <c r="AW75" s="172">
        <f t="shared" si="23"/>
        <v>735379</v>
      </c>
    </row>
    <row r="76" spans="1:49" ht="14.4">
      <c r="A76" s="186" t="s">
        <v>251</v>
      </c>
      <c r="B76" s="187" t="s">
        <v>229</v>
      </c>
      <c r="C76" s="188"/>
      <c r="D76" s="189"/>
      <c r="E76" s="189"/>
      <c r="F76" s="189"/>
      <c r="G76" s="189"/>
      <c r="H76" s="189"/>
      <c r="I76" s="189"/>
      <c r="J76" s="189"/>
      <c r="K76" s="189"/>
      <c r="L76" s="189"/>
      <c r="M76" s="189"/>
      <c r="N76" s="189"/>
      <c r="O76" s="189"/>
      <c r="P76" s="189"/>
      <c r="Q76" s="189"/>
      <c r="R76" s="189"/>
      <c r="S76" s="189"/>
      <c r="T76" s="189"/>
      <c r="U76" s="189"/>
      <c r="V76" s="189"/>
      <c r="W76" s="189"/>
      <c r="X76" s="189"/>
      <c r="Y76" s="189"/>
      <c r="Z76" s="189"/>
      <c r="AA76" s="189"/>
      <c r="AB76" s="189"/>
      <c r="AC76" s="189"/>
      <c r="AD76" s="189"/>
      <c r="AE76" s="189"/>
      <c r="AF76" s="189"/>
      <c r="AG76" s="189"/>
      <c r="AH76" s="189"/>
      <c r="AI76" s="189"/>
      <c r="AJ76" s="189"/>
      <c r="AK76" s="189"/>
      <c r="AL76" s="189"/>
      <c r="AM76" s="189"/>
      <c r="AN76" s="189"/>
      <c r="AO76" s="189"/>
      <c r="AP76" s="189"/>
      <c r="AQ76" s="189"/>
      <c r="AR76" s="189"/>
      <c r="AS76" s="189"/>
      <c r="AT76" s="189"/>
      <c r="AU76" s="189"/>
      <c r="AV76" s="189"/>
      <c r="AW76" s="190"/>
    </row>
    <row r="77" spans="1:49" ht="14.4">
      <c r="A77" s="141" t="s">
        <v>251</v>
      </c>
      <c r="B77" s="142" t="s">
        <v>75</v>
      </c>
      <c r="C77" s="143"/>
      <c r="D77" s="144"/>
      <c r="E77" s="144"/>
      <c r="F77" s="144"/>
      <c r="G77" s="144"/>
      <c r="H77" s="144"/>
      <c r="I77" s="144"/>
      <c r="J77" s="144"/>
      <c r="K77" s="144"/>
      <c r="L77" s="144"/>
      <c r="M77" s="144"/>
      <c r="N77" s="144"/>
      <c r="O77" s="144"/>
      <c r="P77" s="144"/>
      <c r="Q77" s="144"/>
      <c r="R77" s="144"/>
      <c r="S77" s="144"/>
      <c r="T77" s="144"/>
      <c r="U77" s="144"/>
      <c r="V77" s="144"/>
      <c r="W77" s="144"/>
      <c r="X77" s="144"/>
      <c r="Y77" s="144"/>
      <c r="Z77" s="144"/>
      <c r="AA77" s="144"/>
      <c r="AB77" s="144"/>
      <c r="AC77" s="144"/>
      <c r="AD77" s="144"/>
      <c r="AE77" s="144"/>
      <c r="AF77" s="144"/>
      <c r="AG77" s="144"/>
      <c r="AH77" s="144"/>
      <c r="AI77" s="144"/>
      <c r="AJ77" s="144"/>
      <c r="AK77" s="144"/>
      <c r="AL77" s="144"/>
      <c r="AM77" s="144"/>
      <c r="AN77" s="144"/>
      <c r="AO77" s="144"/>
      <c r="AP77" s="144"/>
      <c r="AQ77" s="144"/>
      <c r="AR77" s="144"/>
      <c r="AS77" s="144"/>
      <c r="AT77" s="144"/>
      <c r="AU77" s="144"/>
      <c r="AV77" s="144"/>
      <c r="AW77" s="145"/>
    </row>
    <row r="78" spans="1:49" ht="14.4">
      <c r="A78" s="141" t="s">
        <v>251</v>
      </c>
      <c r="B78" s="142" t="s">
        <v>100</v>
      </c>
      <c r="C78" s="143"/>
      <c r="D78" s="144"/>
      <c r="E78" s="144"/>
      <c r="F78" s="144"/>
      <c r="G78" s="144"/>
      <c r="H78" s="144"/>
      <c r="I78" s="144"/>
      <c r="J78" s="144"/>
      <c r="K78" s="144"/>
      <c r="L78" s="144"/>
      <c r="M78" s="144"/>
      <c r="N78" s="144"/>
      <c r="O78" s="144"/>
      <c r="P78" s="144"/>
      <c r="Q78" s="144"/>
      <c r="R78" s="144"/>
      <c r="S78" s="144"/>
      <c r="T78" s="144"/>
      <c r="U78" s="144"/>
      <c r="V78" s="144"/>
      <c r="W78" s="144"/>
      <c r="X78" s="144"/>
      <c r="Y78" s="144"/>
      <c r="Z78" s="144"/>
      <c r="AA78" s="144"/>
      <c r="AB78" s="144"/>
      <c r="AC78" s="144"/>
      <c r="AD78" s="144"/>
      <c r="AE78" s="144"/>
      <c r="AF78" s="144"/>
      <c r="AG78" s="144"/>
      <c r="AH78" s="144"/>
      <c r="AI78" s="144"/>
      <c r="AJ78" s="144"/>
      <c r="AK78" s="144"/>
      <c r="AL78" s="144"/>
      <c r="AM78" s="144"/>
      <c r="AN78" s="144"/>
      <c r="AO78" s="144"/>
      <c r="AP78" s="144"/>
      <c r="AQ78" s="144"/>
      <c r="AR78" s="144"/>
      <c r="AS78" s="144"/>
      <c r="AT78" s="144"/>
      <c r="AU78" s="144"/>
      <c r="AV78" s="144"/>
      <c r="AW78" s="145"/>
    </row>
    <row r="79" spans="1:49" ht="14.4">
      <c r="A79" s="141" t="s">
        <v>251</v>
      </c>
      <c r="B79" s="142" t="s">
        <v>77</v>
      </c>
      <c r="C79" s="143"/>
      <c r="D79" s="144"/>
      <c r="E79" s="144"/>
      <c r="F79" s="144"/>
      <c r="G79" s="144"/>
      <c r="H79" s="144"/>
      <c r="I79" s="144"/>
      <c r="J79" s="144"/>
      <c r="K79" s="144"/>
      <c r="L79" s="144"/>
      <c r="M79" s="144"/>
      <c r="N79" s="144"/>
      <c r="O79" s="144"/>
      <c r="P79" s="144"/>
      <c r="Q79" s="144"/>
      <c r="R79" s="144"/>
      <c r="S79" s="144"/>
      <c r="T79" s="144"/>
      <c r="U79" s="144"/>
      <c r="V79" s="144"/>
      <c r="W79" s="144"/>
      <c r="X79" s="144"/>
      <c r="Y79" s="144"/>
      <c r="Z79" s="144"/>
      <c r="AA79" s="144"/>
      <c r="AB79" s="144"/>
      <c r="AC79" s="144"/>
      <c r="AD79" s="144"/>
      <c r="AE79" s="144"/>
      <c r="AF79" s="144"/>
      <c r="AG79" s="144"/>
      <c r="AH79" s="144"/>
      <c r="AI79" s="144"/>
      <c r="AJ79" s="144"/>
      <c r="AK79" s="144"/>
      <c r="AL79" s="144"/>
      <c r="AM79" s="144"/>
      <c r="AN79" s="144"/>
      <c r="AO79" s="144"/>
      <c r="AP79" s="144"/>
      <c r="AQ79" s="144"/>
      <c r="AR79" s="144"/>
      <c r="AS79" s="144"/>
      <c r="AT79" s="144"/>
      <c r="AU79" s="144"/>
      <c r="AV79" s="144"/>
      <c r="AW79" s="145"/>
    </row>
    <row r="80" spans="1:49" ht="14.4">
      <c r="A80" s="141" t="s">
        <v>251</v>
      </c>
      <c r="B80" s="142" t="s">
        <v>96</v>
      </c>
      <c r="C80" s="143"/>
      <c r="D80" s="144"/>
      <c r="E80" s="144"/>
      <c r="F80" s="144"/>
      <c r="G80" s="144"/>
      <c r="H80" s="144"/>
      <c r="I80" s="144"/>
      <c r="J80" s="144"/>
      <c r="K80" s="144"/>
      <c r="L80" s="144"/>
      <c r="M80" s="144"/>
      <c r="N80" s="144"/>
      <c r="O80" s="144"/>
      <c r="P80" s="144"/>
      <c r="Q80" s="144"/>
      <c r="R80" s="144"/>
      <c r="S80" s="144"/>
      <c r="T80" s="144"/>
      <c r="U80" s="144"/>
      <c r="V80" s="144"/>
      <c r="W80" s="144"/>
      <c r="X80" s="144"/>
      <c r="Y80" s="144"/>
      <c r="Z80" s="144"/>
      <c r="AA80" s="144"/>
      <c r="AB80" s="144"/>
      <c r="AC80" s="144"/>
      <c r="AD80" s="144"/>
      <c r="AE80" s="144"/>
      <c r="AF80" s="144"/>
      <c r="AG80" s="144"/>
      <c r="AH80" s="144"/>
      <c r="AI80" s="144"/>
      <c r="AJ80" s="144"/>
      <c r="AK80" s="144"/>
      <c r="AL80" s="144"/>
      <c r="AM80" s="144"/>
      <c r="AN80" s="144"/>
      <c r="AO80" s="144"/>
      <c r="AP80" s="144"/>
      <c r="AQ80" s="144"/>
      <c r="AR80" s="144"/>
      <c r="AS80" s="144"/>
      <c r="AT80" s="144"/>
      <c r="AU80" s="144"/>
      <c r="AV80" s="144"/>
      <c r="AW80" s="145"/>
    </row>
    <row r="81" spans="1:54" ht="14.4">
      <c r="A81" s="141" t="s">
        <v>251</v>
      </c>
      <c r="B81" s="142" t="s">
        <v>51</v>
      </c>
      <c r="C81" s="143"/>
      <c r="D81" s="144"/>
      <c r="E81" s="144"/>
      <c r="F81" s="144"/>
      <c r="G81" s="144"/>
      <c r="H81" s="144"/>
      <c r="I81" s="144"/>
      <c r="J81" s="144"/>
      <c r="K81" s="144"/>
      <c r="L81" s="144"/>
      <c r="M81" s="144"/>
      <c r="N81" s="144"/>
      <c r="O81" s="144"/>
      <c r="P81" s="144"/>
      <c r="Q81" s="144"/>
      <c r="R81" s="144"/>
      <c r="S81" s="144"/>
      <c r="T81" s="144"/>
      <c r="U81" s="144"/>
      <c r="V81" s="144"/>
      <c r="W81" s="144"/>
      <c r="X81" s="144"/>
      <c r="Y81" s="144"/>
      <c r="Z81" s="144"/>
      <c r="AA81" s="144"/>
      <c r="AB81" s="144"/>
      <c r="AC81" s="144"/>
      <c r="AD81" s="144"/>
      <c r="AE81" s="144"/>
      <c r="AF81" s="144"/>
      <c r="AG81" s="144"/>
      <c r="AH81" s="144"/>
      <c r="AI81" s="144"/>
      <c r="AJ81" s="144"/>
      <c r="AK81" s="144"/>
      <c r="AL81" s="144"/>
      <c r="AM81" s="144"/>
      <c r="AN81" s="144"/>
      <c r="AO81" s="144"/>
      <c r="AP81" s="144"/>
      <c r="AQ81" s="144"/>
      <c r="AR81" s="144"/>
      <c r="AS81" s="144"/>
      <c r="AT81" s="144"/>
      <c r="AU81" s="144"/>
      <c r="AV81" s="144"/>
      <c r="AW81" s="145"/>
      <c r="AX81" s="160">
        <f t="shared" ref="AX81:AX94" si="24">SUM(C20:AW20)</f>
        <v>0</v>
      </c>
      <c r="AZ81" s="191" t="str">
        <f>Commodities!$E$15</f>
        <v>LPG</v>
      </c>
      <c r="BA81" s="192" t="s">
        <v>93</v>
      </c>
      <c r="BB81" s="192" t="s">
        <v>94</v>
      </c>
    </row>
    <row r="82" spans="1:54" ht="14.4">
      <c r="A82" s="141" t="s">
        <v>251</v>
      </c>
      <c r="B82" s="142" t="s">
        <v>230</v>
      </c>
      <c r="C82" s="143"/>
      <c r="D82" s="144"/>
      <c r="E82" s="144"/>
      <c r="F82" s="144"/>
      <c r="G82" s="144"/>
      <c r="H82" s="144"/>
      <c r="I82" s="144"/>
      <c r="J82" s="144"/>
      <c r="K82" s="144"/>
      <c r="L82" s="144"/>
      <c r="M82" s="144"/>
      <c r="N82" s="144"/>
      <c r="O82" s="144"/>
      <c r="P82" s="144"/>
      <c r="Q82" s="144"/>
      <c r="R82" s="144"/>
      <c r="S82" s="144"/>
      <c r="T82" s="144"/>
      <c r="U82" s="144"/>
      <c r="V82" s="144"/>
      <c r="W82" s="144"/>
      <c r="X82" s="144"/>
      <c r="Y82" s="144"/>
      <c r="Z82" s="144"/>
      <c r="AA82" s="144"/>
      <c r="AB82" s="144"/>
      <c r="AC82" s="144"/>
      <c r="AD82" s="144"/>
      <c r="AE82" s="144"/>
      <c r="AF82" s="144"/>
      <c r="AG82" s="144"/>
      <c r="AH82" s="144"/>
      <c r="AI82" s="144"/>
      <c r="AJ82" s="144"/>
      <c r="AK82" s="144"/>
      <c r="AL82" s="144"/>
      <c r="AM82" s="144"/>
      <c r="AN82" s="144"/>
      <c r="AO82" s="144"/>
      <c r="AP82" s="144"/>
      <c r="AQ82" s="144"/>
      <c r="AR82" s="144"/>
      <c r="AS82" s="144"/>
      <c r="AT82" s="144"/>
      <c r="AU82" s="144"/>
      <c r="AV82" s="144"/>
      <c r="AW82" s="145"/>
      <c r="AX82" s="160">
        <f t="shared" si="24"/>
        <v>114809412</v>
      </c>
      <c r="AZ82" s="191" t="str">
        <f>Commodities!$E$17</f>
        <v>GSL</v>
      </c>
      <c r="BA82" s="193" t="s">
        <v>100</v>
      </c>
      <c r="BB82" s="193" t="s">
        <v>260</v>
      </c>
    </row>
    <row r="83" spans="1:54" ht="14.4">
      <c r="A83" s="141" t="s">
        <v>251</v>
      </c>
      <c r="B83" s="142" t="s">
        <v>231</v>
      </c>
      <c r="C83" s="143"/>
      <c r="D83" s="144"/>
      <c r="E83" s="144"/>
      <c r="F83" s="144"/>
      <c r="G83" s="144"/>
      <c r="H83" s="144"/>
      <c r="I83" s="144"/>
      <c r="J83" s="144"/>
      <c r="K83" s="144"/>
      <c r="L83" s="144"/>
      <c r="M83" s="144"/>
      <c r="N83" s="144"/>
      <c r="O83" s="144"/>
      <c r="P83" s="144"/>
      <c r="Q83" s="144"/>
      <c r="R83" s="144"/>
      <c r="S83" s="144"/>
      <c r="T83" s="144"/>
      <c r="U83" s="144"/>
      <c r="V83" s="144"/>
      <c r="W83" s="144"/>
      <c r="X83" s="144"/>
      <c r="Y83" s="144"/>
      <c r="Z83" s="144"/>
      <c r="AA83" s="144"/>
      <c r="AB83" s="144"/>
      <c r="AC83" s="144"/>
      <c r="AD83" s="144"/>
      <c r="AE83" s="144"/>
      <c r="AF83" s="144"/>
      <c r="AG83" s="144"/>
      <c r="AH83" s="144"/>
      <c r="AI83" s="144"/>
      <c r="AJ83" s="144"/>
      <c r="AK83" s="144"/>
      <c r="AL83" s="144"/>
      <c r="AM83" s="144"/>
      <c r="AN83" s="144"/>
      <c r="AO83" s="144"/>
      <c r="AP83" s="144"/>
      <c r="AQ83" s="144"/>
      <c r="AR83" s="144"/>
      <c r="AS83" s="144"/>
      <c r="AT83" s="144"/>
      <c r="AU83" s="144"/>
      <c r="AV83" s="144"/>
      <c r="AW83" s="145"/>
      <c r="AX83" s="160">
        <f t="shared" si="24"/>
        <v>569513581</v>
      </c>
      <c r="AZ83" s="191" t="str">
        <f>Commodities!$E$18</f>
        <v>KER</v>
      </c>
      <c r="BA83" s="194" t="s">
        <v>97</v>
      </c>
      <c r="BB83" s="195" t="s">
        <v>95</v>
      </c>
    </row>
    <row r="84" spans="1:54" ht="14.4">
      <c r="A84" s="141" t="s">
        <v>251</v>
      </c>
      <c r="B84" s="142" t="s">
        <v>232</v>
      </c>
      <c r="C84" s="143"/>
      <c r="D84" s="144"/>
      <c r="E84" s="144"/>
      <c r="F84" s="144"/>
      <c r="G84" s="144"/>
      <c r="H84" s="144"/>
      <c r="I84" s="144"/>
      <c r="J84" s="144"/>
      <c r="K84" s="144"/>
      <c r="L84" s="144"/>
      <c r="M84" s="144"/>
      <c r="N84" s="144"/>
      <c r="O84" s="144"/>
      <c r="P84" s="144"/>
      <c r="Q84" s="144"/>
      <c r="R84" s="144"/>
      <c r="S84" s="144"/>
      <c r="T84" s="144"/>
      <c r="U84" s="144"/>
      <c r="V84" s="144"/>
      <c r="W84" s="144"/>
      <c r="X84" s="144"/>
      <c r="Y84" s="144"/>
      <c r="Z84" s="144"/>
      <c r="AA84" s="144"/>
      <c r="AB84" s="144"/>
      <c r="AC84" s="144"/>
      <c r="AD84" s="144"/>
      <c r="AE84" s="144"/>
      <c r="AF84" s="144"/>
      <c r="AG84" s="144"/>
      <c r="AH84" s="144"/>
      <c r="AI84" s="144"/>
      <c r="AJ84" s="144"/>
      <c r="AK84" s="144"/>
      <c r="AL84" s="144"/>
      <c r="AM84" s="144"/>
      <c r="AN84" s="144"/>
      <c r="AO84" s="144"/>
      <c r="AP84" s="144"/>
      <c r="AQ84" s="144"/>
      <c r="AR84" s="144"/>
      <c r="AS84" s="144"/>
      <c r="AT84" s="144"/>
      <c r="AU84" s="144"/>
      <c r="AV84" s="144"/>
      <c r="AW84" s="145"/>
      <c r="AX84" s="160">
        <f t="shared" si="24"/>
        <v>342703860</v>
      </c>
      <c r="AZ84" s="191" t="str">
        <f>Commodities!$E$30</f>
        <v>KRB1</v>
      </c>
      <c r="BA84" s="193" t="s">
        <v>75</v>
      </c>
      <c r="BB84" s="193" t="s">
        <v>75</v>
      </c>
    </row>
    <row r="85" spans="1:54" ht="14.4">
      <c r="A85" s="141" t="s">
        <v>251</v>
      </c>
      <c r="B85" s="142" t="s">
        <v>70</v>
      </c>
      <c r="C85" s="143"/>
      <c r="D85" s="144"/>
      <c r="E85" s="144"/>
      <c r="F85" s="144"/>
      <c r="G85" s="144"/>
      <c r="H85" s="144"/>
      <c r="I85" s="144"/>
      <c r="J85" s="144"/>
      <c r="K85" s="144"/>
      <c r="L85" s="144"/>
      <c r="M85" s="144"/>
      <c r="N85" s="144"/>
      <c r="O85" s="144"/>
      <c r="P85" s="144"/>
      <c r="Q85" s="144"/>
      <c r="R85" s="144"/>
      <c r="S85" s="144"/>
      <c r="T85" s="144"/>
      <c r="U85" s="144"/>
      <c r="V85" s="144"/>
      <c r="W85" s="144"/>
      <c r="X85" s="144"/>
      <c r="Y85" s="144"/>
      <c r="Z85" s="144"/>
      <c r="AA85" s="144"/>
      <c r="AB85" s="144"/>
      <c r="AC85" s="144"/>
      <c r="AD85" s="144"/>
      <c r="AE85" s="144"/>
      <c r="AF85" s="144"/>
      <c r="AG85" s="144"/>
      <c r="AH85" s="144"/>
      <c r="AI85" s="144"/>
      <c r="AJ85" s="144"/>
      <c r="AK85" s="144"/>
      <c r="AL85" s="144"/>
      <c r="AM85" s="144"/>
      <c r="AN85" s="144"/>
      <c r="AO85" s="144"/>
      <c r="AP85" s="144"/>
      <c r="AQ85" s="144"/>
      <c r="AR85" s="144"/>
      <c r="AS85" s="144"/>
      <c r="AT85" s="144"/>
      <c r="AU85" s="144"/>
      <c r="AV85" s="144"/>
      <c r="AW85" s="145"/>
      <c r="AX85" s="160">
        <f t="shared" si="24"/>
        <v>494194739</v>
      </c>
      <c r="AZ85" s="191" t="str">
        <f>Commodities!$E$19</f>
        <v>DSL</v>
      </c>
      <c r="BA85" s="193" t="s">
        <v>76</v>
      </c>
      <c r="BB85" s="193" t="s">
        <v>77</v>
      </c>
    </row>
    <row r="86" spans="1:54" ht="14.4">
      <c r="A86" s="171" t="s">
        <v>251</v>
      </c>
      <c r="B86" s="152" t="s">
        <v>233</v>
      </c>
      <c r="C86" s="172">
        <f>-C68</f>
        <v>397650</v>
      </c>
      <c r="D86" s="172">
        <f t="shared" ref="D86:AW87" si="25">-D68</f>
        <v>432699</v>
      </c>
      <c r="E86" s="172">
        <f t="shared" si="25"/>
        <v>476143</v>
      </c>
      <c r="F86" s="172">
        <f t="shared" si="25"/>
        <v>530132</v>
      </c>
      <c r="G86" s="172">
        <f t="shared" si="25"/>
        <v>593411</v>
      </c>
      <c r="H86" s="172">
        <f t="shared" si="25"/>
        <v>643437</v>
      </c>
      <c r="I86" s="172">
        <f t="shared" si="25"/>
        <v>685084</v>
      </c>
      <c r="J86" s="172">
        <f t="shared" si="25"/>
        <v>736411</v>
      </c>
      <c r="K86" s="172">
        <f t="shared" si="25"/>
        <v>731086</v>
      </c>
      <c r="L86" s="172">
        <f t="shared" si="25"/>
        <v>686570</v>
      </c>
      <c r="M86" s="172">
        <f t="shared" si="25"/>
        <v>613406</v>
      </c>
      <c r="N86" s="172">
        <f t="shared" si="25"/>
        <v>594418</v>
      </c>
      <c r="O86" s="172">
        <f t="shared" si="25"/>
        <v>639873</v>
      </c>
      <c r="P86" s="172">
        <f t="shared" si="25"/>
        <v>625981</v>
      </c>
      <c r="Q86" s="172">
        <f t="shared" si="25"/>
        <v>647706</v>
      </c>
      <c r="R86" s="172">
        <f t="shared" si="25"/>
        <v>763354</v>
      </c>
      <c r="S86" s="172">
        <f t="shared" si="25"/>
        <v>759288</v>
      </c>
      <c r="T86" s="172">
        <f t="shared" si="25"/>
        <v>783722</v>
      </c>
      <c r="U86" s="172">
        <f t="shared" si="25"/>
        <v>785727</v>
      </c>
      <c r="V86" s="172">
        <f t="shared" si="25"/>
        <v>767902</v>
      </c>
      <c r="W86" s="172">
        <f t="shared" si="25"/>
        <v>911578</v>
      </c>
      <c r="X86" s="172">
        <f t="shared" si="25"/>
        <v>909734</v>
      </c>
      <c r="Y86" s="172">
        <f t="shared" si="25"/>
        <v>857186</v>
      </c>
      <c r="Z86" s="172">
        <f t="shared" si="25"/>
        <v>844713</v>
      </c>
      <c r="AA86" s="172">
        <f t="shared" si="25"/>
        <v>891592</v>
      </c>
      <c r="AB86" s="172">
        <f t="shared" si="25"/>
        <v>1096782</v>
      </c>
      <c r="AC86" s="172">
        <f t="shared" si="25"/>
        <v>1163069</v>
      </c>
      <c r="AD86" s="172">
        <f t="shared" si="25"/>
        <v>1103643</v>
      </c>
      <c r="AE86" s="172">
        <f t="shared" si="25"/>
        <v>1200480</v>
      </c>
      <c r="AF86" s="172">
        <f t="shared" si="25"/>
        <v>1178367</v>
      </c>
      <c r="AG86" s="172">
        <f t="shared" si="25"/>
        <v>1231778</v>
      </c>
      <c r="AH86" s="172">
        <f t="shared" si="25"/>
        <v>1027529</v>
      </c>
      <c r="AI86" s="172">
        <f t="shared" si="25"/>
        <v>905799</v>
      </c>
      <c r="AJ86" s="172">
        <f t="shared" si="25"/>
        <v>977882</v>
      </c>
      <c r="AK86" s="172">
        <f t="shared" si="25"/>
        <v>756137</v>
      </c>
      <c r="AL86" s="172">
        <f t="shared" si="25"/>
        <v>555652</v>
      </c>
      <c r="AM86" s="172">
        <f t="shared" si="25"/>
        <v>565485</v>
      </c>
      <c r="AN86" s="172">
        <f t="shared" si="25"/>
        <v>904276</v>
      </c>
      <c r="AO86" s="172">
        <f t="shared" si="25"/>
        <v>922446</v>
      </c>
      <c r="AP86" s="172">
        <f t="shared" si="25"/>
        <v>644273</v>
      </c>
      <c r="AQ86" s="172">
        <f t="shared" si="25"/>
        <v>781406</v>
      </c>
      <c r="AR86" s="172">
        <f t="shared" si="25"/>
        <v>1101084</v>
      </c>
      <c r="AS86" s="172">
        <f t="shared" si="25"/>
        <v>1285842</v>
      </c>
      <c r="AT86" s="172">
        <f t="shared" si="25"/>
        <v>1153932</v>
      </c>
      <c r="AU86" s="172">
        <f t="shared" si="25"/>
        <v>1169936</v>
      </c>
      <c r="AV86" s="172">
        <f t="shared" si="25"/>
        <v>1056349</v>
      </c>
      <c r="AW86" s="172">
        <f t="shared" si="25"/>
        <v>1074112</v>
      </c>
      <c r="AX86" s="160">
        <f t="shared" si="24"/>
        <v>3248533087</v>
      </c>
      <c r="AZ86" s="191" t="str">
        <f>Commodities!$E$20</f>
        <v>HFO</v>
      </c>
      <c r="BA86" s="193" t="s">
        <v>79</v>
      </c>
      <c r="BB86" s="193" t="s">
        <v>78</v>
      </c>
    </row>
    <row r="87" spans="1:54" ht="15" thickBot="1">
      <c r="A87" s="196" t="s">
        <v>251</v>
      </c>
      <c r="B87" s="197" t="s">
        <v>234</v>
      </c>
      <c r="C87" s="198">
        <f>-C69</f>
        <v>2278</v>
      </c>
      <c r="D87" s="198">
        <f t="shared" si="25"/>
        <v>2479</v>
      </c>
      <c r="E87" s="198">
        <f t="shared" si="25"/>
        <v>3063</v>
      </c>
      <c r="F87" s="198">
        <f t="shared" si="25"/>
        <v>4198</v>
      </c>
      <c r="G87" s="198">
        <f t="shared" si="25"/>
        <v>4495</v>
      </c>
      <c r="H87" s="198">
        <f t="shared" si="25"/>
        <v>4899</v>
      </c>
      <c r="I87" s="198">
        <f t="shared" si="25"/>
        <v>5362</v>
      </c>
      <c r="J87" s="198">
        <f t="shared" si="25"/>
        <v>5639</v>
      </c>
      <c r="K87" s="198">
        <f t="shared" si="25"/>
        <v>5838</v>
      </c>
      <c r="L87" s="198">
        <f t="shared" si="25"/>
        <v>5961</v>
      </c>
      <c r="M87" s="198">
        <f t="shared" si="25"/>
        <v>5173</v>
      </c>
      <c r="N87" s="198">
        <f t="shared" si="25"/>
        <v>5701</v>
      </c>
      <c r="O87" s="198">
        <f t="shared" si="25"/>
        <v>5536</v>
      </c>
      <c r="P87" s="198">
        <f t="shared" si="25"/>
        <v>5388</v>
      </c>
      <c r="Q87" s="198">
        <f t="shared" si="25"/>
        <v>0</v>
      </c>
      <c r="R87" s="198">
        <f t="shared" si="25"/>
        <v>0</v>
      </c>
      <c r="S87" s="198">
        <f t="shared" si="25"/>
        <v>294559</v>
      </c>
      <c r="T87" s="198">
        <f t="shared" si="25"/>
        <v>446939</v>
      </c>
      <c r="U87" s="198">
        <f t="shared" si="25"/>
        <v>459885</v>
      </c>
      <c r="V87" s="198">
        <f t="shared" si="25"/>
        <v>439145</v>
      </c>
      <c r="W87" s="198">
        <f t="shared" si="25"/>
        <v>335697</v>
      </c>
      <c r="X87" s="198">
        <f t="shared" si="25"/>
        <v>362024</v>
      </c>
      <c r="Y87" s="198">
        <f t="shared" si="25"/>
        <v>405850</v>
      </c>
      <c r="Z87" s="198">
        <f t="shared" si="25"/>
        <v>416804</v>
      </c>
      <c r="AA87" s="198">
        <f t="shared" si="25"/>
        <v>427758</v>
      </c>
      <c r="AB87" s="198">
        <f t="shared" si="25"/>
        <v>387197</v>
      </c>
      <c r="AC87" s="198">
        <f t="shared" si="25"/>
        <v>346636</v>
      </c>
      <c r="AD87" s="198">
        <f t="shared" si="25"/>
        <v>306075</v>
      </c>
      <c r="AE87" s="198">
        <f t="shared" si="25"/>
        <v>351620</v>
      </c>
      <c r="AF87" s="198">
        <f t="shared" si="25"/>
        <v>380457</v>
      </c>
      <c r="AG87" s="198">
        <f t="shared" si="25"/>
        <v>318666</v>
      </c>
      <c r="AH87" s="198">
        <f t="shared" si="25"/>
        <v>256816</v>
      </c>
      <c r="AI87" s="198">
        <f t="shared" si="25"/>
        <v>222847</v>
      </c>
      <c r="AJ87" s="198">
        <f t="shared" si="25"/>
        <v>299190</v>
      </c>
      <c r="AK87" s="198">
        <f t="shared" si="25"/>
        <v>275371</v>
      </c>
      <c r="AL87" s="198">
        <f t="shared" si="25"/>
        <v>252295</v>
      </c>
      <c r="AM87" s="198">
        <f t="shared" si="25"/>
        <v>252295</v>
      </c>
      <c r="AN87" s="198">
        <f t="shared" si="25"/>
        <v>260862</v>
      </c>
      <c r="AO87" s="198">
        <f t="shared" si="25"/>
        <v>247819</v>
      </c>
      <c r="AP87" s="198">
        <f t="shared" si="25"/>
        <v>354806</v>
      </c>
      <c r="AQ87" s="198">
        <f t="shared" si="25"/>
        <v>367693</v>
      </c>
      <c r="AR87" s="198">
        <f t="shared" si="25"/>
        <v>404977</v>
      </c>
      <c r="AS87" s="198">
        <f t="shared" si="25"/>
        <v>585757</v>
      </c>
      <c r="AT87" s="198">
        <f t="shared" si="25"/>
        <v>585699</v>
      </c>
      <c r="AU87" s="198">
        <f t="shared" si="25"/>
        <v>583942</v>
      </c>
      <c r="AV87" s="198">
        <f t="shared" si="25"/>
        <v>558832</v>
      </c>
      <c r="AW87" s="198">
        <f t="shared" si="25"/>
        <v>558832</v>
      </c>
      <c r="AX87" s="160">
        <f t="shared" si="24"/>
        <v>658608834</v>
      </c>
      <c r="AZ87" s="199" t="e">
        <f>Commodities!#REF!</f>
        <v>#REF!</v>
      </c>
    </row>
    <row r="88" spans="1:54" ht="13.8" thickTop="1">
      <c r="AX88" s="160">
        <f t="shared" si="24"/>
        <v>6226864393</v>
      </c>
    </row>
    <row r="89" spans="1:54">
      <c r="AM89" s="776">
        <f>AM68/SUM(AM58:AM67)</f>
        <v>-1.77871862134056E-3</v>
      </c>
      <c r="AN89" s="776">
        <f t="shared" ref="AN89:AW89" si="26">AN68/SUM(AN58:AN67)</f>
        <v>-2.7140929057128003E-3</v>
      </c>
      <c r="AO89" s="776">
        <f t="shared" si="26"/>
        <v>-2.8419199343221431E-3</v>
      </c>
      <c r="AP89" s="776">
        <f t="shared" si="26"/>
        <v>-2.0567272926195058E-3</v>
      </c>
      <c r="AQ89" s="776">
        <f t="shared" si="26"/>
        <v>-2.3829489824817359E-3</v>
      </c>
      <c r="AR89" s="776">
        <f t="shared" si="26"/>
        <v>-3.4305880064370866E-3</v>
      </c>
      <c r="AS89" s="776">
        <f t="shared" si="26"/>
        <v>-4.0465358323819112E-3</v>
      </c>
      <c r="AT89" s="776">
        <f t="shared" si="26"/>
        <v>-3.6183382330474633E-3</v>
      </c>
      <c r="AU89" s="776">
        <f t="shared" si="26"/>
        <v>-3.8355235059163843E-3</v>
      </c>
      <c r="AV89" s="776">
        <f t="shared" si="26"/>
        <v>-3.4223194800251768E-3</v>
      </c>
      <c r="AW89" s="776">
        <f t="shared" si="26"/>
        <v>-3.1167808464225037E-3</v>
      </c>
      <c r="AX89" s="160">
        <f t="shared" si="24"/>
        <v>4308286856</v>
      </c>
    </row>
    <row r="90" spans="1:54">
      <c r="AM90" s="776">
        <f>AM69/SUM(AM58:AM67)</f>
        <v>-7.9358747724717126E-4</v>
      </c>
      <c r="AN90" s="776">
        <f t="shared" ref="AN90:AW90" si="27">AN69/SUM(AN58:AN67)</f>
        <v>-7.8295089504758783E-4</v>
      </c>
      <c r="AO90" s="776">
        <f t="shared" si="27"/>
        <v>-7.6349375053258309E-4</v>
      </c>
      <c r="AP90" s="776">
        <f t="shared" si="27"/>
        <v>-1.1326552312221005E-3</v>
      </c>
      <c r="AQ90" s="776">
        <f t="shared" si="27"/>
        <v>-1.1213039830966962E-3</v>
      </c>
      <c r="AR90" s="776">
        <f t="shared" si="27"/>
        <v>-1.2617649871243901E-3</v>
      </c>
      <c r="AS90" s="776">
        <f t="shared" si="27"/>
        <v>-1.8433732057037576E-3</v>
      </c>
      <c r="AT90" s="776">
        <f t="shared" si="27"/>
        <v>-1.8365528339258001E-3</v>
      </c>
      <c r="AU90" s="776">
        <f t="shared" si="27"/>
        <v>-1.9143981098896225E-3</v>
      </c>
      <c r="AV90" s="776">
        <f t="shared" si="27"/>
        <v>-1.8104827473320179E-3</v>
      </c>
      <c r="AW90" s="776">
        <f t="shared" si="27"/>
        <v>-1.6215784517517545E-3</v>
      </c>
      <c r="AX90" s="160">
        <f t="shared" si="24"/>
        <v>0</v>
      </c>
    </row>
    <row r="91" spans="1:54">
      <c r="AM91" s="777">
        <f>SUM(AM56:AM57)/SUM(AM58:AM67)</f>
        <v>-1.0545409133953907</v>
      </c>
      <c r="AN91" s="777">
        <f t="shared" ref="AN91:AW91" si="28">SUM(AN56:AN57)/SUM(AN58:AN67)</f>
        <v>-1.0631288922833775</v>
      </c>
      <c r="AO91" s="777">
        <f t="shared" si="28"/>
        <v>-1.0624271665321685</v>
      </c>
      <c r="AP91" s="777">
        <f t="shared" si="28"/>
        <v>-1.0679544200426989</v>
      </c>
      <c r="AQ91" s="777">
        <f t="shared" si="28"/>
        <v>-1.0579786552902575</v>
      </c>
      <c r="AR91" s="777">
        <f t="shared" si="28"/>
        <v>-1.0407248929379118</v>
      </c>
      <c r="AS91" s="777">
        <f t="shared" si="28"/>
        <v>-1.0546258231404826</v>
      </c>
      <c r="AT91" s="777">
        <f t="shared" si="28"/>
        <v>-1.0565692445270107</v>
      </c>
      <c r="AU91" s="777">
        <f t="shared" si="28"/>
        <v>-1.0367681823652135</v>
      </c>
      <c r="AV91" s="777">
        <f t="shared" si="28"/>
        <v>-1.0681316596691963</v>
      </c>
      <c r="AW91" s="777">
        <f t="shared" si="28"/>
        <v>-1.0536810391178437</v>
      </c>
      <c r="AX91" s="160">
        <f t="shared" si="24"/>
        <v>31362852</v>
      </c>
    </row>
    <row r="92" spans="1:54">
      <c r="AM92" s="777">
        <f>AM89+AM90+AM91</f>
        <v>-1.0571132194939785</v>
      </c>
      <c r="AN92" s="777">
        <f t="shared" ref="AN92:AW92" si="29">AN89+AN90+AN91</f>
        <v>-1.0666259360841379</v>
      </c>
      <c r="AO92" s="777">
        <f t="shared" si="29"/>
        <v>-1.0660325802170232</v>
      </c>
      <c r="AP92" s="777">
        <f t="shared" si="29"/>
        <v>-1.0711438025665405</v>
      </c>
      <c r="AQ92" s="777">
        <f t="shared" si="29"/>
        <v>-1.0614829082558359</v>
      </c>
      <c r="AR92" s="777">
        <f t="shared" si="29"/>
        <v>-1.0454172459314732</v>
      </c>
      <c r="AS92" s="777">
        <f t="shared" si="29"/>
        <v>-1.0605157321785683</v>
      </c>
      <c r="AT92" s="777">
        <f t="shared" si="29"/>
        <v>-1.0620241355939839</v>
      </c>
      <c r="AU92" s="777">
        <f t="shared" si="29"/>
        <v>-1.0425181039810194</v>
      </c>
      <c r="AV92" s="777">
        <f t="shared" si="29"/>
        <v>-1.0733644618965534</v>
      </c>
      <c r="AW92" s="777">
        <f t="shared" si="29"/>
        <v>-1.058419398416018</v>
      </c>
      <c r="AX92" s="160">
        <f t="shared" si="24"/>
        <v>0</v>
      </c>
    </row>
    <row r="93" spans="1:54">
      <c r="AM93" s="776">
        <f>1/AM92</f>
        <v>-0.94597246686469627</v>
      </c>
      <c r="AN93" s="776">
        <f t="shared" ref="AN93:AW93" si="30">1/AN92</f>
        <v>-0.93753579973056056</v>
      </c>
      <c r="AO93" s="776">
        <f t="shared" si="30"/>
        <v>-0.93805763403255438</v>
      </c>
      <c r="AP93" s="776">
        <f t="shared" si="30"/>
        <v>-0.93358146460253544</v>
      </c>
      <c r="AQ93" s="776">
        <f t="shared" si="30"/>
        <v>-0.94207828710415986</v>
      </c>
      <c r="AR93" s="776">
        <f t="shared" si="30"/>
        <v>-0.956555866943819</v>
      </c>
      <c r="AS93" s="776">
        <f t="shared" si="30"/>
        <v>-0.94293744982523398</v>
      </c>
      <c r="AT93" s="776">
        <f t="shared" si="30"/>
        <v>-0.94159818641099513</v>
      </c>
      <c r="AU93" s="776">
        <f t="shared" si="30"/>
        <v>-0.95921595623264733</v>
      </c>
      <c r="AV93" s="776">
        <f t="shared" si="30"/>
        <v>-0.93164999913736291</v>
      </c>
      <c r="AW93" s="776">
        <f t="shared" si="30"/>
        <v>-0.94480505695242756</v>
      </c>
      <c r="AX93" s="160">
        <f t="shared" si="24"/>
        <v>0</v>
      </c>
    </row>
    <row r="94" spans="1:54">
      <c r="AM94" s="776"/>
      <c r="AN94" s="776"/>
      <c r="AO94" s="776"/>
      <c r="AP94" s="776"/>
      <c r="AQ94" s="776"/>
      <c r="AR94" s="776"/>
      <c r="AS94" s="776"/>
      <c r="AT94" s="776"/>
      <c r="AU94" s="776"/>
      <c r="AV94" s="776"/>
      <c r="AW94" s="776"/>
      <c r="AX94" s="160">
        <f t="shared" si="24"/>
        <v>0</v>
      </c>
    </row>
    <row r="98" spans="50:50">
      <c r="AX98" s="160">
        <f t="shared" ref="AX98:AX111" si="31">SUM(C37:AW37)</f>
        <v>15696574621</v>
      </c>
    </row>
    <row r="99" spans="50:50">
      <c r="AX99" s="160">
        <f t="shared" si="31"/>
        <v>475580860</v>
      </c>
    </row>
    <row r="100" spans="50:50">
      <c r="AX100" s="160">
        <f t="shared" si="31"/>
        <v>569513581</v>
      </c>
    </row>
    <row r="101" spans="50:50">
      <c r="AX101" s="160">
        <f t="shared" si="31"/>
        <v>12509376</v>
      </c>
    </row>
    <row r="102" spans="50:50">
      <c r="AX102" s="160">
        <f t="shared" si="31"/>
        <v>75815012</v>
      </c>
    </row>
    <row r="103" spans="50:50">
      <c r="AX103" s="160">
        <f t="shared" si="31"/>
        <v>255581</v>
      </c>
    </row>
    <row r="104" spans="50:50">
      <c r="AX104" s="160">
        <f t="shared" si="31"/>
        <v>0</v>
      </c>
    </row>
    <row r="105" spans="50:50">
      <c r="AX105" s="160">
        <f t="shared" si="31"/>
        <v>3708286</v>
      </c>
    </row>
    <row r="106" spans="50:50">
      <c r="AX106" s="160">
        <f t="shared" si="31"/>
        <v>136577074</v>
      </c>
    </row>
    <row r="107" spans="50:50">
      <c r="AX107" s="160">
        <f t="shared" si="31"/>
        <v>0</v>
      </c>
    </row>
    <row r="108" spans="50:50">
      <c r="AX108" s="160">
        <f t="shared" si="31"/>
        <v>1551</v>
      </c>
    </row>
    <row r="109" spans="50:50">
      <c r="AX109" s="160">
        <f t="shared" si="31"/>
        <v>191171</v>
      </c>
    </row>
    <row r="110" spans="50:50">
      <c r="AX110" s="160">
        <f t="shared" si="31"/>
        <v>39165062</v>
      </c>
    </row>
    <row r="111" spans="50:50">
      <c r="AX111" s="160">
        <f t="shared" si="31"/>
        <v>11813355</v>
      </c>
    </row>
  </sheetData>
  <mergeCells count="8">
    <mergeCell ref="I1:I2"/>
    <mergeCell ref="J1:J2"/>
    <mergeCell ref="A1:A2"/>
    <mergeCell ref="B1:B2"/>
    <mergeCell ref="C1:C2"/>
    <mergeCell ref="D1:D2"/>
    <mergeCell ref="E1:F1"/>
    <mergeCell ref="G1:H1"/>
  </mergeCells>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BD682-0374-404A-BFB7-EF17D357E973}">
  <sheetPr>
    <pageSetUpPr fitToPage="1"/>
  </sheetPr>
  <dimension ref="A1:J55"/>
  <sheetViews>
    <sheetView showGridLines="0" topLeftCell="A9" workbookViewId="0">
      <selection activeCell="E27" sqref="E27"/>
    </sheetView>
  </sheetViews>
  <sheetFormatPr defaultColWidth="9.109375" defaultRowHeight="12" customHeight="1"/>
  <cols>
    <col min="1" max="1" width="72.33203125" style="705" customWidth="1"/>
    <col min="2" max="2" width="24.109375" style="705" customWidth="1"/>
    <col min="3" max="3" width="12" style="705" customWidth="1"/>
    <col min="4" max="4" width="15.44140625" style="705" customWidth="1"/>
    <col min="5" max="5" width="15" style="705" customWidth="1"/>
    <col min="6" max="6" width="14" style="705" customWidth="1"/>
    <col min="7" max="7" width="16.109375" style="705" customWidth="1"/>
    <col min="8" max="8" width="16.6640625" style="705" customWidth="1"/>
    <col min="9" max="9" width="18.109375" style="705" customWidth="1"/>
    <col min="10" max="10" width="16.109375" style="705" customWidth="1"/>
    <col min="11" max="16384" width="9.109375" style="705"/>
  </cols>
  <sheetData>
    <row r="1" spans="1:10" ht="15.75" customHeight="1">
      <c r="A1" s="849" t="s">
        <v>934</v>
      </c>
      <c r="B1" s="850"/>
      <c r="C1" s="702"/>
      <c r="D1" s="702"/>
      <c r="E1" s="702"/>
      <c r="F1" s="702"/>
      <c r="G1" s="702"/>
      <c r="H1" s="702"/>
      <c r="I1" s="703"/>
      <c r="J1" s="704" t="s">
        <v>935</v>
      </c>
    </row>
    <row r="2" spans="1:10" ht="15.75" customHeight="1">
      <c r="A2" s="706" t="s">
        <v>936</v>
      </c>
      <c r="B2" s="707"/>
      <c r="C2" s="703"/>
      <c r="D2" s="703"/>
      <c r="E2" s="703"/>
      <c r="F2" s="703"/>
      <c r="G2" s="703"/>
      <c r="H2" s="703"/>
      <c r="I2" s="703"/>
      <c r="J2" s="708" t="s">
        <v>937</v>
      </c>
    </row>
    <row r="3" spans="1:10" ht="15.75" customHeight="1">
      <c r="A3" s="706" t="s">
        <v>938</v>
      </c>
      <c r="B3" s="707"/>
      <c r="C3" s="703"/>
      <c r="D3" s="703"/>
      <c r="E3" s="703"/>
      <c r="F3" s="703"/>
      <c r="G3" s="703"/>
      <c r="H3" s="708"/>
      <c r="I3" s="703"/>
      <c r="J3" s="708" t="s">
        <v>939</v>
      </c>
    </row>
    <row r="4" spans="1:10" ht="15.75" customHeight="1">
      <c r="A4" s="706"/>
      <c r="B4" s="703"/>
      <c r="C4" s="703"/>
      <c r="D4" s="703"/>
      <c r="E4" s="703"/>
      <c r="F4" s="703"/>
      <c r="G4" s="703"/>
      <c r="H4" s="708"/>
      <c r="I4" s="708"/>
      <c r="J4" s="703"/>
    </row>
    <row r="5" spans="1:10" ht="12.75" customHeight="1">
      <c r="A5" s="709"/>
      <c r="B5" s="703"/>
      <c r="C5" s="703"/>
      <c r="D5" s="703"/>
      <c r="E5" s="703"/>
      <c r="F5" s="703"/>
      <c r="G5" s="703"/>
      <c r="H5" s="703"/>
      <c r="I5" s="703"/>
      <c r="J5" s="703"/>
    </row>
    <row r="6" spans="1:10" ht="14.25" customHeight="1">
      <c r="A6" s="851" t="s">
        <v>940</v>
      </c>
      <c r="B6" s="854" t="s">
        <v>941</v>
      </c>
      <c r="C6" s="855"/>
      <c r="D6" s="854" t="s">
        <v>942</v>
      </c>
      <c r="E6" s="856"/>
      <c r="F6" s="857"/>
      <c r="G6" s="854" t="s">
        <v>943</v>
      </c>
      <c r="H6" s="858"/>
      <c r="I6" s="858"/>
      <c r="J6" s="855"/>
    </row>
    <row r="7" spans="1:10" ht="13.5" customHeight="1">
      <c r="A7" s="852"/>
      <c r="B7" s="859" t="s">
        <v>944</v>
      </c>
      <c r="C7" s="860"/>
      <c r="D7" s="863" t="s">
        <v>945</v>
      </c>
      <c r="E7" s="859" t="s">
        <v>946</v>
      </c>
      <c r="F7" s="860" t="s">
        <v>947</v>
      </c>
      <c r="G7" s="863" t="s">
        <v>948</v>
      </c>
      <c r="H7" s="863" t="s">
        <v>946</v>
      </c>
      <c r="I7" s="863" t="s">
        <v>947</v>
      </c>
      <c r="J7" s="710" t="s">
        <v>949</v>
      </c>
    </row>
    <row r="8" spans="1:10" ht="13.5" customHeight="1">
      <c r="A8" s="852"/>
      <c r="B8" s="861"/>
      <c r="C8" s="862"/>
      <c r="D8" s="864"/>
      <c r="E8" s="861"/>
      <c r="F8" s="862"/>
      <c r="G8" s="865"/>
      <c r="H8" s="864"/>
      <c r="I8" s="864"/>
      <c r="J8" s="710" t="s">
        <v>950</v>
      </c>
    </row>
    <row r="9" spans="1:10" ht="15" customHeight="1" thickBot="1">
      <c r="A9" s="853"/>
      <c r="B9" s="711" t="s">
        <v>951</v>
      </c>
      <c r="C9" s="712" t="s">
        <v>952</v>
      </c>
      <c r="D9" s="712" t="s">
        <v>953</v>
      </c>
      <c r="E9" s="866" t="s">
        <v>954</v>
      </c>
      <c r="F9" s="867"/>
      <c r="G9" s="866" t="s">
        <v>955</v>
      </c>
      <c r="H9" s="868"/>
      <c r="I9" s="868"/>
      <c r="J9" s="869"/>
    </row>
    <row r="10" spans="1:10" ht="12.75" customHeight="1" thickTop="1">
      <c r="A10" s="713" t="s">
        <v>956</v>
      </c>
      <c r="B10" s="714">
        <v>626702.6580323691</v>
      </c>
      <c r="C10" s="714" t="s">
        <v>957</v>
      </c>
      <c r="D10" s="715" t="s">
        <v>958</v>
      </c>
      <c r="E10" s="715" t="s">
        <v>958</v>
      </c>
      <c r="F10" s="715" t="s">
        <v>958</v>
      </c>
      <c r="G10" s="714">
        <v>32696.17418267933</v>
      </c>
      <c r="H10" s="714">
        <v>11.129124103134959</v>
      </c>
      <c r="I10" s="714">
        <v>1.2771176752758999</v>
      </c>
      <c r="J10" s="714" t="s">
        <v>959</v>
      </c>
    </row>
    <row r="11" spans="1:10" ht="12" customHeight="1">
      <c r="A11" s="716" t="s">
        <v>960</v>
      </c>
      <c r="B11" s="714">
        <v>246749.58260055727</v>
      </c>
      <c r="C11" s="714" t="s">
        <v>957</v>
      </c>
      <c r="D11" s="714">
        <v>73.166935657469509</v>
      </c>
      <c r="E11" s="714">
        <v>2.3552821003606699</v>
      </c>
      <c r="F11" s="714">
        <v>2.32066694844637</v>
      </c>
      <c r="G11" s="714">
        <v>18053.910833642432</v>
      </c>
      <c r="H11" s="714">
        <v>0.58116487517056004</v>
      </c>
      <c r="I11" s="714">
        <v>0.57262360088404995</v>
      </c>
      <c r="J11" s="714" t="s">
        <v>959</v>
      </c>
    </row>
    <row r="12" spans="1:10" ht="12" customHeight="1">
      <c r="A12" s="716" t="s">
        <v>961</v>
      </c>
      <c r="B12" s="714">
        <v>67616.038709939166</v>
      </c>
      <c r="C12" s="714" t="s">
        <v>957</v>
      </c>
      <c r="D12" s="714">
        <v>94.082276728123375</v>
      </c>
      <c r="E12" s="714">
        <v>1.6529852922713499</v>
      </c>
      <c r="F12" s="714">
        <v>1.9651978324414601</v>
      </c>
      <c r="G12" s="714">
        <v>6361.4708651679985</v>
      </c>
      <c r="H12" s="714">
        <v>0.11176831750918</v>
      </c>
      <c r="I12" s="714">
        <v>0.13287889271105</v>
      </c>
      <c r="J12" s="714" t="s">
        <v>959</v>
      </c>
    </row>
    <row r="13" spans="1:10" ht="12" customHeight="1">
      <c r="A13" s="716" t="s">
        <v>962</v>
      </c>
      <c r="B13" s="714">
        <v>113518.27919695192</v>
      </c>
      <c r="C13" s="714" t="s">
        <v>957</v>
      </c>
      <c r="D13" s="714">
        <v>57.03336878259433</v>
      </c>
      <c r="E13" s="714">
        <v>26.747916274673411</v>
      </c>
      <c r="F13" s="714">
        <v>0.98624160877305</v>
      </c>
      <c r="G13" s="714">
        <v>6474.3298810052647</v>
      </c>
      <c r="H13" s="714">
        <v>3.0363774276050699</v>
      </c>
      <c r="I13" s="714">
        <v>0.11195645030034999</v>
      </c>
      <c r="J13" s="714" t="s">
        <v>959</v>
      </c>
    </row>
    <row r="14" spans="1:10" ht="12" customHeight="1">
      <c r="A14" s="716" t="s">
        <v>963</v>
      </c>
      <c r="B14" s="714">
        <v>19179.45472032277</v>
      </c>
      <c r="C14" s="714" t="s">
        <v>957</v>
      </c>
      <c r="D14" s="714">
        <v>94.187380674044036</v>
      </c>
      <c r="E14" s="714">
        <v>5.0512555789192701</v>
      </c>
      <c r="F14" s="714">
        <v>1.5765119575125801</v>
      </c>
      <c r="G14" s="714">
        <v>1806.4626028636319</v>
      </c>
      <c r="H14" s="714">
        <v>9.6880327656660006E-2</v>
      </c>
      <c r="I14" s="714">
        <v>3.0236639705159999E-2</v>
      </c>
      <c r="J14" s="714" t="s">
        <v>959</v>
      </c>
    </row>
    <row r="15" spans="1:10" ht="13.5" customHeight="1">
      <c r="A15" s="716" t="s">
        <v>964</v>
      </c>
      <c r="B15" s="714" t="s">
        <v>959</v>
      </c>
      <c r="C15" s="714" t="s">
        <v>957</v>
      </c>
      <c r="D15" s="714" t="s">
        <v>959</v>
      </c>
      <c r="E15" s="714" t="s">
        <v>959</v>
      </c>
      <c r="F15" s="714" t="s">
        <v>959</v>
      </c>
      <c r="G15" s="714" t="s">
        <v>959</v>
      </c>
      <c r="H15" s="714" t="s">
        <v>959</v>
      </c>
      <c r="I15" s="714" t="s">
        <v>959</v>
      </c>
      <c r="J15" s="714" t="s">
        <v>959</v>
      </c>
    </row>
    <row r="16" spans="1:10" ht="12.75" customHeight="1">
      <c r="A16" s="716" t="s">
        <v>965</v>
      </c>
      <c r="B16" s="714">
        <v>179639.30280459797</v>
      </c>
      <c r="C16" s="714" t="s">
        <v>957</v>
      </c>
      <c r="D16" s="714">
        <v>106.12392191130185</v>
      </c>
      <c r="E16" s="714">
        <v>40.653314954897319</v>
      </c>
      <c r="F16" s="714">
        <v>2.3904684830712801</v>
      </c>
      <c r="G16" s="715" t="s">
        <v>958</v>
      </c>
      <c r="H16" s="714">
        <v>7.3029331551934904</v>
      </c>
      <c r="I16" s="714">
        <v>0.42942209167529</v>
      </c>
      <c r="J16" s="714" t="s">
        <v>959</v>
      </c>
    </row>
    <row r="17" spans="1:10" ht="12" customHeight="1">
      <c r="A17" s="717" t="s">
        <v>966</v>
      </c>
      <c r="B17" s="714">
        <v>250926.86714947878</v>
      </c>
      <c r="C17" s="714" t="s">
        <v>957</v>
      </c>
      <c r="D17" s="715" t="s">
        <v>958</v>
      </c>
      <c r="E17" s="715" t="s">
        <v>958</v>
      </c>
      <c r="F17" s="715" t="s">
        <v>958</v>
      </c>
      <c r="G17" s="714">
        <v>11263.850718900698</v>
      </c>
      <c r="H17" s="714">
        <v>4.4607837694353796</v>
      </c>
      <c r="I17" s="714">
        <v>0.28838103679440003</v>
      </c>
      <c r="J17" s="714" t="s">
        <v>959</v>
      </c>
    </row>
    <row r="18" spans="1:10" ht="12" customHeight="1">
      <c r="A18" s="718" t="s">
        <v>960</v>
      </c>
      <c r="B18" s="714">
        <v>17024.950388656489</v>
      </c>
      <c r="C18" s="714" t="s">
        <v>957</v>
      </c>
      <c r="D18" s="714">
        <v>58.08574472191556</v>
      </c>
      <c r="E18" s="714">
        <v>1.1502198750263299</v>
      </c>
      <c r="F18" s="714">
        <v>0.28580625068734999</v>
      </c>
      <c r="G18" s="714">
        <v>988.90692217877802</v>
      </c>
      <c r="H18" s="714">
        <v>1.9582436308370001E-2</v>
      </c>
      <c r="I18" s="714">
        <v>4.86583723872E-3</v>
      </c>
      <c r="J18" s="714" t="s">
        <v>959</v>
      </c>
    </row>
    <row r="19" spans="1:10" ht="12" customHeight="1">
      <c r="A19" s="718" t="s">
        <v>961</v>
      </c>
      <c r="B19" s="714">
        <v>62021.106548375603</v>
      </c>
      <c r="C19" s="714" t="s">
        <v>957</v>
      </c>
      <c r="D19" s="714">
        <v>94.087573310703135</v>
      </c>
      <c r="E19" s="714">
        <v>0.90000000000003</v>
      </c>
      <c r="F19" s="714">
        <v>0.80106493746524998</v>
      </c>
      <c r="G19" s="714">
        <v>5835.4154091812197</v>
      </c>
      <c r="H19" s="714">
        <v>5.5818995893540002E-2</v>
      </c>
      <c r="I19" s="714">
        <v>4.9682933838699997E-2</v>
      </c>
      <c r="J19" s="714" t="s">
        <v>959</v>
      </c>
    </row>
    <row r="20" spans="1:10" ht="12" customHeight="1">
      <c r="A20" s="718" t="s">
        <v>962</v>
      </c>
      <c r="B20" s="714">
        <v>50079.574709284701</v>
      </c>
      <c r="C20" s="714" t="s">
        <v>957</v>
      </c>
      <c r="D20" s="714">
        <v>57.215277109201828</v>
      </c>
      <c r="E20" s="714">
        <v>51.434255145822917</v>
      </c>
      <c r="F20" s="714">
        <v>0.95622519186472998</v>
      </c>
      <c r="G20" s="714">
        <v>2865.3167445027002</v>
      </c>
      <c r="H20" s="714">
        <v>2.5758056231916502</v>
      </c>
      <c r="I20" s="714">
        <v>4.7887350934890001E-2</v>
      </c>
      <c r="J20" s="714" t="s">
        <v>959</v>
      </c>
    </row>
    <row r="21" spans="1:10" ht="13.5" customHeight="1">
      <c r="A21" s="718" t="s">
        <v>963</v>
      </c>
      <c r="B21" s="714">
        <v>16396.305033446999</v>
      </c>
      <c r="C21" s="714" t="s">
        <v>957</v>
      </c>
      <c r="D21" s="714">
        <v>96.010146177858275</v>
      </c>
      <c r="E21" s="714">
        <v>0.33999999999988001</v>
      </c>
      <c r="F21" s="714">
        <v>1.20000000000022</v>
      </c>
      <c r="G21" s="714">
        <v>1574.2116430379999</v>
      </c>
      <c r="H21" s="714">
        <v>5.5747437113700003E-3</v>
      </c>
      <c r="I21" s="714">
        <v>1.9675566040140001E-2</v>
      </c>
      <c r="J21" s="714" t="s">
        <v>959</v>
      </c>
    </row>
    <row r="22" spans="1:10" ht="12" customHeight="1">
      <c r="A22" s="718" t="s">
        <v>964</v>
      </c>
      <c r="B22" s="714" t="s">
        <v>959</v>
      </c>
      <c r="C22" s="714" t="s">
        <v>957</v>
      </c>
      <c r="D22" s="714" t="s">
        <v>959</v>
      </c>
      <c r="E22" s="714" t="s">
        <v>959</v>
      </c>
      <c r="F22" s="714" t="s">
        <v>959</v>
      </c>
      <c r="G22" s="714" t="s">
        <v>959</v>
      </c>
      <c r="H22" s="714" t="s">
        <v>959</v>
      </c>
      <c r="I22" s="714" t="s">
        <v>959</v>
      </c>
      <c r="J22" s="714" t="s">
        <v>959</v>
      </c>
    </row>
    <row r="23" spans="1:10" ht="12" customHeight="1">
      <c r="A23" s="718" t="s">
        <v>965</v>
      </c>
      <c r="B23" s="714">
        <v>105404.93046971499</v>
      </c>
      <c r="C23" s="714" t="s">
        <v>957</v>
      </c>
      <c r="D23" s="714">
        <v>109.49497706199099</v>
      </c>
      <c r="E23" s="714">
        <v>17.114967604373849</v>
      </c>
      <c r="F23" s="714">
        <v>1.5774342623348401</v>
      </c>
      <c r="G23" s="714">
        <v>11541.3104440022</v>
      </c>
      <c r="H23" s="714">
        <v>1.80400197033045</v>
      </c>
      <c r="I23" s="714">
        <v>0.16626934874195001</v>
      </c>
      <c r="J23" s="714" t="s">
        <v>959</v>
      </c>
    </row>
    <row r="24" spans="1:10" ht="12" customHeight="1">
      <c r="A24" s="719" t="s">
        <v>967</v>
      </c>
      <c r="B24" s="714">
        <v>213195.87945947869</v>
      </c>
      <c r="C24" s="714" t="s">
        <v>957</v>
      </c>
      <c r="D24" s="715" t="s">
        <v>958</v>
      </c>
      <c r="E24" s="715" t="s">
        <v>958</v>
      </c>
      <c r="F24" s="715" t="s">
        <v>958</v>
      </c>
      <c r="G24" s="714">
        <v>9112.7280472490202</v>
      </c>
      <c r="H24" s="714">
        <v>4.4056961870405003</v>
      </c>
      <c r="I24" s="714">
        <v>0.26251997420848</v>
      </c>
      <c r="J24" s="714" t="s">
        <v>959</v>
      </c>
    </row>
    <row r="25" spans="1:10" ht="12" customHeight="1">
      <c r="A25" s="718" t="s">
        <v>960</v>
      </c>
      <c r="B25" s="714">
        <v>1663.7375456984901</v>
      </c>
      <c r="C25" s="714" t="s">
        <v>957</v>
      </c>
      <c r="D25" s="714">
        <v>76.148116747363716</v>
      </c>
      <c r="E25" s="714">
        <v>1.25545018716464</v>
      </c>
      <c r="F25" s="714">
        <v>0.82618169157378996</v>
      </c>
      <c r="G25" s="714">
        <v>126.69048086682101</v>
      </c>
      <c r="H25" s="714">
        <v>2.0887396131400002E-3</v>
      </c>
      <c r="I25" s="714">
        <v>1.37454949984E-3</v>
      </c>
      <c r="J25" s="714" t="s">
        <v>959</v>
      </c>
    </row>
    <row r="26" spans="1:10" ht="12" customHeight="1">
      <c r="A26" s="718" t="s">
        <v>961</v>
      </c>
      <c r="B26" s="714">
        <v>62021.106548375603</v>
      </c>
      <c r="C26" s="714" t="s">
        <v>957</v>
      </c>
      <c r="D26" s="714">
        <v>94.087573310703135</v>
      </c>
      <c r="E26" s="714">
        <v>0.90000000000003</v>
      </c>
      <c r="F26" s="714">
        <v>0.80106493746524998</v>
      </c>
      <c r="G26" s="714">
        <v>5835.4154091812197</v>
      </c>
      <c r="H26" s="714">
        <v>5.5818995893540002E-2</v>
      </c>
      <c r="I26" s="714">
        <v>4.9682933838699997E-2</v>
      </c>
      <c r="J26" s="714" t="s">
        <v>959</v>
      </c>
    </row>
    <row r="27" spans="1:10" ht="12" customHeight="1">
      <c r="A27" s="718" t="s">
        <v>962</v>
      </c>
      <c r="B27" s="714">
        <v>27709.799862242598</v>
      </c>
      <c r="C27" s="714" t="s">
        <v>957</v>
      </c>
      <c r="D27" s="714">
        <v>56.889999999999951</v>
      </c>
      <c r="E27" s="714">
        <v>91.599786000279636</v>
      </c>
      <c r="F27" s="714">
        <v>0.92088633677287002</v>
      </c>
      <c r="G27" s="714">
        <v>1576.41051416298</v>
      </c>
      <c r="H27" s="714">
        <v>2.5382117374919999</v>
      </c>
      <c r="I27" s="714">
        <v>2.5517576087850002E-2</v>
      </c>
      <c r="J27" s="714" t="s">
        <v>959</v>
      </c>
    </row>
    <row r="28" spans="1:10" ht="12" customHeight="1">
      <c r="A28" s="718" t="s">
        <v>963</v>
      </c>
      <c r="B28" s="714">
        <v>16396.305033446999</v>
      </c>
      <c r="C28" s="714" t="s">
        <v>957</v>
      </c>
      <c r="D28" s="714">
        <v>96.010146177858275</v>
      </c>
      <c r="E28" s="714">
        <v>0.33999999999988001</v>
      </c>
      <c r="F28" s="714">
        <v>1.20000000000022</v>
      </c>
      <c r="G28" s="714">
        <v>1574.2116430379999</v>
      </c>
      <c r="H28" s="714">
        <v>5.5747437113700003E-3</v>
      </c>
      <c r="I28" s="714">
        <v>1.9675566040140001E-2</v>
      </c>
      <c r="J28" s="714" t="s">
        <v>959</v>
      </c>
    </row>
    <row r="29" spans="1:10" ht="12" customHeight="1">
      <c r="A29" s="718" t="s">
        <v>964</v>
      </c>
      <c r="B29" s="714" t="s">
        <v>959</v>
      </c>
      <c r="C29" s="714" t="s">
        <v>957</v>
      </c>
      <c r="D29" s="714" t="s">
        <v>959</v>
      </c>
      <c r="E29" s="714" t="s">
        <v>959</v>
      </c>
      <c r="F29" s="714" t="s">
        <v>959</v>
      </c>
      <c r="G29" s="714" t="s">
        <v>959</v>
      </c>
      <c r="H29" s="714" t="s">
        <v>959</v>
      </c>
      <c r="I29" s="714" t="s">
        <v>959</v>
      </c>
      <c r="J29" s="714" t="s">
        <v>959</v>
      </c>
    </row>
    <row r="30" spans="1:10" ht="12" customHeight="1">
      <c r="A30" s="718" t="s">
        <v>965</v>
      </c>
      <c r="B30" s="714">
        <v>105404.93046971499</v>
      </c>
      <c r="C30" s="714" t="s">
        <v>957</v>
      </c>
      <c r="D30" s="714">
        <v>109.49497706199099</v>
      </c>
      <c r="E30" s="714">
        <v>17.114967604373849</v>
      </c>
      <c r="F30" s="714">
        <v>1.5774342623348401</v>
      </c>
      <c r="G30" s="714">
        <v>11541.3104440022</v>
      </c>
      <c r="H30" s="714">
        <v>1.80400197033045</v>
      </c>
      <c r="I30" s="714">
        <v>0.16626934874195001</v>
      </c>
      <c r="J30" s="714" t="s">
        <v>959</v>
      </c>
    </row>
    <row r="31" spans="1:10" ht="12" customHeight="1">
      <c r="A31" s="720" t="s">
        <v>968</v>
      </c>
      <c r="B31" s="714">
        <v>15874.619135847999</v>
      </c>
      <c r="C31" s="714" t="s">
        <v>957</v>
      </c>
      <c r="D31" s="715" t="s">
        <v>958</v>
      </c>
      <c r="E31" s="715" t="s">
        <v>958</v>
      </c>
      <c r="F31" s="715" t="s">
        <v>958</v>
      </c>
      <c r="G31" s="714">
        <v>891.42285795096598</v>
      </c>
      <c r="H31" s="714">
        <v>1.80069557059E-2</v>
      </c>
      <c r="I31" s="714">
        <v>4.0047234882100002E-3</v>
      </c>
      <c r="J31" s="714" t="s">
        <v>959</v>
      </c>
    </row>
    <row r="32" spans="1:10" ht="12" customHeight="1">
      <c r="A32" s="718" t="s">
        <v>960</v>
      </c>
      <c r="B32" s="721">
        <v>15361.139201848</v>
      </c>
      <c r="C32" s="714" t="s">
        <v>957</v>
      </c>
      <c r="D32" s="714">
        <v>56.129364702455071</v>
      </c>
      <c r="E32" s="714">
        <v>1.1388137000799701</v>
      </c>
      <c r="F32" s="714">
        <v>0.22727764577446999</v>
      </c>
      <c r="G32" s="721">
        <v>862.21098450570605</v>
      </c>
      <c r="H32" s="721">
        <v>1.74934757719E-2</v>
      </c>
      <c r="I32" s="721">
        <v>3.4912435542100002E-3</v>
      </c>
      <c r="J32" s="721" t="s">
        <v>959</v>
      </c>
    </row>
    <row r="33" spans="1:10" ht="12" customHeight="1">
      <c r="A33" s="718" t="s">
        <v>961</v>
      </c>
      <c r="B33" s="721" t="s">
        <v>959</v>
      </c>
      <c r="C33" s="714" t="s">
        <v>957</v>
      </c>
      <c r="D33" s="714" t="s">
        <v>959</v>
      </c>
      <c r="E33" s="714" t="s">
        <v>959</v>
      </c>
      <c r="F33" s="714" t="s">
        <v>959</v>
      </c>
      <c r="G33" s="721" t="s">
        <v>959</v>
      </c>
      <c r="H33" s="721" t="s">
        <v>959</v>
      </c>
      <c r="I33" s="721" t="s">
        <v>959</v>
      </c>
      <c r="J33" s="721" t="s">
        <v>959</v>
      </c>
    </row>
    <row r="34" spans="1:10" ht="12" customHeight="1">
      <c r="A34" s="718" t="s">
        <v>962</v>
      </c>
      <c r="B34" s="721">
        <v>513.47993399999996</v>
      </c>
      <c r="C34" s="714" t="s">
        <v>957</v>
      </c>
      <c r="D34" s="714">
        <v>56.89</v>
      </c>
      <c r="E34" s="714">
        <v>1</v>
      </c>
      <c r="F34" s="714">
        <v>1</v>
      </c>
      <c r="G34" s="721">
        <v>29.21187344526</v>
      </c>
      <c r="H34" s="721">
        <v>5.1347993400000002E-4</v>
      </c>
      <c r="I34" s="721">
        <v>5.1347993400000002E-4</v>
      </c>
      <c r="J34" s="721" t="s">
        <v>959</v>
      </c>
    </row>
    <row r="35" spans="1:10" ht="12" customHeight="1">
      <c r="A35" s="718" t="s">
        <v>963</v>
      </c>
      <c r="B35" s="721" t="s">
        <v>959</v>
      </c>
      <c r="C35" s="714" t="s">
        <v>957</v>
      </c>
      <c r="D35" s="714" t="s">
        <v>959</v>
      </c>
      <c r="E35" s="714" t="s">
        <v>959</v>
      </c>
      <c r="F35" s="714" t="s">
        <v>959</v>
      </c>
      <c r="G35" s="721" t="s">
        <v>959</v>
      </c>
      <c r="H35" s="721" t="s">
        <v>959</v>
      </c>
      <c r="I35" s="721" t="s">
        <v>959</v>
      </c>
      <c r="J35" s="721" t="s">
        <v>959</v>
      </c>
    </row>
    <row r="36" spans="1:10" ht="13.5" customHeight="1">
      <c r="A36" s="718" t="s">
        <v>964</v>
      </c>
      <c r="B36" s="721" t="s">
        <v>959</v>
      </c>
      <c r="C36" s="714" t="s">
        <v>957</v>
      </c>
      <c r="D36" s="714" t="s">
        <v>959</v>
      </c>
      <c r="E36" s="714" t="s">
        <v>959</v>
      </c>
      <c r="F36" s="714" t="s">
        <v>959</v>
      </c>
      <c r="G36" s="721" t="s">
        <v>959</v>
      </c>
      <c r="H36" s="721" t="s">
        <v>959</v>
      </c>
      <c r="I36" s="721" t="s">
        <v>959</v>
      </c>
      <c r="J36" s="721" t="s">
        <v>959</v>
      </c>
    </row>
    <row r="37" spans="1:10" ht="12" customHeight="1">
      <c r="A37" s="718" t="s">
        <v>965</v>
      </c>
      <c r="B37" s="721" t="s">
        <v>959</v>
      </c>
      <c r="C37" s="714" t="s">
        <v>957</v>
      </c>
      <c r="D37" s="714" t="s">
        <v>959</v>
      </c>
      <c r="E37" s="714" t="s">
        <v>959</v>
      </c>
      <c r="F37" s="714" t="s">
        <v>959</v>
      </c>
      <c r="G37" s="721" t="s">
        <v>959</v>
      </c>
      <c r="H37" s="721" t="s">
        <v>959</v>
      </c>
      <c r="I37" s="721" t="s">
        <v>959</v>
      </c>
      <c r="J37" s="721" t="s">
        <v>959</v>
      </c>
    </row>
    <row r="38" spans="1:10" ht="12" customHeight="1">
      <c r="A38" s="722" t="s">
        <v>969</v>
      </c>
      <c r="B38" s="714">
        <v>21856.368554152101</v>
      </c>
      <c r="C38" s="714" t="s">
        <v>957</v>
      </c>
      <c r="D38" s="715" t="s">
        <v>958</v>
      </c>
      <c r="E38" s="715" t="s">
        <v>958</v>
      </c>
      <c r="F38" s="715" t="s">
        <v>958</v>
      </c>
      <c r="G38" s="714">
        <v>1259.699813700711</v>
      </c>
      <c r="H38" s="714">
        <v>3.7080626688980003E-2</v>
      </c>
      <c r="I38" s="714">
        <v>2.1856339097709999E-2</v>
      </c>
      <c r="J38" s="714" t="s">
        <v>959</v>
      </c>
    </row>
    <row r="39" spans="1:10" ht="12" customHeight="1">
      <c r="A39" s="716" t="s">
        <v>960</v>
      </c>
      <c r="B39" s="714">
        <v>7.3641109999999996E-2</v>
      </c>
      <c r="C39" s="714" t="s">
        <v>957</v>
      </c>
      <c r="D39" s="714">
        <v>74.099999999999994</v>
      </c>
      <c r="E39" s="714">
        <v>3</v>
      </c>
      <c r="F39" s="714">
        <v>0.60000005431749004</v>
      </c>
      <c r="G39" s="714">
        <v>5.4568062510000001E-3</v>
      </c>
      <c r="H39" s="714">
        <v>2.2092333E-7</v>
      </c>
      <c r="I39" s="714">
        <v>4.4184670000000002E-8</v>
      </c>
      <c r="J39" s="714" t="s">
        <v>959</v>
      </c>
    </row>
    <row r="40" spans="1:10" ht="12" customHeight="1">
      <c r="A40" s="716" t="s">
        <v>961</v>
      </c>
      <c r="B40" s="714" t="s">
        <v>959</v>
      </c>
      <c r="C40" s="714" t="s">
        <v>957</v>
      </c>
      <c r="D40" s="714" t="s">
        <v>959</v>
      </c>
      <c r="E40" s="714" t="s">
        <v>959</v>
      </c>
      <c r="F40" s="714" t="s">
        <v>959</v>
      </c>
      <c r="G40" s="714" t="s">
        <v>959</v>
      </c>
      <c r="H40" s="714" t="s">
        <v>959</v>
      </c>
      <c r="I40" s="714" t="s">
        <v>959</v>
      </c>
      <c r="J40" s="714" t="s">
        <v>959</v>
      </c>
    </row>
    <row r="41" spans="1:10" ht="12" customHeight="1">
      <c r="A41" s="716" t="s">
        <v>962</v>
      </c>
      <c r="B41" s="714">
        <v>21856.2949130421</v>
      </c>
      <c r="C41" s="714" t="s">
        <v>957</v>
      </c>
      <c r="D41" s="714">
        <v>57.635311104023152</v>
      </c>
      <c r="E41" s="714">
        <v>1.6965549702353</v>
      </c>
      <c r="F41" s="714">
        <v>0.99999999999989997</v>
      </c>
      <c r="G41" s="714">
        <v>1259.69435689446</v>
      </c>
      <c r="H41" s="714">
        <v>3.7080405765649999E-2</v>
      </c>
      <c r="I41" s="714">
        <v>2.185629491304E-2</v>
      </c>
      <c r="J41" s="714" t="s">
        <v>959</v>
      </c>
    </row>
    <row r="42" spans="1:10" ht="12" customHeight="1">
      <c r="A42" s="716" t="s">
        <v>963</v>
      </c>
      <c r="B42" s="714" t="s">
        <v>959</v>
      </c>
      <c r="C42" s="714" t="s">
        <v>957</v>
      </c>
      <c r="D42" s="714" t="s">
        <v>959</v>
      </c>
      <c r="E42" s="714" t="s">
        <v>959</v>
      </c>
      <c r="F42" s="714" t="s">
        <v>959</v>
      </c>
      <c r="G42" s="714" t="s">
        <v>959</v>
      </c>
      <c r="H42" s="714" t="s">
        <v>959</v>
      </c>
      <c r="I42" s="714" t="s">
        <v>959</v>
      </c>
      <c r="J42" s="714" t="s">
        <v>959</v>
      </c>
    </row>
    <row r="43" spans="1:10" ht="13.5" customHeight="1">
      <c r="A43" s="716" t="s">
        <v>964</v>
      </c>
      <c r="B43" s="714" t="s">
        <v>959</v>
      </c>
      <c r="C43" s="714" t="s">
        <v>957</v>
      </c>
      <c r="D43" s="714" t="s">
        <v>959</v>
      </c>
      <c r="E43" s="714" t="s">
        <v>959</v>
      </c>
      <c r="F43" s="714" t="s">
        <v>959</v>
      </c>
      <c r="G43" s="714" t="s">
        <v>959</v>
      </c>
      <c r="H43" s="714" t="s">
        <v>959</v>
      </c>
      <c r="I43" s="714" t="s">
        <v>959</v>
      </c>
      <c r="J43" s="714" t="s">
        <v>959</v>
      </c>
    </row>
    <row r="44" spans="1:10" ht="12.75" customHeight="1">
      <c r="A44" s="716" t="s">
        <v>965</v>
      </c>
      <c r="B44" s="714" t="s">
        <v>959</v>
      </c>
      <c r="C44" s="714" t="s">
        <v>957</v>
      </c>
      <c r="D44" s="714" t="s">
        <v>959</v>
      </c>
      <c r="E44" s="714" t="s">
        <v>959</v>
      </c>
      <c r="F44" s="714" t="s">
        <v>959</v>
      </c>
      <c r="G44" s="714" t="s">
        <v>959</v>
      </c>
      <c r="H44" s="714" t="s">
        <v>959</v>
      </c>
      <c r="I44" s="714" t="s">
        <v>959</v>
      </c>
      <c r="J44" s="714" t="s">
        <v>959</v>
      </c>
    </row>
    <row r="45" spans="1:10" ht="12.75" customHeight="1">
      <c r="A45" s="723" t="s">
        <v>970</v>
      </c>
      <c r="B45" s="714">
        <v>21856.368554152101</v>
      </c>
      <c r="C45" s="714" t="s">
        <v>957</v>
      </c>
      <c r="D45" s="715" t="s">
        <v>958</v>
      </c>
      <c r="E45" s="715" t="s">
        <v>958</v>
      </c>
      <c r="F45" s="715" t="s">
        <v>958</v>
      </c>
      <c r="G45" s="714">
        <v>1259.699813700711</v>
      </c>
      <c r="H45" s="714">
        <v>3.7080626688980003E-2</v>
      </c>
      <c r="I45" s="714">
        <v>2.1856339097709999E-2</v>
      </c>
      <c r="J45" s="714" t="s">
        <v>959</v>
      </c>
    </row>
    <row r="46" spans="1:10" ht="13.2">
      <c r="A46" s="724" t="s">
        <v>971</v>
      </c>
      <c r="B46" s="721">
        <v>7.3641109999999996E-2</v>
      </c>
      <c r="C46" s="714" t="s">
        <v>957</v>
      </c>
      <c r="D46" s="714">
        <v>74.099999999999994</v>
      </c>
      <c r="E46" s="714">
        <v>3</v>
      </c>
      <c r="F46" s="714">
        <v>0.60000005431749004</v>
      </c>
      <c r="G46" s="721">
        <v>5.4568062510000001E-3</v>
      </c>
      <c r="H46" s="721">
        <v>2.2092333E-7</v>
      </c>
      <c r="I46" s="721">
        <v>4.4184670000000002E-8</v>
      </c>
      <c r="J46" s="721" t="s">
        <v>959</v>
      </c>
    </row>
    <row r="47" spans="1:10" ht="13.2">
      <c r="A47" s="724" t="s">
        <v>972</v>
      </c>
      <c r="B47" s="721" t="s">
        <v>959</v>
      </c>
      <c r="C47" s="714" t="s">
        <v>957</v>
      </c>
      <c r="D47" s="714" t="s">
        <v>959</v>
      </c>
      <c r="E47" s="714" t="s">
        <v>959</v>
      </c>
      <c r="F47" s="714" t="s">
        <v>959</v>
      </c>
      <c r="G47" s="721" t="s">
        <v>959</v>
      </c>
      <c r="H47" s="721" t="s">
        <v>959</v>
      </c>
      <c r="I47" s="721" t="s">
        <v>959</v>
      </c>
      <c r="J47" s="721" t="s">
        <v>959</v>
      </c>
    </row>
    <row r="48" spans="1:10" ht="13.2">
      <c r="A48" s="724" t="s">
        <v>973</v>
      </c>
      <c r="B48" s="721">
        <v>21856.2949130421</v>
      </c>
      <c r="C48" s="714" t="s">
        <v>957</v>
      </c>
      <c r="D48" s="714">
        <v>57.635311104023152</v>
      </c>
      <c r="E48" s="714">
        <v>1.6965549702353</v>
      </c>
      <c r="F48" s="714">
        <v>0.99999999999989997</v>
      </c>
      <c r="G48" s="721">
        <v>1259.69435689446</v>
      </c>
      <c r="H48" s="721">
        <v>3.7080405765649999E-2</v>
      </c>
      <c r="I48" s="721">
        <v>2.185629491304E-2</v>
      </c>
      <c r="J48" s="721" t="s">
        <v>959</v>
      </c>
    </row>
    <row r="49" spans="1:10" ht="13.2">
      <c r="A49" s="724" t="s">
        <v>974</v>
      </c>
      <c r="B49" s="721" t="s">
        <v>959</v>
      </c>
      <c r="C49" s="714" t="s">
        <v>957</v>
      </c>
      <c r="D49" s="714" t="s">
        <v>959</v>
      </c>
      <c r="E49" s="714" t="s">
        <v>959</v>
      </c>
      <c r="F49" s="714" t="s">
        <v>959</v>
      </c>
      <c r="G49" s="721" t="s">
        <v>959</v>
      </c>
      <c r="H49" s="721" t="s">
        <v>959</v>
      </c>
      <c r="I49" s="721" t="s">
        <v>959</v>
      </c>
      <c r="J49" s="721" t="s">
        <v>959</v>
      </c>
    </row>
    <row r="50" spans="1:10" ht="13.2">
      <c r="A50" s="724" t="s">
        <v>829</v>
      </c>
      <c r="B50" s="721" t="s">
        <v>959</v>
      </c>
      <c r="C50" s="714" t="s">
        <v>957</v>
      </c>
      <c r="D50" s="714" t="s">
        <v>959</v>
      </c>
      <c r="E50" s="714" t="s">
        <v>959</v>
      </c>
      <c r="F50" s="714" t="s">
        <v>959</v>
      </c>
      <c r="G50" s="721" t="s">
        <v>959</v>
      </c>
      <c r="H50" s="721" t="s">
        <v>959</v>
      </c>
      <c r="I50" s="721" t="s">
        <v>959</v>
      </c>
      <c r="J50" s="721" t="s">
        <v>959</v>
      </c>
    </row>
    <row r="51" spans="1:10" ht="13.2">
      <c r="A51" s="724" t="s">
        <v>799</v>
      </c>
      <c r="B51" s="721" t="s">
        <v>959</v>
      </c>
      <c r="C51" s="714" t="s">
        <v>957</v>
      </c>
      <c r="D51" s="714" t="s">
        <v>959</v>
      </c>
      <c r="E51" s="714" t="s">
        <v>959</v>
      </c>
      <c r="F51" s="714" t="s">
        <v>959</v>
      </c>
      <c r="G51" s="721" t="s">
        <v>959</v>
      </c>
      <c r="H51" s="721" t="s">
        <v>959</v>
      </c>
      <c r="I51" s="721" t="s">
        <v>959</v>
      </c>
      <c r="J51" s="721" t="s">
        <v>959</v>
      </c>
    </row>
    <row r="52" spans="1:10" ht="12" customHeight="1">
      <c r="A52" s="725"/>
      <c r="B52" s="725"/>
      <c r="C52" s="725"/>
      <c r="D52" s="725"/>
      <c r="E52" s="725"/>
      <c r="F52" s="725"/>
      <c r="G52" s="725"/>
      <c r="H52" s="725"/>
      <c r="I52" s="725"/>
      <c r="J52" s="725"/>
    </row>
    <row r="53" spans="1:10" ht="12" customHeight="1">
      <c r="A53" s="870" t="s">
        <v>975</v>
      </c>
      <c r="B53" s="870"/>
      <c r="C53" s="726"/>
      <c r="D53" s="726"/>
      <c r="E53" s="726"/>
      <c r="F53" s="726"/>
      <c r="G53" s="726"/>
      <c r="H53" s="726"/>
      <c r="I53" s="726"/>
      <c r="J53" s="726"/>
    </row>
    <row r="54" spans="1:10" ht="12" customHeight="1">
      <c r="A54" s="726"/>
      <c r="B54" s="726"/>
      <c r="C54" s="726"/>
      <c r="D54" s="726"/>
      <c r="E54" s="726"/>
      <c r="F54" s="726"/>
      <c r="G54" s="726"/>
      <c r="H54" s="726"/>
      <c r="I54" s="726"/>
      <c r="J54" s="726"/>
    </row>
    <row r="55" spans="1:10" ht="40.5" customHeight="1">
      <c r="A55" s="847" t="s">
        <v>976</v>
      </c>
      <c r="B55" s="847"/>
      <c r="C55" s="847"/>
      <c r="D55" s="847"/>
      <c r="E55" s="847"/>
      <c r="F55" s="848"/>
      <c r="G55" s="848"/>
      <c r="H55" s="848"/>
      <c r="I55" s="848"/>
      <c r="J55" s="848"/>
    </row>
  </sheetData>
  <sheetProtection password="A754" sheet="1" objects="1" scenarios="1"/>
  <mergeCells count="16">
    <mergeCell ref="A55:J55"/>
    <mergeCell ref="A1:B1"/>
    <mergeCell ref="A6:A9"/>
    <mergeCell ref="B6:C6"/>
    <mergeCell ref="D6:F6"/>
    <mergeCell ref="G6:J6"/>
    <mergeCell ref="B7:C8"/>
    <mergeCell ref="D7:D8"/>
    <mergeCell ref="E7:E8"/>
    <mergeCell ref="F7:F8"/>
    <mergeCell ref="G7:G8"/>
    <mergeCell ref="H7:H8"/>
    <mergeCell ref="I7:I8"/>
    <mergeCell ref="E9:F9"/>
    <mergeCell ref="G9:J9"/>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3BAC6-B88B-4E8B-BD25-14163296C5CD}">
  <sheetPr>
    <tabColor theme="9" tint="0.39997558519241921"/>
  </sheetPr>
  <dimension ref="A1:P73"/>
  <sheetViews>
    <sheetView zoomScale="75" zoomScaleNormal="75" workbookViewId="0">
      <selection activeCell="E27" sqref="E27"/>
    </sheetView>
  </sheetViews>
  <sheetFormatPr defaultColWidth="8.88671875" defaultRowHeight="14.4"/>
  <cols>
    <col min="1" max="2" width="40.5546875" style="732" customWidth="1"/>
    <col min="3" max="7" width="13.6640625" style="732" customWidth="1"/>
    <col min="8" max="8" width="15.88671875" style="732" customWidth="1"/>
    <col min="9" max="12" width="13.6640625" style="732" customWidth="1"/>
    <col min="13" max="16384" width="8.88671875" style="732"/>
  </cols>
  <sheetData>
    <row r="1" spans="1:16" s="728" customFormat="1" ht="24" customHeight="1">
      <c r="A1" s="727" t="s">
        <v>977</v>
      </c>
      <c r="B1" s="727" t="s">
        <v>978</v>
      </c>
      <c r="D1" s="729"/>
      <c r="O1" s="730"/>
    </row>
    <row r="2" spans="1:16" ht="20.399999999999999">
      <c r="A2" s="731"/>
      <c r="B2" s="731"/>
      <c r="D2" s="733"/>
      <c r="O2" s="734"/>
    </row>
    <row r="3" spans="1:16" ht="36" customHeight="1" thickBot="1">
      <c r="A3" s="735"/>
      <c r="B3" s="735"/>
      <c r="C3" s="736" t="s">
        <v>979</v>
      </c>
      <c r="D3" s="737" t="s">
        <v>980</v>
      </c>
      <c r="E3" s="736" t="s">
        <v>981</v>
      </c>
      <c r="F3" s="736" t="s">
        <v>438</v>
      </c>
      <c r="G3" s="736" t="s">
        <v>982</v>
      </c>
      <c r="H3" s="736" t="s">
        <v>983</v>
      </c>
      <c r="I3" s="736" t="s">
        <v>984</v>
      </c>
      <c r="J3" s="736" t="s">
        <v>985</v>
      </c>
      <c r="K3" s="736" t="s">
        <v>570</v>
      </c>
      <c r="L3" s="736" t="s">
        <v>986</v>
      </c>
      <c r="O3" s="734"/>
    </row>
    <row r="4" spans="1:16" ht="45" customHeight="1" thickBot="1">
      <c r="A4" s="735"/>
      <c r="B4" s="735"/>
      <c r="C4" s="736" t="s">
        <v>987</v>
      </c>
      <c r="D4" s="736" t="s">
        <v>988</v>
      </c>
      <c r="E4" s="736" t="s">
        <v>989</v>
      </c>
      <c r="F4" s="736" t="s">
        <v>338</v>
      </c>
      <c r="G4" s="736" t="s">
        <v>990</v>
      </c>
      <c r="H4" s="736" t="s">
        <v>991</v>
      </c>
      <c r="I4" s="736" t="s">
        <v>992</v>
      </c>
      <c r="J4" s="736" t="s">
        <v>253</v>
      </c>
      <c r="K4" s="736" t="s">
        <v>993</v>
      </c>
      <c r="L4" s="736" t="s">
        <v>994</v>
      </c>
      <c r="O4" s="734"/>
    </row>
    <row r="5" spans="1:16">
      <c r="A5" s="738" t="s">
        <v>995</v>
      </c>
      <c r="B5" s="738" t="s">
        <v>996</v>
      </c>
      <c r="C5" s="739"/>
      <c r="D5" s="740"/>
      <c r="E5" s="741"/>
      <c r="F5" s="739"/>
      <c r="G5" s="739"/>
      <c r="H5" s="739"/>
      <c r="I5" s="739"/>
      <c r="J5" s="739"/>
      <c r="K5" s="739"/>
      <c r="L5" s="739"/>
      <c r="O5" s="734"/>
    </row>
    <row r="6" spans="1:16">
      <c r="A6" s="742" t="s">
        <v>997</v>
      </c>
      <c r="B6" s="742" t="s">
        <v>998</v>
      </c>
      <c r="C6" s="743">
        <v>749300.7</v>
      </c>
      <c r="D6" s="743">
        <v>299758.57</v>
      </c>
      <c r="E6" s="743">
        <v>-13230.77</v>
      </c>
      <c r="F6" s="743">
        <v>112784.94</v>
      </c>
      <c r="G6" s="743">
        <v>67582.240000000005</v>
      </c>
      <c r="H6" s="743">
        <v>17297.29</v>
      </c>
      <c r="I6" s="743">
        <v>246187.28</v>
      </c>
      <c r="J6" s="743">
        <v>18807.63</v>
      </c>
      <c r="K6" s="743">
        <v>113.52</v>
      </c>
      <c r="L6" s="743">
        <v>0</v>
      </c>
      <c r="M6" s="744"/>
      <c r="O6" s="734"/>
    </row>
    <row r="7" spans="1:16">
      <c r="A7" s="745" t="s">
        <v>999</v>
      </c>
      <c r="B7" s="745" t="s">
        <v>1000</v>
      </c>
      <c r="C7" s="743">
        <v>586574.21</v>
      </c>
      <c r="D7" s="743">
        <v>243628.84</v>
      </c>
      <c r="E7" s="743">
        <v>0</v>
      </c>
      <c r="F7" s="743">
        <v>155071.34</v>
      </c>
      <c r="G7" s="743">
        <v>0</v>
      </c>
      <c r="H7" s="743">
        <v>15103.09</v>
      </c>
      <c r="I7" s="743">
        <v>172770.94</v>
      </c>
      <c r="J7" s="743">
        <v>0</v>
      </c>
      <c r="K7" s="743">
        <v>0</v>
      </c>
      <c r="L7" s="743">
        <v>0</v>
      </c>
      <c r="O7" s="734"/>
      <c r="P7" s="744"/>
    </row>
    <row r="8" spans="1:16">
      <c r="A8" s="745" t="s">
        <v>1001</v>
      </c>
      <c r="B8" s="745" t="s">
        <v>1002</v>
      </c>
      <c r="C8" s="743">
        <v>2.59</v>
      </c>
      <c r="D8" s="743">
        <v>0</v>
      </c>
      <c r="E8" s="743">
        <v>2.59</v>
      </c>
      <c r="F8" s="743">
        <v>0</v>
      </c>
      <c r="G8" s="743">
        <v>0</v>
      </c>
      <c r="H8" s="743">
        <v>0</v>
      </c>
      <c r="I8" s="743">
        <v>0</v>
      </c>
      <c r="J8" s="743">
        <v>0</v>
      </c>
      <c r="K8" s="743">
        <v>0</v>
      </c>
      <c r="L8" s="743">
        <v>0</v>
      </c>
      <c r="O8" s="734"/>
    </row>
    <row r="9" spans="1:16">
      <c r="A9" s="745" t="s">
        <v>1003</v>
      </c>
      <c r="B9" s="745" t="s">
        <v>1004</v>
      </c>
      <c r="C9" s="743">
        <v>675226.83</v>
      </c>
      <c r="D9" s="743">
        <v>205302.93</v>
      </c>
      <c r="E9" s="743">
        <v>253805.88</v>
      </c>
      <c r="F9" s="743">
        <v>14522.53</v>
      </c>
      <c r="G9" s="743">
        <v>67360.490000000005</v>
      </c>
      <c r="H9" s="743">
        <v>2194.1999999999998</v>
      </c>
      <c r="I9" s="743">
        <v>75646.28</v>
      </c>
      <c r="J9" s="743">
        <v>56280.99</v>
      </c>
      <c r="K9" s="743">
        <v>113.52</v>
      </c>
      <c r="L9" s="743">
        <v>0</v>
      </c>
      <c r="O9" s="734"/>
    </row>
    <row r="10" spans="1:16">
      <c r="A10" s="745" t="s">
        <v>1005</v>
      </c>
      <c r="B10" s="745" t="s">
        <v>1006</v>
      </c>
      <c r="C10" s="743">
        <v>-496705.22</v>
      </c>
      <c r="D10" s="743">
        <v>-149682.91</v>
      </c>
      <c r="E10" s="743">
        <v>-249343.76</v>
      </c>
      <c r="F10" s="743">
        <v>-57669.02</v>
      </c>
      <c r="G10" s="743">
        <v>-420.64</v>
      </c>
      <c r="H10" s="743">
        <v>0</v>
      </c>
      <c r="I10" s="743">
        <v>-2115.5300000000002</v>
      </c>
      <c r="J10" s="743">
        <v>-37473.360000000001</v>
      </c>
      <c r="K10" s="743">
        <v>0</v>
      </c>
      <c r="L10" s="743">
        <v>0</v>
      </c>
      <c r="M10" s="744"/>
      <c r="O10" s="734"/>
    </row>
    <row r="11" spans="1:16">
      <c r="A11" s="745" t="s">
        <v>1007</v>
      </c>
      <c r="B11" s="745" t="s">
        <v>1008</v>
      </c>
      <c r="C11" s="743">
        <v>-9924.6200000000008</v>
      </c>
      <c r="D11" s="743">
        <v>0</v>
      </c>
      <c r="E11" s="743">
        <v>-9924.6200000000008</v>
      </c>
      <c r="F11" s="743">
        <v>0</v>
      </c>
      <c r="G11" s="743">
        <v>0</v>
      </c>
      <c r="H11" s="743">
        <v>0</v>
      </c>
      <c r="I11" s="743">
        <v>0</v>
      </c>
      <c r="J11" s="743">
        <v>0</v>
      </c>
      <c r="K11" s="743">
        <v>0</v>
      </c>
      <c r="L11" s="743">
        <v>0</v>
      </c>
      <c r="O11" s="734"/>
    </row>
    <row r="12" spans="1:16">
      <c r="A12" s="745" t="s">
        <v>1009</v>
      </c>
      <c r="B12" s="745" t="s">
        <v>1010</v>
      </c>
      <c r="C12" s="743">
        <v>-24876.02</v>
      </c>
      <c r="D12" s="743">
        <v>0</v>
      </c>
      <c r="E12" s="743">
        <v>-24876.02</v>
      </c>
      <c r="F12" s="743">
        <v>0</v>
      </c>
      <c r="G12" s="743">
        <v>0</v>
      </c>
      <c r="H12" s="743">
        <v>0</v>
      </c>
      <c r="I12" s="743">
        <v>0</v>
      </c>
      <c r="J12" s="743">
        <v>0</v>
      </c>
      <c r="K12" s="743">
        <v>0</v>
      </c>
      <c r="L12" s="743">
        <v>0</v>
      </c>
      <c r="O12" s="734"/>
    </row>
    <row r="13" spans="1:16">
      <c r="A13" s="745" t="s">
        <v>1011</v>
      </c>
      <c r="B13" s="745" t="s">
        <v>1012</v>
      </c>
      <c r="C13" s="743">
        <v>16300.88</v>
      </c>
      <c r="D13" s="743">
        <v>-1622.05</v>
      </c>
      <c r="E13" s="743">
        <v>19155.68</v>
      </c>
      <c r="F13" s="743">
        <v>6.66</v>
      </c>
      <c r="G13" s="743">
        <v>-1297.6099999999999</v>
      </c>
      <c r="H13" s="743">
        <v>0</v>
      </c>
      <c r="I13" s="743">
        <v>58.2</v>
      </c>
      <c r="J13" s="743">
        <v>0</v>
      </c>
      <c r="K13" s="743">
        <v>0</v>
      </c>
      <c r="L13" s="743">
        <v>0</v>
      </c>
      <c r="O13" s="734"/>
    </row>
    <row r="14" spans="1:16">
      <c r="A14" s="745" t="s">
        <v>1013</v>
      </c>
      <c r="B14" s="745" t="s">
        <v>1014</v>
      </c>
      <c r="C14" s="743">
        <v>2702.05</v>
      </c>
      <c r="D14" s="743">
        <v>2131.7600000000002</v>
      </c>
      <c r="E14" s="743">
        <v>-2050.5300000000002</v>
      </c>
      <c r="F14" s="743">
        <v>853.43</v>
      </c>
      <c r="G14" s="743">
        <v>1940</v>
      </c>
      <c r="H14" s="743">
        <v>0</v>
      </c>
      <c r="I14" s="743">
        <v>-172.62</v>
      </c>
      <c r="J14" s="743">
        <v>0</v>
      </c>
      <c r="K14" s="743">
        <v>0</v>
      </c>
      <c r="L14" s="743">
        <v>0</v>
      </c>
      <c r="O14" s="734"/>
    </row>
    <row r="15" spans="1:16">
      <c r="A15" s="742" t="s">
        <v>1015</v>
      </c>
      <c r="B15" s="742" t="s">
        <v>1016</v>
      </c>
      <c r="C15" s="743">
        <v>-38370.83</v>
      </c>
      <c r="D15" s="743">
        <v>-299758.57</v>
      </c>
      <c r="E15" s="743">
        <v>286401.84000000003</v>
      </c>
      <c r="F15" s="743">
        <v>-20987.38</v>
      </c>
      <c r="G15" s="743">
        <v>0</v>
      </c>
      <c r="H15" s="743">
        <v>0</v>
      </c>
      <c r="I15" s="743">
        <v>0</v>
      </c>
      <c r="J15" s="743">
        <v>-3414.98</v>
      </c>
      <c r="K15" s="743">
        <v>-611.74</v>
      </c>
      <c r="L15" s="743">
        <v>0</v>
      </c>
      <c r="N15" s="746"/>
      <c r="O15" s="734"/>
      <c r="P15" s="746"/>
    </row>
    <row r="16" spans="1:16">
      <c r="A16" s="745" t="s">
        <v>1017</v>
      </c>
      <c r="B16" s="745" t="s">
        <v>1018</v>
      </c>
      <c r="C16" s="743">
        <v>-20987.38</v>
      </c>
      <c r="D16" s="743">
        <v>0</v>
      </c>
      <c r="E16" s="743">
        <v>0</v>
      </c>
      <c r="F16" s="743">
        <v>-20987.38</v>
      </c>
      <c r="G16" s="743">
        <v>0</v>
      </c>
      <c r="H16" s="743">
        <v>0</v>
      </c>
      <c r="I16" s="743">
        <v>0</v>
      </c>
      <c r="J16" s="743">
        <v>0</v>
      </c>
      <c r="K16" s="743">
        <v>0</v>
      </c>
      <c r="L16" s="743">
        <v>0</v>
      </c>
      <c r="O16" s="734"/>
    </row>
    <row r="17" spans="1:16">
      <c r="A17" s="747" t="s">
        <v>1019</v>
      </c>
      <c r="B17" s="747" t="s">
        <v>1020</v>
      </c>
      <c r="C17" s="743">
        <v>300869.88</v>
      </c>
      <c r="D17" s="743">
        <v>0</v>
      </c>
      <c r="E17" s="743">
        <v>300869.88</v>
      </c>
      <c r="F17" s="743">
        <v>0</v>
      </c>
      <c r="G17" s="743">
        <v>0</v>
      </c>
      <c r="H17" s="743">
        <v>0</v>
      </c>
      <c r="I17" s="743">
        <v>0</v>
      </c>
      <c r="J17" s="743">
        <v>0</v>
      </c>
      <c r="K17" s="743">
        <v>0</v>
      </c>
      <c r="L17" s="743">
        <v>0</v>
      </c>
      <c r="M17" s="748"/>
      <c r="N17" s="748"/>
      <c r="O17" s="734"/>
      <c r="P17" s="748"/>
    </row>
    <row r="18" spans="1:16">
      <c r="A18" s="747" t="s">
        <v>1021</v>
      </c>
      <c r="B18" s="747" t="s">
        <v>1022</v>
      </c>
      <c r="C18" s="743">
        <v>-315931.68</v>
      </c>
      <c r="D18" s="743">
        <v>-299758.57</v>
      </c>
      <c r="E18" s="743">
        <v>-14468.04</v>
      </c>
      <c r="F18" s="743">
        <v>0</v>
      </c>
      <c r="G18" s="743">
        <v>0</v>
      </c>
      <c r="H18" s="743">
        <v>0</v>
      </c>
      <c r="I18" s="743">
        <v>0</v>
      </c>
      <c r="J18" s="743">
        <v>-1093.32</v>
      </c>
      <c r="K18" s="743">
        <v>-611.74</v>
      </c>
      <c r="L18" s="743">
        <v>0</v>
      </c>
      <c r="M18" s="748"/>
      <c r="N18" s="748"/>
      <c r="O18" s="734"/>
      <c r="P18" s="748"/>
    </row>
    <row r="19" spans="1:16">
      <c r="A19" s="747" t="s">
        <v>1023</v>
      </c>
      <c r="B19" s="747" t="s">
        <v>1024</v>
      </c>
      <c r="C19" s="743">
        <v>-2321.66</v>
      </c>
      <c r="D19" s="743">
        <v>0</v>
      </c>
      <c r="E19" s="743">
        <v>0</v>
      </c>
      <c r="F19" s="743">
        <v>0</v>
      </c>
      <c r="G19" s="743">
        <v>0</v>
      </c>
      <c r="H19" s="743">
        <v>0</v>
      </c>
      <c r="I19" s="743">
        <v>0</v>
      </c>
      <c r="J19" s="743">
        <v>-2321.66</v>
      </c>
      <c r="K19" s="743">
        <v>0</v>
      </c>
      <c r="L19" s="743">
        <v>0</v>
      </c>
      <c r="M19" s="748"/>
      <c r="N19" s="748"/>
      <c r="O19" s="734"/>
      <c r="P19" s="748"/>
    </row>
    <row r="20" spans="1:16">
      <c r="A20" s="742" t="s">
        <v>1025</v>
      </c>
      <c r="B20" s="742" t="s">
        <v>1026</v>
      </c>
      <c r="C20" s="743">
        <v>-38417.68</v>
      </c>
      <c r="D20" s="743">
        <v>0</v>
      </c>
      <c r="E20" s="743">
        <v>-3785.86</v>
      </c>
      <c r="F20" s="743">
        <v>-31317.51</v>
      </c>
      <c r="G20" s="743">
        <v>-61989.91</v>
      </c>
      <c r="H20" s="743">
        <v>-16310.6</v>
      </c>
      <c r="I20" s="743">
        <v>-164220.76</v>
      </c>
      <c r="J20" s="743">
        <v>104496.16</v>
      </c>
      <c r="K20" s="743">
        <v>134078.32999999999</v>
      </c>
      <c r="L20" s="743">
        <v>632.47</v>
      </c>
      <c r="M20" s="749"/>
      <c r="N20" s="744"/>
      <c r="O20" s="734"/>
    </row>
    <row r="21" spans="1:16">
      <c r="A21" s="745" t="s">
        <v>1027</v>
      </c>
      <c r="B21" s="745" t="s">
        <v>1028</v>
      </c>
      <c r="C21" s="743">
        <v>-28727.87</v>
      </c>
      <c r="D21" s="743">
        <v>0</v>
      </c>
      <c r="E21" s="743">
        <v>-831.34</v>
      </c>
      <c r="F21" s="743">
        <v>-3994.78</v>
      </c>
      <c r="G21" s="743">
        <v>-61841.29</v>
      </c>
      <c r="H21" s="743">
        <v>0</v>
      </c>
      <c r="I21" s="743">
        <v>-47813.87</v>
      </c>
      <c r="J21" s="743">
        <v>38822.92</v>
      </c>
      <c r="K21" s="743">
        <v>46930.5</v>
      </c>
      <c r="L21" s="743">
        <v>0</v>
      </c>
      <c r="M21" s="748"/>
      <c r="N21" s="744"/>
      <c r="O21" s="734"/>
    </row>
    <row r="22" spans="1:16">
      <c r="A22" s="745" t="s">
        <v>1029</v>
      </c>
      <c r="B22" s="745" t="s">
        <v>1030</v>
      </c>
      <c r="C22" s="743">
        <v>0</v>
      </c>
      <c r="D22" s="743">
        <v>0</v>
      </c>
      <c r="E22" s="743">
        <v>0</v>
      </c>
      <c r="F22" s="743">
        <v>0</v>
      </c>
      <c r="G22" s="743">
        <v>0</v>
      </c>
      <c r="H22" s="743">
        <v>0</v>
      </c>
      <c r="I22" s="743">
        <v>-50089.19</v>
      </c>
      <c r="J22" s="743">
        <v>50089.19</v>
      </c>
      <c r="K22" s="743">
        <v>0</v>
      </c>
      <c r="L22" s="743">
        <v>0</v>
      </c>
      <c r="M22" s="744"/>
      <c r="N22" s="744"/>
      <c r="O22" s="734"/>
    </row>
    <row r="23" spans="1:16">
      <c r="A23" s="745" t="s">
        <v>1031</v>
      </c>
      <c r="B23" s="745" t="s">
        <v>1032</v>
      </c>
      <c r="C23" s="743">
        <v>-2906.43</v>
      </c>
      <c r="D23" s="743">
        <v>0</v>
      </c>
      <c r="E23" s="743">
        <v>-16.739999999999998</v>
      </c>
      <c r="F23" s="743">
        <v>-11106.74</v>
      </c>
      <c r="G23" s="743">
        <v>-38.54</v>
      </c>
      <c r="H23" s="743">
        <v>-2421.4499999999998</v>
      </c>
      <c r="I23" s="743">
        <v>-17420.71</v>
      </c>
      <c r="J23" s="743">
        <v>9277.49</v>
      </c>
      <c r="K23" s="743">
        <v>18820.259999999998</v>
      </c>
      <c r="L23" s="743">
        <v>0</v>
      </c>
      <c r="M23" s="744"/>
      <c r="O23" s="750"/>
      <c r="P23" s="734"/>
    </row>
    <row r="24" spans="1:16">
      <c r="A24" s="745" t="s">
        <v>1033</v>
      </c>
      <c r="B24" s="745" t="s">
        <v>1034</v>
      </c>
      <c r="C24" s="743">
        <v>-496.99</v>
      </c>
      <c r="D24" s="743">
        <v>0</v>
      </c>
      <c r="E24" s="743">
        <v>-789.91</v>
      </c>
      <c r="F24" s="743">
        <v>-12675.35</v>
      </c>
      <c r="G24" s="743">
        <v>-110.08</v>
      </c>
      <c r="H24" s="743">
        <v>-236.03</v>
      </c>
      <c r="I24" s="743">
        <v>-24569.439999999999</v>
      </c>
      <c r="J24" s="743">
        <v>-1058.96</v>
      </c>
      <c r="K24" s="743">
        <v>38942.78</v>
      </c>
      <c r="L24" s="743">
        <v>0</v>
      </c>
      <c r="M24" s="744"/>
      <c r="O24" s="734"/>
      <c r="P24" s="734"/>
    </row>
    <row r="25" spans="1:16">
      <c r="A25" s="745" t="s">
        <v>1035</v>
      </c>
      <c r="B25" s="745" t="s">
        <v>1036</v>
      </c>
      <c r="C25" s="743">
        <v>-1566.14</v>
      </c>
      <c r="D25" s="743">
        <v>0</v>
      </c>
      <c r="E25" s="743">
        <v>-2147.87</v>
      </c>
      <c r="F25" s="743">
        <v>-2998.4</v>
      </c>
      <c r="G25" s="743">
        <v>0</v>
      </c>
      <c r="H25" s="743">
        <v>-13653.13</v>
      </c>
      <c r="I25" s="743">
        <v>-24167.15</v>
      </c>
      <c r="J25" s="743">
        <v>11160.84</v>
      </c>
      <c r="K25" s="743">
        <v>30239.57</v>
      </c>
      <c r="L25" s="743">
        <v>0</v>
      </c>
      <c r="M25" s="744"/>
      <c r="O25" s="734"/>
      <c r="P25" s="734"/>
    </row>
    <row r="26" spans="1:16">
      <c r="A26" s="745" t="s">
        <v>1037</v>
      </c>
      <c r="B26" s="745" t="s">
        <v>1038</v>
      </c>
      <c r="C26" s="743">
        <v>-70.150000000000006</v>
      </c>
      <c r="D26" s="743">
        <v>0</v>
      </c>
      <c r="E26" s="743">
        <v>0</v>
      </c>
      <c r="F26" s="743">
        <v>-542.23</v>
      </c>
      <c r="G26" s="743">
        <v>0</v>
      </c>
      <c r="H26" s="743">
        <v>0</v>
      </c>
      <c r="I26" s="743">
        <v>-160.38999999999999</v>
      </c>
      <c r="J26" s="743">
        <v>0</v>
      </c>
      <c r="K26" s="743">
        <v>0</v>
      </c>
      <c r="L26" s="743">
        <v>632.47</v>
      </c>
      <c r="M26" s="744"/>
      <c r="O26" s="734"/>
      <c r="P26" s="734"/>
    </row>
    <row r="27" spans="1:16">
      <c r="A27" s="745" t="s">
        <v>1039</v>
      </c>
      <c r="B27" s="745" t="s">
        <v>1040</v>
      </c>
      <c r="C27" s="743">
        <v>-4650.09</v>
      </c>
      <c r="D27" s="743">
        <v>0</v>
      </c>
      <c r="E27" s="743">
        <v>0</v>
      </c>
      <c r="F27" s="743">
        <v>0</v>
      </c>
      <c r="G27" s="743">
        <v>0</v>
      </c>
      <c r="H27" s="743">
        <v>0</v>
      </c>
      <c r="I27" s="743">
        <v>0</v>
      </c>
      <c r="J27" s="743">
        <v>-3795.32</v>
      </c>
      <c r="K27" s="743">
        <v>-854.77</v>
      </c>
      <c r="L27" s="743">
        <v>0</v>
      </c>
      <c r="M27" s="744"/>
      <c r="O27" s="734"/>
      <c r="P27" s="734"/>
    </row>
    <row r="28" spans="1:16">
      <c r="A28" s="742" t="s">
        <v>1041</v>
      </c>
      <c r="B28" s="742" t="s">
        <v>1042</v>
      </c>
      <c r="C28" s="743">
        <v>-34959.230000000003</v>
      </c>
      <c r="D28" s="743">
        <v>0</v>
      </c>
      <c r="E28" s="743">
        <v>0</v>
      </c>
      <c r="F28" s="743">
        <v>-110.28</v>
      </c>
      <c r="G28" s="743">
        <v>0</v>
      </c>
      <c r="H28" s="743">
        <v>0</v>
      </c>
      <c r="I28" s="743">
        <v>0</v>
      </c>
      <c r="J28" s="743">
        <v>-7985.28</v>
      </c>
      <c r="K28" s="743">
        <v>-26838.37</v>
      </c>
      <c r="L28" s="743">
        <v>-25.3</v>
      </c>
      <c r="N28" s="744"/>
      <c r="O28" s="734"/>
      <c r="P28" s="734"/>
    </row>
    <row r="29" spans="1:16">
      <c r="A29" s="742" t="s">
        <v>1043</v>
      </c>
      <c r="B29" s="742" t="s">
        <v>1044</v>
      </c>
      <c r="C29" s="743">
        <v>-637544.47</v>
      </c>
      <c r="D29" s="743">
        <v>0</v>
      </c>
      <c r="E29" s="743">
        <v>-269385.2</v>
      </c>
      <c r="F29" s="743">
        <v>-60369.78</v>
      </c>
      <c r="G29" s="743">
        <v>-5592.32</v>
      </c>
      <c r="H29" s="743">
        <v>-986.69</v>
      </c>
      <c r="I29" s="743">
        <v>-81958.039999999994</v>
      </c>
      <c r="J29" s="743">
        <v>-111903.53</v>
      </c>
      <c r="K29" s="743">
        <v>-106741.74</v>
      </c>
      <c r="L29" s="743">
        <v>-607.16999999999996</v>
      </c>
      <c r="O29" s="734"/>
      <c r="P29" s="734"/>
    </row>
    <row r="30" spans="1:16">
      <c r="A30" s="745" t="s">
        <v>1045</v>
      </c>
      <c r="B30" s="745" t="s">
        <v>1046</v>
      </c>
      <c r="C30" s="743">
        <v>-10268.39</v>
      </c>
      <c r="D30" s="743">
        <v>0</v>
      </c>
      <c r="E30" s="743">
        <v>-10268.39</v>
      </c>
      <c r="F30" s="743">
        <v>0</v>
      </c>
      <c r="G30" s="743">
        <v>0</v>
      </c>
      <c r="H30" s="743">
        <v>0</v>
      </c>
      <c r="I30" s="743">
        <v>0</v>
      </c>
      <c r="J30" s="743">
        <v>0</v>
      </c>
      <c r="K30" s="743">
        <v>0</v>
      </c>
      <c r="L30" s="743">
        <v>0</v>
      </c>
      <c r="P30" s="734"/>
    </row>
    <row r="31" spans="1:16">
      <c r="A31" s="745" t="s">
        <v>1047</v>
      </c>
      <c r="B31" s="745" t="s">
        <v>1048</v>
      </c>
      <c r="C31" s="743">
        <v>-222741.08</v>
      </c>
      <c r="D31" s="743">
        <v>0</v>
      </c>
      <c r="E31" s="743">
        <v>-212004.85</v>
      </c>
      <c r="F31" s="743">
        <v>-305.54000000000002</v>
      </c>
      <c r="G31" s="743">
        <v>0</v>
      </c>
      <c r="H31" s="743">
        <v>0</v>
      </c>
      <c r="I31" s="743">
        <v>-8979.6299999999992</v>
      </c>
      <c r="J31" s="743">
        <v>-1451.06</v>
      </c>
      <c r="K31" s="743">
        <v>0</v>
      </c>
      <c r="L31" s="743">
        <v>0</v>
      </c>
      <c r="O31" s="751"/>
      <c r="P31" s="734"/>
    </row>
    <row r="32" spans="1:16">
      <c r="A32" s="745" t="s">
        <v>1049</v>
      </c>
      <c r="B32" s="745" t="s">
        <v>1050</v>
      </c>
      <c r="C32" s="743">
        <v>-128914.99</v>
      </c>
      <c r="D32" s="743">
        <v>0</v>
      </c>
      <c r="E32" s="743">
        <v>-34605.919999999998</v>
      </c>
      <c r="F32" s="743">
        <v>-29111.98</v>
      </c>
      <c r="G32" s="743">
        <v>-5592.32</v>
      </c>
      <c r="H32" s="743">
        <v>-671.55</v>
      </c>
      <c r="I32" s="743">
        <v>-16362.17</v>
      </c>
      <c r="J32" s="743">
        <v>-37396.400000000001</v>
      </c>
      <c r="K32" s="743">
        <v>-4968.63</v>
      </c>
      <c r="L32" s="743">
        <v>-206.03</v>
      </c>
      <c r="O32" s="751"/>
      <c r="P32" s="734"/>
    </row>
    <row r="33" spans="1:16">
      <c r="A33" s="745" t="s">
        <v>1051</v>
      </c>
      <c r="B33" s="745" t="s">
        <v>1052</v>
      </c>
      <c r="C33" s="743">
        <v>-83367.960000000006</v>
      </c>
      <c r="D33" s="743">
        <v>0</v>
      </c>
      <c r="E33" s="743">
        <v>-2574.96</v>
      </c>
      <c r="F33" s="743">
        <v>-7382.75</v>
      </c>
      <c r="G33" s="743">
        <v>0</v>
      </c>
      <c r="H33" s="743">
        <v>-315.14</v>
      </c>
      <c r="I33" s="743">
        <v>-3015.51</v>
      </c>
      <c r="J33" s="743">
        <v>-37873.51</v>
      </c>
      <c r="K33" s="743">
        <v>-32173.99</v>
      </c>
      <c r="L33" s="743">
        <v>-32.090000000000003</v>
      </c>
      <c r="O33" s="751"/>
      <c r="P33" s="734"/>
    </row>
    <row r="34" spans="1:16" ht="15" thickBot="1">
      <c r="A34" s="752" t="s">
        <v>1053</v>
      </c>
      <c r="B34" s="752" t="s">
        <v>1054</v>
      </c>
      <c r="C34" s="753">
        <v>-192252.04</v>
      </c>
      <c r="D34" s="753">
        <v>0</v>
      </c>
      <c r="E34" s="753">
        <v>-9931.08</v>
      </c>
      <c r="F34" s="753">
        <v>-23569.51</v>
      </c>
      <c r="G34" s="753">
        <v>0</v>
      </c>
      <c r="H34" s="753">
        <v>0</v>
      </c>
      <c r="I34" s="753">
        <v>-53600.73</v>
      </c>
      <c r="J34" s="753">
        <v>-35182.550000000003</v>
      </c>
      <c r="K34" s="753">
        <v>-69599.12</v>
      </c>
      <c r="L34" s="753">
        <v>-369.05</v>
      </c>
      <c r="O34" s="751"/>
      <c r="P34" s="734"/>
    </row>
    <row r="35" spans="1:16">
      <c r="A35" s="754"/>
      <c r="B35" s="754"/>
      <c r="C35" s="740"/>
      <c r="D35" s="740"/>
      <c r="E35" s="740"/>
      <c r="F35" s="740"/>
      <c r="G35" s="740"/>
      <c r="H35" s="740"/>
      <c r="I35" s="740"/>
      <c r="J35" s="740"/>
      <c r="K35" s="740"/>
      <c r="L35" s="740"/>
      <c r="P35" s="734"/>
    </row>
    <row r="36" spans="1:16">
      <c r="A36" s="755" t="s">
        <v>1055</v>
      </c>
      <c r="B36" s="755" t="s">
        <v>1056</v>
      </c>
      <c r="C36" s="754"/>
      <c r="D36" s="754"/>
      <c r="E36" s="754"/>
      <c r="F36" s="754"/>
      <c r="G36" s="754"/>
      <c r="H36" s="754"/>
      <c r="I36" s="754"/>
      <c r="J36" s="754"/>
      <c r="K36" s="754"/>
      <c r="L36" s="756"/>
      <c r="P36" s="734"/>
    </row>
    <row r="37" spans="1:16">
      <c r="A37" s="755" t="s">
        <v>1057</v>
      </c>
      <c r="B37" s="755" t="s">
        <v>1058</v>
      </c>
      <c r="C37" s="754"/>
      <c r="D37" s="754"/>
      <c r="E37" s="754"/>
      <c r="F37" s="754"/>
      <c r="G37" s="754"/>
      <c r="H37" s="754"/>
      <c r="I37" s="754"/>
      <c r="J37" s="754"/>
      <c r="K37" s="754"/>
      <c r="L37" s="756"/>
      <c r="P37" s="734"/>
    </row>
    <row r="38" spans="1:16" ht="20.399999999999999">
      <c r="A38" s="731"/>
      <c r="B38" s="731"/>
      <c r="D38" s="733"/>
      <c r="O38" s="734"/>
    </row>
    <row r="41" spans="1:16" ht="20.399999999999999">
      <c r="A41" s="757"/>
      <c r="B41" s="757"/>
    </row>
    <row r="42" spans="1:16" ht="36" customHeight="1">
      <c r="A42" s="739"/>
      <c r="B42" s="739"/>
      <c r="C42" s="758"/>
      <c r="D42" s="759"/>
      <c r="E42" s="758"/>
      <c r="F42" s="758"/>
      <c r="G42" s="758"/>
      <c r="H42" s="758"/>
      <c r="I42" s="758"/>
      <c r="J42" s="758"/>
      <c r="K42" s="758"/>
      <c r="L42" s="758"/>
      <c r="O42" s="734"/>
    </row>
    <row r="43" spans="1:16">
      <c r="A43" s="739"/>
      <c r="B43" s="739"/>
      <c r="C43" s="739"/>
      <c r="D43" s="740"/>
      <c r="E43" s="741"/>
      <c r="F43" s="739"/>
      <c r="G43" s="739"/>
      <c r="H43" s="739"/>
      <c r="I43" s="739"/>
      <c r="J43" s="739"/>
      <c r="K43" s="739"/>
      <c r="L43" s="739"/>
      <c r="O43" s="734"/>
    </row>
    <row r="44" spans="1:16">
      <c r="A44" s="760"/>
      <c r="B44" s="760"/>
      <c r="C44" s="743"/>
      <c r="D44" s="743"/>
      <c r="E44" s="743"/>
      <c r="F44" s="743"/>
      <c r="G44" s="743"/>
      <c r="H44" s="743"/>
      <c r="I44" s="743"/>
      <c r="J44" s="743"/>
      <c r="K44" s="743"/>
      <c r="L44" s="743"/>
      <c r="M44" s="744"/>
      <c r="O44" s="734"/>
    </row>
    <row r="45" spans="1:16">
      <c r="A45" s="754"/>
      <c r="B45" s="754"/>
      <c r="C45" s="743"/>
      <c r="D45" s="743"/>
      <c r="E45" s="743"/>
      <c r="F45" s="743"/>
      <c r="G45" s="743"/>
      <c r="H45" s="743"/>
      <c r="I45" s="743"/>
      <c r="J45" s="743"/>
      <c r="K45" s="743"/>
      <c r="L45" s="743"/>
      <c r="O45" s="734"/>
      <c r="P45" s="744"/>
    </row>
    <row r="46" spans="1:16">
      <c r="A46" s="754"/>
      <c r="B46" s="754"/>
      <c r="C46" s="743"/>
      <c r="D46" s="743"/>
      <c r="E46" s="743"/>
      <c r="F46" s="743"/>
      <c r="G46" s="743"/>
      <c r="H46" s="743"/>
      <c r="I46" s="743"/>
      <c r="J46" s="743"/>
      <c r="K46" s="743"/>
      <c r="L46" s="743"/>
      <c r="O46" s="734"/>
    </row>
    <row r="47" spans="1:16">
      <c r="A47" s="754"/>
      <c r="B47" s="754"/>
      <c r="C47" s="743"/>
      <c r="D47" s="743"/>
      <c r="E47" s="743"/>
      <c r="F47" s="743"/>
      <c r="G47" s="743"/>
      <c r="H47" s="743"/>
      <c r="I47" s="743"/>
      <c r="J47" s="743"/>
      <c r="K47" s="743"/>
      <c r="L47" s="743"/>
      <c r="O47" s="734"/>
    </row>
    <row r="48" spans="1:16">
      <c r="A48" s="754"/>
      <c r="B48" s="754"/>
      <c r="C48" s="743"/>
      <c r="D48" s="743"/>
      <c r="E48" s="743"/>
      <c r="F48" s="743"/>
      <c r="G48" s="743"/>
      <c r="H48" s="743"/>
      <c r="I48" s="743"/>
      <c r="J48" s="743"/>
      <c r="K48" s="743"/>
      <c r="L48" s="743"/>
      <c r="M48" s="744"/>
      <c r="O48" s="734"/>
    </row>
    <row r="49" spans="1:16">
      <c r="A49" s="754"/>
      <c r="B49" s="754"/>
      <c r="C49" s="743"/>
      <c r="D49" s="743"/>
      <c r="E49" s="743"/>
      <c r="F49" s="743"/>
      <c r="G49" s="743"/>
      <c r="H49" s="743"/>
      <c r="I49" s="743"/>
      <c r="J49" s="743"/>
      <c r="K49" s="743"/>
      <c r="L49" s="743"/>
      <c r="O49" s="734"/>
    </row>
    <row r="50" spans="1:16">
      <c r="A50" s="754"/>
      <c r="B50" s="754"/>
      <c r="C50" s="743"/>
      <c r="D50" s="743"/>
      <c r="E50" s="743"/>
      <c r="F50" s="743"/>
      <c r="G50" s="743"/>
      <c r="H50" s="743"/>
      <c r="I50" s="743"/>
      <c r="J50" s="743"/>
      <c r="K50" s="743"/>
      <c r="L50" s="743"/>
      <c r="O50" s="734"/>
    </row>
    <row r="51" spans="1:16">
      <c r="A51" s="754"/>
      <c r="B51" s="754"/>
      <c r="C51" s="743"/>
      <c r="D51" s="743"/>
      <c r="E51" s="743"/>
      <c r="F51" s="743"/>
      <c r="G51" s="743"/>
      <c r="H51" s="743"/>
      <c r="I51" s="743"/>
      <c r="J51" s="743"/>
      <c r="K51" s="743"/>
      <c r="L51" s="743"/>
      <c r="O51" s="734"/>
    </row>
    <row r="52" spans="1:16">
      <c r="A52" s="754"/>
      <c r="B52" s="754"/>
      <c r="C52" s="743"/>
      <c r="D52" s="743"/>
      <c r="E52" s="743"/>
      <c r="F52" s="743"/>
      <c r="G52" s="743"/>
      <c r="H52" s="743"/>
      <c r="I52" s="743"/>
      <c r="J52" s="743"/>
      <c r="K52" s="743"/>
      <c r="L52" s="743"/>
      <c r="O52" s="734"/>
    </row>
    <row r="53" spans="1:16">
      <c r="A53" s="760"/>
      <c r="B53" s="760"/>
      <c r="C53" s="743"/>
      <c r="D53" s="743"/>
      <c r="E53" s="743"/>
      <c r="F53" s="743"/>
      <c r="G53" s="743"/>
      <c r="H53" s="743"/>
      <c r="I53" s="743"/>
      <c r="J53" s="743"/>
      <c r="K53" s="743"/>
      <c r="L53" s="743"/>
      <c r="N53" s="746"/>
      <c r="O53" s="734"/>
      <c r="P53" s="746"/>
    </row>
    <row r="54" spans="1:16">
      <c r="A54" s="754"/>
      <c r="B54" s="754"/>
      <c r="C54" s="743"/>
      <c r="D54" s="743"/>
      <c r="E54" s="743"/>
      <c r="F54" s="743"/>
      <c r="G54" s="743"/>
      <c r="H54" s="743"/>
      <c r="I54" s="743"/>
      <c r="J54" s="743"/>
      <c r="K54" s="743"/>
      <c r="L54" s="743"/>
      <c r="O54" s="734"/>
    </row>
    <row r="55" spans="1:16">
      <c r="A55" s="761"/>
      <c r="B55" s="761"/>
      <c r="C55" s="743"/>
      <c r="D55" s="743"/>
      <c r="E55" s="743"/>
      <c r="F55" s="743"/>
      <c r="G55" s="743"/>
      <c r="H55" s="743"/>
      <c r="I55" s="743"/>
      <c r="J55" s="743"/>
      <c r="K55" s="743"/>
      <c r="L55" s="743"/>
      <c r="M55" s="748"/>
      <c r="N55" s="748"/>
      <c r="O55" s="734"/>
      <c r="P55" s="748"/>
    </row>
    <row r="56" spans="1:16">
      <c r="A56" s="761"/>
      <c r="B56" s="761"/>
      <c r="C56" s="743"/>
      <c r="D56" s="743"/>
      <c r="E56" s="743"/>
      <c r="F56" s="743"/>
      <c r="G56" s="743"/>
      <c r="H56" s="743"/>
      <c r="I56" s="743"/>
      <c r="J56" s="743"/>
      <c r="K56" s="743"/>
      <c r="L56" s="743"/>
      <c r="M56" s="748"/>
      <c r="N56" s="748"/>
      <c r="O56" s="734"/>
      <c r="P56" s="748"/>
    </row>
    <row r="57" spans="1:16">
      <c r="A57" s="761"/>
      <c r="B57" s="761"/>
      <c r="C57" s="743"/>
      <c r="D57" s="743"/>
      <c r="E57" s="743"/>
      <c r="F57" s="743"/>
      <c r="G57" s="743"/>
      <c r="H57" s="743"/>
      <c r="I57" s="743"/>
      <c r="J57" s="743"/>
      <c r="K57" s="743"/>
      <c r="L57" s="743"/>
      <c r="M57" s="748"/>
      <c r="N57" s="748"/>
      <c r="O57" s="734"/>
      <c r="P57" s="748"/>
    </row>
    <row r="58" spans="1:16">
      <c r="A58" s="760"/>
      <c r="B58" s="760"/>
      <c r="C58" s="743"/>
      <c r="D58" s="743"/>
      <c r="E58" s="743"/>
      <c r="F58" s="743"/>
      <c r="G58" s="743"/>
      <c r="H58" s="743"/>
      <c r="I58" s="743"/>
      <c r="J58" s="743"/>
      <c r="K58" s="743"/>
      <c r="L58" s="743"/>
      <c r="M58" s="749"/>
      <c r="N58" s="744"/>
      <c r="O58" s="734"/>
    </row>
    <row r="59" spans="1:16">
      <c r="A59" s="754"/>
      <c r="B59" s="754"/>
      <c r="C59" s="743"/>
      <c r="D59" s="743"/>
      <c r="E59" s="743"/>
      <c r="F59" s="743"/>
      <c r="G59" s="743"/>
      <c r="H59" s="743"/>
      <c r="I59" s="743"/>
      <c r="J59" s="743"/>
      <c r="K59" s="743"/>
      <c r="L59" s="743"/>
      <c r="M59" s="748"/>
      <c r="N59" s="744"/>
      <c r="O59" s="734"/>
    </row>
    <row r="60" spans="1:16">
      <c r="A60" s="754"/>
      <c r="B60" s="754"/>
      <c r="C60" s="743"/>
      <c r="D60" s="743"/>
      <c r="E60" s="743"/>
      <c r="F60" s="743"/>
      <c r="G60" s="743"/>
      <c r="H60" s="743"/>
      <c r="I60" s="743"/>
      <c r="J60" s="743"/>
      <c r="K60" s="743"/>
      <c r="L60" s="743"/>
      <c r="M60" s="744"/>
      <c r="N60" s="744"/>
      <c r="O60" s="734"/>
    </row>
    <row r="61" spans="1:16">
      <c r="A61" s="754"/>
      <c r="B61" s="754"/>
      <c r="C61" s="743"/>
      <c r="D61" s="743"/>
      <c r="E61" s="743"/>
      <c r="F61" s="743"/>
      <c r="G61" s="743"/>
      <c r="H61" s="743"/>
      <c r="I61" s="743"/>
      <c r="J61" s="743"/>
      <c r="K61" s="743"/>
      <c r="L61" s="743"/>
      <c r="M61" s="744"/>
      <c r="O61" s="750"/>
      <c r="P61" s="734"/>
    </row>
    <row r="62" spans="1:16">
      <c r="A62" s="754"/>
      <c r="B62" s="754"/>
      <c r="C62" s="743"/>
      <c r="D62" s="743"/>
      <c r="E62" s="743"/>
      <c r="F62" s="743"/>
      <c r="G62" s="743"/>
      <c r="H62" s="743"/>
      <c r="I62" s="743"/>
      <c r="J62" s="743"/>
      <c r="K62" s="743"/>
      <c r="L62" s="743"/>
      <c r="M62" s="744"/>
      <c r="O62" s="734"/>
      <c r="P62" s="734"/>
    </row>
    <row r="63" spans="1:16">
      <c r="A63" s="754"/>
      <c r="B63" s="754"/>
      <c r="C63" s="743"/>
      <c r="D63" s="743"/>
      <c r="E63" s="743"/>
      <c r="F63" s="743"/>
      <c r="G63" s="743"/>
      <c r="H63" s="743"/>
      <c r="I63" s="743"/>
      <c r="J63" s="743"/>
      <c r="K63" s="743"/>
      <c r="L63" s="743"/>
      <c r="M63" s="744"/>
      <c r="O63" s="734"/>
      <c r="P63" s="734"/>
    </row>
    <row r="64" spans="1:16">
      <c r="A64" s="754"/>
      <c r="B64" s="754"/>
      <c r="C64" s="743"/>
      <c r="D64" s="743"/>
      <c r="E64" s="743"/>
      <c r="F64" s="743"/>
      <c r="G64" s="743"/>
      <c r="H64" s="743"/>
      <c r="I64" s="743"/>
      <c r="J64" s="743"/>
      <c r="K64" s="743"/>
      <c r="L64" s="743"/>
      <c r="M64" s="744"/>
      <c r="O64" s="734"/>
      <c r="P64" s="734"/>
    </row>
    <row r="65" spans="1:16">
      <c r="A65" s="754"/>
      <c r="B65" s="754"/>
      <c r="C65" s="743"/>
      <c r="D65" s="743"/>
      <c r="E65" s="743"/>
      <c r="F65" s="743"/>
      <c r="G65" s="743"/>
      <c r="H65" s="743"/>
      <c r="I65" s="743"/>
      <c r="J65" s="743"/>
      <c r="K65" s="743"/>
      <c r="L65" s="743"/>
      <c r="M65" s="744"/>
      <c r="O65" s="734"/>
      <c r="P65" s="734"/>
    </row>
    <row r="66" spans="1:16">
      <c r="A66" s="760"/>
      <c r="B66" s="760"/>
      <c r="C66" s="743"/>
      <c r="D66" s="743"/>
      <c r="E66" s="743"/>
      <c r="F66" s="743"/>
      <c r="G66" s="743"/>
      <c r="H66" s="743"/>
      <c r="I66" s="743"/>
      <c r="J66" s="743"/>
      <c r="K66" s="743"/>
      <c r="L66" s="743"/>
      <c r="N66" s="744"/>
      <c r="O66" s="734"/>
      <c r="P66" s="734"/>
    </row>
    <row r="67" spans="1:16">
      <c r="A67" s="760"/>
      <c r="B67" s="760"/>
      <c r="C67" s="743"/>
      <c r="D67" s="743"/>
      <c r="E67" s="743"/>
      <c r="F67" s="743"/>
      <c r="G67" s="743"/>
      <c r="H67" s="743"/>
      <c r="I67" s="743"/>
      <c r="J67" s="743"/>
      <c r="K67" s="743"/>
      <c r="L67" s="743"/>
      <c r="O67" s="734"/>
      <c r="P67" s="734"/>
    </row>
    <row r="68" spans="1:16">
      <c r="A68" s="754"/>
      <c r="B68" s="754"/>
      <c r="C68" s="743"/>
      <c r="D68" s="743"/>
      <c r="E68" s="743"/>
      <c r="F68" s="743"/>
      <c r="G68" s="743"/>
      <c r="H68" s="743"/>
      <c r="I68" s="743"/>
      <c r="J68" s="743"/>
      <c r="K68" s="743"/>
      <c r="L68" s="743"/>
      <c r="P68" s="734"/>
    </row>
    <row r="69" spans="1:16">
      <c r="A69" s="754"/>
      <c r="B69" s="754"/>
      <c r="C69" s="743"/>
      <c r="D69" s="743"/>
      <c r="E69" s="743"/>
      <c r="F69" s="743"/>
      <c r="G69" s="743"/>
      <c r="H69" s="743"/>
      <c r="I69" s="743"/>
      <c r="J69" s="743"/>
      <c r="K69" s="743"/>
      <c r="L69" s="743"/>
      <c r="O69" s="751"/>
      <c r="P69" s="734"/>
    </row>
    <row r="70" spans="1:16">
      <c r="A70" s="754"/>
      <c r="B70" s="754"/>
      <c r="C70" s="743"/>
      <c r="D70" s="743"/>
      <c r="E70" s="743"/>
      <c r="F70" s="743"/>
      <c r="G70" s="743"/>
      <c r="H70" s="743"/>
      <c r="I70" s="743"/>
      <c r="J70" s="743"/>
      <c r="K70" s="743"/>
      <c r="L70" s="743"/>
      <c r="O70" s="751"/>
      <c r="P70" s="734"/>
    </row>
    <row r="71" spans="1:16">
      <c r="A71" s="754"/>
      <c r="B71" s="754"/>
      <c r="C71" s="743"/>
      <c r="D71" s="743"/>
      <c r="E71" s="743"/>
      <c r="F71" s="743"/>
      <c r="G71" s="743"/>
      <c r="H71" s="743"/>
      <c r="I71" s="743"/>
      <c r="J71" s="743"/>
      <c r="K71" s="743"/>
      <c r="L71" s="743"/>
      <c r="O71" s="751"/>
      <c r="P71" s="734"/>
    </row>
    <row r="72" spans="1:16">
      <c r="A72" s="754"/>
      <c r="B72" s="754"/>
      <c r="C72" s="743"/>
      <c r="D72" s="743"/>
      <c r="E72" s="743"/>
      <c r="F72" s="743"/>
      <c r="G72" s="743"/>
      <c r="H72" s="743"/>
      <c r="I72" s="743"/>
      <c r="J72" s="743"/>
      <c r="K72" s="743"/>
      <c r="L72" s="743"/>
      <c r="O72" s="751"/>
      <c r="P72" s="734"/>
    </row>
    <row r="73" spans="1:16">
      <c r="A73" s="754"/>
      <c r="B73" s="754"/>
      <c r="C73" s="740"/>
      <c r="D73" s="740"/>
      <c r="E73" s="740"/>
      <c r="F73" s="740"/>
      <c r="G73" s="740"/>
      <c r="H73" s="740"/>
      <c r="I73" s="740"/>
      <c r="J73" s="740"/>
      <c r="K73" s="740"/>
      <c r="L73" s="740"/>
      <c r="P73" s="734"/>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5D30E-1DEA-411C-807D-5BBA93694F97}">
  <sheetPr>
    <tabColor theme="6" tint="0.39997558519241921"/>
  </sheetPr>
  <dimension ref="A1:AW40"/>
  <sheetViews>
    <sheetView zoomScale="80" zoomScaleNormal="80" workbookViewId="0">
      <pane xSplit="2" ySplit="4" topLeftCell="AO5" activePane="bottomRight" state="frozen"/>
      <selection activeCell="E27" sqref="E27"/>
      <selection pane="topRight" activeCell="E27" sqref="E27"/>
      <selection pane="bottomLeft" activeCell="E27" sqref="E27"/>
      <selection pane="bottomRight" activeCell="E27" sqref="E27"/>
    </sheetView>
  </sheetViews>
  <sheetFormatPr defaultColWidth="8.88671875" defaultRowHeight="14.4"/>
  <cols>
    <col min="1" max="1" width="42.6640625" style="732" customWidth="1"/>
    <col min="2" max="2" width="45.6640625" style="732" customWidth="1"/>
    <col min="3" max="3" width="10.6640625" style="732" customWidth="1"/>
    <col min="4" max="5" width="10.6640625" style="732" hidden="1" customWidth="1"/>
    <col min="6" max="49" width="10.6640625" style="732" customWidth="1"/>
    <col min="50" max="16384" width="8.88671875" style="732"/>
  </cols>
  <sheetData>
    <row r="1" spans="1:49" ht="20.399999999999999">
      <c r="A1" s="762" t="s">
        <v>1059</v>
      </c>
      <c r="B1" s="762" t="s">
        <v>1060</v>
      </c>
      <c r="C1" s="763"/>
      <c r="D1" s="763"/>
      <c r="E1" s="763"/>
      <c r="F1" s="763"/>
      <c r="G1" s="763"/>
      <c r="H1" s="763"/>
      <c r="I1" s="763"/>
      <c r="J1" s="763"/>
      <c r="K1" s="763"/>
      <c r="L1" s="763"/>
      <c r="M1" s="763"/>
      <c r="N1" s="763"/>
      <c r="O1" s="763"/>
      <c r="P1" s="763"/>
      <c r="Q1" s="763"/>
      <c r="R1" s="763"/>
      <c r="S1" s="763"/>
      <c r="T1" s="763"/>
      <c r="U1" s="763"/>
      <c r="V1" s="763"/>
      <c r="W1" s="763"/>
      <c r="X1" s="763"/>
      <c r="Y1" s="763"/>
      <c r="Z1" s="763"/>
      <c r="AA1" s="763"/>
      <c r="AB1" s="763"/>
      <c r="AC1" s="748"/>
      <c r="AD1" s="748"/>
      <c r="AE1" s="748"/>
      <c r="AF1" s="748"/>
      <c r="AG1" s="748"/>
      <c r="AH1" s="748"/>
      <c r="AI1" s="748"/>
      <c r="AJ1" s="748"/>
      <c r="AK1" s="748"/>
      <c r="AL1" s="748"/>
      <c r="AM1" s="748"/>
      <c r="AN1" s="748"/>
      <c r="AO1" s="748"/>
      <c r="AP1" s="748"/>
      <c r="AQ1" s="748"/>
      <c r="AR1" s="748"/>
      <c r="AS1" s="748"/>
      <c r="AT1" s="748"/>
      <c r="AU1" s="748"/>
      <c r="AV1" s="748"/>
      <c r="AW1" s="748"/>
    </row>
    <row r="2" spans="1:49" ht="20.399999999999999">
      <c r="A2" s="762"/>
      <c r="B2" s="762"/>
      <c r="C2" s="763"/>
      <c r="D2" s="763"/>
      <c r="E2" s="763"/>
      <c r="F2" s="763"/>
      <c r="G2" s="763"/>
      <c r="H2" s="763"/>
      <c r="I2" s="763"/>
      <c r="J2" s="763"/>
      <c r="K2" s="763"/>
      <c r="L2" s="763"/>
      <c r="M2" s="763"/>
      <c r="N2" s="763"/>
      <c r="O2" s="763"/>
      <c r="P2" s="763"/>
      <c r="Q2" s="763"/>
      <c r="R2" s="763"/>
      <c r="S2" s="763"/>
      <c r="T2" s="763"/>
      <c r="U2" s="763"/>
      <c r="V2" s="763"/>
      <c r="W2" s="763"/>
      <c r="X2" s="763"/>
      <c r="Y2" s="763"/>
      <c r="Z2" s="763"/>
      <c r="AA2" s="763"/>
      <c r="AB2" s="763"/>
      <c r="AC2" s="748"/>
      <c r="AD2" s="748"/>
      <c r="AE2" s="748"/>
      <c r="AF2" s="748"/>
      <c r="AG2" s="748"/>
      <c r="AH2" s="748"/>
      <c r="AI2" s="748"/>
      <c r="AJ2" s="748"/>
      <c r="AK2" s="748"/>
      <c r="AL2" s="748"/>
      <c r="AM2" s="748"/>
      <c r="AN2" s="748"/>
      <c r="AO2" s="748"/>
      <c r="AP2" s="748"/>
      <c r="AQ2" s="748"/>
      <c r="AR2" s="748"/>
      <c r="AS2" s="748"/>
      <c r="AT2" s="748"/>
      <c r="AU2" s="748"/>
      <c r="AV2" s="748"/>
      <c r="AW2" s="748"/>
    </row>
    <row r="3" spans="1:49">
      <c r="A3" s="764" t="s">
        <v>995</v>
      </c>
      <c r="B3" s="764" t="s">
        <v>1061</v>
      </c>
      <c r="C3" s="765">
        <v>1972</v>
      </c>
      <c r="D3" s="765">
        <v>1973</v>
      </c>
      <c r="E3" s="765">
        <v>1974</v>
      </c>
      <c r="F3" s="765">
        <v>1975</v>
      </c>
      <c r="G3" s="765">
        <v>1976</v>
      </c>
      <c r="H3" s="765">
        <v>1977</v>
      </c>
      <c r="I3" s="765">
        <v>1978</v>
      </c>
      <c r="J3" s="765">
        <v>1979</v>
      </c>
      <c r="K3" s="765">
        <v>1980</v>
      </c>
      <c r="L3" s="765">
        <v>1981</v>
      </c>
      <c r="M3" s="765">
        <v>1982</v>
      </c>
      <c r="N3" s="765">
        <v>1983</v>
      </c>
      <c r="O3" s="765">
        <v>1984</v>
      </c>
      <c r="P3" s="765">
        <v>1985</v>
      </c>
      <c r="Q3" s="765">
        <v>1986</v>
      </c>
      <c r="R3" s="765">
        <v>1987</v>
      </c>
      <c r="S3" s="765">
        <v>1988</v>
      </c>
      <c r="T3" s="765">
        <v>1989</v>
      </c>
      <c r="U3" s="765">
        <v>1990</v>
      </c>
      <c r="V3" s="765">
        <v>1991</v>
      </c>
      <c r="W3" s="765">
        <v>1992</v>
      </c>
      <c r="X3" s="765">
        <v>1993</v>
      </c>
      <c r="Y3" s="765">
        <v>1994</v>
      </c>
      <c r="Z3" s="765">
        <v>1995</v>
      </c>
      <c r="AA3" s="765">
        <v>1996</v>
      </c>
      <c r="AB3" s="765">
        <v>1997</v>
      </c>
      <c r="AC3" s="765">
        <v>1998</v>
      </c>
      <c r="AD3" s="765">
        <v>1999</v>
      </c>
      <c r="AE3" s="765">
        <v>2000</v>
      </c>
      <c r="AF3" s="765">
        <v>2001</v>
      </c>
      <c r="AG3" s="765">
        <v>2002</v>
      </c>
      <c r="AH3" s="765">
        <v>2003</v>
      </c>
      <c r="AI3" s="765">
        <v>2004</v>
      </c>
      <c r="AJ3" s="765">
        <v>2005</v>
      </c>
      <c r="AK3" s="765">
        <v>2006</v>
      </c>
      <c r="AL3" s="765">
        <v>2007</v>
      </c>
      <c r="AM3" s="765">
        <v>2008</v>
      </c>
      <c r="AN3" s="765">
        <v>2009</v>
      </c>
      <c r="AO3" s="765">
        <v>2010</v>
      </c>
      <c r="AP3" s="765">
        <v>2011</v>
      </c>
      <c r="AQ3" s="765">
        <v>2012</v>
      </c>
      <c r="AR3" s="765">
        <v>2013</v>
      </c>
      <c r="AS3" s="765">
        <v>2014</v>
      </c>
      <c r="AT3" s="765">
        <v>2015</v>
      </c>
      <c r="AU3" s="765">
        <v>2016</v>
      </c>
      <c r="AV3" s="765">
        <v>2017</v>
      </c>
      <c r="AW3" s="765">
        <v>2018</v>
      </c>
    </row>
    <row r="4" spans="1:49">
      <c r="A4" s="748" t="s">
        <v>1062</v>
      </c>
      <c r="B4" s="748" t="s">
        <v>1063</v>
      </c>
      <c r="C4" s="766"/>
      <c r="D4" s="766"/>
      <c r="E4" s="766"/>
      <c r="F4" s="766"/>
      <c r="G4" s="766"/>
      <c r="H4" s="766"/>
      <c r="I4" s="766"/>
      <c r="J4" s="766"/>
      <c r="K4" s="766"/>
      <c r="L4" s="766"/>
      <c r="M4" s="766"/>
      <c r="N4" s="766"/>
      <c r="O4" s="766"/>
      <c r="P4" s="766"/>
      <c r="Q4" s="766"/>
      <c r="R4" s="766"/>
      <c r="S4" s="766"/>
      <c r="T4" s="766"/>
      <c r="U4" s="766"/>
      <c r="V4" s="766"/>
      <c r="W4" s="766"/>
      <c r="X4" s="766"/>
      <c r="Y4" s="766"/>
      <c r="Z4" s="766"/>
      <c r="AA4" s="766"/>
      <c r="AB4" s="766"/>
      <c r="AC4" s="766"/>
      <c r="AD4" s="766"/>
      <c r="AE4" s="766"/>
      <c r="AF4" s="766"/>
      <c r="AG4" s="766"/>
      <c r="AH4" s="766"/>
      <c r="AI4" s="766"/>
      <c r="AJ4" s="766"/>
      <c r="AK4" s="766"/>
      <c r="AL4" s="766"/>
      <c r="AM4" s="766"/>
      <c r="AN4" s="766"/>
      <c r="AO4" s="766"/>
      <c r="AP4" s="766"/>
      <c r="AQ4" s="766"/>
      <c r="AR4" s="766"/>
      <c r="AS4" s="766"/>
      <c r="AT4" s="766"/>
      <c r="AU4" s="766"/>
      <c r="AV4" s="766"/>
      <c r="AW4" s="766"/>
    </row>
    <row r="5" spans="1:49">
      <c r="A5" s="767" t="s">
        <v>1064</v>
      </c>
      <c r="B5" s="767" t="s">
        <v>1065</v>
      </c>
      <c r="C5" s="768">
        <v>14926.05</v>
      </c>
      <c r="D5" s="768"/>
      <c r="E5" s="768"/>
      <c r="F5" s="768">
        <v>23136.639999999999</v>
      </c>
      <c r="G5" s="768">
        <v>26367.51</v>
      </c>
      <c r="H5" s="768">
        <v>41905.61</v>
      </c>
      <c r="I5" s="768">
        <v>36803.589999999997</v>
      </c>
      <c r="J5" s="768">
        <v>41014.19</v>
      </c>
      <c r="K5" s="768">
        <v>40227.58</v>
      </c>
      <c r="L5" s="768">
        <v>66614.58</v>
      </c>
      <c r="M5" s="768">
        <v>109485.14</v>
      </c>
      <c r="N5" s="768">
        <v>131645.48000000001</v>
      </c>
      <c r="O5" s="768">
        <v>149971.03</v>
      </c>
      <c r="P5" s="768">
        <v>210560.2</v>
      </c>
      <c r="Q5" s="768">
        <v>274753.59999999998</v>
      </c>
      <c r="R5" s="768">
        <v>341827.08</v>
      </c>
      <c r="S5" s="768">
        <v>348341.45</v>
      </c>
      <c r="T5" s="768">
        <v>400084.75</v>
      </c>
      <c r="U5" s="768">
        <v>424361.49</v>
      </c>
      <c r="V5" s="768">
        <v>501202.42</v>
      </c>
      <c r="W5" s="768">
        <v>543227.57999999996</v>
      </c>
      <c r="X5" s="768">
        <v>584143.29</v>
      </c>
      <c r="Y5" s="768">
        <v>634484</v>
      </c>
      <c r="Z5" s="768">
        <v>655294.71999999997</v>
      </c>
      <c r="AA5" s="768">
        <v>742445.46</v>
      </c>
      <c r="AB5" s="768">
        <v>850570.46</v>
      </c>
      <c r="AC5" s="768">
        <v>856772.03</v>
      </c>
      <c r="AD5" s="768">
        <v>999041.27</v>
      </c>
      <c r="AE5" s="768">
        <v>1164525.25</v>
      </c>
      <c r="AF5" s="768">
        <v>1138625.43</v>
      </c>
      <c r="AG5" s="768">
        <v>1198737.7</v>
      </c>
      <c r="AH5" s="768">
        <v>1193772.17</v>
      </c>
      <c r="AI5" s="768">
        <v>1303433.1100000001</v>
      </c>
      <c r="AJ5" s="768">
        <v>1311683.24</v>
      </c>
      <c r="AK5" s="768">
        <v>1238469.01</v>
      </c>
      <c r="AL5" s="768">
        <v>1135508.1499999999</v>
      </c>
      <c r="AM5" s="768">
        <v>1116778.3799999999</v>
      </c>
      <c r="AN5" s="768">
        <v>1004859.48</v>
      </c>
      <c r="AO5" s="768">
        <v>978611.52</v>
      </c>
      <c r="AP5" s="768">
        <v>864937.38</v>
      </c>
      <c r="AQ5" s="768">
        <v>790286.77</v>
      </c>
      <c r="AR5" s="768">
        <v>702877.34</v>
      </c>
      <c r="AS5" s="768">
        <v>679178.87</v>
      </c>
      <c r="AT5" s="768">
        <v>679025.83</v>
      </c>
      <c r="AU5" s="768">
        <v>641602.48</v>
      </c>
      <c r="AV5" s="768">
        <v>658911.85</v>
      </c>
      <c r="AW5" s="768">
        <v>586574.21</v>
      </c>
    </row>
    <row r="6" spans="1:49" ht="30" customHeight="1">
      <c r="A6" s="769" t="s">
        <v>444</v>
      </c>
      <c r="B6" s="769" t="s">
        <v>94</v>
      </c>
      <c r="C6" s="770">
        <v>0</v>
      </c>
      <c r="D6" s="770"/>
      <c r="E6" s="770"/>
      <c r="F6" s="770">
        <v>7414.94</v>
      </c>
      <c r="G6" s="770">
        <v>9692.2999999999993</v>
      </c>
      <c r="H6" s="770">
        <v>25144.959999999999</v>
      </c>
      <c r="I6" s="770">
        <v>18461.39</v>
      </c>
      <c r="J6" s="770">
        <v>18589.07</v>
      </c>
      <c r="K6" s="770">
        <v>12724</v>
      </c>
      <c r="L6" s="770">
        <v>32377.83</v>
      </c>
      <c r="M6" s="770">
        <v>71992.2</v>
      </c>
      <c r="N6" s="770">
        <v>91918.28</v>
      </c>
      <c r="O6" s="770">
        <v>98803.96</v>
      </c>
      <c r="P6" s="770">
        <v>123469.23</v>
      </c>
      <c r="Q6" s="770">
        <v>154620.03</v>
      </c>
      <c r="R6" s="770">
        <v>196484.18</v>
      </c>
      <c r="S6" s="770">
        <v>202144.4</v>
      </c>
      <c r="T6" s="770">
        <v>236154.06</v>
      </c>
      <c r="U6" s="770">
        <v>255958.66</v>
      </c>
      <c r="V6" s="770">
        <v>298602.3</v>
      </c>
      <c r="W6" s="770">
        <v>331178.68</v>
      </c>
      <c r="X6" s="770">
        <v>352919.43</v>
      </c>
      <c r="Y6" s="770">
        <v>389346.93</v>
      </c>
      <c r="Z6" s="770">
        <v>391563.31</v>
      </c>
      <c r="AA6" s="770">
        <v>432220.2</v>
      </c>
      <c r="AB6" s="770">
        <v>479242.01</v>
      </c>
      <c r="AC6" s="770">
        <v>491587.35</v>
      </c>
      <c r="AD6" s="770">
        <v>621996.55000000005</v>
      </c>
      <c r="AE6" s="770">
        <v>764525.68</v>
      </c>
      <c r="AF6" s="770">
        <v>726121.09</v>
      </c>
      <c r="AG6" s="770">
        <v>780149.65</v>
      </c>
      <c r="AH6" s="770">
        <v>780139.67</v>
      </c>
      <c r="AI6" s="770">
        <v>828270.56</v>
      </c>
      <c r="AJ6" s="770">
        <v>796223.69</v>
      </c>
      <c r="AK6" s="770">
        <v>724062.38</v>
      </c>
      <c r="AL6" s="770">
        <v>652260.51</v>
      </c>
      <c r="AM6" s="770">
        <v>603525.07999999996</v>
      </c>
      <c r="AN6" s="770">
        <v>554826.03</v>
      </c>
      <c r="AO6" s="770">
        <v>522732.77</v>
      </c>
      <c r="AP6" s="770">
        <v>470446.66</v>
      </c>
      <c r="AQ6" s="770">
        <v>429139.61</v>
      </c>
      <c r="AR6" s="770">
        <v>373364.96</v>
      </c>
      <c r="AS6" s="770">
        <v>349634.68</v>
      </c>
      <c r="AT6" s="770">
        <v>330661.92</v>
      </c>
      <c r="AU6" s="770">
        <v>297748.08</v>
      </c>
      <c r="AV6" s="770">
        <v>289689.58</v>
      </c>
      <c r="AW6" s="770">
        <v>243628.84</v>
      </c>
    </row>
    <row r="7" spans="1:49">
      <c r="A7" s="771" t="s">
        <v>1066</v>
      </c>
      <c r="B7" s="771" t="s">
        <v>174</v>
      </c>
      <c r="C7" s="772">
        <v>0</v>
      </c>
      <c r="D7" s="772"/>
      <c r="E7" s="772"/>
      <c r="F7" s="772">
        <v>0</v>
      </c>
      <c r="G7" s="772">
        <v>0</v>
      </c>
      <c r="H7" s="772">
        <v>4940.5600000000004</v>
      </c>
      <c r="I7" s="772">
        <v>4366.03</v>
      </c>
      <c r="J7" s="772">
        <v>8395.15</v>
      </c>
      <c r="K7" s="772">
        <v>1516.02</v>
      </c>
      <c r="L7" s="772">
        <v>8854.14</v>
      </c>
      <c r="M7" s="772">
        <v>30745.11</v>
      </c>
      <c r="N7" s="772">
        <v>48738.720000000001</v>
      </c>
      <c r="O7" s="772">
        <v>37410.620000000003</v>
      </c>
      <c r="P7" s="772">
        <v>41441.120000000003</v>
      </c>
      <c r="Q7" s="772">
        <v>35877.949999999997</v>
      </c>
      <c r="R7" s="772">
        <v>74234.850000000006</v>
      </c>
      <c r="S7" s="772">
        <v>83439.94</v>
      </c>
      <c r="T7" s="772">
        <v>96770.84</v>
      </c>
      <c r="U7" s="772">
        <v>118256.92</v>
      </c>
      <c r="V7" s="772">
        <v>181644.6</v>
      </c>
      <c r="W7" s="772">
        <v>189009.24</v>
      </c>
      <c r="X7" s="772">
        <v>218421.73</v>
      </c>
      <c r="Y7" s="772">
        <v>252323.27</v>
      </c>
      <c r="Z7" s="772">
        <v>202957.37</v>
      </c>
      <c r="AA7" s="772">
        <v>223787.63</v>
      </c>
      <c r="AB7" s="772">
        <v>302271.34000000003</v>
      </c>
      <c r="AC7" s="772">
        <v>356384.47</v>
      </c>
      <c r="AD7" s="772">
        <v>473626.55</v>
      </c>
      <c r="AE7" s="772">
        <v>575964.57999999996</v>
      </c>
      <c r="AF7" s="772">
        <v>513159.59</v>
      </c>
      <c r="AG7" s="772">
        <v>590239.06999999995</v>
      </c>
      <c r="AH7" s="772">
        <v>574098.98</v>
      </c>
      <c r="AI7" s="772">
        <v>642420.56000000006</v>
      </c>
      <c r="AJ7" s="772">
        <v>585939.63</v>
      </c>
      <c r="AK7" s="772">
        <v>497478.95</v>
      </c>
      <c r="AL7" s="772">
        <v>404314.81</v>
      </c>
      <c r="AM7" s="772">
        <v>372225.33</v>
      </c>
      <c r="AN7" s="772">
        <v>367920.17</v>
      </c>
      <c r="AO7" s="772">
        <v>331207.28999999998</v>
      </c>
      <c r="AP7" s="772">
        <v>312799.89</v>
      </c>
      <c r="AQ7" s="772">
        <v>260541.99</v>
      </c>
      <c r="AR7" s="772">
        <v>265074.92</v>
      </c>
      <c r="AS7" s="772">
        <v>206404.43</v>
      </c>
      <c r="AT7" s="772">
        <v>194505.86</v>
      </c>
      <c r="AU7" s="772">
        <v>166713.97</v>
      </c>
      <c r="AV7" s="772">
        <v>176198.48</v>
      </c>
      <c r="AW7" s="772">
        <v>120770.02</v>
      </c>
    </row>
    <row r="8" spans="1:49">
      <c r="A8" s="771" t="s">
        <v>1067</v>
      </c>
      <c r="B8" s="771" t="s">
        <v>1068</v>
      </c>
      <c r="C8" s="772">
        <v>0</v>
      </c>
      <c r="D8" s="772"/>
      <c r="E8" s="772"/>
      <c r="F8" s="772">
        <v>7414.94</v>
      </c>
      <c r="G8" s="772">
        <v>9692.2999999999993</v>
      </c>
      <c r="H8" s="772">
        <v>20204.400000000001</v>
      </c>
      <c r="I8" s="772">
        <v>14095.36</v>
      </c>
      <c r="J8" s="772">
        <v>10193.92</v>
      </c>
      <c r="K8" s="772">
        <v>11207.98</v>
      </c>
      <c r="L8" s="772">
        <v>23523.69</v>
      </c>
      <c r="M8" s="772">
        <v>41247.089999999997</v>
      </c>
      <c r="N8" s="772">
        <v>43179.56</v>
      </c>
      <c r="O8" s="772">
        <v>61393.33</v>
      </c>
      <c r="P8" s="772">
        <v>82028.11</v>
      </c>
      <c r="Q8" s="772">
        <v>118742.08</v>
      </c>
      <c r="R8" s="772">
        <v>122249.33</v>
      </c>
      <c r="S8" s="772">
        <v>118704.46</v>
      </c>
      <c r="T8" s="772">
        <v>139383.22</v>
      </c>
      <c r="U8" s="772">
        <v>137701.74</v>
      </c>
      <c r="V8" s="772">
        <v>116957.69</v>
      </c>
      <c r="W8" s="772">
        <v>142169.44</v>
      </c>
      <c r="X8" s="772">
        <v>134497.70000000001</v>
      </c>
      <c r="Y8" s="772">
        <v>137023.66</v>
      </c>
      <c r="Z8" s="772">
        <v>188605.94</v>
      </c>
      <c r="AA8" s="772">
        <v>208432.58</v>
      </c>
      <c r="AB8" s="772">
        <v>176970.67</v>
      </c>
      <c r="AC8" s="772">
        <v>135202.88</v>
      </c>
      <c r="AD8" s="772">
        <v>148370</v>
      </c>
      <c r="AE8" s="772">
        <v>188561.11</v>
      </c>
      <c r="AF8" s="772">
        <v>212961.5</v>
      </c>
      <c r="AG8" s="772">
        <v>189910.58</v>
      </c>
      <c r="AH8" s="772">
        <v>206040.69</v>
      </c>
      <c r="AI8" s="772">
        <v>185850</v>
      </c>
      <c r="AJ8" s="772">
        <v>210284.06</v>
      </c>
      <c r="AK8" s="772">
        <v>226583.43</v>
      </c>
      <c r="AL8" s="772">
        <v>247945.7</v>
      </c>
      <c r="AM8" s="772">
        <v>231299.75</v>
      </c>
      <c r="AN8" s="772">
        <v>186905.86</v>
      </c>
      <c r="AO8" s="772">
        <v>191525.48</v>
      </c>
      <c r="AP8" s="772">
        <v>157646.76999999999</v>
      </c>
      <c r="AQ8" s="772">
        <v>168597.63</v>
      </c>
      <c r="AR8" s="772">
        <v>108290.04</v>
      </c>
      <c r="AS8" s="772">
        <v>143230.25</v>
      </c>
      <c r="AT8" s="772">
        <v>136156.06</v>
      </c>
      <c r="AU8" s="772">
        <v>131034.12</v>
      </c>
      <c r="AV8" s="772">
        <v>113491.1</v>
      </c>
      <c r="AW8" s="772">
        <v>122858.83</v>
      </c>
    </row>
    <row r="9" spans="1:49" ht="30" customHeight="1">
      <c r="A9" s="769" t="s">
        <v>438</v>
      </c>
      <c r="B9" s="769" t="s">
        <v>60</v>
      </c>
      <c r="C9" s="770">
        <v>7.72</v>
      </c>
      <c r="D9" s="770"/>
      <c r="E9" s="770"/>
      <c r="F9" s="770">
        <v>15.17</v>
      </c>
      <c r="G9" s="770">
        <v>10.76</v>
      </c>
      <c r="H9" s="770">
        <v>20.51</v>
      </c>
      <c r="I9" s="770">
        <v>17.59</v>
      </c>
      <c r="J9" s="770">
        <v>19.190000000000001</v>
      </c>
      <c r="K9" s="770">
        <v>16.77</v>
      </c>
      <c r="L9" s="770">
        <v>813.81</v>
      </c>
      <c r="M9" s="770">
        <v>1265.8699999999999</v>
      </c>
      <c r="N9" s="770">
        <v>1572.06</v>
      </c>
      <c r="O9" s="770">
        <v>11072.91</v>
      </c>
      <c r="P9" s="770">
        <v>45664.79</v>
      </c>
      <c r="Q9" s="770">
        <v>75315.960000000006</v>
      </c>
      <c r="R9" s="770">
        <v>96828.41</v>
      </c>
      <c r="S9" s="770">
        <v>97110.34</v>
      </c>
      <c r="T9" s="770">
        <v>113576.84</v>
      </c>
      <c r="U9" s="770">
        <v>115966.89</v>
      </c>
      <c r="V9" s="770">
        <v>145712.24</v>
      </c>
      <c r="W9" s="770">
        <v>151778.38</v>
      </c>
      <c r="X9" s="770">
        <v>167790.61</v>
      </c>
      <c r="Y9" s="770">
        <v>181802.23999999999</v>
      </c>
      <c r="Z9" s="770">
        <v>196852</v>
      </c>
      <c r="AA9" s="770">
        <v>239199.48</v>
      </c>
      <c r="AB9" s="770">
        <v>295052.40000000002</v>
      </c>
      <c r="AC9" s="770">
        <v>286141.81</v>
      </c>
      <c r="AD9" s="770">
        <v>294071.23</v>
      </c>
      <c r="AE9" s="770">
        <v>310306.8</v>
      </c>
      <c r="AF9" s="770">
        <v>317755.68</v>
      </c>
      <c r="AG9" s="770">
        <v>318323.53999999998</v>
      </c>
      <c r="AH9" s="770">
        <v>301555.94</v>
      </c>
      <c r="AI9" s="770">
        <v>355529.91</v>
      </c>
      <c r="AJ9" s="770">
        <v>392868.34</v>
      </c>
      <c r="AK9" s="770">
        <v>390346.52</v>
      </c>
      <c r="AL9" s="770">
        <v>346146.14</v>
      </c>
      <c r="AM9" s="770">
        <v>377549.67</v>
      </c>
      <c r="AN9" s="770">
        <v>314990.28000000003</v>
      </c>
      <c r="AO9" s="770">
        <v>307424.78999999998</v>
      </c>
      <c r="AP9" s="770">
        <v>246591.87</v>
      </c>
      <c r="AQ9" s="770">
        <v>216000.2</v>
      </c>
      <c r="AR9" s="770">
        <v>179274.69</v>
      </c>
      <c r="AS9" s="770">
        <v>173259.03</v>
      </c>
      <c r="AT9" s="770">
        <v>173509.95</v>
      </c>
      <c r="AU9" s="770">
        <v>169735.49</v>
      </c>
      <c r="AV9" s="770">
        <v>182142.42</v>
      </c>
      <c r="AW9" s="770">
        <v>155071.34</v>
      </c>
    </row>
    <row r="10" spans="1:49">
      <c r="A10" s="771" t="s">
        <v>1069</v>
      </c>
      <c r="B10" s="771" t="s">
        <v>1070</v>
      </c>
      <c r="C10" s="772">
        <v>7.72</v>
      </c>
      <c r="D10" s="772"/>
      <c r="E10" s="772"/>
      <c r="F10" s="772">
        <v>15.17</v>
      </c>
      <c r="G10" s="772">
        <v>10.76</v>
      </c>
      <c r="H10" s="772">
        <v>20.51</v>
      </c>
      <c r="I10" s="772">
        <v>17.59</v>
      </c>
      <c r="J10" s="772">
        <v>19.190000000000001</v>
      </c>
      <c r="K10" s="772">
        <v>16.77</v>
      </c>
      <c r="L10" s="772">
        <v>813.81</v>
      </c>
      <c r="M10" s="772">
        <v>1265.8699999999999</v>
      </c>
      <c r="N10" s="772">
        <v>1572.06</v>
      </c>
      <c r="O10" s="772">
        <v>2487.86</v>
      </c>
      <c r="P10" s="772">
        <v>4150.76</v>
      </c>
      <c r="Q10" s="772">
        <v>5210.3</v>
      </c>
      <c r="R10" s="772">
        <v>7390.84</v>
      </c>
      <c r="S10" s="772">
        <v>8805.41</v>
      </c>
      <c r="T10" s="772">
        <v>9131.49</v>
      </c>
      <c r="U10" s="772">
        <v>9132.51</v>
      </c>
      <c r="V10" s="772">
        <v>9353.2999999999993</v>
      </c>
      <c r="W10" s="772">
        <v>10768.93</v>
      </c>
      <c r="X10" s="772">
        <v>10885.71</v>
      </c>
      <c r="Y10" s="772">
        <v>11995.02</v>
      </c>
      <c r="Z10" s="772">
        <v>12583.48</v>
      </c>
      <c r="AA10" s="772">
        <v>14986.76</v>
      </c>
      <c r="AB10" s="772">
        <v>19580.05</v>
      </c>
      <c r="AC10" s="772">
        <v>21762.33</v>
      </c>
      <c r="AD10" s="772">
        <v>23696.39</v>
      </c>
      <c r="AE10" s="772">
        <v>25191.77</v>
      </c>
      <c r="AF10" s="772">
        <v>24533.05</v>
      </c>
      <c r="AG10" s="772">
        <v>26312.98</v>
      </c>
      <c r="AH10" s="772">
        <v>26350.67</v>
      </c>
      <c r="AI10" s="772">
        <v>27171.7</v>
      </c>
      <c r="AJ10" s="772">
        <v>27959.52</v>
      </c>
      <c r="AK10" s="772">
        <v>28493.21</v>
      </c>
      <c r="AL10" s="772">
        <v>28243.43</v>
      </c>
      <c r="AM10" s="772">
        <v>27999.65</v>
      </c>
      <c r="AN10" s="772">
        <v>26380.25</v>
      </c>
      <c r="AO10" s="772">
        <v>25963.22</v>
      </c>
      <c r="AP10" s="772">
        <v>24691.22</v>
      </c>
      <c r="AQ10" s="772">
        <v>25019.919999999998</v>
      </c>
      <c r="AR10" s="772">
        <v>23416.67</v>
      </c>
      <c r="AS10" s="772">
        <v>23023.02</v>
      </c>
      <c r="AT10" s="772">
        <v>24081.83</v>
      </c>
      <c r="AU10" s="772">
        <v>21932.83</v>
      </c>
      <c r="AV10" s="772">
        <v>22768.799999999999</v>
      </c>
      <c r="AW10" s="772">
        <v>20987.38</v>
      </c>
    </row>
    <row r="11" spans="1:49">
      <c r="A11" s="771" t="s">
        <v>1066</v>
      </c>
      <c r="B11" s="771" t="s">
        <v>174</v>
      </c>
      <c r="C11" s="772">
        <v>0</v>
      </c>
      <c r="D11" s="772"/>
      <c r="E11" s="772"/>
      <c r="F11" s="772">
        <v>0</v>
      </c>
      <c r="G11" s="772">
        <v>0</v>
      </c>
      <c r="H11" s="772">
        <v>0</v>
      </c>
      <c r="I11" s="772">
        <v>0</v>
      </c>
      <c r="J11" s="772">
        <v>0</v>
      </c>
      <c r="K11" s="772">
        <v>0</v>
      </c>
      <c r="L11" s="772">
        <v>0</v>
      </c>
      <c r="M11" s="772">
        <v>0</v>
      </c>
      <c r="N11" s="772">
        <v>0</v>
      </c>
      <c r="O11" s="772">
        <v>5128.54</v>
      </c>
      <c r="P11" s="772">
        <v>16561.55</v>
      </c>
      <c r="Q11" s="772">
        <v>22655.08</v>
      </c>
      <c r="R11" s="772">
        <v>27856.2</v>
      </c>
      <c r="S11" s="772">
        <v>30873.47</v>
      </c>
      <c r="T11" s="772">
        <v>34356.620000000003</v>
      </c>
      <c r="U11" s="772">
        <v>38855.07</v>
      </c>
      <c r="V11" s="772">
        <v>52405.82</v>
      </c>
      <c r="W11" s="772">
        <v>57461.27</v>
      </c>
      <c r="X11" s="772">
        <v>60425.24</v>
      </c>
      <c r="Y11" s="772">
        <v>62827.54</v>
      </c>
      <c r="Z11" s="772">
        <v>62649.16</v>
      </c>
      <c r="AA11" s="772">
        <v>71414.789999999994</v>
      </c>
      <c r="AB11" s="772">
        <v>116866.79</v>
      </c>
      <c r="AC11" s="772">
        <v>105422.16</v>
      </c>
      <c r="AD11" s="772">
        <v>107498.41</v>
      </c>
      <c r="AE11" s="772">
        <v>120678.32</v>
      </c>
      <c r="AF11" s="772">
        <v>127881.21</v>
      </c>
      <c r="AG11" s="772">
        <v>124953.44</v>
      </c>
      <c r="AH11" s="772">
        <v>108622.54</v>
      </c>
      <c r="AI11" s="772">
        <v>154549.78</v>
      </c>
      <c r="AJ11" s="772">
        <v>209777.32</v>
      </c>
      <c r="AK11" s="772">
        <v>196275.20000000001</v>
      </c>
      <c r="AL11" s="772">
        <v>169540.07</v>
      </c>
      <c r="AM11" s="772">
        <v>206436.59</v>
      </c>
      <c r="AN11" s="772">
        <v>149864.84</v>
      </c>
      <c r="AO11" s="772">
        <v>132208.57999999999</v>
      </c>
      <c r="AP11" s="772">
        <v>117050.72</v>
      </c>
      <c r="AQ11" s="772">
        <v>111918.63</v>
      </c>
      <c r="AR11" s="772">
        <v>82638.62</v>
      </c>
      <c r="AS11" s="772">
        <v>78439.210000000006</v>
      </c>
      <c r="AT11" s="772">
        <v>82349.5</v>
      </c>
      <c r="AU11" s="772">
        <v>79416.399999999994</v>
      </c>
      <c r="AV11" s="772">
        <v>84035.97</v>
      </c>
      <c r="AW11" s="772">
        <v>57669.02</v>
      </c>
    </row>
    <row r="12" spans="1:49">
      <c r="A12" s="771" t="s">
        <v>1071</v>
      </c>
      <c r="B12" s="771" t="s">
        <v>1072</v>
      </c>
      <c r="C12" s="772">
        <v>0</v>
      </c>
      <c r="D12" s="772"/>
      <c r="E12" s="772"/>
      <c r="F12" s="772">
        <v>0</v>
      </c>
      <c r="G12" s="772">
        <v>0</v>
      </c>
      <c r="H12" s="772">
        <v>0</v>
      </c>
      <c r="I12" s="772">
        <v>0</v>
      </c>
      <c r="J12" s="772">
        <v>0</v>
      </c>
      <c r="K12" s="772">
        <v>0</v>
      </c>
      <c r="L12" s="772">
        <v>0</v>
      </c>
      <c r="M12" s="772">
        <v>0</v>
      </c>
      <c r="N12" s="772">
        <v>0</v>
      </c>
      <c r="O12" s="772">
        <v>3456.51</v>
      </c>
      <c r="P12" s="772">
        <v>24952.48</v>
      </c>
      <c r="Q12" s="772">
        <v>47450.58</v>
      </c>
      <c r="R12" s="772">
        <v>61581.37</v>
      </c>
      <c r="S12" s="772">
        <v>57431.46</v>
      </c>
      <c r="T12" s="772">
        <v>70088.73</v>
      </c>
      <c r="U12" s="772">
        <v>67979.3</v>
      </c>
      <c r="V12" s="772">
        <v>83953.13</v>
      </c>
      <c r="W12" s="772">
        <v>83548.179999999993</v>
      </c>
      <c r="X12" s="772">
        <v>96479.65</v>
      </c>
      <c r="Y12" s="772">
        <v>106979.68</v>
      </c>
      <c r="Z12" s="772">
        <v>121619.36</v>
      </c>
      <c r="AA12" s="772">
        <v>152797.93</v>
      </c>
      <c r="AB12" s="772">
        <v>158605.54999999999</v>
      </c>
      <c r="AC12" s="772">
        <v>158957.32</v>
      </c>
      <c r="AD12" s="772">
        <v>162876.43</v>
      </c>
      <c r="AE12" s="772">
        <v>164436.71</v>
      </c>
      <c r="AF12" s="772">
        <v>165341.41</v>
      </c>
      <c r="AG12" s="772">
        <v>167057.12</v>
      </c>
      <c r="AH12" s="772">
        <v>166582.72</v>
      </c>
      <c r="AI12" s="772">
        <v>173808.43</v>
      </c>
      <c r="AJ12" s="772">
        <v>155131.49</v>
      </c>
      <c r="AK12" s="772">
        <v>165578.12</v>
      </c>
      <c r="AL12" s="772">
        <v>148362.64000000001</v>
      </c>
      <c r="AM12" s="772">
        <v>143113.43</v>
      </c>
      <c r="AN12" s="772">
        <v>138745.18</v>
      </c>
      <c r="AO12" s="772">
        <v>149252.99</v>
      </c>
      <c r="AP12" s="772">
        <v>104849.94</v>
      </c>
      <c r="AQ12" s="772">
        <v>79061.649999999994</v>
      </c>
      <c r="AR12" s="772">
        <v>73219.399999999994</v>
      </c>
      <c r="AS12" s="772">
        <v>71796.789999999994</v>
      </c>
      <c r="AT12" s="772">
        <v>67078.62</v>
      </c>
      <c r="AU12" s="772">
        <v>68386.259999999995</v>
      </c>
      <c r="AV12" s="772">
        <v>75337.64</v>
      </c>
      <c r="AW12" s="772">
        <v>76414.94</v>
      </c>
    </row>
    <row r="13" spans="1:49" ht="30" customHeight="1">
      <c r="A13" s="769" t="s">
        <v>984</v>
      </c>
      <c r="B13" s="769" t="s">
        <v>1073</v>
      </c>
      <c r="C13" s="770">
        <v>11138.33</v>
      </c>
      <c r="D13" s="770"/>
      <c r="E13" s="770"/>
      <c r="F13" s="770">
        <v>11548.53</v>
      </c>
      <c r="G13" s="770">
        <v>12128.44</v>
      </c>
      <c r="H13" s="770">
        <v>12204.13</v>
      </c>
      <c r="I13" s="770">
        <v>13788.62</v>
      </c>
      <c r="J13" s="770">
        <v>17643.13</v>
      </c>
      <c r="K13" s="770">
        <v>22699.45</v>
      </c>
      <c r="L13" s="770">
        <v>28356.43</v>
      </c>
      <c r="M13" s="770">
        <v>30879.72</v>
      </c>
      <c r="N13" s="770">
        <v>32497.29</v>
      </c>
      <c r="O13" s="770">
        <v>34194.71</v>
      </c>
      <c r="P13" s="770">
        <v>35201</v>
      </c>
      <c r="Q13" s="770">
        <v>38352.94</v>
      </c>
      <c r="R13" s="770">
        <v>42057.53</v>
      </c>
      <c r="S13" s="770">
        <v>42577.279999999999</v>
      </c>
      <c r="T13" s="770">
        <v>43547.38</v>
      </c>
      <c r="U13" s="770">
        <v>45461.38</v>
      </c>
      <c r="V13" s="770">
        <v>49353.07</v>
      </c>
      <c r="W13" s="770">
        <v>52261.75</v>
      </c>
      <c r="X13" s="770">
        <v>54698.8</v>
      </c>
      <c r="Y13" s="770">
        <v>54194.27</v>
      </c>
      <c r="Z13" s="770">
        <v>56571.56</v>
      </c>
      <c r="AA13" s="770">
        <v>59797.18</v>
      </c>
      <c r="AB13" s="770">
        <v>64229.52</v>
      </c>
      <c r="AC13" s="770">
        <v>67076.990000000005</v>
      </c>
      <c r="AD13" s="770">
        <v>69861.240000000005</v>
      </c>
      <c r="AE13" s="770">
        <v>76016.490000000005</v>
      </c>
      <c r="AF13" s="770">
        <v>80243.509999999995</v>
      </c>
      <c r="AG13" s="770">
        <v>85021.08</v>
      </c>
      <c r="AH13" s="770">
        <v>95607.02</v>
      </c>
      <c r="AI13" s="770">
        <v>102859.84</v>
      </c>
      <c r="AJ13" s="770">
        <v>105584.87</v>
      </c>
      <c r="AK13" s="770">
        <v>106768.49</v>
      </c>
      <c r="AL13" s="770">
        <v>119212.37</v>
      </c>
      <c r="AM13" s="770">
        <v>117024.42</v>
      </c>
      <c r="AN13" s="770">
        <v>117338.16</v>
      </c>
      <c r="AO13" s="770">
        <v>131306.01</v>
      </c>
      <c r="AP13" s="770">
        <v>130606.53</v>
      </c>
      <c r="AQ13" s="770">
        <v>129118.23</v>
      </c>
      <c r="AR13" s="770">
        <v>134517.04999999999</v>
      </c>
      <c r="AS13" s="770">
        <v>140414.10999999999</v>
      </c>
      <c r="AT13" s="770">
        <v>159188.53</v>
      </c>
      <c r="AU13" s="770">
        <v>158697.12</v>
      </c>
      <c r="AV13" s="770">
        <v>171056.01</v>
      </c>
      <c r="AW13" s="770">
        <v>172770.94</v>
      </c>
    </row>
    <row r="14" spans="1:49">
      <c r="A14" s="771" t="s">
        <v>1074</v>
      </c>
      <c r="B14" s="771" t="s">
        <v>168</v>
      </c>
      <c r="C14" s="772">
        <v>0</v>
      </c>
      <c r="D14" s="772"/>
      <c r="E14" s="772"/>
      <c r="F14" s="772">
        <v>0</v>
      </c>
      <c r="G14" s="772">
        <v>0</v>
      </c>
      <c r="H14" s="772">
        <v>0</v>
      </c>
      <c r="I14" s="772">
        <v>0</v>
      </c>
      <c r="J14" s="772">
        <v>0</v>
      </c>
      <c r="K14" s="772">
        <v>0</v>
      </c>
      <c r="L14" s="772">
        <v>0</v>
      </c>
      <c r="M14" s="772">
        <v>0</v>
      </c>
      <c r="N14" s="772">
        <v>0</v>
      </c>
      <c r="O14" s="772">
        <v>0</v>
      </c>
      <c r="P14" s="772">
        <v>0</v>
      </c>
      <c r="Q14" s="772">
        <v>0</v>
      </c>
      <c r="R14" s="772">
        <v>0</v>
      </c>
      <c r="S14" s="772">
        <v>0</v>
      </c>
      <c r="T14" s="772">
        <v>0</v>
      </c>
      <c r="U14" s="772">
        <v>0</v>
      </c>
      <c r="V14" s="772">
        <v>0</v>
      </c>
      <c r="W14" s="772">
        <v>0</v>
      </c>
      <c r="X14" s="772">
        <v>0</v>
      </c>
      <c r="Y14" s="772">
        <v>111.43</v>
      </c>
      <c r="Z14" s="772">
        <v>233.21</v>
      </c>
      <c r="AA14" s="772">
        <v>486.33</v>
      </c>
      <c r="AB14" s="772">
        <v>605.70000000000005</v>
      </c>
      <c r="AC14" s="772">
        <v>806.71</v>
      </c>
      <c r="AD14" s="772">
        <v>1510.11</v>
      </c>
      <c r="AE14" s="772">
        <v>2465.85</v>
      </c>
      <c r="AF14" s="772">
        <v>5614.87</v>
      </c>
      <c r="AG14" s="772">
        <v>7404.17</v>
      </c>
      <c r="AH14" s="772">
        <v>10088.469999999999</v>
      </c>
      <c r="AI14" s="772">
        <v>14091.07</v>
      </c>
      <c r="AJ14" s="772">
        <v>18917.919999999998</v>
      </c>
      <c r="AK14" s="772">
        <v>19865.849999999999</v>
      </c>
      <c r="AL14" s="772">
        <v>20889.77</v>
      </c>
      <c r="AM14" s="772">
        <v>25674.75</v>
      </c>
      <c r="AN14" s="772">
        <v>27557.46</v>
      </c>
      <c r="AO14" s="772">
        <v>39483.440000000002</v>
      </c>
      <c r="AP14" s="772">
        <v>45503.22</v>
      </c>
      <c r="AQ14" s="772">
        <v>52773.47</v>
      </c>
      <c r="AR14" s="772">
        <v>53657.2</v>
      </c>
      <c r="AS14" s="772">
        <v>56309.94</v>
      </c>
      <c r="AT14" s="772">
        <v>52586.09</v>
      </c>
      <c r="AU14" s="772">
        <v>60572.24</v>
      </c>
      <c r="AV14" s="772">
        <v>76524.89</v>
      </c>
      <c r="AW14" s="772">
        <v>75646.28</v>
      </c>
    </row>
    <row r="15" spans="1:49">
      <c r="A15" s="771" t="s">
        <v>1066</v>
      </c>
      <c r="B15" s="771" t="s">
        <v>174</v>
      </c>
      <c r="C15" s="772">
        <v>0</v>
      </c>
      <c r="D15" s="772"/>
      <c r="E15" s="772"/>
      <c r="F15" s="772">
        <v>0</v>
      </c>
      <c r="G15" s="772">
        <v>0</v>
      </c>
      <c r="H15" s="772">
        <v>0</v>
      </c>
      <c r="I15" s="772">
        <v>0</v>
      </c>
      <c r="J15" s="772">
        <v>0</v>
      </c>
      <c r="K15" s="772">
        <v>0</v>
      </c>
      <c r="L15" s="772">
        <v>0</v>
      </c>
      <c r="M15" s="772">
        <v>0</v>
      </c>
      <c r="N15" s="772">
        <v>0</v>
      </c>
      <c r="O15" s="772">
        <v>0</v>
      </c>
      <c r="P15" s="772">
        <v>0</v>
      </c>
      <c r="Q15" s="772">
        <v>0</v>
      </c>
      <c r="R15" s="772">
        <v>0</v>
      </c>
      <c r="S15" s="772">
        <v>0</v>
      </c>
      <c r="T15" s="772">
        <v>0</v>
      </c>
      <c r="U15" s="772">
        <v>0</v>
      </c>
      <c r="V15" s="772">
        <v>0</v>
      </c>
      <c r="W15" s="772">
        <v>0</v>
      </c>
      <c r="X15" s="772">
        <v>0</v>
      </c>
      <c r="Y15" s="772">
        <v>0</v>
      </c>
      <c r="Z15" s="772">
        <v>0</v>
      </c>
      <c r="AA15" s="772">
        <v>0</v>
      </c>
      <c r="AB15" s="772">
        <v>0</v>
      </c>
      <c r="AC15" s="772">
        <v>0</v>
      </c>
      <c r="AD15" s="772">
        <v>0</v>
      </c>
      <c r="AE15" s="772">
        <v>0</v>
      </c>
      <c r="AF15" s="772">
        <v>940</v>
      </c>
      <c r="AG15" s="772">
        <v>1504</v>
      </c>
      <c r="AH15" s="772">
        <v>1692</v>
      </c>
      <c r="AI15" s="772">
        <v>2444</v>
      </c>
      <c r="AJ15" s="772">
        <v>2632</v>
      </c>
      <c r="AK15" s="772">
        <v>2632</v>
      </c>
      <c r="AL15" s="772">
        <v>2632</v>
      </c>
      <c r="AM15" s="772">
        <v>3660.75</v>
      </c>
      <c r="AN15" s="772">
        <v>3122.25</v>
      </c>
      <c r="AO15" s="772">
        <v>2845.8</v>
      </c>
      <c r="AP15" s="772">
        <v>1996.01</v>
      </c>
      <c r="AQ15" s="772">
        <v>1695.68</v>
      </c>
      <c r="AR15" s="772">
        <v>1422.83</v>
      </c>
      <c r="AS15" s="772">
        <v>1503.02</v>
      </c>
      <c r="AT15" s="772">
        <v>1084.3499999999999</v>
      </c>
      <c r="AU15" s="772">
        <v>1203.3800000000001</v>
      </c>
      <c r="AV15" s="772">
        <v>1765.24</v>
      </c>
      <c r="AW15" s="772">
        <v>2115.5300000000002</v>
      </c>
    </row>
    <row r="16" spans="1:49">
      <c r="A16" s="771" t="s">
        <v>1075</v>
      </c>
      <c r="B16" s="771" t="s">
        <v>1076</v>
      </c>
      <c r="C16" s="772">
        <v>11138.33</v>
      </c>
      <c r="D16" s="772"/>
      <c r="E16" s="772"/>
      <c r="F16" s="772">
        <v>11548.53</v>
      </c>
      <c r="G16" s="772">
        <v>12128.44</v>
      </c>
      <c r="H16" s="772">
        <v>12204.13</v>
      </c>
      <c r="I16" s="772">
        <v>13788.62</v>
      </c>
      <c r="J16" s="772">
        <v>17643.13</v>
      </c>
      <c r="K16" s="772">
        <v>22699.45</v>
      </c>
      <c r="L16" s="772">
        <v>28356.43</v>
      </c>
      <c r="M16" s="772">
        <v>30879.72</v>
      </c>
      <c r="N16" s="772">
        <v>32497.29</v>
      </c>
      <c r="O16" s="772">
        <v>34194.71</v>
      </c>
      <c r="P16" s="772">
        <v>35201</v>
      </c>
      <c r="Q16" s="772">
        <v>38352.94</v>
      </c>
      <c r="R16" s="772">
        <v>42057.53</v>
      </c>
      <c r="S16" s="772">
        <v>42577.279999999999</v>
      </c>
      <c r="T16" s="772">
        <v>43547.38</v>
      </c>
      <c r="U16" s="772">
        <v>45461.38</v>
      </c>
      <c r="V16" s="772">
        <v>49353.07</v>
      </c>
      <c r="W16" s="772">
        <v>52261.75</v>
      </c>
      <c r="X16" s="772">
        <v>54698.8</v>
      </c>
      <c r="Y16" s="772">
        <v>54305.7</v>
      </c>
      <c r="Z16" s="772">
        <v>56804.77</v>
      </c>
      <c r="AA16" s="772">
        <v>60283.51</v>
      </c>
      <c r="AB16" s="772">
        <v>64835.22</v>
      </c>
      <c r="AC16" s="772">
        <v>67883.69</v>
      </c>
      <c r="AD16" s="772">
        <v>71371.350000000006</v>
      </c>
      <c r="AE16" s="772">
        <v>78482.33</v>
      </c>
      <c r="AF16" s="772">
        <v>84918.38</v>
      </c>
      <c r="AG16" s="772">
        <v>90921.25</v>
      </c>
      <c r="AH16" s="772">
        <v>104003.49</v>
      </c>
      <c r="AI16" s="772">
        <v>114506.91</v>
      </c>
      <c r="AJ16" s="772">
        <v>121870.79</v>
      </c>
      <c r="AK16" s="772">
        <v>124002.34</v>
      </c>
      <c r="AL16" s="772">
        <v>137470.14000000001</v>
      </c>
      <c r="AM16" s="772">
        <v>139038.42000000001</v>
      </c>
      <c r="AN16" s="772">
        <v>141773.38</v>
      </c>
      <c r="AO16" s="772">
        <v>167943.65</v>
      </c>
      <c r="AP16" s="772">
        <v>174113.74</v>
      </c>
      <c r="AQ16" s="772">
        <v>180196.02</v>
      </c>
      <c r="AR16" s="772">
        <v>186751.43</v>
      </c>
      <c r="AS16" s="772">
        <v>195221.03</v>
      </c>
      <c r="AT16" s="772">
        <v>210690.27</v>
      </c>
      <c r="AU16" s="772">
        <v>218065.99</v>
      </c>
      <c r="AV16" s="772">
        <v>245815.66</v>
      </c>
      <c r="AW16" s="772">
        <v>246301.69</v>
      </c>
    </row>
    <row r="17" spans="1:49" ht="30" customHeight="1">
      <c r="A17" s="769" t="s">
        <v>983</v>
      </c>
      <c r="B17" s="769" t="s">
        <v>1077</v>
      </c>
      <c r="C17" s="773">
        <v>3780</v>
      </c>
      <c r="D17" s="773"/>
      <c r="E17" s="773"/>
      <c r="F17" s="773">
        <v>4158</v>
      </c>
      <c r="G17" s="773">
        <v>4536</v>
      </c>
      <c r="H17" s="773">
        <v>4536</v>
      </c>
      <c r="I17" s="773">
        <v>4536</v>
      </c>
      <c r="J17" s="773">
        <v>4762.8</v>
      </c>
      <c r="K17" s="773">
        <v>4787.3599999999997</v>
      </c>
      <c r="L17" s="773">
        <v>5066.51</v>
      </c>
      <c r="M17" s="773">
        <v>5347.35</v>
      </c>
      <c r="N17" s="773">
        <v>5657.85</v>
      </c>
      <c r="O17" s="773">
        <v>5899.46</v>
      </c>
      <c r="P17" s="773">
        <v>6225.18</v>
      </c>
      <c r="Q17" s="773">
        <v>6464.67</v>
      </c>
      <c r="R17" s="773">
        <v>6456.96</v>
      </c>
      <c r="S17" s="773">
        <v>6509.42</v>
      </c>
      <c r="T17" s="773">
        <v>6806.47</v>
      </c>
      <c r="U17" s="773">
        <v>6974.56</v>
      </c>
      <c r="V17" s="773">
        <v>7534.81</v>
      </c>
      <c r="W17" s="773">
        <v>8008.76</v>
      </c>
      <c r="X17" s="773">
        <v>8734.4599999999991</v>
      </c>
      <c r="Y17" s="773">
        <v>9140.5499999999993</v>
      </c>
      <c r="Z17" s="773">
        <v>10307.85</v>
      </c>
      <c r="AA17" s="773">
        <v>11228.6</v>
      </c>
      <c r="AB17" s="773">
        <v>12046.53</v>
      </c>
      <c r="AC17" s="773">
        <v>11965.87</v>
      </c>
      <c r="AD17" s="773">
        <v>13112.25</v>
      </c>
      <c r="AE17" s="773">
        <v>13676.29</v>
      </c>
      <c r="AF17" s="773">
        <v>14505.15</v>
      </c>
      <c r="AG17" s="773">
        <v>15243.43</v>
      </c>
      <c r="AH17" s="773">
        <v>16469.54</v>
      </c>
      <c r="AI17" s="773">
        <v>16772.8</v>
      </c>
      <c r="AJ17" s="773">
        <v>17006.34</v>
      </c>
      <c r="AK17" s="773">
        <v>17291.62</v>
      </c>
      <c r="AL17" s="773">
        <v>17889.14</v>
      </c>
      <c r="AM17" s="773">
        <v>18679.21</v>
      </c>
      <c r="AN17" s="773">
        <v>17705.009999999998</v>
      </c>
      <c r="AO17" s="773">
        <v>17147.95</v>
      </c>
      <c r="AP17" s="773">
        <v>17292.310000000001</v>
      </c>
      <c r="AQ17" s="773">
        <v>16028.72</v>
      </c>
      <c r="AR17" s="773">
        <v>15720.65</v>
      </c>
      <c r="AS17" s="773">
        <v>15871.06</v>
      </c>
      <c r="AT17" s="773">
        <v>15665.43</v>
      </c>
      <c r="AU17" s="773">
        <v>15421.79</v>
      </c>
      <c r="AV17" s="773">
        <v>16023.84</v>
      </c>
      <c r="AW17" s="773">
        <v>15103.09</v>
      </c>
    </row>
    <row r="18" spans="1:49">
      <c r="A18" s="748"/>
      <c r="B18" s="748"/>
      <c r="C18" s="748"/>
      <c r="D18" s="748"/>
      <c r="E18" s="748"/>
      <c r="F18" s="748"/>
      <c r="G18" s="748"/>
      <c r="H18" s="748"/>
      <c r="I18" s="748"/>
      <c r="J18" s="748"/>
      <c r="K18" s="748"/>
      <c r="L18" s="748"/>
      <c r="M18" s="748"/>
      <c r="N18" s="748"/>
      <c r="O18" s="748"/>
      <c r="P18" s="748"/>
      <c r="Q18" s="748"/>
      <c r="R18" s="748"/>
      <c r="S18" s="748"/>
      <c r="T18" s="748"/>
      <c r="U18" s="748"/>
      <c r="V18" s="748"/>
      <c r="W18" s="748"/>
      <c r="X18" s="748"/>
      <c r="Y18" s="748"/>
      <c r="Z18" s="748"/>
      <c r="AA18" s="748"/>
      <c r="AB18" s="748"/>
      <c r="AC18" s="748"/>
      <c r="AD18" s="748"/>
      <c r="AE18" s="748"/>
      <c r="AF18" s="748"/>
      <c r="AG18" s="748"/>
      <c r="AH18" s="748"/>
      <c r="AI18" s="748"/>
      <c r="AJ18" s="748"/>
      <c r="AK18" s="748"/>
      <c r="AL18" s="748"/>
      <c r="AM18" s="748"/>
      <c r="AN18" s="748"/>
      <c r="AO18" s="748"/>
      <c r="AP18" s="748"/>
      <c r="AQ18" s="748"/>
      <c r="AR18" s="748"/>
      <c r="AS18" s="748"/>
      <c r="AT18" s="748"/>
      <c r="AU18" s="748"/>
      <c r="AV18" s="748"/>
      <c r="AW18" s="748"/>
    </row>
    <row r="19" spans="1:49">
      <c r="A19" s="748" t="s">
        <v>1078</v>
      </c>
      <c r="B19" s="748" t="s">
        <v>1079</v>
      </c>
      <c r="C19" s="748"/>
      <c r="D19" s="748"/>
      <c r="E19" s="748"/>
      <c r="F19" s="748"/>
      <c r="G19" s="748"/>
      <c r="H19" s="748"/>
      <c r="I19" s="748"/>
      <c r="J19" s="748"/>
      <c r="K19" s="774"/>
      <c r="L19" s="748"/>
      <c r="M19" s="748"/>
      <c r="N19" s="748"/>
      <c r="O19" s="748"/>
      <c r="P19" s="748"/>
      <c r="Q19" s="748"/>
      <c r="R19" s="748"/>
      <c r="S19" s="748"/>
      <c r="T19" s="748"/>
      <c r="U19" s="748"/>
      <c r="V19" s="748"/>
      <c r="W19" s="748"/>
      <c r="X19" s="748"/>
      <c r="Y19" s="748"/>
      <c r="Z19" s="748"/>
      <c r="AA19" s="748"/>
      <c r="AB19" s="748"/>
      <c r="AC19" s="748"/>
      <c r="AD19" s="748"/>
      <c r="AE19" s="748"/>
      <c r="AF19" s="748"/>
      <c r="AG19" s="748"/>
      <c r="AH19" s="748"/>
      <c r="AI19" s="748"/>
      <c r="AJ19" s="748"/>
      <c r="AK19" s="748"/>
      <c r="AL19" s="748"/>
      <c r="AM19" s="748"/>
      <c r="AN19" s="748"/>
      <c r="AO19" s="748"/>
      <c r="AP19" s="748"/>
      <c r="AQ19" s="748"/>
      <c r="AR19" s="748"/>
      <c r="AS19" s="748"/>
      <c r="AT19" s="748"/>
      <c r="AU19" s="748"/>
      <c r="AV19" s="748"/>
      <c r="AW19" s="748"/>
    </row>
    <row r="23" spans="1:49" ht="20.399999999999999">
      <c r="A23" s="757"/>
      <c r="B23" s="757"/>
    </row>
    <row r="24" spans="1:49">
      <c r="A24" s="748"/>
      <c r="B24" s="748"/>
      <c r="C24" s="766"/>
      <c r="D24" s="766"/>
      <c r="E24" s="766"/>
      <c r="F24" s="766"/>
      <c r="G24" s="766"/>
      <c r="H24" s="766"/>
      <c r="I24" s="766"/>
      <c r="J24" s="766"/>
      <c r="K24" s="766"/>
      <c r="L24" s="766"/>
      <c r="M24" s="766"/>
      <c r="N24" s="766"/>
      <c r="O24" s="766"/>
      <c r="P24" s="766"/>
      <c r="Q24" s="766"/>
      <c r="R24" s="766"/>
      <c r="S24" s="766"/>
      <c r="T24" s="766"/>
      <c r="U24" s="766"/>
      <c r="V24" s="766"/>
      <c r="W24" s="766"/>
      <c r="X24" s="766"/>
      <c r="Y24" s="766"/>
      <c r="Z24" s="766"/>
      <c r="AA24" s="766"/>
      <c r="AB24" s="766"/>
      <c r="AC24" s="766"/>
      <c r="AD24" s="766"/>
      <c r="AE24" s="766"/>
      <c r="AF24" s="766"/>
      <c r="AG24" s="766"/>
      <c r="AH24" s="766"/>
      <c r="AI24" s="766"/>
      <c r="AJ24" s="766"/>
      <c r="AK24" s="766"/>
      <c r="AL24" s="766"/>
      <c r="AM24" s="766"/>
      <c r="AN24" s="766"/>
      <c r="AO24" s="766"/>
      <c r="AP24" s="766"/>
      <c r="AQ24" s="766"/>
      <c r="AR24" s="766"/>
      <c r="AS24" s="766"/>
      <c r="AT24" s="766"/>
      <c r="AU24" s="766"/>
      <c r="AV24" s="766"/>
      <c r="AW24" s="766"/>
    </row>
    <row r="25" spans="1:49">
      <c r="A25" s="748"/>
      <c r="B25" s="748"/>
      <c r="C25" s="766"/>
      <c r="D25" s="766"/>
      <c r="E25" s="766"/>
      <c r="F25" s="766"/>
      <c r="G25" s="766"/>
      <c r="H25" s="766"/>
      <c r="I25" s="766"/>
      <c r="J25" s="766"/>
      <c r="K25" s="766"/>
      <c r="L25" s="766"/>
      <c r="M25" s="766"/>
      <c r="N25" s="766"/>
      <c r="O25" s="766"/>
      <c r="P25" s="766"/>
      <c r="Q25" s="766"/>
      <c r="R25" s="766"/>
      <c r="S25" s="766"/>
      <c r="T25" s="766"/>
      <c r="U25" s="766"/>
      <c r="V25" s="766"/>
      <c r="W25" s="766"/>
      <c r="X25" s="766"/>
      <c r="Y25" s="766"/>
      <c r="Z25" s="766"/>
      <c r="AA25" s="766"/>
      <c r="AB25" s="766"/>
      <c r="AC25" s="766"/>
      <c r="AD25" s="766"/>
      <c r="AE25" s="766"/>
      <c r="AF25" s="766"/>
      <c r="AG25" s="766"/>
      <c r="AH25" s="766"/>
      <c r="AI25" s="766"/>
      <c r="AJ25" s="766"/>
      <c r="AK25" s="766"/>
      <c r="AL25" s="766"/>
      <c r="AM25" s="766"/>
      <c r="AN25" s="766"/>
      <c r="AO25" s="766"/>
      <c r="AP25" s="766"/>
      <c r="AQ25" s="766"/>
      <c r="AR25" s="766"/>
      <c r="AS25" s="766"/>
      <c r="AT25" s="766"/>
      <c r="AU25" s="766"/>
      <c r="AV25" s="766"/>
      <c r="AW25" s="766"/>
    </row>
    <row r="26" spans="1:49">
      <c r="A26" s="775"/>
      <c r="B26" s="775"/>
      <c r="C26" s="750"/>
      <c r="D26" s="750"/>
      <c r="E26" s="750"/>
      <c r="F26" s="750"/>
      <c r="G26" s="750"/>
      <c r="H26" s="750"/>
      <c r="I26" s="750"/>
      <c r="J26" s="750"/>
      <c r="K26" s="750"/>
      <c r="L26" s="750"/>
      <c r="M26" s="750"/>
      <c r="N26" s="750"/>
      <c r="O26" s="750"/>
      <c r="P26" s="750"/>
      <c r="Q26" s="750"/>
      <c r="R26" s="750"/>
      <c r="S26" s="750"/>
      <c r="T26" s="750"/>
      <c r="U26" s="750"/>
      <c r="V26" s="750"/>
      <c r="W26" s="750"/>
      <c r="X26" s="750"/>
      <c r="Y26" s="750"/>
      <c r="Z26" s="750"/>
      <c r="AA26" s="750"/>
      <c r="AB26" s="750"/>
      <c r="AC26" s="750"/>
      <c r="AD26" s="750"/>
      <c r="AE26" s="750"/>
      <c r="AF26" s="750"/>
      <c r="AG26" s="750"/>
      <c r="AH26" s="750"/>
      <c r="AI26" s="750"/>
      <c r="AJ26" s="750"/>
      <c r="AK26" s="750"/>
      <c r="AL26" s="750"/>
      <c r="AM26" s="750"/>
      <c r="AN26" s="750"/>
      <c r="AO26" s="750"/>
      <c r="AP26" s="750"/>
      <c r="AQ26" s="750"/>
      <c r="AR26" s="750"/>
      <c r="AS26" s="750"/>
      <c r="AT26" s="750"/>
      <c r="AU26" s="750"/>
      <c r="AV26" s="750"/>
      <c r="AW26" s="750"/>
    </row>
    <row r="27" spans="1:49">
      <c r="A27" s="769"/>
      <c r="B27" s="769"/>
      <c r="C27" s="770"/>
      <c r="D27" s="770"/>
      <c r="E27" s="770"/>
      <c r="F27" s="770"/>
      <c r="G27" s="770"/>
      <c r="H27" s="770"/>
      <c r="I27" s="770"/>
      <c r="J27" s="770"/>
      <c r="K27" s="770"/>
      <c r="L27" s="770"/>
      <c r="M27" s="770"/>
      <c r="N27" s="770"/>
      <c r="O27" s="770"/>
      <c r="P27" s="770"/>
      <c r="Q27" s="770"/>
      <c r="R27" s="770"/>
      <c r="S27" s="770"/>
      <c r="T27" s="770"/>
      <c r="U27" s="770"/>
      <c r="V27" s="770"/>
      <c r="W27" s="770"/>
      <c r="X27" s="770"/>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row>
    <row r="28" spans="1:49">
      <c r="A28" s="771"/>
      <c r="B28" s="771"/>
      <c r="C28" s="772"/>
      <c r="D28" s="772"/>
      <c r="E28" s="772"/>
      <c r="F28" s="772"/>
      <c r="G28" s="772"/>
      <c r="H28" s="772"/>
      <c r="I28" s="772"/>
      <c r="J28" s="772"/>
      <c r="K28" s="772"/>
      <c r="L28" s="772"/>
      <c r="M28" s="772"/>
      <c r="N28" s="772"/>
      <c r="O28" s="772"/>
      <c r="P28" s="772"/>
      <c r="Q28" s="772"/>
      <c r="R28" s="772"/>
      <c r="S28" s="772"/>
      <c r="T28" s="772"/>
      <c r="U28" s="772"/>
      <c r="V28" s="772"/>
      <c r="W28" s="772"/>
      <c r="X28" s="772"/>
      <c r="Y28" s="772"/>
      <c r="Z28" s="772"/>
      <c r="AA28" s="772"/>
      <c r="AB28" s="772"/>
      <c r="AC28" s="772"/>
      <c r="AD28" s="772"/>
      <c r="AE28" s="772"/>
      <c r="AF28" s="772"/>
      <c r="AG28" s="772"/>
      <c r="AH28" s="772"/>
      <c r="AI28" s="772"/>
      <c r="AJ28" s="772"/>
      <c r="AK28" s="772"/>
      <c r="AL28" s="772"/>
      <c r="AM28" s="772"/>
      <c r="AN28" s="772"/>
      <c r="AO28" s="772"/>
      <c r="AP28" s="772"/>
      <c r="AQ28" s="772"/>
      <c r="AR28" s="772"/>
      <c r="AS28" s="772"/>
      <c r="AT28" s="772"/>
      <c r="AU28" s="772"/>
      <c r="AV28" s="772"/>
      <c r="AW28" s="772"/>
    </row>
    <row r="29" spans="1:49">
      <c r="A29" s="771"/>
      <c r="B29" s="771"/>
      <c r="C29" s="772"/>
      <c r="D29" s="772"/>
      <c r="E29" s="772"/>
      <c r="F29" s="772"/>
      <c r="G29" s="772"/>
      <c r="H29" s="772"/>
      <c r="I29" s="772"/>
      <c r="J29" s="772"/>
      <c r="K29" s="772"/>
      <c r="L29" s="772"/>
      <c r="M29" s="772"/>
      <c r="N29" s="772"/>
      <c r="O29" s="772"/>
      <c r="P29" s="772"/>
      <c r="Q29" s="772"/>
      <c r="R29" s="772"/>
      <c r="S29" s="772"/>
      <c r="T29" s="772"/>
      <c r="U29" s="772"/>
      <c r="V29" s="772"/>
      <c r="W29" s="772"/>
      <c r="X29" s="772"/>
      <c r="Y29" s="772"/>
      <c r="Z29" s="772"/>
      <c r="AA29" s="772"/>
      <c r="AB29" s="772"/>
      <c r="AC29" s="772"/>
      <c r="AD29" s="772"/>
      <c r="AE29" s="772"/>
      <c r="AF29" s="772"/>
      <c r="AG29" s="772"/>
      <c r="AH29" s="772"/>
      <c r="AI29" s="772"/>
      <c r="AJ29" s="772"/>
      <c r="AK29" s="772"/>
      <c r="AL29" s="772"/>
      <c r="AM29" s="772"/>
      <c r="AN29" s="772"/>
      <c r="AO29" s="772"/>
      <c r="AP29" s="772"/>
      <c r="AQ29" s="772"/>
      <c r="AR29" s="772"/>
      <c r="AS29" s="772"/>
      <c r="AT29" s="772"/>
      <c r="AU29" s="772"/>
      <c r="AV29" s="772"/>
      <c r="AW29" s="772"/>
    </row>
    <row r="30" spans="1:49">
      <c r="A30" s="769"/>
      <c r="B30" s="769"/>
      <c r="C30" s="770"/>
      <c r="D30" s="770"/>
      <c r="E30" s="770"/>
      <c r="F30" s="770"/>
      <c r="G30" s="770"/>
      <c r="H30" s="770"/>
      <c r="I30" s="770"/>
      <c r="J30" s="770"/>
      <c r="K30" s="770"/>
      <c r="L30" s="770"/>
      <c r="M30" s="770"/>
      <c r="N30" s="770"/>
      <c r="O30" s="770"/>
      <c r="P30" s="770"/>
      <c r="Q30" s="770"/>
      <c r="R30" s="770"/>
      <c r="S30" s="770"/>
      <c r="T30" s="770"/>
      <c r="U30" s="770"/>
      <c r="V30" s="770"/>
      <c r="W30" s="770"/>
      <c r="X30" s="770"/>
      <c r="Y30" s="770"/>
      <c r="Z30" s="770"/>
      <c r="AA30" s="770"/>
      <c r="AB30" s="770"/>
      <c r="AC30" s="770"/>
      <c r="AD30" s="770"/>
      <c r="AE30" s="770"/>
      <c r="AF30" s="770"/>
      <c r="AG30" s="770"/>
      <c r="AH30" s="770"/>
      <c r="AI30" s="770"/>
      <c r="AJ30" s="770"/>
      <c r="AK30" s="770"/>
      <c r="AL30" s="770"/>
      <c r="AM30" s="770"/>
      <c r="AN30" s="770"/>
      <c r="AO30" s="770"/>
      <c r="AP30" s="770"/>
      <c r="AQ30" s="770"/>
      <c r="AR30" s="770"/>
      <c r="AS30" s="770"/>
      <c r="AT30" s="770"/>
      <c r="AU30" s="770"/>
      <c r="AV30" s="770"/>
      <c r="AW30" s="770"/>
    </row>
    <row r="31" spans="1:49">
      <c r="A31" s="771"/>
      <c r="B31" s="771"/>
      <c r="C31" s="772"/>
      <c r="D31" s="772"/>
      <c r="E31" s="772"/>
      <c r="F31" s="772"/>
      <c r="G31" s="772"/>
      <c r="H31" s="772"/>
      <c r="I31" s="772"/>
      <c r="J31" s="772"/>
      <c r="K31" s="772"/>
      <c r="L31" s="772"/>
      <c r="M31" s="772"/>
      <c r="N31" s="772"/>
      <c r="O31" s="772"/>
      <c r="P31" s="772"/>
      <c r="Q31" s="772"/>
      <c r="R31" s="772"/>
      <c r="S31" s="772"/>
      <c r="T31" s="772"/>
      <c r="U31" s="772"/>
      <c r="V31" s="772"/>
      <c r="W31" s="772"/>
      <c r="X31" s="772"/>
      <c r="Y31" s="772"/>
      <c r="Z31" s="772"/>
      <c r="AA31" s="772"/>
      <c r="AB31" s="772"/>
      <c r="AC31" s="772"/>
      <c r="AD31" s="772"/>
      <c r="AE31" s="772"/>
      <c r="AF31" s="772"/>
      <c r="AG31" s="772"/>
      <c r="AH31" s="772"/>
      <c r="AI31" s="772"/>
      <c r="AJ31" s="772"/>
      <c r="AK31" s="772"/>
      <c r="AL31" s="772"/>
      <c r="AM31" s="772"/>
      <c r="AN31" s="772"/>
      <c r="AO31" s="772"/>
      <c r="AP31" s="772"/>
      <c r="AQ31" s="772"/>
      <c r="AR31" s="772"/>
      <c r="AS31" s="772"/>
      <c r="AT31" s="772"/>
      <c r="AU31" s="772"/>
      <c r="AV31" s="772"/>
      <c r="AW31" s="772"/>
    </row>
    <row r="32" spans="1:49">
      <c r="A32" s="771"/>
      <c r="B32" s="771"/>
      <c r="C32" s="772"/>
      <c r="D32" s="772"/>
      <c r="E32" s="772"/>
      <c r="F32" s="772"/>
      <c r="G32" s="772"/>
      <c r="H32" s="772"/>
      <c r="I32" s="772"/>
      <c r="J32" s="772"/>
      <c r="K32" s="772"/>
      <c r="L32" s="772"/>
      <c r="M32" s="772"/>
      <c r="N32" s="772"/>
      <c r="O32" s="772"/>
      <c r="P32" s="772"/>
      <c r="Q32" s="772"/>
      <c r="R32" s="772"/>
      <c r="S32" s="772"/>
      <c r="T32" s="772"/>
      <c r="U32" s="772"/>
      <c r="V32" s="772"/>
      <c r="W32" s="772"/>
      <c r="X32" s="772"/>
      <c r="Y32" s="772"/>
      <c r="Z32" s="772"/>
      <c r="AA32" s="772"/>
      <c r="AB32" s="772"/>
      <c r="AC32" s="772"/>
      <c r="AD32" s="772"/>
      <c r="AE32" s="772"/>
      <c r="AF32" s="772"/>
      <c r="AG32" s="772"/>
      <c r="AH32" s="772"/>
      <c r="AI32" s="772"/>
      <c r="AJ32" s="772"/>
      <c r="AK32" s="772"/>
      <c r="AL32" s="772"/>
      <c r="AM32" s="772"/>
      <c r="AN32" s="772"/>
      <c r="AO32" s="772"/>
      <c r="AP32" s="772"/>
      <c r="AQ32" s="772"/>
      <c r="AR32" s="772"/>
      <c r="AS32" s="772"/>
      <c r="AT32" s="772"/>
      <c r="AU32" s="772"/>
      <c r="AV32" s="772"/>
      <c r="AW32" s="772"/>
    </row>
    <row r="33" spans="1:49">
      <c r="A33" s="771"/>
      <c r="B33" s="771"/>
      <c r="C33" s="772"/>
      <c r="D33" s="772"/>
      <c r="E33" s="772"/>
      <c r="F33" s="772"/>
      <c r="G33" s="772"/>
      <c r="H33" s="772"/>
      <c r="I33" s="772"/>
      <c r="J33" s="772"/>
      <c r="K33" s="772"/>
      <c r="L33" s="772"/>
      <c r="M33" s="772"/>
      <c r="N33" s="772"/>
      <c r="O33" s="772"/>
      <c r="P33" s="772"/>
      <c r="Q33" s="772"/>
      <c r="R33" s="772"/>
      <c r="S33" s="772"/>
      <c r="T33" s="772"/>
      <c r="U33" s="772"/>
      <c r="V33" s="772"/>
      <c r="W33" s="772"/>
      <c r="X33" s="772"/>
      <c r="Y33" s="772"/>
      <c r="Z33" s="772"/>
      <c r="AA33" s="772"/>
      <c r="AB33" s="772"/>
      <c r="AC33" s="772"/>
      <c r="AD33" s="772"/>
      <c r="AE33" s="772"/>
      <c r="AF33" s="772"/>
      <c r="AG33" s="772"/>
      <c r="AH33" s="772"/>
      <c r="AI33" s="772"/>
      <c r="AJ33" s="772"/>
      <c r="AK33" s="772"/>
      <c r="AL33" s="772"/>
      <c r="AM33" s="772"/>
      <c r="AN33" s="772"/>
      <c r="AO33" s="772"/>
      <c r="AP33" s="772"/>
      <c r="AQ33" s="772"/>
      <c r="AR33" s="772"/>
      <c r="AS33" s="772"/>
      <c r="AT33" s="772"/>
      <c r="AU33" s="772"/>
      <c r="AV33" s="772"/>
      <c r="AW33" s="772"/>
    </row>
    <row r="34" spans="1:49">
      <c r="A34" s="769"/>
      <c r="B34" s="769"/>
      <c r="C34" s="770"/>
      <c r="D34" s="770"/>
      <c r="E34" s="770"/>
      <c r="F34" s="770"/>
      <c r="G34" s="770"/>
      <c r="H34" s="770"/>
      <c r="I34" s="770"/>
      <c r="J34" s="770"/>
      <c r="K34" s="770"/>
      <c r="L34" s="770"/>
      <c r="M34" s="770"/>
      <c r="N34" s="770"/>
      <c r="O34" s="770"/>
      <c r="P34" s="770"/>
      <c r="Q34" s="770"/>
      <c r="R34" s="770"/>
      <c r="S34" s="770"/>
      <c r="T34" s="770"/>
      <c r="U34" s="770"/>
      <c r="V34" s="770"/>
      <c r="W34" s="770"/>
      <c r="X34" s="770"/>
      <c r="Y34" s="770"/>
      <c r="Z34" s="770"/>
      <c r="AA34" s="770"/>
      <c r="AB34" s="770"/>
      <c r="AC34" s="770"/>
      <c r="AD34" s="770"/>
      <c r="AE34" s="770"/>
      <c r="AF34" s="770"/>
      <c r="AG34" s="770"/>
      <c r="AH34" s="770"/>
      <c r="AI34" s="770"/>
      <c r="AJ34" s="770"/>
      <c r="AK34" s="770"/>
      <c r="AL34" s="770"/>
      <c r="AM34" s="770"/>
      <c r="AN34" s="770"/>
      <c r="AO34" s="770"/>
      <c r="AP34" s="770"/>
      <c r="AQ34" s="770"/>
      <c r="AR34" s="770"/>
      <c r="AS34" s="770"/>
      <c r="AT34" s="770"/>
      <c r="AU34" s="770"/>
      <c r="AV34" s="770"/>
      <c r="AW34" s="770"/>
    </row>
    <row r="35" spans="1:49">
      <c r="A35" s="771"/>
      <c r="B35" s="771"/>
      <c r="C35" s="772"/>
      <c r="D35" s="772"/>
      <c r="E35" s="772"/>
      <c r="F35" s="772"/>
      <c r="G35" s="772"/>
      <c r="H35" s="772"/>
      <c r="I35" s="772"/>
      <c r="J35" s="772"/>
      <c r="K35" s="772"/>
      <c r="L35" s="772"/>
      <c r="M35" s="772"/>
      <c r="N35" s="772"/>
      <c r="O35" s="772"/>
      <c r="P35" s="772"/>
      <c r="Q35" s="772"/>
      <c r="R35" s="772"/>
      <c r="S35" s="772"/>
      <c r="T35" s="772"/>
      <c r="U35" s="772"/>
      <c r="V35" s="772"/>
      <c r="W35" s="772"/>
      <c r="X35" s="772"/>
      <c r="Y35" s="772"/>
      <c r="Z35" s="772"/>
      <c r="AA35" s="772"/>
      <c r="AB35" s="772"/>
      <c r="AC35" s="772"/>
      <c r="AD35" s="772"/>
      <c r="AE35" s="772"/>
      <c r="AF35" s="772"/>
      <c r="AG35" s="772"/>
      <c r="AH35" s="772"/>
      <c r="AI35" s="772"/>
      <c r="AJ35" s="772"/>
      <c r="AK35" s="772"/>
      <c r="AL35" s="772"/>
      <c r="AM35" s="772"/>
      <c r="AN35" s="772"/>
      <c r="AO35" s="772"/>
      <c r="AP35" s="772"/>
      <c r="AQ35" s="772"/>
      <c r="AR35" s="772"/>
      <c r="AS35" s="772"/>
      <c r="AT35" s="772"/>
      <c r="AU35" s="772"/>
      <c r="AV35" s="772"/>
      <c r="AW35" s="772"/>
    </row>
    <row r="36" spans="1:49">
      <c r="A36" s="771"/>
      <c r="B36" s="771"/>
      <c r="C36" s="772"/>
      <c r="D36" s="772"/>
      <c r="E36" s="772"/>
      <c r="F36" s="772"/>
      <c r="G36" s="772"/>
      <c r="H36" s="772"/>
      <c r="I36" s="772"/>
      <c r="J36" s="772"/>
      <c r="K36" s="772"/>
      <c r="L36" s="772"/>
      <c r="M36" s="772"/>
      <c r="N36" s="772"/>
      <c r="O36" s="772"/>
      <c r="P36" s="772"/>
      <c r="Q36" s="772"/>
      <c r="R36" s="772"/>
      <c r="S36" s="772"/>
      <c r="T36" s="772"/>
      <c r="U36" s="772"/>
      <c r="V36" s="772"/>
      <c r="W36" s="772"/>
      <c r="X36" s="772"/>
      <c r="Y36" s="772"/>
      <c r="Z36" s="772"/>
      <c r="AA36" s="772"/>
      <c r="AB36" s="772"/>
      <c r="AC36" s="772"/>
      <c r="AD36" s="772"/>
      <c r="AE36" s="772"/>
      <c r="AF36" s="772"/>
      <c r="AG36" s="772"/>
      <c r="AH36" s="772"/>
      <c r="AI36" s="772"/>
      <c r="AJ36" s="772"/>
      <c r="AK36" s="772"/>
      <c r="AL36" s="772"/>
      <c r="AM36" s="772"/>
      <c r="AN36" s="772"/>
      <c r="AO36" s="772"/>
      <c r="AP36" s="772"/>
      <c r="AQ36" s="772"/>
      <c r="AR36" s="772"/>
      <c r="AS36" s="772"/>
      <c r="AT36" s="772"/>
      <c r="AU36" s="772"/>
      <c r="AV36" s="772"/>
      <c r="AW36" s="772"/>
    </row>
    <row r="37" spans="1:49">
      <c r="A37" s="771"/>
      <c r="B37" s="771"/>
      <c r="C37" s="772"/>
      <c r="D37" s="772"/>
      <c r="E37" s="772"/>
      <c r="F37" s="772"/>
      <c r="G37" s="772"/>
      <c r="H37" s="772"/>
      <c r="I37" s="772"/>
      <c r="J37" s="772"/>
      <c r="K37" s="772"/>
      <c r="L37" s="772"/>
      <c r="M37" s="772"/>
      <c r="N37" s="772"/>
      <c r="O37" s="772"/>
      <c r="P37" s="772"/>
      <c r="Q37" s="772"/>
      <c r="R37" s="772"/>
      <c r="S37" s="772"/>
      <c r="T37" s="772"/>
      <c r="U37" s="772"/>
      <c r="V37" s="772"/>
      <c r="W37" s="772"/>
      <c r="X37" s="772"/>
      <c r="Y37" s="772"/>
      <c r="Z37" s="772"/>
      <c r="AA37" s="772"/>
      <c r="AB37" s="772"/>
      <c r="AC37" s="772"/>
      <c r="AD37" s="772"/>
      <c r="AE37" s="772"/>
      <c r="AF37" s="772"/>
      <c r="AG37" s="772"/>
      <c r="AH37" s="772"/>
      <c r="AI37" s="772"/>
      <c r="AJ37" s="772"/>
      <c r="AK37" s="772"/>
      <c r="AL37" s="772"/>
      <c r="AM37" s="772"/>
      <c r="AN37" s="772"/>
      <c r="AO37" s="772"/>
      <c r="AP37" s="772"/>
      <c r="AQ37" s="772"/>
      <c r="AR37" s="772"/>
      <c r="AS37" s="772"/>
      <c r="AT37" s="772"/>
      <c r="AU37" s="772"/>
      <c r="AV37" s="772"/>
      <c r="AW37" s="772"/>
    </row>
    <row r="38" spans="1:49">
      <c r="A38" s="771"/>
      <c r="B38" s="771"/>
      <c r="C38" s="772"/>
      <c r="D38" s="772"/>
      <c r="E38" s="772"/>
      <c r="F38" s="772"/>
      <c r="G38" s="772"/>
      <c r="H38" s="772"/>
      <c r="I38" s="772"/>
      <c r="J38" s="772"/>
      <c r="K38" s="772"/>
      <c r="L38" s="772"/>
      <c r="M38" s="772"/>
      <c r="N38" s="772"/>
      <c r="O38" s="772"/>
      <c r="P38" s="772"/>
      <c r="Q38" s="772"/>
      <c r="R38" s="772"/>
      <c r="S38" s="772"/>
      <c r="T38" s="772"/>
      <c r="U38" s="772"/>
      <c r="V38" s="772"/>
      <c r="W38" s="772"/>
      <c r="X38" s="772"/>
      <c r="Y38" s="772"/>
      <c r="Z38" s="772"/>
      <c r="AA38" s="772"/>
      <c r="AB38" s="772"/>
      <c r="AC38" s="772"/>
      <c r="AD38" s="772"/>
      <c r="AE38" s="772"/>
      <c r="AF38" s="772"/>
      <c r="AG38" s="772"/>
      <c r="AH38" s="772"/>
      <c r="AI38" s="772"/>
      <c r="AJ38" s="772"/>
      <c r="AK38" s="772"/>
      <c r="AL38" s="772"/>
      <c r="AM38" s="772"/>
      <c r="AN38" s="772"/>
      <c r="AO38" s="772"/>
      <c r="AP38" s="772"/>
      <c r="AQ38" s="772"/>
      <c r="AR38" s="772"/>
      <c r="AS38" s="772"/>
      <c r="AT38" s="772"/>
      <c r="AU38" s="772"/>
      <c r="AV38" s="772"/>
      <c r="AW38" s="772"/>
    </row>
    <row r="39" spans="1:49">
      <c r="A39" s="769"/>
      <c r="B39" s="769"/>
      <c r="C39" s="773"/>
      <c r="D39" s="773"/>
      <c r="E39" s="773"/>
      <c r="F39" s="773"/>
      <c r="G39" s="773"/>
      <c r="H39" s="773"/>
      <c r="I39" s="773"/>
      <c r="J39" s="773"/>
      <c r="K39" s="773"/>
      <c r="L39" s="773"/>
      <c r="M39" s="773"/>
      <c r="N39" s="773"/>
      <c r="O39" s="773"/>
      <c r="P39" s="773"/>
      <c r="Q39" s="773"/>
      <c r="R39" s="773"/>
      <c r="S39" s="773"/>
      <c r="T39" s="773"/>
      <c r="U39" s="773"/>
      <c r="V39" s="773"/>
      <c r="W39" s="773"/>
      <c r="X39" s="773"/>
      <c r="Y39" s="773"/>
      <c r="Z39" s="773"/>
      <c r="AA39" s="773"/>
      <c r="AB39" s="773"/>
      <c r="AC39" s="773"/>
      <c r="AD39" s="773"/>
      <c r="AE39" s="773"/>
      <c r="AF39" s="773"/>
      <c r="AG39" s="773"/>
      <c r="AH39" s="773"/>
      <c r="AI39" s="773"/>
      <c r="AJ39" s="773"/>
      <c r="AK39" s="773"/>
      <c r="AL39" s="773"/>
      <c r="AM39" s="773"/>
      <c r="AN39" s="773"/>
      <c r="AO39" s="773"/>
      <c r="AP39" s="773"/>
      <c r="AQ39" s="773"/>
      <c r="AR39" s="773"/>
      <c r="AS39" s="773"/>
      <c r="AT39" s="773"/>
      <c r="AU39" s="773"/>
      <c r="AV39" s="773"/>
      <c r="AW39" s="773"/>
    </row>
    <row r="40" spans="1:49">
      <c r="C40" s="74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9">
    <tabColor theme="9"/>
  </sheetPr>
  <dimension ref="B1:C18"/>
  <sheetViews>
    <sheetView workbookViewId="0">
      <selection activeCell="C19" sqref="C19"/>
    </sheetView>
  </sheetViews>
  <sheetFormatPr defaultColWidth="9.109375" defaultRowHeight="14.4"/>
  <cols>
    <col min="1" max="1" width="9.109375" style="557"/>
    <col min="2" max="2" width="28.33203125" style="557" customWidth="1"/>
    <col min="3" max="3" width="138.44140625" style="557" customWidth="1"/>
    <col min="4" max="16384" width="9.109375" style="557"/>
  </cols>
  <sheetData>
    <row r="1" spans="2:3" ht="18">
      <c r="B1" s="556" t="s">
        <v>698</v>
      </c>
    </row>
    <row r="3" spans="2:3">
      <c r="B3" s="558" t="s">
        <v>699</v>
      </c>
      <c r="C3" s="562" t="s">
        <v>708</v>
      </c>
    </row>
    <row r="4" spans="2:3">
      <c r="B4" s="558" t="s">
        <v>700</v>
      </c>
      <c r="C4" s="557" t="s">
        <v>701</v>
      </c>
    </row>
    <row r="5" spans="2:3">
      <c r="B5" s="558"/>
    </row>
    <row r="6" spans="2:3">
      <c r="B6" s="558" t="s">
        <v>702</v>
      </c>
      <c r="C6" s="562" t="s">
        <v>707</v>
      </c>
    </row>
    <row r="7" spans="2:3">
      <c r="B7" s="558"/>
    </row>
    <row r="8" spans="2:3">
      <c r="B8" s="559" t="s">
        <v>703</v>
      </c>
    </row>
    <row r="9" spans="2:3">
      <c r="B9" s="558"/>
    </row>
    <row r="10" spans="2:3">
      <c r="B10" s="560" t="s">
        <v>704</v>
      </c>
      <c r="C10" s="562" t="s">
        <v>709</v>
      </c>
    </row>
    <row r="11" spans="2:3">
      <c r="B11" s="560" t="s">
        <v>705</v>
      </c>
      <c r="C11" s="557" t="s">
        <v>706</v>
      </c>
    </row>
    <row r="12" spans="2:3">
      <c r="B12" s="560" t="s">
        <v>282</v>
      </c>
      <c r="C12" s="562" t="s">
        <v>710</v>
      </c>
    </row>
    <row r="13" spans="2:3">
      <c r="B13" s="560" t="s">
        <v>607</v>
      </c>
      <c r="C13" s="562" t="s">
        <v>711</v>
      </c>
    </row>
    <row r="14" spans="2:3">
      <c r="B14" s="560" t="s">
        <v>310</v>
      </c>
      <c r="C14" s="562" t="s">
        <v>715</v>
      </c>
    </row>
    <row r="15" spans="2:3">
      <c r="B15" s="560" t="s">
        <v>222</v>
      </c>
      <c r="C15" s="562" t="s">
        <v>712</v>
      </c>
    </row>
    <row r="16" spans="2:3">
      <c r="B16" s="561" t="s">
        <v>529</v>
      </c>
      <c r="C16" s="562" t="s">
        <v>716</v>
      </c>
    </row>
    <row r="17" spans="2:3">
      <c r="B17" s="561" t="s">
        <v>713</v>
      </c>
      <c r="C17" s="562" t="s">
        <v>717</v>
      </c>
    </row>
    <row r="18" spans="2:3">
      <c r="B18" s="561" t="s">
        <v>714</v>
      </c>
      <c r="C18" s="562" t="s">
        <v>718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tabColor rgb="FF92D050"/>
  </sheetPr>
  <dimension ref="A1:T115"/>
  <sheetViews>
    <sheetView topLeftCell="A41" zoomScale="70" zoomScaleNormal="70" workbookViewId="0">
      <selection activeCell="H14" sqref="H14"/>
    </sheetView>
  </sheetViews>
  <sheetFormatPr defaultColWidth="8.6640625" defaultRowHeight="13.2"/>
  <cols>
    <col min="1" max="1" width="8.6640625" style="569"/>
    <col min="2" max="2" width="5.6640625" customWidth="1"/>
    <col min="3" max="3" width="21.6640625" bestFit="1" customWidth="1"/>
    <col min="4" max="4" width="7.6640625" bestFit="1" customWidth="1"/>
    <col min="5" max="5" width="13.44140625" bestFit="1" customWidth="1"/>
    <col min="6" max="6" width="26.6640625" bestFit="1" customWidth="1"/>
    <col min="7" max="7" width="4.33203125" bestFit="1" customWidth="1"/>
    <col min="8" max="8" width="10.44140625" customWidth="1"/>
    <col min="9" max="9" width="11.33203125" bestFit="1" customWidth="1"/>
  </cols>
  <sheetData>
    <row r="1" spans="1:15">
      <c r="C1" s="2"/>
      <c r="D1" s="2"/>
    </row>
    <row r="2" spans="1:15">
      <c r="C2" s="2"/>
      <c r="D2" s="2"/>
    </row>
    <row r="3" spans="1:15">
      <c r="C3" s="14" t="s">
        <v>8</v>
      </c>
      <c r="D3" s="15"/>
      <c r="E3" s="16"/>
      <c r="F3" s="16"/>
      <c r="G3" s="16"/>
      <c r="H3" s="16"/>
      <c r="I3" s="16"/>
      <c r="J3" s="16"/>
      <c r="K3" s="16"/>
    </row>
    <row r="4" spans="1:15" ht="13.8">
      <c r="C4" s="17" t="s">
        <v>5</v>
      </c>
      <c r="D4" s="17" t="s">
        <v>0</v>
      </c>
      <c r="E4" s="17" t="s">
        <v>3</v>
      </c>
      <c r="F4" s="17" t="s">
        <v>4</v>
      </c>
      <c r="G4" s="17" t="s">
        <v>6</v>
      </c>
      <c r="H4" s="17" t="s">
        <v>9</v>
      </c>
      <c r="I4" s="17" t="s">
        <v>10</v>
      </c>
      <c r="J4" s="17" t="s">
        <v>11</v>
      </c>
      <c r="K4" s="17" t="s">
        <v>12</v>
      </c>
    </row>
    <row r="5" spans="1:15" ht="23.7" customHeight="1">
      <c r="C5" s="646" t="s">
        <v>32</v>
      </c>
      <c r="D5" s="647" t="s">
        <v>24</v>
      </c>
      <c r="E5" s="647" t="s">
        <v>33</v>
      </c>
      <c r="F5" s="647" t="s">
        <v>34</v>
      </c>
      <c r="G5" s="647" t="s">
        <v>6</v>
      </c>
      <c r="H5" s="647" t="s">
        <v>35</v>
      </c>
      <c r="I5" s="647" t="s">
        <v>36</v>
      </c>
      <c r="J5" s="647" t="s">
        <v>37</v>
      </c>
      <c r="K5" s="647" t="s">
        <v>38</v>
      </c>
    </row>
    <row r="6" spans="1:15" s="569" customFormat="1">
      <c r="A6" s="645" t="s">
        <v>830</v>
      </c>
      <c r="B6" s="643"/>
      <c r="C6" s="642" t="s">
        <v>39</v>
      </c>
      <c r="E6" s="565" t="s">
        <v>828</v>
      </c>
      <c r="F6" s="565" t="s">
        <v>829</v>
      </c>
      <c r="G6" s="565" t="s">
        <v>62</v>
      </c>
      <c r="H6" s="565"/>
      <c r="I6" s="565"/>
      <c r="J6" s="565"/>
      <c r="K6" s="565"/>
    </row>
    <row r="7" spans="1:15" s="569" customFormat="1">
      <c r="A7" s="645" t="s">
        <v>830</v>
      </c>
      <c r="B7" s="643"/>
      <c r="C7" s="644"/>
      <c r="E7" s="565" t="s">
        <v>831</v>
      </c>
      <c r="F7" s="565" t="s">
        <v>832</v>
      </c>
      <c r="G7" s="565" t="s">
        <v>62</v>
      </c>
      <c r="H7" s="565"/>
      <c r="I7" s="565"/>
      <c r="J7" s="565"/>
      <c r="K7" s="565"/>
    </row>
    <row r="8" spans="1:15" s="569" customFormat="1">
      <c r="A8" s="645" t="s">
        <v>830</v>
      </c>
      <c r="B8" s="643"/>
      <c r="C8" s="644"/>
      <c r="E8" s="565" t="s">
        <v>833</v>
      </c>
      <c r="F8" s="565" t="s">
        <v>834</v>
      </c>
      <c r="G8" s="565" t="s">
        <v>62</v>
      </c>
      <c r="H8" s="565"/>
      <c r="I8" s="565"/>
      <c r="J8" s="565"/>
      <c r="K8" s="565"/>
    </row>
    <row r="9" spans="1:15" s="569" customFormat="1">
      <c r="A9" s="645" t="s">
        <v>830</v>
      </c>
      <c r="B9" s="643"/>
      <c r="C9" s="644"/>
      <c r="E9" s="565" t="s">
        <v>835</v>
      </c>
      <c r="F9" s="565" t="s">
        <v>836</v>
      </c>
      <c r="G9" s="565" t="s">
        <v>62</v>
      </c>
      <c r="H9" s="565"/>
      <c r="I9" s="565"/>
      <c r="J9" s="565"/>
      <c r="K9" s="565"/>
    </row>
    <row r="10" spans="1:15" s="569" customFormat="1">
      <c r="A10" s="645" t="s">
        <v>830</v>
      </c>
      <c r="B10" s="643"/>
      <c r="C10" s="644"/>
      <c r="E10" s="565" t="s">
        <v>837</v>
      </c>
      <c r="F10" s="565" t="s">
        <v>838</v>
      </c>
      <c r="G10" s="565" t="s">
        <v>62</v>
      </c>
      <c r="H10" s="565"/>
      <c r="I10" s="565"/>
      <c r="J10" s="565"/>
      <c r="K10" s="565"/>
    </row>
    <row r="11" spans="1:15" s="569" customFormat="1">
      <c r="A11" s="645" t="s">
        <v>830</v>
      </c>
      <c r="B11" s="643"/>
      <c r="C11" s="644"/>
      <c r="E11" s="565" t="s">
        <v>839</v>
      </c>
      <c r="F11" s="565" t="s">
        <v>840</v>
      </c>
      <c r="G11" s="565" t="s">
        <v>62</v>
      </c>
      <c r="H11" s="565"/>
      <c r="I11" s="565"/>
      <c r="J11" s="565"/>
      <c r="K11" s="565"/>
    </row>
    <row r="12" spans="1:15" s="7" customFormat="1">
      <c r="A12" s="7" t="s">
        <v>798</v>
      </c>
      <c r="C12" s="263"/>
      <c r="D12" s="264"/>
      <c r="E12" s="259" t="s">
        <v>40</v>
      </c>
      <c r="F12" s="259" t="s">
        <v>49</v>
      </c>
      <c r="G12" s="258" t="s">
        <v>62</v>
      </c>
      <c r="H12" s="259"/>
      <c r="I12" s="259"/>
      <c r="J12" s="259"/>
      <c r="K12" s="259"/>
    </row>
    <row r="13" spans="1:15">
      <c r="C13" s="20"/>
      <c r="D13" s="20"/>
      <c r="E13" s="21" t="s">
        <v>41</v>
      </c>
      <c r="F13" s="21" t="s">
        <v>60</v>
      </c>
      <c r="G13" s="19" t="s">
        <v>62</v>
      </c>
      <c r="H13" s="20" t="s">
        <v>1113</v>
      </c>
      <c r="I13" s="20"/>
      <c r="J13" s="20"/>
      <c r="K13" s="20"/>
    </row>
    <row r="14" spans="1:15">
      <c r="B14" s="7"/>
      <c r="C14" s="21"/>
      <c r="D14" s="20"/>
      <c r="E14" s="21" t="s">
        <v>93</v>
      </c>
      <c r="F14" s="21" t="s">
        <v>94</v>
      </c>
      <c r="G14" s="19" t="s">
        <v>62</v>
      </c>
      <c r="H14" s="20" t="s">
        <v>1113</v>
      </c>
      <c r="I14" s="20"/>
      <c r="J14" s="20"/>
      <c r="K14" s="20"/>
      <c r="M14" s="101"/>
      <c r="N14" s="101"/>
      <c r="O14" s="101"/>
    </row>
    <row r="15" spans="1:15">
      <c r="B15" s="7"/>
      <c r="C15" s="21"/>
      <c r="D15" s="20"/>
      <c r="E15" s="19" t="s">
        <v>75</v>
      </c>
      <c r="F15" s="19" t="s">
        <v>183</v>
      </c>
      <c r="G15" s="19" t="s">
        <v>62</v>
      </c>
      <c r="H15" s="20"/>
      <c r="I15" s="20"/>
      <c r="J15" s="20"/>
      <c r="K15" s="20"/>
    </row>
    <row r="16" spans="1:15">
      <c r="B16" s="7"/>
      <c r="C16" s="21"/>
      <c r="D16" s="20"/>
      <c r="E16" s="19" t="s">
        <v>100</v>
      </c>
      <c r="F16" s="19" t="s">
        <v>197</v>
      </c>
      <c r="G16" s="19" t="s">
        <v>62</v>
      </c>
      <c r="H16" s="20"/>
      <c r="I16" s="20"/>
      <c r="J16" s="20"/>
      <c r="K16" s="20"/>
      <c r="M16" s="101"/>
      <c r="N16" s="101"/>
      <c r="O16" s="101"/>
    </row>
    <row r="17" spans="1:15">
      <c r="B17" s="7"/>
      <c r="C17" s="21"/>
      <c r="D17" s="20"/>
      <c r="E17" s="19" t="s">
        <v>76</v>
      </c>
      <c r="F17" s="19" t="s">
        <v>77</v>
      </c>
      <c r="G17" s="19" t="s">
        <v>62</v>
      </c>
      <c r="H17" s="20"/>
      <c r="I17" s="20"/>
      <c r="J17" s="20"/>
      <c r="K17" s="20"/>
      <c r="M17" s="101"/>
      <c r="N17" s="101"/>
      <c r="O17" s="101"/>
    </row>
    <row r="18" spans="1:15">
      <c r="B18" s="7"/>
      <c r="C18" s="21"/>
      <c r="D18" s="20"/>
      <c r="E18" s="19" t="s">
        <v>79</v>
      </c>
      <c r="F18" s="19" t="s">
        <v>78</v>
      </c>
      <c r="G18" s="19" t="s">
        <v>62</v>
      </c>
      <c r="H18" s="20"/>
      <c r="I18" s="20"/>
      <c r="J18" s="20"/>
      <c r="K18" s="20"/>
      <c r="M18" s="101"/>
      <c r="N18" s="101"/>
      <c r="O18" s="101"/>
    </row>
    <row r="19" spans="1:15">
      <c r="B19" s="7"/>
      <c r="C19" s="21"/>
      <c r="D19" s="20"/>
      <c r="E19" s="21" t="s">
        <v>45</v>
      </c>
      <c r="F19" s="21" t="s">
        <v>51</v>
      </c>
      <c r="G19" s="19" t="s">
        <v>62</v>
      </c>
      <c r="H19" s="20"/>
      <c r="I19" s="20"/>
      <c r="J19" s="20"/>
      <c r="K19" s="20"/>
    </row>
    <row r="20" spans="1:15">
      <c r="B20" s="7"/>
      <c r="C20" s="21"/>
      <c r="D20" s="566"/>
      <c r="E20" s="21" t="s">
        <v>44</v>
      </c>
      <c r="F20" s="21" t="s">
        <v>50</v>
      </c>
      <c r="G20" s="19" t="s">
        <v>62</v>
      </c>
      <c r="H20" s="566"/>
      <c r="I20" s="566"/>
      <c r="J20" s="566"/>
      <c r="K20" s="566"/>
    </row>
    <row r="21" spans="1:15" s="569" customFormat="1">
      <c r="B21" s="7"/>
      <c r="C21" s="21"/>
      <c r="D21" s="566"/>
      <c r="E21" s="21" t="s">
        <v>808</v>
      </c>
      <c r="F21" s="21" t="s">
        <v>809</v>
      </c>
      <c r="G21" s="19" t="s">
        <v>62</v>
      </c>
      <c r="H21" s="566"/>
      <c r="I21" s="566"/>
      <c r="J21" s="566"/>
      <c r="K21" s="566"/>
    </row>
    <row r="22" spans="1:15">
      <c r="C22" s="614"/>
      <c r="D22" s="614"/>
      <c r="E22" s="615" t="s">
        <v>740</v>
      </c>
      <c r="F22" s="615" t="s">
        <v>734</v>
      </c>
      <c r="G22" s="615" t="s">
        <v>62</v>
      </c>
      <c r="H22" s="615"/>
      <c r="I22" s="614"/>
      <c r="J22" s="614"/>
      <c r="K22" s="614"/>
    </row>
    <row r="23" spans="1:15">
      <c r="A23" s="569" t="s">
        <v>801</v>
      </c>
      <c r="C23" s="20"/>
      <c r="D23" s="20"/>
      <c r="E23" s="21" t="s">
        <v>196</v>
      </c>
      <c r="F23" s="21" t="s">
        <v>55</v>
      </c>
      <c r="G23" s="19" t="s">
        <v>62</v>
      </c>
      <c r="H23" s="20"/>
      <c r="I23" s="20"/>
      <c r="J23" s="20"/>
      <c r="K23" s="20"/>
    </row>
    <row r="24" spans="1:15">
      <c r="B24" s="569"/>
      <c r="C24" s="566"/>
      <c r="D24" s="566"/>
      <c r="E24" s="453" t="s">
        <v>796</v>
      </c>
      <c r="F24" s="453" t="s">
        <v>797</v>
      </c>
      <c r="G24" s="453" t="s">
        <v>62</v>
      </c>
      <c r="H24" s="21"/>
      <c r="I24" s="21"/>
      <c r="J24" s="566"/>
      <c r="K24" s="566"/>
    </row>
    <row r="25" spans="1:15" s="569" customFormat="1">
      <c r="B25"/>
      <c r="C25" s="566"/>
      <c r="D25" s="566"/>
      <c r="E25" s="19" t="s">
        <v>390</v>
      </c>
      <c r="F25" s="19" t="s">
        <v>391</v>
      </c>
      <c r="G25" s="19" t="s">
        <v>62</v>
      </c>
      <c r="H25" s="21"/>
      <c r="I25" s="566"/>
      <c r="J25" s="566"/>
      <c r="K25" s="566"/>
    </row>
    <row r="26" spans="1:15">
      <c r="B26" s="569"/>
      <c r="C26" s="566"/>
      <c r="D26" s="566"/>
      <c r="E26" s="453" t="s">
        <v>804</v>
      </c>
      <c r="F26" s="453" t="s">
        <v>805</v>
      </c>
      <c r="G26" s="19" t="s">
        <v>62</v>
      </c>
      <c r="H26" s="21"/>
      <c r="I26" s="566"/>
      <c r="J26" s="566"/>
      <c r="K26" s="566"/>
      <c r="L26" s="1"/>
      <c r="M26" s="1"/>
    </row>
    <row r="27" spans="1:15">
      <c r="B27" s="569"/>
      <c r="C27" s="566"/>
      <c r="D27" s="566"/>
      <c r="E27" s="453" t="s">
        <v>806</v>
      </c>
      <c r="F27" s="453" t="s">
        <v>807</v>
      </c>
      <c r="G27" s="19" t="s">
        <v>62</v>
      </c>
      <c r="H27" s="21"/>
      <c r="I27" s="566"/>
      <c r="J27" s="566"/>
      <c r="K27" s="566"/>
      <c r="L27" s="1"/>
      <c r="M27" s="1"/>
    </row>
    <row r="28" spans="1:15" s="569" customFormat="1">
      <c r="C28" s="566"/>
      <c r="D28" s="566"/>
      <c r="E28" s="453" t="s">
        <v>810</v>
      </c>
      <c r="F28" s="453" t="s">
        <v>811</v>
      </c>
      <c r="G28" s="453" t="s">
        <v>62</v>
      </c>
      <c r="H28" s="21"/>
      <c r="I28" s="566"/>
      <c r="J28" s="566"/>
      <c r="K28" s="566"/>
      <c r="L28" s="1"/>
      <c r="M28" s="1"/>
      <c r="N28" s="604"/>
      <c r="O28" s="604"/>
    </row>
    <row r="29" spans="1:15">
      <c r="C29" s="614"/>
      <c r="D29" s="614"/>
      <c r="E29" s="615" t="s">
        <v>730</v>
      </c>
      <c r="F29" s="615" t="s">
        <v>731</v>
      </c>
      <c r="G29" s="615" t="s">
        <v>62</v>
      </c>
      <c r="H29" s="615"/>
      <c r="I29" s="614"/>
      <c r="J29" s="614"/>
      <c r="K29" s="614"/>
    </row>
    <row r="30" spans="1:15">
      <c r="B30" s="7"/>
      <c r="C30" s="21"/>
      <c r="D30" s="20"/>
      <c r="E30" s="453" t="s">
        <v>611</v>
      </c>
      <c r="F30" s="453" t="s">
        <v>612</v>
      </c>
      <c r="G30" s="453" t="s">
        <v>62</v>
      </c>
      <c r="H30" s="20"/>
      <c r="I30" s="20"/>
      <c r="J30" s="566"/>
      <c r="K30" s="566"/>
    </row>
    <row r="31" spans="1:15">
      <c r="B31" s="7"/>
      <c r="C31" s="21"/>
      <c r="D31" s="20"/>
      <c r="E31" s="453" t="s">
        <v>613</v>
      </c>
      <c r="F31" s="453" t="s">
        <v>614</v>
      </c>
      <c r="G31" s="453" t="s">
        <v>62</v>
      </c>
      <c r="H31" s="20"/>
      <c r="I31" s="20"/>
      <c r="J31" s="566"/>
      <c r="K31" s="566"/>
    </row>
    <row r="32" spans="1:15" s="569" customFormat="1">
      <c r="B32" s="565"/>
      <c r="C32" s="565"/>
      <c r="D32" s="565"/>
      <c r="E32" s="631" t="s">
        <v>813</v>
      </c>
      <c r="F32" s="631" t="s">
        <v>812</v>
      </c>
      <c r="G32" s="631" t="s">
        <v>62</v>
      </c>
      <c r="H32" s="565"/>
      <c r="I32" s="613"/>
      <c r="J32" s="566"/>
      <c r="K32" s="566"/>
    </row>
    <row r="33" spans="1:15">
      <c r="B33" s="7"/>
      <c r="C33" s="21"/>
      <c r="D33" s="20"/>
      <c r="E33" s="453" t="s">
        <v>615</v>
      </c>
      <c r="F33" s="453" t="s">
        <v>616</v>
      </c>
      <c r="G33" s="453" t="s">
        <v>62</v>
      </c>
      <c r="H33" s="20"/>
      <c r="I33" s="20"/>
      <c r="J33" s="566"/>
      <c r="K33" s="566"/>
    </row>
    <row r="34" spans="1:15">
      <c r="B34" s="7"/>
      <c r="C34" s="21"/>
      <c r="D34" s="20"/>
      <c r="E34" s="453" t="s">
        <v>617</v>
      </c>
      <c r="F34" s="453" t="s">
        <v>618</v>
      </c>
      <c r="G34" s="453" t="s">
        <v>62</v>
      </c>
      <c r="H34" s="20"/>
      <c r="I34" s="20"/>
      <c r="J34" s="566"/>
      <c r="K34" s="566"/>
    </row>
    <row r="35" spans="1:15" s="569" customFormat="1">
      <c r="B35" s="565"/>
      <c r="C35" s="565"/>
      <c r="D35" s="565"/>
      <c r="E35" s="631" t="s">
        <v>814</v>
      </c>
      <c r="F35" s="631" t="s">
        <v>815</v>
      </c>
      <c r="G35" s="631" t="s">
        <v>62</v>
      </c>
      <c r="H35" s="565"/>
      <c r="I35" s="613"/>
      <c r="J35" s="566"/>
      <c r="K35" s="566"/>
      <c r="L35" s="1"/>
      <c r="M35" s="1"/>
    </row>
    <row r="36" spans="1:15">
      <c r="B36" s="7"/>
      <c r="C36" s="21"/>
      <c r="D36" s="20"/>
      <c r="E36" s="453" t="s">
        <v>619</v>
      </c>
      <c r="F36" s="453" t="s">
        <v>620</v>
      </c>
      <c r="G36" s="453" t="s">
        <v>62</v>
      </c>
      <c r="H36" s="20"/>
      <c r="I36" s="20"/>
      <c r="J36" s="566"/>
      <c r="K36" s="566"/>
    </row>
    <row r="37" spans="1:15" s="569" customFormat="1">
      <c r="B37" s="7"/>
      <c r="C37" s="21"/>
      <c r="D37" s="20"/>
      <c r="E37" s="453" t="s">
        <v>621</v>
      </c>
      <c r="F37" s="453" t="s">
        <v>622</v>
      </c>
      <c r="G37" s="453" t="s">
        <v>62</v>
      </c>
      <c r="H37" s="20"/>
      <c r="I37" s="20"/>
      <c r="J37" s="566"/>
      <c r="K37" s="566"/>
    </row>
    <row r="38" spans="1:15" s="569" customFormat="1">
      <c r="B38" s="565"/>
      <c r="C38" s="565"/>
      <c r="D38" s="565"/>
      <c r="E38" s="631" t="s">
        <v>816</v>
      </c>
      <c r="F38" s="631" t="s">
        <v>817</v>
      </c>
      <c r="G38" s="631" t="s">
        <v>62</v>
      </c>
      <c r="H38" s="565"/>
      <c r="I38" s="613"/>
      <c r="J38" s="566"/>
      <c r="K38" s="566"/>
    </row>
    <row r="39" spans="1:15" s="569" customFormat="1">
      <c r="B39" s="7"/>
      <c r="C39" s="21"/>
      <c r="D39" s="20"/>
      <c r="E39" s="453" t="s">
        <v>623</v>
      </c>
      <c r="F39" s="453" t="s">
        <v>624</v>
      </c>
      <c r="G39" s="453" t="s">
        <v>62</v>
      </c>
      <c r="H39" s="566"/>
      <c r="I39" s="20"/>
      <c r="J39" s="566"/>
      <c r="K39" s="566"/>
    </row>
    <row r="40" spans="1:15">
      <c r="B40" s="7"/>
      <c r="C40" s="21"/>
      <c r="D40" s="20"/>
      <c r="E40" s="453" t="s">
        <v>625</v>
      </c>
      <c r="F40" s="453" t="s">
        <v>626</v>
      </c>
      <c r="G40" s="453" t="s">
        <v>62</v>
      </c>
      <c r="H40" s="566"/>
      <c r="I40" s="20"/>
      <c r="J40" s="566"/>
      <c r="K40" s="566"/>
    </row>
    <row r="41" spans="1:15">
      <c r="B41" s="565"/>
      <c r="C41" s="565"/>
      <c r="D41" s="565"/>
      <c r="E41" s="631" t="s">
        <v>818</v>
      </c>
      <c r="F41" s="631" t="s">
        <v>819</v>
      </c>
      <c r="G41" s="631" t="s">
        <v>62</v>
      </c>
      <c r="H41" s="565"/>
      <c r="I41" s="613"/>
      <c r="J41" s="566"/>
      <c r="K41" s="566"/>
      <c r="M41" s="101"/>
      <c r="N41" s="101"/>
      <c r="O41" s="101"/>
    </row>
    <row r="42" spans="1:15">
      <c r="C42" s="566"/>
      <c r="D42" s="566"/>
      <c r="E42" s="19" t="s">
        <v>384</v>
      </c>
      <c r="F42" s="21" t="s">
        <v>386</v>
      </c>
      <c r="G42" s="19" t="s">
        <v>62</v>
      </c>
      <c r="H42" s="21"/>
      <c r="I42" s="566"/>
      <c r="J42" s="566"/>
      <c r="K42" s="566"/>
      <c r="M42" s="101"/>
      <c r="N42" s="101"/>
      <c r="O42" s="101"/>
    </row>
    <row r="43" spans="1:15" s="569" customFormat="1">
      <c r="B43"/>
      <c r="C43" s="566"/>
      <c r="D43" s="566"/>
      <c r="E43" s="19" t="s">
        <v>385</v>
      </c>
      <c r="F43" s="21" t="s">
        <v>387</v>
      </c>
      <c r="G43" s="19" t="s">
        <v>62</v>
      </c>
      <c r="H43" s="21"/>
      <c r="I43" s="566"/>
      <c r="J43" s="566"/>
      <c r="K43" s="566"/>
      <c r="M43" s="637"/>
      <c r="N43" s="637"/>
      <c r="O43" s="637"/>
    </row>
    <row r="44" spans="1:15">
      <c r="B44" s="565"/>
      <c r="C44" s="605"/>
      <c r="D44" s="605"/>
      <c r="E44" s="606" t="s">
        <v>820</v>
      </c>
      <c r="F44" s="606" t="s">
        <v>821</v>
      </c>
      <c r="G44" s="606" t="s">
        <v>62</v>
      </c>
      <c r="H44" s="605"/>
      <c r="I44" s="638"/>
      <c r="J44" s="605"/>
      <c r="K44" s="605"/>
      <c r="M44" s="101"/>
      <c r="N44" s="101"/>
      <c r="O44" s="101"/>
    </row>
    <row r="45" spans="1:15">
      <c r="A45" s="569" t="s">
        <v>56</v>
      </c>
      <c r="C45" s="633"/>
      <c r="D45" s="633"/>
      <c r="E45" s="634" t="s">
        <v>42</v>
      </c>
      <c r="F45" s="634" t="s">
        <v>56</v>
      </c>
      <c r="G45" s="635" t="s">
        <v>62</v>
      </c>
      <c r="H45" s="633"/>
      <c r="I45" s="633"/>
      <c r="J45" s="633"/>
      <c r="K45" s="633"/>
      <c r="M45" s="101"/>
      <c r="N45" s="101"/>
      <c r="O45" s="101"/>
    </row>
    <row r="46" spans="1:15" s="569" customFormat="1">
      <c r="A46" s="569" t="s">
        <v>799</v>
      </c>
      <c r="B46"/>
      <c r="C46" s="20"/>
      <c r="D46" s="20"/>
      <c r="E46" s="21" t="s">
        <v>43</v>
      </c>
      <c r="F46" s="21" t="s">
        <v>57</v>
      </c>
      <c r="G46" s="19" t="s">
        <v>62</v>
      </c>
      <c r="H46" s="20"/>
      <c r="I46" s="20"/>
      <c r="J46" s="20"/>
      <c r="K46" s="20"/>
      <c r="M46" s="637"/>
      <c r="N46" s="637"/>
      <c r="O46" s="637"/>
    </row>
    <row r="47" spans="1:15">
      <c r="B47" s="569"/>
      <c r="C47" s="566"/>
      <c r="D47" s="566"/>
      <c r="E47" s="21" t="s">
        <v>775</v>
      </c>
      <c r="F47" s="21" t="s">
        <v>776</v>
      </c>
      <c r="G47" s="453" t="s">
        <v>62</v>
      </c>
      <c r="H47" s="566"/>
      <c r="I47" s="566"/>
      <c r="J47" s="566"/>
      <c r="K47" s="566"/>
      <c r="M47" s="101"/>
      <c r="N47" s="101"/>
      <c r="O47" s="101"/>
    </row>
    <row r="48" spans="1:15">
      <c r="B48" s="7"/>
      <c r="C48" s="21"/>
      <c r="D48" s="566"/>
      <c r="E48" s="22" t="s">
        <v>72</v>
      </c>
      <c r="F48" s="22" t="s">
        <v>71</v>
      </c>
      <c r="G48" s="19" t="s">
        <v>62</v>
      </c>
      <c r="H48" s="566"/>
      <c r="I48" s="566"/>
      <c r="J48" s="566"/>
      <c r="K48" s="566"/>
      <c r="M48" s="101"/>
      <c r="N48" s="101"/>
      <c r="O48" s="101"/>
    </row>
    <row r="49" spans="1:15" s="569" customFormat="1">
      <c r="B49" s="7"/>
      <c r="C49" s="21"/>
      <c r="D49" s="566"/>
      <c r="E49" s="22" t="s">
        <v>73</v>
      </c>
      <c r="F49" s="22" t="s">
        <v>74</v>
      </c>
      <c r="G49" s="19" t="s">
        <v>62</v>
      </c>
      <c r="H49" s="566"/>
      <c r="I49" s="566"/>
      <c r="J49" s="566"/>
      <c r="K49" s="566"/>
      <c r="M49" s="637"/>
      <c r="N49" s="637"/>
      <c r="O49" s="637"/>
    </row>
    <row r="50" spans="1:15">
      <c r="B50" s="7"/>
      <c r="C50" s="21"/>
      <c r="D50" s="566"/>
      <c r="E50" s="453" t="s">
        <v>771</v>
      </c>
      <c r="F50" s="453" t="s">
        <v>772</v>
      </c>
      <c r="G50" s="453" t="s">
        <v>62</v>
      </c>
      <c r="H50" s="566"/>
      <c r="I50" s="566"/>
      <c r="J50" s="566"/>
      <c r="K50" s="566"/>
      <c r="M50" s="101"/>
      <c r="N50" s="101"/>
      <c r="O50" s="101"/>
    </row>
    <row r="51" spans="1:15">
      <c r="C51" s="54"/>
      <c r="D51" s="16"/>
      <c r="E51" s="19" t="s">
        <v>380</v>
      </c>
      <c r="F51" s="19" t="s">
        <v>381</v>
      </c>
      <c r="G51" s="19" t="s">
        <v>62</v>
      </c>
      <c r="H51" s="566"/>
      <c r="I51" s="16"/>
      <c r="J51" s="566"/>
      <c r="K51" s="16"/>
    </row>
    <row r="52" spans="1:15" s="569" customFormat="1">
      <c r="B52"/>
      <c r="C52" s="16"/>
      <c r="D52" s="16"/>
      <c r="E52" s="19" t="s">
        <v>382</v>
      </c>
      <c r="F52" s="19" t="s">
        <v>383</v>
      </c>
      <c r="G52" s="19" t="s">
        <v>62</v>
      </c>
      <c r="H52" s="630"/>
      <c r="I52" s="16"/>
      <c r="J52" s="566"/>
      <c r="K52" s="16"/>
      <c r="M52" s="637"/>
      <c r="N52" s="637"/>
      <c r="O52" s="637"/>
    </row>
    <row r="53" spans="1:15">
      <c r="C53" s="16"/>
      <c r="D53" s="16"/>
      <c r="E53" s="19" t="s">
        <v>392</v>
      </c>
      <c r="F53" s="19" t="s">
        <v>393</v>
      </c>
      <c r="G53" s="19" t="s">
        <v>62</v>
      </c>
      <c r="H53" s="630"/>
      <c r="I53" s="16"/>
      <c r="J53" s="566"/>
      <c r="K53" s="16"/>
    </row>
    <row r="54" spans="1:15">
      <c r="B54" s="569"/>
      <c r="C54" s="565"/>
      <c r="D54" s="565"/>
      <c r="E54" s="630" t="s">
        <v>795</v>
      </c>
      <c r="F54" s="630" t="s">
        <v>794</v>
      </c>
      <c r="G54" s="631" t="s">
        <v>62</v>
      </c>
      <c r="H54" s="630"/>
      <c r="I54" s="565"/>
      <c r="J54" s="566"/>
      <c r="K54" s="565"/>
    </row>
    <row r="55" spans="1:15" s="569" customFormat="1">
      <c r="B55"/>
      <c r="C55" s="614"/>
      <c r="D55" s="614"/>
      <c r="E55" s="615" t="s">
        <v>732</v>
      </c>
      <c r="F55" s="615" t="s">
        <v>733</v>
      </c>
      <c r="G55" s="615" t="s">
        <v>62</v>
      </c>
      <c r="H55" s="615"/>
      <c r="I55" s="614"/>
      <c r="J55" s="614"/>
      <c r="K55" s="614"/>
    </row>
    <row r="56" spans="1:15">
      <c r="A56" s="569" t="s">
        <v>827</v>
      </c>
      <c r="C56" s="642"/>
      <c r="D56" s="569"/>
      <c r="E56" s="565" t="s">
        <v>785</v>
      </c>
      <c r="F56" s="565" t="s">
        <v>788</v>
      </c>
      <c r="G56" s="613" t="s">
        <v>62</v>
      </c>
      <c r="H56" s="613" t="s">
        <v>1113</v>
      </c>
    </row>
    <row r="57" spans="1:15">
      <c r="A57" s="1"/>
      <c r="B57" s="1"/>
      <c r="C57" s="614"/>
      <c r="D57" s="614"/>
      <c r="E57" s="605" t="s">
        <v>784</v>
      </c>
      <c r="F57" s="605" t="s">
        <v>789</v>
      </c>
      <c r="G57" s="638" t="s">
        <v>62</v>
      </c>
      <c r="H57" s="614" t="s">
        <v>1113</v>
      </c>
      <c r="I57" s="614"/>
      <c r="J57" s="614"/>
      <c r="K57" s="614"/>
    </row>
    <row r="58" spans="1:15" s="485" customFormat="1">
      <c r="A58" s="569" t="s">
        <v>800</v>
      </c>
      <c r="B58"/>
      <c r="C58" s="20"/>
      <c r="D58" s="20"/>
      <c r="E58" s="21" t="s">
        <v>46</v>
      </c>
      <c r="F58" s="21" t="s">
        <v>53</v>
      </c>
      <c r="G58" s="19" t="s">
        <v>62</v>
      </c>
      <c r="H58" s="20"/>
      <c r="I58" s="20"/>
      <c r="J58" s="20"/>
      <c r="K58" s="20"/>
      <c r="L58" s="1"/>
      <c r="M58" s="1"/>
    </row>
    <row r="59" spans="1:15">
      <c r="C59" s="20"/>
      <c r="D59" s="20"/>
      <c r="E59" s="21" t="s">
        <v>47</v>
      </c>
      <c r="F59" s="21" t="s">
        <v>52</v>
      </c>
      <c r="G59" s="19" t="s">
        <v>62</v>
      </c>
      <c r="H59" s="20"/>
      <c r="I59" s="20"/>
      <c r="J59" s="20"/>
      <c r="K59" s="20"/>
    </row>
    <row r="60" spans="1:15">
      <c r="C60" s="20"/>
      <c r="D60" s="20"/>
      <c r="E60" s="21" t="s">
        <v>48</v>
      </c>
      <c r="F60" s="21" t="s">
        <v>54</v>
      </c>
      <c r="G60" s="19" t="s">
        <v>62</v>
      </c>
      <c r="H60" s="20"/>
      <c r="I60" s="20"/>
      <c r="J60" s="20"/>
      <c r="K60" s="20"/>
    </row>
    <row r="61" spans="1:15">
      <c r="C61" s="20"/>
      <c r="D61" s="20"/>
      <c r="E61" s="21" t="s">
        <v>58</v>
      </c>
      <c r="F61" s="21" t="s">
        <v>59</v>
      </c>
      <c r="G61" s="19" t="s">
        <v>62</v>
      </c>
      <c r="H61" s="20"/>
      <c r="I61" s="20"/>
      <c r="J61" s="20"/>
      <c r="K61" s="20"/>
    </row>
    <row r="62" spans="1:15" ht="14.4">
      <c r="B62" s="485"/>
      <c r="C62" s="605"/>
      <c r="D62" s="605"/>
      <c r="E62" s="636" t="s">
        <v>723</v>
      </c>
      <c r="F62" s="636" t="s">
        <v>724</v>
      </c>
      <c r="G62" s="636" t="s">
        <v>62</v>
      </c>
      <c r="H62" s="605"/>
      <c r="I62" s="605"/>
      <c r="J62" s="605"/>
      <c r="K62" s="605"/>
    </row>
    <row r="63" spans="1:15">
      <c r="A63" s="569" t="s">
        <v>822</v>
      </c>
      <c r="C63" s="640"/>
      <c r="D63" s="640"/>
      <c r="E63" s="641" t="s">
        <v>741</v>
      </c>
      <c r="F63" s="641" t="s">
        <v>742</v>
      </c>
      <c r="G63" s="641" t="s">
        <v>62</v>
      </c>
      <c r="H63" s="641"/>
      <c r="I63" s="640"/>
      <c r="J63" s="640"/>
      <c r="K63" s="640"/>
    </row>
    <row r="64" spans="1:15" ht="14.4">
      <c r="A64" s="569" t="s">
        <v>802</v>
      </c>
      <c r="C64" s="16"/>
      <c r="D64" s="16"/>
      <c r="E64" s="19" t="s">
        <v>388</v>
      </c>
      <c r="F64" s="447" t="s">
        <v>389</v>
      </c>
      <c r="G64" s="19" t="s">
        <v>62</v>
      </c>
      <c r="H64" s="630"/>
      <c r="I64" s="16"/>
      <c r="J64" s="16"/>
      <c r="K64" s="16"/>
    </row>
    <row r="65" spans="1:20">
      <c r="C65" s="566"/>
      <c r="D65" s="566"/>
      <c r="E65" s="19" t="s">
        <v>396</v>
      </c>
      <c r="F65" s="19" t="s">
        <v>397</v>
      </c>
      <c r="G65" s="19" t="s">
        <v>62</v>
      </c>
      <c r="H65" s="21"/>
      <c r="I65" s="566"/>
      <c r="J65" s="566"/>
      <c r="K65" s="566"/>
    </row>
    <row r="66" spans="1:20">
      <c r="C66" s="566"/>
      <c r="D66" s="566"/>
      <c r="E66" s="19" t="s">
        <v>398</v>
      </c>
      <c r="F66" s="453" t="s">
        <v>399</v>
      </c>
      <c r="G66" s="19" t="s">
        <v>62</v>
      </c>
      <c r="H66" s="21"/>
      <c r="I66" s="566"/>
      <c r="J66" s="566"/>
      <c r="K66" s="566"/>
    </row>
    <row r="67" spans="1:20">
      <c r="C67" s="605"/>
      <c r="D67" s="605"/>
      <c r="E67" s="632" t="s">
        <v>394</v>
      </c>
      <c r="F67" s="632" t="s">
        <v>395</v>
      </c>
      <c r="G67" s="632" t="s">
        <v>62</v>
      </c>
      <c r="H67" s="607"/>
      <c r="I67" s="605"/>
      <c r="J67" s="605"/>
      <c r="K67" s="605"/>
    </row>
    <row r="68" spans="1:20">
      <c r="C68" s="257" t="s">
        <v>157</v>
      </c>
      <c r="D68" s="257"/>
      <c r="E68" s="258" t="s">
        <v>217</v>
      </c>
      <c r="F68" s="258" t="s">
        <v>262</v>
      </c>
      <c r="G68" s="258" t="s">
        <v>158</v>
      </c>
      <c r="H68" s="257"/>
      <c r="I68" s="257"/>
      <c r="J68" s="257"/>
      <c r="K68" s="257"/>
    </row>
    <row r="69" spans="1:20">
      <c r="C69" s="16"/>
      <c r="D69" s="16"/>
      <c r="E69" s="19" t="s">
        <v>371</v>
      </c>
      <c r="F69" s="19" t="s">
        <v>372</v>
      </c>
      <c r="G69" s="19" t="s">
        <v>158</v>
      </c>
      <c r="H69" s="16"/>
      <c r="I69" s="16"/>
      <c r="J69" s="16"/>
      <c r="K69" s="16"/>
    </row>
    <row r="70" spans="1:20">
      <c r="C70" s="565"/>
      <c r="D70" s="565"/>
      <c r="E70" s="453" t="s">
        <v>373</v>
      </c>
      <c r="F70" s="19" t="s">
        <v>374</v>
      </c>
      <c r="G70" s="19" t="s">
        <v>158</v>
      </c>
      <c r="H70" s="565"/>
      <c r="I70" s="565"/>
      <c r="J70" s="565"/>
      <c r="K70" s="565"/>
    </row>
    <row r="71" spans="1:20" s="695" customFormat="1">
      <c r="C71" s="565"/>
      <c r="D71" s="565"/>
      <c r="E71" s="697" t="s">
        <v>1104</v>
      </c>
      <c r="F71" s="697" t="s">
        <v>1105</v>
      </c>
      <c r="G71" s="697" t="s">
        <v>158</v>
      </c>
      <c r="H71" s="565"/>
      <c r="I71" s="565"/>
      <c r="J71" s="565"/>
      <c r="K71" s="565"/>
    </row>
    <row r="72" spans="1:20" s="569" customFormat="1">
      <c r="C72" s="565"/>
      <c r="D72" s="565"/>
      <c r="E72" s="19" t="s">
        <v>790</v>
      </c>
      <c r="F72" s="19" t="s">
        <v>790</v>
      </c>
      <c r="G72" s="19" t="s">
        <v>158</v>
      </c>
      <c r="H72" s="565"/>
      <c r="I72" s="565"/>
      <c r="J72" s="566"/>
      <c r="K72" s="565"/>
    </row>
    <row r="73" spans="1:20" s="569" customFormat="1">
      <c r="B73" s="565"/>
      <c r="C73" s="565"/>
      <c r="D73" s="565"/>
      <c r="E73" s="631" t="s">
        <v>823</v>
      </c>
      <c r="F73" s="631" t="s">
        <v>824</v>
      </c>
      <c r="G73" s="7" t="s">
        <v>158</v>
      </c>
      <c r="H73" s="630"/>
      <c r="I73" s="631"/>
      <c r="J73" s="21"/>
      <c r="K73" s="630"/>
    </row>
    <row r="74" spans="1:20" s="569" customFormat="1">
      <c r="B74" s="565"/>
      <c r="C74" s="565"/>
      <c r="D74" s="565"/>
      <c r="E74" s="7" t="s">
        <v>825</v>
      </c>
      <c r="F74" s="7" t="s">
        <v>826</v>
      </c>
      <c r="G74" s="7" t="s">
        <v>158</v>
      </c>
      <c r="H74" s="7"/>
      <c r="I74" s="631"/>
      <c r="J74" s="21"/>
      <c r="K74" s="630"/>
    </row>
    <row r="75" spans="1:20">
      <c r="C75" s="566"/>
      <c r="D75" s="566"/>
      <c r="E75" s="3" t="s">
        <v>735</v>
      </c>
      <c r="F75" s="3" t="s">
        <v>736</v>
      </c>
      <c r="G75" s="3" t="s">
        <v>158</v>
      </c>
      <c r="H75" s="566"/>
      <c r="I75" s="566"/>
      <c r="J75" s="566"/>
      <c r="K75" s="566"/>
      <c r="L75" s="1"/>
      <c r="M75" s="1"/>
      <c r="N75" s="1"/>
    </row>
    <row r="76" spans="1:20" ht="15.75" customHeight="1">
      <c r="C76" s="614"/>
      <c r="D76" s="614"/>
      <c r="E76" s="606" t="s">
        <v>756</v>
      </c>
      <c r="F76" s="606" t="s">
        <v>757</v>
      </c>
      <c r="G76" s="606" t="s">
        <v>158</v>
      </c>
      <c r="H76" s="614"/>
      <c r="I76" s="614"/>
      <c r="J76" s="614"/>
      <c r="K76" s="614"/>
      <c r="L76" s="1"/>
      <c r="M76" s="1"/>
      <c r="N76" s="1"/>
    </row>
    <row r="77" spans="1:20">
      <c r="A77" s="569" t="s">
        <v>803</v>
      </c>
      <c r="B77" s="7"/>
      <c r="C77" s="569" t="s">
        <v>39</v>
      </c>
      <c r="D77" s="20"/>
      <c r="E77" s="24" t="s">
        <v>216</v>
      </c>
      <c r="F77" s="453" t="s">
        <v>908</v>
      </c>
      <c r="G77" s="19" t="s">
        <v>62</v>
      </c>
      <c r="H77" s="20"/>
      <c r="I77" s="20"/>
      <c r="J77" s="20"/>
      <c r="K77" s="20"/>
    </row>
    <row r="78" spans="1:20">
      <c r="B78" s="3"/>
      <c r="C78" s="21"/>
      <c r="D78" s="20"/>
      <c r="E78" s="24" t="s">
        <v>375</v>
      </c>
      <c r="F78" s="453" t="s">
        <v>909</v>
      </c>
      <c r="G78" s="19" t="s">
        <v>62</v>
      </c>
      <c r="H78" s="20"/>
      <c r="I78" s="20"/>
      <c r="J78" s="20"/>
      <c r="K78" s="20"/>
      <c r="M78" s="3"/>
      <c r="N78" s="3"/>
      <c r="O78" s="3"/>
      <c r="P78" s="3"/>
      <c r="Q78" s="3"/>
      <c r="R78" s="3"/>
      <c r="S78" s="3"/>
      <c r="T78" s="3"/>
    </row>
    <row r="79" spans="1:20">
      <c r="B79" s="3"/>
      <c r="C79" s="607"/>
      <c r="D79" s="605"/>
      <c r="E79" s="684" t="s">
        <v>376</v>
      </c>
      <c r="F79" s="606" t="s">
        <v>910</v>
      </c>
      <c r="G79" s="632" t="s">
        <v>62</v>
      </c>
      <c r="H79" s="605"/>
      <c r="I79" s="605"/>
      <c r="J79" s="605"/>
      <c r="K79" s="605"/>
      <c r="L79" s="1"/>
      <c r="M79" s="3"/>
      <c r="N79" s="3"/>
      <c r="O79" s="3"/>
      <c r="P79" s="3"/>
      <c r="Q79" s="3"/>
      <c r="R79" s="3"/>
      <c r="S79" s="3"/>
      <c r="T79" s="3"/>
    </row>
    <row r="80" spans="1:20">
      <c r="C80" s="569"/>
      <c r="D80" s="569"/>
      <c r="E80" s="569" t="str">
        <f t="shared" ref="E80:E90" si="0">"SUP"&amp;E12</f>
        <v>SUPCOA</v>
      </c>
      <c r="F80" s="565" t="str">
        <f t="shared" ref="F80:F90" si="1">"Supply "&amp;F12</f>
        <v>Supply Coal</v>
      </c>
      <c r="G80" s="565" t="str">
        <f>G45</f>
        <v>PJ</v>
      </c>
    </row>
    <row r="81" spans="3:7">
      <c r="C81" s="569"/>
      <c r="D81" s="569"/>
      <c r="E81" s="569" t="str">
        <f t="shared" si="0"/>
        <v>SUPNGA</v>
      </c>
      <c r="F81" s="565" t="str">
        <f t="shared" si="1"/>
        <v>Supply Natural Gas</v>
      </c>
      <c r="G81" s="565" t="str">
        <f>G46</f>
        <v>PJ</v>
      </c>
    </row>
    <row r="82" spans="3:7">
      <c r="C82" s="569"/>
      <c r="D82" s="569"/>
      <c r="E82" s="569" t="str">
        <f t="shared" si="0"/>
        <v>SUPCRD</v>
      </c>
      <c r="F82" s="565" t="str">
        <f t="shared" si="1"/>
        <v>Supply Crude Oil</v>
      </c>
      <c r="G82" s="565" t="str">
        <f>G47</f>
        <v>PJ</v>
      </c>
    </row>
    <row r="83" spans="3:7">
      <c r="C83" s="569"/>
      <c r="D83" s="569"/>
      <c r="E83" s="569" t="str">
        <f t="shared" si="0"/>
        <v>SUPLPG</v>
      </c>
      <c r="F83" s="565" t="str">
        <f t="shared" si="1"/>
        <v>Supply Liquid petrol gas</v>
      </c>
      <c r="G83" s="565" t="str">
        <f>G23</f>
        <v>PJ</v>
      </c>
    </row>
    <row r="84" spans="3:7">
      <c r="C84" s="569"/>
      <c r="D84" s="569"/>
      <c r="E84" s="569" t="str">
        <f t="shared" si="0"/>
        <v>SUPLVN</v>
      </c>
      <c r="F84" s="565" t="str">
        <f t="shared" si="1"/>
        <v>Supply Naphtha (Petroleoum)</v>
      </c>
      <c r="G84" s="565" t="str">
        <f>G58</f>
        <v>PJ</v>
      </c>
    </row>
    <row r="85" spans="3:7">
      <c r="C85" s="569"/>
      <c r="D85" s="569"/>
      <c r="E85" s="569" t="str">
        <f t="shared" si="0"/>
        <v>SUPGSL</v>
      </c>
      <c r="F85" s="565" t="str">
        <f t="shared" si="1"/>
        <v>Supply Gasoline</v>
      </c>
      <c r="G85" s="565" t="str">
        <f>G59</f>
        <v>PJ</v>
      </c>
    </row>
    <row r="86" spans="3:7">
      <c r="C86" s="569"/>
      <c r="D86" s="569"/>
      <c r="E86" s="569" t="str">
        <f t="shared" si="0"/>
        <v>SUPKER</v>
      </c>
      <c r="F86" s="565" t="str">
        <f t="shared" si="1"/>
        <v>Supply Kerosene</v>
      </c>
      <c r="G86" s="565" t="str">
        <f>G60</f>
        <v>PJ</v>
      </c>
    </row>
    <row r="87" spans="3:7">
      <c r="C87" s="569"/>
      <c r="D87" s="569"/>
      <c r="E87" s="569" t="str">
        <f t="shared" si="0"/>
        <v>SUPDSL</v>
      </c>
      <c r="F87" s="565" t="str">
        <f t="shared" si="1"/>
        <v>Supply Diesel</v>
      </c>
      <c r="G87" s="565" t="str">
        <f>G61</f>
        <v>PJ</v>
      </c>
    </row>
    <row r="88" spans="3:7">
      <c r="C88" s="569"/>
      <c r="D88" s="569"/>
      <c r="E88" s="569" t="str">
        <f t="shared" si="0"/>
        <v>SUPHFO</v>
      </c>
      <c r="F88" s="565" t="str">
        <f t="shared" si="1"/>
        <v>Supply Heavy Fuel Oil</v>
      </c>
      <c r="G88" s="565" t="str">
        <f>G62</f>
        <v>PJ</v>
      </c>
    </row>
    <row r="89" spans="3:7">
      <c r="C89" s="569"/>
      <c r="D89" s="569"/>
      <c r="E89" s="569" t="str">
        <f t="shared" si="0"/>
        <v>SUPMGO</v>
      </c>
      <c r="F89" s="565" t="str">
        <f t="shared" si="1"/>
        <v>Supply Marine Gas Oil</v>
      </c>
      <c r="G89" s="565" t="str">
        <f>G48</f>
        <v>PJ</v>
      </c>
    </row>
    <row r="90" spans="3:7">
      <c r="C90" s="569"/>
      <c r="D90" s="569"/>
      <c r="E90" s="569" t="str">
        <f t="shared" si="0"/>
        <v>SUPAGSL</v>
      </c>
      <c r="F90" s="565" t="str">
        <f t="shared" si="1"/>
        <v>Supply Aviation gasoline</v>
      </c>
      <c r="G90" s="565" t="str">
        <f>G49</f>
        <v>PJ</v>
      </c>
    </row>
    <row r="91" spans="3:7">
      <c r="C91" s="569"/>
      <c r="D91" s="569"/>
      <c r="E91" s="569" t="str">
        <f t="shared" ref="E91:E101" si="2">"SUP"&amp;E45</f>
        <v>SUPWST</v>
      </c>
      <c r="F91" s="565" t="str">
        <f t="shared" ref="F91:F101" si="3">"Supply "&amp;F45</f>
        <v>Supply Waste</v>
      </c>
      <c r="G91" s="565" t="str">
        <f>G50</f>
        <v>PJ</v>
      </c>
    </row>
    <row r="92" spans="3:7">
      <c r="C92" s="569"/>
      <c r="D92" s="569"/>
      <c r="E92" s="569" t="str">
        <f t="shared" si="2"/>
        <v>SUPSTR</v>
      </c>
      <c r="F92" s="565" t="str">
        <f t="shared" si="3"/>
        <v>Supply Straw</v>
      </c>
      <c r="G92" s="565" t="str">
        <f t="shared" ref="G92:G98" si="4">G14</f>
        <v>PJ</v>
      </c>
    </row>
    <row r="93" spans="3:7">
      <c r="C93" s="569"/>
      <c r="D93" s="569"/>
      <c r="E93" s="569" t="str">
        <f t="shared" si="2"/>
        <v>SUPGRS</v>
      </c>
      <c r="F93" s="565" t="str">
        <f t="shared" si="3"/>
        <v>Supply Grass</v>
      </c>
      <c r="G93" s="565" t="str">
        <f t="shared" si="4"/>
        <v>PJ</v>
      </c>
    </row>
    <row r="94" spans="3:7">
      <c r="C94" s="569"/>
      <c r="D94" s="569"/>
      <c r="E94" s="569" t="str">
        <f t="shared" si="2"/>
        <v>SUPWPE</v>
      </c>
      <c r="F94" s="565" t="str">
        <f t="shared" si="3"/>
        <v>Supply Wood pellets</v>
      </c>
      <c r="G94" s="565" t="str">
        <f t="shared" si="4"/>
        <v>PJ</v>
      </c>
    </row>
    <row r="95" spans="3:7">
      <c r="C95" s="569"/>
      <c r="D95" s="569"/>
      <c r="E95" s="569" t="str">
        <f t="shared" si="2"/>
        <v>SUPWCH</v>
      </c>
      <c r="F95" s="565" t="str">
        <f t="shared" si="3"/>
        <v>Supply Wood chips and wood waste</v>
      </c>
      <c r="G95" s="565" t="str">
        <f t="shared" si="4"/>
        <v>PJ</v>
      </c>
    </row>
    <row r="96" spans="3:7">
      <c r="C96" s="569"/>
      <c r="D96" s="569"/>
      <c r="E96" s="569" t="str">
        <f t="shared" si="2"/>
        <v>SUPFIW</v>
      </c>
      <c r="F96" s="565" t="str">
        <f t="shared" si="3"/>
        <v>Supply Firewood</v>
      </c>
      <c r="G96" s="565" t="str">
        <f t="shared" si="4"/>
        <v>PJ</v>
      </c>
    </row>
    <row r="97" spans="3:11">
      <c r="C97" s="569"/>
      <c r="D97" s="569"/>
      <c r="E97" s="569" t="str">
        <f t="shared" si="2"/>
        <v>SUPCRN</v>
      </c>
      <c r="F97" s="565" t="str">
        <f t="shared" si="3"/>
        <v>Supply Corn</v>
      </c>
      <c r="G97" s="565" t="str">
        <f t="shared" si="4"/>
        <v>PJ</v>
      </c>
    </row>
    <row r="98" spans="3:11">
      <c r="C98" s="569"/>
      <c r="D98" s="569"/>
      <c r="E98" s="569" t="str">
        <f t="shared" si="2"/>
        <v>SUPRPS</v>
      </c>
      <c r="F98" s="565" t="str">
        <f t="shared" si="3"/>
        <v>Supply Rapeseed</v>
      </c>
      <c r="G98" s="565" t="str">
        <f t="shared" si="4"/>
        <v>PJ</v>
      </c>
    </row>
    <row r="99" spans="3:11">
      <c r="C99" s="569"/>
      <c r="D99" s="569"/>
      <c r="E99" s="569" t="str">
        <f t="shared" si="2"/>
        <v>SUPSGB</v>
      </c>
      <c r="F99" s="565" t="str">
        <f t="shared" si="3"/>
        <v>Supply Sugar Beet</v>
      </c>
      <c r="G99" s="565" t="str">
        <f>G30</f>
        <v>PJ</v>
      </c>
    </row>
    <row r="100" spans="3:11">
      <c r="C100" s="569"/>
      <c r="D100" s="569"/>
      <c r="E100" s="569" t="str">
        <f t="shared" si="2"/>
        <v>SUPDLI</v>
      </c>
      <c r="F100" s="565" t="str">
        <f t="shared" si="3"/>
        <v>Supply Deep Litter</v>
      </c>
      <c r="G100" s="565" t="str">
        <f>G31</f>
        <v>PJ</v>
      </c>
    </row>
    <row r="101" spans="3:11">
      <c r="C101" s="569"/>
      <c r="D101" s="569"/>
      <c r="E101" s="569" t="str">
        <f t="shared" si="2"/>
        <v>SUPMNR</v>
      </c>
      <c r="F101" s="565" t="str">
        <f t="shared" si="3"/>
        <v>Supply Manure (Gylle)</v>
      </c>
      <c r="G101" s="565" t="str">
        <f>G33</f>
        <v>PJ</v>
      </c>
    </row>
    <row r="102" spans="3:11">
      <c r="C102" s="569"/>
      <c r="D102" s="569"/>
      <c r="E102" s="569" t="str">
        <f t="shared" ref="E102:E108" si="5">"SUP"&amp;E23</f>
        <v>SUPBGA</v>
      </c>
      <c r="F102" s="565" t="str">
        <f t="shared" ref="F102:F108" si="6">"Supply "&amp;F23</f>
        <v>Supply Biogas</v>
      </c>
      <c r="G102" s="565" t="str">
        <f>G34</f>
        <v>PJ</v>
      </c>
    </row>
    <row r="103" spans="3:11">
      <c r="C103" s="569"/>
      <c r="D103" s="569"/>
      <c r="E103" s="569" t="str">
        <f t="shared" si="5"/>
        <v>SUPHFB</v>
      </c>
      <c r="F103" s="565" t="str">
        <f t="shared" si="6"/>
        <v>Supply Heavy Fuel Bio Oil</v>
      </c>
      <c r="G103" s="565" t="str">
        <f>G36</f>
        <v>PJ</v>
      </c>
    </row>
    <row r="104" spans="3:11">
      <c r="C104" s="1"/>
      <c r="D104" s="1"/>
      <c r="E104" s="569" t="str">
        <f t="shared" si="5"/>
        <v>SUPDDGS</v>
      </c>
      <c r="F104" s="565" t="str">
        <f t="shared" si="6"/>
        <v>Supply Ethanol</v>
      </c>
      <c r="G104" s="566" t="str">
        <f>G37</f>
        <v>PJ</v>
      </c>
      <c r="H104" s="1"/>
      <c r="I104" s="1"/>
      <c r="J104" s="1"/>
      <c r="K104" s="1"/>
    </row>
    <row r="105" spans="3:11">
      <c r="C105" s="1"/>
      <c r="D105" s="1"/>
      <c r="E105" s="569" t="str">
        <f t="shared" si="5"/>
        <v>SUPH2</v>
      </c>
      <c r="F105" s="565" t="str">
        <f t="shared" si="6"/>
        <v>Supply Hydrogen</v>
      </c>
      <c r="G105" s="566" t="str">
        <f>G39</f>
        <v>PJ</v>
      </c>
      <c r="H105" s="1"/>
      <c r="I105" s="1"/>
      <c r="J105" s="1"/>
      <c r="K105" s="1"/>
    </row>
    <row r="106" spans="3:11">
      <c r="C106" s="1"/>
      <c r="D106" s="1"/>
      <c r="E106" s="569" t="str">
        <f t="shared" si="5"/>
        <v>SUPH2G</v>
      </c>
      <c r="F106" s="565" t="str">
        <f t="shared" si="6"/>
        <v>Supply Hydrogen Gas</v>
      </c>
      <c r="G106" s="566" t="str">
        <f>G40</f>
        <v>PJ</v>
      </c>
      <c r="H106" s="1"/>
      <c r="I106" s="1"/>
      <c r="J106" s="1"/>
      <c r="K106" s="1"/>
    </row>
    <row r="107" spans="3:11">
      <c r="C107" s="569"/>
      <c r="D107" s="569"/>
      <c r="E107" s="1" t="str">
        <f t="shared" si="5"/>
        <v>SUPAMM</v>
      </c>
      <c r="F107" s="566" t="str">
        <f t="shared" si="6"/>
        <v>Supply Ammonia (Liquid)</v>
      </c>
      <c r="G107" s="565" t="str">
        <f>G51</f>
        <v>PJ</v>
      </c>
    </row>
    <row r="108" spans="3:11">
      <c r="C108" s="569"/>
      <c r="D108" s="569"/>
      <c r="E108" s="1" t="str">
        <f t="shared" si="5"/>
        <v>SUPDME</v>
      </c>
      <c r="F108" s="566" t="str">
        <f t="shared" si="6"/>
        <v>Supply Dimethyl ether</v>
      </c>
      <c r="G108" s="565" t="str">
        <f>G52</f>
        <v>PJ</v>
      </c>
    </row>
    <row r="109" spans="3:11">
      <c r="C109" s="569"/>
      <c r="D109" s="569"/>
      <c r="E109" s="1" t="s">
        <v>922</v>
      </c>
      <c r="F109" s="566" t="s">
        <v>926</v>
      </c>
      <c r="G109" s="565" t="str">
        <f>G53</f>
        <v>PJ</v>
      </c>
    </row>
    <row r="110" spans="3:11">
      <c r="C110" s="569"/>
      <c r="D110" s="569"/>
      <c r="E110" s="569" t="s">
        <v>923</v>
      </c>
      <c r="F110" s="565" t="s">
        <v>927</v>
      </c>
      <c r="G110" s="565" t="str">
        <f>G25</f>
        <v>PJ</v>
      </c>
    </row>
    <row r="111" spans="3:11">
      <c r="C111" s="569"/>
      <c r="D111" s="569"/>
      <c r="E111" s="569" t="s">
        <v>924</v>
      </c>
      <c r="F111" s="565" t="s">
        <v>928</v>
      </c>
      <c r="G111" s="565" t="str">
        <f>G66</f>
        <v>PJ</v>
      </c>
    </row>
    <row r="112" spans="3:11">
      <c r="C112" s="569"/>
      <c r="D112" s="569"/>
      <c r="E112" s="569" t="s">
        <v>925</v>
      </c>
      <c r="F112" s="565" t="s">
        <v>929</v>
      </c>
      <c r="G112" s="565" t="str">
        <f>G55</f>
        <v>PJ</v>
      </c>
    </row>
    <row r="113" spans="5:7">
      <c r="E113" s="569" t="s">
        <v>921</v>
      </c>
      <c r="F113" s="565" t="s">
        <v>930</v>
      </c>
      <c r="G113" s="19" t="s">
        <v>62</v>
      </c>
    </row>
    <row r="114" spans="5:7">
      <c r="E114" s="569"/>
      <c r="F114" s="565"/>
      <c r="G114" s="19"/>
    </row>
    <row r="115" spans="5:7">
      <c r="E115" s="569"/>
      <c r="F115" s="565"/>
      <c r="G115" s="19"/>
    </row>
  </sheetData>
  <phoneticPr fontId="32" type="noConversion"/>
  <conditionalFormatting sqref="N28:O28">
    <cfRule type="cellIs" dxfId="54" priority="1" operator="equal">
      <formula>"no"</formula>
    </cfRule>
    <cfRule type="cellIs" dxfId="53" priority="2" operator="equal">
      <formula>"yes"</formula>
    </cfRule>
  </conditionalFormatting>
  <pageMargins left="0.75" right="0.75" top="1" bottom="1" header="0.5" footer="0.5"/>
  <pageSetup paperSize="9"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tabColor rgb="FF92D050"/>
  </sheetPr>
  <dimension ref="A3:K198"/>
  <sheetViews>
    <sheetView topLeftCell="A125" zoomScaleNormal="100" workbookViewId="0">
      <selection activeCell="G152" sqref="G152"/>
    </sheetView>
  </sheetViews>
  <sheetFormatPr defaultColWidth="8.6640625" defaultRowHeight="13.2"/>
  <cols>
    <col min="1" max="1" width="5.6640625" customWidth="1"/>
    <col min="2" max="2" width="12.33203125" customWidth="1"/>
    <col min="3" max="3" width="10.44140625" customWidth="1"/>
    <col min="4" max="4" width="13.33203125" bestFit="1" customWidth="1"/>
    <col min="5" max="5" width="42.6640625" bestFit="1" customWidth="1"/>
    <col min="7" max="7" width="12" customWidth="1"/>
    <col min="8" max="8" width="12.6640625" customWidth="1"/>
    <col min="9" max="9" width="14" customWidth="1"/>
  </cols>
  <sheetData>
    <row r="3" spans="1:11">
      <c r="B3" s="14" t="s">
        <v>14</v>
      </c>
      <c r="C3" s="15"/>
      <c r="D3" s="16"/>
      <c r="E3" s="16"/>
      <c r="F3" s="16"/>
      <c r="G3" s="16"/>
      <c r="H3" s="16"/>
      <c r="I3" s="16"/>
      <c r="J3" s="16"/>
    </row>
    <row r="4" spans="1:11" ht="13.8">
      <c r="B4" s="17" t="s">
        <v>15</v>
      </c>
      <c r="C4" s="17" t="s">
        <v>0</v>
      </c>
      <c r="D4" s="17" t="s">
        <v>1</v>
      </c>
      <c r="E4" s="17" t="s">
        <v>2</v>
      </c>
      <c r="F4" s="17" t="s">
        <v>16</v>
      </c>
      <c r="G4" s="17" t="s">
        <v>17</v>
      </c>
      <c r="H4" s="17" t="s">
        <v>18</v>
      </c>
      <c r="I4" s="17" t="s">
        <v>19</v>
      </c>
      <c r="J4" s="17" t="s">
        <v>20</v>
      </c>
    </row>
    <row r="5" spans="1:11" ht="25.95" customHeight="1" thickBot="1">
      <c r="B5" s="18" t="s">
        <v>23</v>
      </c>
      <c r="C5" s="18" t="s">
        <v>24</v>
      </c>
      <c r="D5" s="18" t="s">
        <v>25</v>
      </c>
      <c r="E5" s="18" t="s">
        <v>26</v>
      </c>
      <c r="F5" s="18" t="s">
        <v>27</v>
      </c>
      <c r="G5" s="18" t="s">
        <v>28</v>
      </c>
      <c r="H5" s="18" t="s">
        <v>29</v>
      </c>
      <c r="I5" s="18" t="s">
        <v>30</v>
      </c>
      <c r="J5" s="18" t="s">
        <v>31</v>
      </c>
    </row>
    <row r="6" spans="1:11" s="7" customFormat="1">
      <c r="A6" s="3"/>
      <c r="B6" s="21" t="s">
        <v>61</v>
      </c>
      <c r="C6" s="23"/>
      <c r="D6" s="19" t="str">
        <f>$B$6&amp;Commodities!E6</f>
        <v>IMPPEA</v>
      </c>
      <c r="E6" s="19" t="str">
        <f>"Import technology - "&amp;Commodities!F6</f>
        <v>Import technology - Peat</v>
      </c>
      <c r="F6" s="21" t="s">
        <v>62</v>
      </c>
      <c r="G6" s="19"/>
      <c r="H6" s="21"/>
      <c r="I6" s="21"/>
      <c r="J6" s="21"/>
      <c r="K6" s="3"/>
    </row>
    <row r="7" spans="1:11" s="7" customFormat="1">
      <c r="A7" s="3"/>
      <c r="B7" s="21"/>
      <c r="C7" s="23"/>
      <c r="D7" s="19" t="str">
        <f>$B$6&amp;Commodities!E7</f>
        <v>IMPIWH</v>
      </c>
      <c r="E7" s="19" t="str">
        <f>"Import technology - "&amp;Commodities!F7</f>
        <v xml:space="preserve">Import technology - Industrial waste heat </v>
      </c>
      <c r="F7" s="21" t="s">
        <v>62</v>
      </c>
      <c r="G7" s="19"/>
      <c r="H7" s="21"/>
      <c r="I7" s="21"/>
      <c r="J7" s="21"/>
      <c r="K7" s="3"/>
    </row>
    <row r="8" spans="1:11" s="7" customFormat="1">
      <c r="A8" s="3"/>
      <c r="B8" s="21"/>
      <c r="C8" s="23"/>
      <c r="D8" s="19" t="str">
        <f>$B$6&amp;Commodities!E8</f>
        <v>IMPBFG</v>
      </c>
      <c r="E8" s="19" t="str">
        <f>"Import technology - "&amp;Commodities!F8</f>
        <v>Import technology - Blast furnace gas</v>
      </c>
      <c r="F8" s="21" t="s">
        <v>62</v>
      </c>
      <c r="G8" s="19"/>
      <c r="H8" s="21"/>
      <c r="I8" s="21"/>
      <c r="J8" s="21"/>
      <c r="K8" s="3"/>
    </row>
    <row r="9" spans="1:11" s="7" customFormat="1">
      <c r="A9" s="3"/>
      <c r="B9" s="21"/>
      <c r="C9" s="23"/>
      <c r="D9" s="19" t="str">
        <f>$B$6&amp;Commodities!E9</f>
        <v>IMPAMB</v>
      </c>
      <c r="E9" s="19" t="str">
        <f>"Import technology - "&amp;Commodities!F9</f>
        <v>Import technology - Ambient Temperature for heat pump</v>
      </c>
      <c r="F9" s="21" t="s">
        <v>62</v>
      </c>
      <c r="G9" s="19"/>
      <c r="H9" s="21"/>
      <c r="I9" s="21"/>
      <c r="J9" s="21"/>
      <c r="K9" s="3"/>
    </row>
    <row r="10" spans="1:11" s="7" customFormat="1">
      <c r="A10" s="3"/>
      <c r="B10" s="21"/>
      <c r="C10" s="23"/>
      <c r="D10" s="19" t="str">
        <f>$B$6&amp;Commodities!E10</f>
        <v>IMPURN</v>
      </c>
      <c r="E10" s="19" t="str">
        <f>"Import technology - "&amp;Commodities!F10</f>
        <v>Import technology - Nuclear fuel</v>
      </c>
      <c r="F10" s="21" t="s">
        <v>62</v>
      </c>
      <c r="G10" s="19"/>
      <c r="H10" s="21"/>
      <c r="I10" s="21"/>
      <c r="J10" s="21"/>
      <c r="K10" s="3"/>
    </row>
    <row r="11" spans="1:11" s="7" customFormat="1">
      <c r="A11" s="3"/>
      <c r="B11" s="21"/>
      <c r="C11" s="23"/>
      <c r="D11" s="19" t="str">
        <f>$B$6&amp;Commodities!E11</f>
        <v>IMPBLQ</v>
      </c>
      <c r="E11" s="19" t="str">
        <f>"Import technology - "&amp;Commodities!F11</f>
        <v>Import technology - Black liquor</v>
      </c>
      <c r="F11" s="21" t="s">
        <v>62</v>
      </c>
      <c r="G11" s="19"/>
      <c r="H11" s="21"/>
      <c r="I11" s="21"/>
      <c r="J11" s="21"/>
      <c r="K11" s="3"/>
    </row>
    <row r="12" spans="1:11" s="7" customFormat="1">
      <c r="A12" s="3"/>
      <c r="B12" s="21"/>
      <c r="C12" s="23"/>
      <c r="D12" s="19" t="str">
        <f>$B$6&amp;Commodities!E12</f>
        <v>IMPCOA</v>
      </c>
      <c r="E12" s="19" t="str">
        <f>"Import technology - "&amp;Commodities!F12</f>
        <v>Import technology - Coal</v>
      </c>
      <c r="F12" s="21" t="s">
        <v>62</v>
      </c>
      <c r="G12" s="19"/>
      <c r="H12" s="21"/>
      <c r="I12" s="21"/>
      <c r="J12" s="21"/>
      <c r="K12" s="3"/>
    </row>
    <row r="13" spans="1:11" s="7" customFormat="1">
      <c r="A13" s="3"/>
      <c r="B13" s="21"/>
      <c r="C13" s="23"/>
      <c r="D13" s="19" t="str">
        <f>$B$6&amp;Commodities!E13</f>
        <v>IMPNGA</v>
      </c>
      <c r="E13" s="19" t="str">
        <f>"Import technology - "&amp;Commodities!F13</f>
        <v>Import technology - Natural Gas</v>
      </c>
      <c r="F13" s="21" t="s">
        <v>62</v>
      </c>
      <c r="G13" s="19"/>
      <c r="H13" s="21"/>
      <c r="I13" s="21"/>
      <c r="J13" s="21"/>
      <c r="K13" s="3"/>
    </row>
    <row r="14" spans="1:11" s="7" customFormat="1">
      <c r="A14" s="3"/>
      <c r="B14" s="21"/>
      <c r="C14" s="23"/>
      <c r="D14" s="19" t="str">
        <f>$B$6&amp;Commodities!E14</f>
        <v>IMPCRD</v>
      </c>
      <c r="E14" s="19" t="str">
        <f>"Import technology - "&amp;Commodities!F14</f>
        <v>Import technology - Crude Oil</v>
      </c>
      <c r="F14" s="21" t="s">
        <v>62</v>
      </c>
      <c r="G14" s="19"/>
      <c r="H14" s="21"/>
      <c r="I14" s="21"/>
      <c r="J14" s="21"/>
      <c r="K14" s="3"/>
    </row>
    <row r="15" spans="1:11" s="7" customFormat="1">
      <c r="A15" s="3"/>
      <c r="B15" s="21"/>
      <c r="C15" s="23"/>
      <c r="D15" s="19" t="str">
        <f>$B$6&amp;Commodities!E15</f>
        <v>IMPLPG</v>
      </c>
      <c r="E15" s="19" t="str">
        <f>"Import technology - "&amp;Commodities!F15</f>
        <v>Import technology - Liquid petrol gas</v>
      </c>
      <c r="F15" s="21" t="s">
        <v>62</v>
      </c>
      <c r="G15" s="19"/>
      <c r="H15" s="21"/>
      <c r="I15" s="21"/>
      <c r="J15" s="21"/>
      <c r="K15" s="3"/>
    </row>
    <row r="16" spans="1:11" s="7" customFormat="1">
      <c r="A16" s="3"/>
      <c r="B16" s="21"/>
      <c r="C16" s="23"/>
      <c r="D16" s="19" t="str">
        <f>$B$6&amp;Commodities!E16</f>
        <v>IMPLVN</v>
      </c>
      <c r="E16" s="19" t="str">
        <f>"Import technology - "&amp;Commodities!F16</f>
        <v>Import technology - Naphtha (Petroleoum)</v>
      </c>
      <c r="F16" s="21" t="s">
        <v>62</v>
      </c>
      <c r="G16" s="19"/>
      <c r="H16" s="21"/>
      <c r="I16" s="21"/>
      <c r="J16" s="21"/>
      <c r="K16" s="3"/>
    </row>
    <row r="17" spans="1:11" s="7" customFormat="1">
      <c r="A17" s="3"/>
      <c r="B17" s="21"/>
      <c r="C17" s="23"/>
      <c r="D17" s="19" t="str">
        <f>$B$6&amp;Commodities!E17</f>
        <v>IMPGSL</v>
      </c>
      <c r="E17" s="19" t="str">
        <f>"Import technology - "&amp;Commodities!F17</f>
        <v>Import technology - Gasoline</v>
      </c>
      <c r="F17" s="21" t="s">
        <v>62</v>
      </c>
      <c r="G17" s="19"/>
      <c r="H17" s="21"/>
      <c r="I17" s="21"/>
      <c r="J17" s="21"/>
      <c r="K17" s="3"/>
    </row>
    <row r="18" spans="1:11" s="7" customFormat="1">
      <c r="A18" s="3"/>
      <c r="B18" s="21"/>
      <c r="C18" s="23"/>
      <c r="D18" s="19" t="str">
        <f>$B$6&amp;Commodities!E18</f>
        <v>IMPKER</v>
      </c>
      <c r="E18" s="19" t="str">
        <f>"Import technology - "&amp;Commodities!F18</f>
        <v>Import technology - Kerosene</v>
      </c>
      <c r="F18" s="21" t="s">
        <v>62</v>
      </c>
      <c r="G18" s="19"/>
      <c r="H18" s="21"/>
      <c r="I18" s="21"/>
      <c r="J18" s="21"/>
      <c r="K18" s="3"/>
    </row>
    <row r="19" spans="1:11" s="7" customFormat="1">
      <c r="A19" s="3"/>
      <c r="B19" s="21"/>
      <c r="C19" s="23"/>
      <c r="D19" s="19" t="str">
        <f>$B$6&amp;Commodities!E19</f>
        <v>IMPDSL</v>
      </c>
      <c r="E19" s="19" t="str">
        <f>"Import technology - "&amp;Commodities!F19</f>
        <v>Import technology - Diesel</v>
      </c>
      <c r="F19" s="21" t="s">
        <v>62</v>
      </c>
      <c r="G19" s="19"/>
      <c r="H19" s="21"/>
      <c r="I19" s="21"/>
      <c r="J19" s="21"/>
      <c r="K19" s="3"/>
    </row>
    <row r="20" spans="1:11" s="7" customFormat="1">
      <c r="A20" s="3"/>
      <c r="B20" s="21"/>
      <c r="C20" s="23"/>
      <c r="D20" s="19" t="str">
        <f>$B$6&amp;Commodities!E20</f>
        <v>IMPHFO</v>
      </c>
      <c r="E20" s="19" t="str">
        <f>"Import technology - "&amp;Commodities!F20</f>
        <v>Import technology - Heavy Fuel Oil</v>
      </c>
      <c r="F20" s="21" t="s">
        <v>62</v>
      </c>
      <c r="G20" s="19"/>
      <c r="H20" s="21"/>
      <c r="I20" s="21"/>
      <c r="J20" s="21"/>
      <c r="K20" s="3"/>
    </row>
    <row r="21" spans="1:11" s="7" customFormat="1">
      <c r="A21" s="3"/>
      <c r="B21" s="21"/>
      <c r="C21" s="23"/>
      <c r="D21" s="19" t="str">
        <f>$B$6&amp;Commodities!E21</f>
        <v>IMPMGO</v>
      </c>
      <c r="E21" s="19" t="str">
        <f>"Import technology - "&amp;Commodities!F21</f>
        <v>Import technology - Marine Gas Oil</v>
      </c>
      <c r="F21" s="21" t="s">
        <v>62</v>
      </c>
      <c r="G21" s="19"/>
      <c r="H21" s="21"/>
      <c r="I21" s="21"/>
      <c r="J21" s="21"/>
      <c r="K21" s="3"/>
    </row>
    <row r="22" spans="1:11" s="7" customFormat="1">
      <c r="A22" s="3"/>
      <c r="B22" s="21"/>
      <c r="C22" s="23"/>
      <c r="D22" s="19" t="str">
        <f>$B$6&amp;Commodities!E22</f>
        <v>IMPAGSL</v>
      </c>
      <c r="E22" s="19" t="str">
        <f>"Import technology - "&amp;Commodities!F22</f>
        <v>Import technology - Aviation gasoline</v>
      </c>
      <c r="F22" s="21" t="s">
        <v>62</v>
      </c>
      <c r="G22" s="19"/>
      <c r="H22" s="21"/>
      <c r="I22" s="21"/>
      <c r="J22" s="21"/>
      <c r="K22" s="3"/>
    </row>
    <row r="23" spans="1:11" s="7" customFormat="1">
      <c r="A23" s="3"/>
      <c r="B23" s="21"/>
      <c r="C23" s="23"/>
      <c r="D23" s="19" t="str">
        <f>$B$6&amp;Commodities!E23</f>
        <v>IMPBGA</v>
      </c>
      <c r="E23" s="19" t="str">
        <f>"Import technology - "&amp;Commodities!F23</f>
        <v>Import technology - Biogas</v>
      </c>
      <c r="F23" s="21" t="s">
        <v>62</v>
      </c>
      <c r="G23" s="19"/>
      <c r="H23" s="21"/>
      <c r="I23" s="21"/>
      <c r="J23" s="21"/>
      <c r="K23" s="3"/>
    </row>
    <row r="24" spans="1:11" s="7" customFormat="1">
      <c r="A24" s="3"/>
      <c r="B24" s="21"/>
      <c r="C24" s="23"/>
      <c r="D24" s="19" t="str">
        <f>$B$6&amp;Commodities!E24</f>
        <v>IMPHFB</v>
      </c>
      <c r="E24" s="19" t="str">
        <f>"Import technology - "&amp;Commodities!F24</f>
        <v>Import technology - Heavy Fuel Bio Oil</v>
      </c>
      <c r="F24" s="21" t="s">
        <v>62</v>
      </c>
      <c r="G24" s="19"/>
      <c r="H24" s="21"/>
      <c r="I24" s="21"/>
      <c r="J24" s="21"/>
      <c r="K24" s="3"/>
    </row>
    <row r="25" spans="1:11" s="7" customFormat="1">
      <c r="A25" s="3"/>
      <c r="B25" s="21"/>
      <c r="C25" s="23"/>
      <c r="D25" s="19" t="str">
        <f>$B$6&amp;Commodities!E25</f>
        <v>IMPDDGS</v>
      </c>
      <c r="E25" s="19" t="str">
        <f>"Import technology - "&amp;Commodities!F25</f>
        <v>Import technology - Ethanol</v>
      </c>
      <c r="F25" s="21" t="s">
        <v>62</v>
      </c>
      <c r="G25" s="19"/>
      <c r="H25" s="21"/>
      <c r="I25" s="21"/>
      <c r="J25" s="21"/>
      <c r="K25" s="3"/>
    </row>
    <row r="26" spans="1:11" s="7" customFormat="1">
      <c r="A26" s="3"/>
      <c r="B26" s="21"/>
      <c r="C26" s="23"/>
      <c r="D26" s="19" t="str">
        <f>$B$6&amp;Commodities!E26</f>
        <v>IMPH2</v>
      </c>
      <c r="E26" s="19" t="str">
        <f>"Import technology - "&amp;Commodities!F26</f>
        <v>Import technology - Hydrogen</v>
      </c>
      <c r="F26" s="21" t="s">
        <v>62</v>
      </c>
      <c r="G26" s="19"/>
      <c r="H26" s="21"/>
      <c r="I26" s="21"/>
      <c r="J26" s="21"/>
      <c r="K26" s="3"/>
    </row>
    <row r="27" spans="1:11" s="7" customFormat="1">
      <c r="A27" s="3"/>
      <c r="B27" s="21"/>
      <c r="C27" s="23"/>
      <c r="D27" s="19" t="str">
        <f>$B$6&amp;Commodities!E27</f>
        <v>IMPH2G</v>
      </c>
      <c r="E27" s="19" t="str">
        <f>"Import technology - "&amp;Commodities!F27</f>
        <v>Import technology - Hydrogen Gas</v>
      </c>
      <c r="F27" s="21" t="s">
        <v>62</v>
      </c>
      <c r="G27" s="19"/>
      <c r="H27" s="21"/>
      <c r="I27" s="21"/>
      <c r="J27" s="21"/>
      <c r="K27" s="3"/>
    </row>
    <row r="28" spans="1:11" s="7" customFormat="1">
      <c r="A28" s="3"/>
      <c r="B28" s="21"/>
      <c r="C28" s="23"/>
      <c r="D28" s="19" t="str">
        <f>$B$6&amp;Commodities!E28</f>
        <v>IMPAMM</v>
      </c>
      <c r="E28" s="19" t="str">
        <f>"Import technology - "&amp;Commodities!F28</f>
        <v>Import technology - Ammonia (Liquid)</v>
      </c>
      <c r="F28" s="21" t="s">
        <v>62</v>
      </c>
      <c r="G28" s="19"/>
      <c r="H28" s="21"/>
      <c r="I28" s="21"/>
      <c r="J28" s="21"/>
      <c r="K28" s="3"/>
    </row>
    <row r="29" spans="1:11" s="7" customFormat="1">
      <c r="A29" s="3"/>
      <c r="B29" s="21"/>
      <c r="C29" s="23"/>
      <c r="D29" s="19" t="str">
        <f>$B$6&amp;Commodities!E29</f>
        <v>IMPDME</v>
      </c>
      <c r="E29" s="19" t="str">
        <f>"Import technology - "&amp;Commodities!F29</f>
        <v>Import technology - Dimethyl ether</v>
      </c>
      <c r="F29" s="21" t="s">
        <v>62</v>
      </c>
      <c r="G29" s="19"/>
      <c r="H29" s="21"/>
      <c r="I29" s="21"/>
      <c r="J29" s="21"/>
      <c r="K29" s="3"/>
    </row>
    <row r="30" spans="1:11" s="7" customFormat="1">
      <c r="A30" s="3"/>
      <c r="B30" s="21"/>
      <c r="C30" s="23"/>
      <c r="D30" s="19" t="str">
        <f>$B$6&amp;Commodities!E30</f>
        <v>IMPKRB1</v>
      </c>
      <c r="E30" s="19" t="str">
        <f>"Import technology - "&amp;Commodities!F30</f>
        <v>Import technology - Bio Kerosene G1</v>
      </c>
      <c r="F30" s="21" t="s">
        <v>62</v>
      </c>
      <c r="G30" s="19"/>
      <c r="H30" s="21"/>
      <c r="I30" s="21"/>
      <c r="J30" s="21"/>
      <c r="K30" s="3"/>
    </row>
    <row r="31" spans="1:11" s="7" customFormat="1">
      <c r="A31" s="3"/>
      <c r="B31" s="21"/>
      <c r="C31" s="23"/>
      <c r="D31" s="19" t="str">
        <f>$B$6&amp;Commodities!E31</f>
        <v>IMPKRB2</v>
      </c>
      <c r="E31" s="19" t="str">
        <f>"Import technology - "&amp;Commodities!F31</f>
        <v>Import technology - Bio Kerosene G2</v>
      </c>
      <c r="F31" s="21" t="s">
        <v>62</v>
      </c>
      <c r="G31" s="19"/>
      <c r="H31" s="21"/>
      <c r="I31" s="21"/>
      <c r="J31" s="21"/>
      <c r="K31" s="3"/>
    </row>
    <row r="32" spans="1:11" s="7" customFormat="1">
      <c r="A32" s="3"/>
      <c r="B32" s="21"/>
      <c r="C32" s="23"/>
      <c r="D32" s="19" t="str">
        <f>$B$6&amp;Commodities!E32</f>
        <v>IMPKRE</v>
      </c>
      <c r="E32" s="19" t="str">
        <f>"Import technology - "&amp;Commodities!F32</f>
        <v>Import technology - Electro Kerosene</v>
      </c>
      <c r="F32" s="21" t="s">
        <v>62</v>
      </c>
      <c r="G32" s="19"/>
      <c r="H32" s="21"/>
      <c r="I32" s="21"/>
      <c r="J32" s="21"/>
      <c r="K32" s="3"/>
    </row>
    <row r="33" spans="1:11" s="7" customFormat="1">
      <c r="A33" s="3"/>
      <c r="B33" s="21"/>
      <c r="C33" s="23"/>
      <c r="D33" s="19" t="str">
        <f>$B$6&amp;Commodities!E33</f>
        <v>IMPSNG1</v>
      </c>
      <c r="E33" s="19" t="str">
        <f>"Import technology - "&amp;Commodities!F33</f>
        <v>Import technology - Bio Synt. Nat. Gas G1</v>
      </c>
      <c r="F33" s="21" t="s">
        <v>62</v>
      </c>
      <c r="G33" s="19"/>
      <c r="H33" s="21"/>
      <c r="I33" s="21"/>
      <c r="J33" s="21"/>
      <c r="K33" s="3"/>
    </row>
    <row r="34" spans="1:11" s="7" customFormat="1">
      <c r="A34" s="3"/>
      <c r="B34" s="21"/>
      <c r="C34" s="23"/>
      <c r="D34" s="19" t="str">
        <f>$B$6&amp;Commodities!E34</f>
        <v>IMPSNG2</v>
      </c>
      <c r="E34" s="19" t="str">
        <f>"Import technology - "&amp;Commodities!F34</f>
        <v>Import technology - Bio Synt. Nat. Gas G2</v>
      </c>
      <c r="F34" s="21" t="s">
        <v>62</v>
      </c>
      <c r="G34" s="19"/>
      <c r="H34" s="21"/>
      <c r="I34" s="21"/>
      <c r="J34" s="21"/>
      <c r="K34" s="3"/>
    </row>
    <row r="35" spans="1:11" s="7" customFormat="1">
      <c r="A35" s="3"/>
      <c r="B35" s="21"/>
      <c r="C35" s="23"/>
      <c r="D35" s="19" t="str">
        <f>$B$6&amp;Commodities!E35</f>
        <v>IMPSNE</v>
      </c>
      <c r="E35" s="19" t="str">
        <f>"Import technology - "&amp;Commodities!F35</f>
        <v>Import technology - Electro Synt. Nat. Gas</v>
      </c>
      <c r="F35" s="21" t="s">
        <v>62</v>
      </c>
      <c r="G35" s="19"/>
      <c r="H35" s="21"/>
      <c r="I35" s="21"/>
      <c r="J35" s="21"/>
      <c r="K35" s="3"/>
    </row>
    <row r="36" spans="1:11" s="7" customFormat="1">
      <c r="A36" s="3"/>
      <c r="B36" s="21"/>
      <c r="C36" s="23"/>
      <c r="D36" s="19" t="str">
        <f>$B$6&amp;Commodities!E36</f>
        <v>IMPDSB1</v>
      </c>
      <c r="E36" s="19" t="str">
        <f>"Import technology - "&amp;Commodities!F36</f>
        <v>Import technology - Biodiesel G1</v>
      </c>
      <c r="F36" s="21" t="s">
        <v>62</v>
      </c>
      <c r="G36" s="19"/>
      <c r="H36" s="21"/>
      <c r="I36" s="21"/>
      <c r="J36" s="21"/>
      <c r="K36" s="3"/>
    </row>
    <row r="37" spans="1:11" s="7" customFormat="1">
      <c r="A37" s="3"/>
      <c r="B37" s="21"/>
      <c r="C37" s="23"/>
      <c r="D37" s="19" t="str">
        <f>$B$6&amp;Commodities!E37</f>
        <v>IMPDSB2</v>
      </c>
      <c r="E37" s="19" t="str">
        <f>"Import technology - "&amp;Commodities!F37</f>
        <v>Import technology - Biodiesel G2</v>
      </c>
      <c r="F37" s="21" t="s">
        <v>62</v>
      </c>
      <c r="G37" s="19"/>
      <c r="H37" s="21"/>
      <c r="I37" s="21"/>
      <c r="J37" s="21"/>
      <c r="K37" s="3"/>
    </row>
    <row r="38" spans="1:11" s="7" customFormat="1">
      <c r="A38" s="3"/>
      <c r="B38" s="21"/>
      <c r="C38" s="23"/>
      <c r="D38" s="19" t="str">
        <f>$B$6&amp;Commodities!E38</f>
        <v>IMPDSE</v>
      </c>
      <c r="E38" s="19" t="str">
        <f>"Import technology - "&amp;Commodities!F38</f>
        <v>Import technology - Electro Diesel</v>
      </c>
      <c r="F38" s="21" t="s">
        <v>62</v>
      </c>
      <c r="G38" s="19"/>
      <c r="H38" s="21"/>
      <c r="I38" s="21"/>
      <c r="J38" s="21"/>
      <c r="K38" s="3"/>
    </row>
    <row r="39" spans="1:11" s="7" customFormat="1">
      <c r="A39" s="3"/>
      <c r="B39" s="21"/>
      <c r="C39" s="23"/>
      <c r="D39" s="19" t="str">
        <f>$B$6&amp;Commodities!E39</f>
        <v>IMPGSB1</v>
      </c>
      <c r="E39" s="19" t="str">
        <f>"Import technology - "&amp;Commodities!F39</f>
        <v>Import technology - Bioethanol G1</v>
      </c>
      <c r="F39" s="21" t="s">
        <v>62</v>
      </c>
      <c r="G39" s="19"/>
      <c r="H39" s="21"/>
      <c r="I39" s="21"/>
      <c r="J39" s="21"/>
      <c r="K39" s="3"/>
    </row>
    <row r="40" spans="1:11" s="7" customFormat="1">
      <c r="A40" s="3"/>
      <c r="B40" s="21"/>
      <c r="C40" s="23"/>
      <c r="D40" s="19" t="str">
        <f>$B$6&amp;Commodities!E40</f>
        <v>IMPGSB2</v>
      </c>
      <c r="E40" s="19" t="str">
        <f>"Import technology - "&amp;Commodities!F40</f>
        <v>Import technology - Bioethanol G2</v>
      </c>
      <c r="F40" s="21" t="s">
        <v>62</v>
      </c>
      <c r="G40" s="19"/>
      <c r="H40" s="21"/>
      <c r="I40" s="21"/>
      <c r="J40" s="21"/>
      <c r="K40" s="3"/>
    </row>
    <row r="41" spans="1:11" s="7" customFormat="1">
      <c r="A41" s="3"/>
      <c r="B41" s="21"/>
      <c r="C41" s="23"/>
      <c r="D41" s="19" t="str">
        <f>$B$6&amp;Commodities!E41</f>
        <v>IMPGSE</v>
      </c>
      <c r="E41" s="19" t="str">
        <f>"Import technology - "&amp;Commodities!F41</f>
        <v>Import technology - Electro Gasoline</v>
      </c>
      <c r="F41" s="21" t="s">
        <v>62</v>
      </c>
      <c r="G41" s="19"/>
      <c r="H41" s="21"/>
      <c r="I41" s="21"/>
      <c r="J41" s="21"/>
      <c r="K41" s="3"/>
    </row>
    <row r="42" spans="1:11" s="7" customFormat="1">
      <c r="A42" s="3"/>
      <c r="B42" s="21"/>
      <c r="C42" s="23"/>
      <c r="D42" s="19" t="str">
        <f>$B$6&amp;Commodities!E42</f>
        <v>IMPMOB1</v>
      </c>
      <c r="E42" s="19" t="str">
        <f>"Import technology - "&amp;Commodities!F42</f>
        <v>Import technology - Bio Methanol G1</v>
      </c>
      <c r="F42" s="21" t="s">
        <v>62</v>
      </c>
      <c r="G42" s="19"/>
      <c r="H42" s="21"/>
      <c r="I42" s="21"/>
      <c r="J42" s="21"/>
      <c r="K42" s="3"/>
    </row>
    <row r="43" spans="1:11" s="7" customFormat="1">
      <c r="A43" s="3"/>
      <c r="B43" s="21"/>
      <c r="C43" s="23"/>
      <c r="D43" s="19" t="str">
        <f>$B$6&amp;Commodities!E43</f>
        <v>IMPMOB2</v>
      </c>
      <c r="E43" s="19" t="str">
        <f>"Import technology - "&amp;Commodities!F43</f>
        <v>Import technology - Bio Methanol G2</v>
      </c>
      <c r="F43" s="21" t="s">
        <v>62</v>
      </c>
      <c r="G43" s="19"/>
      <c r="H43" s="21"/>
      <c r="I43" s="21"/>
      <c r="J43" s="21"/>
      <c r="K43" s="3"/>
    </row>
    <row r="44" spans="1:11" s="7" customFormat="1">
      <c r="A44" s="3"/>
      <c r="B44" s="21"/>
      <c r="C44" s="23"/>
      <c r="D44" s="19" t="str">
        <f>$B$6&amp;Commodities!E44</f>
        <v>IMPMOE</v>
      </c>
      <c r="E44" s="19" t="str">
        <f>"Import technology - "&amp;Commodities!F44</f>
        <v>Import technology - Electro Methanol</v>
      </c>
      <c r="F44" s="21" t="s">
        <v>62</v>
      </c>
      <c r="G44" s="19"/>
      <c r="H44" s="21"/>
      <c r="I44" s="21"/>
      <c r="J44" s="21"/>
      <c r="K44" s="3"/>
    </row>
    <row r="45" spans="1:11" s="7" customFormat="1">
      <c r="A45" s="3"/>
      <c r="B45" s="21"/>
      <c r="C45" s="23"/>
      <c r="D45" s="19" t="str">
        <f>$B$6&amp;Commodities!E45</f>
        <v>IMPWST</v>
      </c>
      <c r="E45" s="19" t="str">
        <f>"Import technology - "&amp;Commodities!F45</f>
        <v>Import technology - Waste</v>
      </c>
      <c r="F45" s="21" t="s">
        <v>62</v>
      </c>
      <c r="G45" s="19"/>
      <c r="H45" s="21"/>
      <c r="I45" s="21"/>
      <c r="J45" s="21"/>
      <c r="K45" s="3"/>
    </row>
    <row r="46" spans="1:11" s="7" customFormat="1">
      <c r="A46" s="3"/>
      <c r="B46" s="21"/>
      <c r="C46" s="23"/>
      <c r="D46" s="19" t="str">
        <f>$B$6&amp;Commodities!E46</f>
        <v>IMPSTR</v>
      </c>
      <c r="E46" s="19" t="str">
        <f>"Import technology - "&amp;Commodities!F46</f>
        <v>Import technology - Straw</v>
      </c>
      <c r="F46" s="21" t="s">
        <v>62</v>
      </c>
      <c r="G46" s="19"/>
      <c r="H46" s="21"/>
      <c r="I46" s="21"/>
      <c r="J46" s="21"/>
      <c r="K46" s="3"/>
    </row>
    <row r="47" spans="1:11" s="7" customFormat="1">
      <c r="A47" s="3"/>
      <c r="B47" s="21"/>
      <c r="C47" s="23"/>
      <c r="D47" s="19" t="str">
        <f>$B$6&amp;Commodities!E47</f>
        <v>IMPGRS</v>
      </c>
      <c r="E47" s="19" t="str">
        <f>"Import technology - "&amp;Commodities!F47</f>
        <v>Import technology - Grass</v>
      </c>
      <c r="F47" s="21" t="s">
        <v>62</v>
      </c>
      <c r="G47" s="19"/>
      <c r="H47" s="21"/>
      <c r="I47" s="21"/>
      <c r="J47" s="21"/>
      <c r="K47" s="3"/>
    </row>
    <row r="48" spans="1:11" s="7" customFormat="1">
      <c r="A48" s="3"/>
      <c r="B48" s="21"/>
      <c r="C48" s="23"/>
      <c r="D48" s="19" t="str">
        <f>$B$6&amp;Commodities!E48</f>
        <v>IMPWPE</v>
      </c>
      <c r="E48" s="19" t="str">
        <f>"Import technology - "&amp;Commodities!F48</f>
        <v>Import technology - Wood pellets</v>
      </c>
      <c r="F48" s="21" t="s">
        <v>62</v>
      </c>
      <c r="G48" s="19"/>
      <c r="H48" s="21"/>
      <c r="I48" s="21"/>
      <c r="J48" s="21"/>
      <c r="K48" s="3"/>
    </row>
    <row r="49" spans="1:11" s="7" customFormat="1">
      <c r="A49" s="3"/>
      <c r="B49" s="21"/>
      <c r="C49" s="23"/>
      <c r="D49" s="19" t="str">
        <f>$B$6&amp;Commodities!E49</f>
        <v>IMPWCH</v>
      </c>
      <c r="E49" s="19" t="str">
        <f>"Import technology - "&amp;Commodities!F49</f>
        <v>Import technology - Wood chips and wood waste</v>
      </c>
      <c r="F49" s="21" t="s">
        <v>62</v>
      </c>
      <c r="G49" s="19"/>
      <c r="H49" s="21"/>
      <c r="I49" s="21"/>
      <c r="J49" s="21"/>
      <c r="K49" s="3"/>
    </row>
    <row r="50" spans="1:11" s="7" customFormat="1">
      <c r="A50" s="3"/>
      <c r="B50" s="21"/>
      <c r="C50" s="23"/>
      <c r="D50" s="19" t="str">
        <f>$B$6&amp;Commodities!E50</f>
        <v>IMPFIW</v>
      </c>
      <c r="E50" s="19" t="str">
        <f>"Import technology - "&amp;Commodities!F50</f>
        <v>Import technology - Firewood</v>
      </c>
      <c r="F50" s="21" t="s">
        <v>62</v>
      </c>
      <c r="G50" s="19"/>
      <c r="H50" s="21"/>
      <c r="I50" s="21"/>
      <c r="J50" s="21"/>
      <c r="K50" s="3"/>
    </row>
    <row r="51" spans="1:11" s="7" customFormat="1">
      <c r="A51" s="3"/>
      <c r="B51" s="21"/>
      <c r="C51" s="23"/>
      <c r="D51" s="19" t="str">
        <f>$B$6&amp;Commodities!E51</f>
        <v>IMPCRN</v>
      </c>
      <c r="E51" s="19" t="str">
        <f>"Import technology - "&amp;Commodities!F51</f>
        <v>Import technology - Corn</v>
      </c>
      <c r="F51" s="21" t="s">
        <v>62</v>
      </c>
      <c r="G51" s="19"/>
      <c r="H51" s="21"/>
      <c r="I51" s="21"/>
      <c r="J51" s="21"/>
      <c r="K51" s="3"/>
    </row>
    <row r="52" spans="1:11" s="7" customFormat="1">
      <c r="A52" s="3"/>
      <c r="B52" s="21"/>
      <c r="C52" s="23"/>
      <c r="D52" s="19" t="str">
        <f>$B$6&amp;Commodities!E52</f>
        <v>IMPRPS</v>
      </c>
      <c r="E52" s="19" t="str">
        <f>"Import technology - "&amp;Commodities!F52</f>
        <v>Import technology - Rapeseed</v>
      </c>
      <c r="F52" s="21" t="s">
        <v>62</v>
      </c>
      <c r="G52" s="19"/>
      <c r="H52" s="21"/>
      <c r="I52" s="21"/>
      <c r="J52" s="21"/>
      <c r="K52" s="3"/>
    </row>
    <row r="53" spans="1:11" s="7" customFormat="1">
      <c r="A53" s="3"/>
      <c r="B53" s="21"/>
      <c r="C53" s="23"/>
      <c r="D53" s="19" t="str">
        <f>$B$6&amp;Commodities!E53</f>
        <v>IMPSGB</v>
      </c>
      <c r="E53" s="19" t="str">
        <f>"Import technology - "&amp;Commodities!F53</f>
        <v>Import technology - Sugar Beet</v>
      </c>
      <c r="F53" s="21" t="s">
        <v>62</v>
      </c>
      <c r="G53" s="19"/>
      <c r="H53" s="21"/>
      <c r="I53" s="21"/>
      <c r="J53" s="21"/>
      <c r="K53" s="3"/>
    </row>
    <row r="54" spans="1:11" s="7" customFormat="1">
      <c r="A54" s="3"/>
      <c r="B54" s="21"/>
      <c r="C54" s="23"/>
      <c r="D54" s="19" t="str">
        <f>$B$6&amp;Commodities!E54</f>
        <v>IMPDLI</v>
      </c>
      <c r="E54" s="19" t="str">
        <f>"Import technology - "&amp;Commodities!F54</f>
        <v>Import technology - Deep Litter</v>
      </c>
      <c r="F54" s="21" t="s">
        <v>62</v>
      </c>
      <c r="G54" s="19"/>
      <c r="H54" s="21"/>
      <c r="I54" s="21"/>
      <c r="J54" s="21"/>
      <c r="K54" s="3"/>
    </row>
    <row r="55" spans="1:11" s="7" customFormat="1">
      <c r="A55" s="3"/>
      <c r="B55" s="607"/>
      <c r="C55" s="639"/>
      <c r="D55" s="632" t="str">
        <f>$B$6&amp;Commodities!E55</f>
        <v>IMPMNR</v>
      </c>
      <c r="E55" s="632" t="str">
        <f>"Import technology - "&amp;Commodities!F55</f>
        <v>Import technology - Manure (Gylle)</v>
      </c>
      <c r="F55" s="607" t="s">
        <v>62</v>
      </c>
      <c r="G55" s="632"/>
      <c r="H55" s="607"/>
      <c r="I55" s="607"/>
      <c r="J55" s="21"/>
      <c r="K55" s="3"/>
    </row>
    <row r="56" spans="1:11" s="7" customFormat="1">
      <c r="A56" s="3"/>
      <c r="B56" s="21" t="s">
        <v>175</v>
      </c>
      <c r="C56" s="23"/>
      <c r="D56" s="19" t="str">
        <f>$B$56&amp;Commodities!E45</f>
        <v>MINWST</v>
      </c>
      <c r="E56" s="19" t="str">
        <f>"Mining technology - "&amp;Commodities!F45</f>
        <v>Mining technology - Waste</v>
      </c>
      <c r="F56" s="21" t="s">
        <v>62</v>
      </c>
      <c r="G56" s="19"/>
      <c r="H56" s="21"/>
      <c r="I56" s="21"/>
      <c r="J56" s="21"/>
      <c r="K56" s="3"/>
    </row>
    <row r="57" spans="1:11" s="7" customFormat="1">
      <c r="A57" s="3"/>
      <c r="B57" s="21"/>
      <c r="C57" s="23"/>
      <c r="D57" s="19" t="str">
        <f>$B$56&amp;Commodities!E46</f>
        <v>MINSTR</v>
      </c>
      <c r="E57" s="19" t="str">
        <f>"Mining technology - "&amp;Commodities!F46</f>
        <v>Mining technology - Straw</v>
      </c>
      <c r="F57" s="21" t="s">
        <v>62</v>
      </c>
      <c r="G57" s="19"/>
      <c r="H57" s="21"/>
      <c r="I57" s="21"/>
      <c r="J57" s="21"/>
      <c r="K57" s="3"/>
    </row>
    <row r="58" spans="1:11" s="7" customFormat="1">
      <c r="A58" s="3"/>
      <c r="B58" s="21"/>
      <c r="C58" s="23"/>
      <c r="D58" s="19" t="str">
        <f>$B$56&amp;Commodities!E47</f>
        <v>MINGRS</v>
      </c>
      <c r="E58" s="19" t="str">
        <f>"Mining technology - "&amp;Commodities!F47</f>
        <v>Mining technology - Grass</v>
      </c>
      <c r="F58" s="21" t="s">
        <v>62</v>
      </c>
      <c r="G58" s="19"/>
      <c r="H58" s="21"/>
      <c r="I58" s="21"/>
      <c r="J58" s="21"/>
      <c r="K58" s="3"/>
    </row>
    <row r="59" spans="1:11" s="7" customFormat="1">
      <c r="A59" s="3"/>
      <c r="B59" s="21"/>
      <c r="C59" s="23"/>
      <c r="D59" s="19" t="str">
        <f>$B$56&amp;Commodities!E48</f>
        <v>MINWPE</v>
      </c>
      <c r="E59" s="19" t="str">
        <f>"Mining technology - "&amp;Commodities!F48</f>
        <v>Mining technology - Wood pellets</v>
      </c>
      <c r="F59" s="21" t="s">
        <v>62</v>
      </c>
      <c r="G59" s="19"/>
      <c r="H59" s="21"/>
      <c r="I59" s="21"/>
      <c r="J59" s="21"/>
      <c r="K59" s="3"/>
    </row>
    <row r="60" spans="1:11" s="7" customFormat="1">
      <c r="A60" s="3"/>
      <c r="B60" s="21"/>
      <c r="C60" s="23"/>
      <c r="D60" s="19" t="str">
        <f>$B$56&amp;Commodities!E49</f>
        <v>MINWCH</v>
      </c>
      <c r="E60" s="19" t="str">
        <f>"Mining technology - "&amp;Commodities!F49</f>
        <v>Mining technology - Wood chips and wood waste</v>
      </c>
      <c r="F60" s="21" t="s">
        <v>62</v>
      </c>
      <c r="G60" s="19"/>
      <c r="H60" s="21"/>
      <c r="I60" s="21"/>
      <c r="J60" s="21"/>
      <c r="K60" s="3"/>
    </row>
    <row r="61" spans="1:11" s="7" customFormat="1">
      <c r="A61" s="3"/>
      <c r="B61" s="21"/>
      <c r="C61" s="23"/>
      <c r="D61" s="19" t="str">
        <f>$B$56&amp;Commodities!E50</f>
        <v>MINFIW</v>
      </c>
      <c r="E61" s="19" t="str">
        <f>"Mining technology - "&amp;Commodities!F50</f>
        <v>Mining technology - Firewood</v>
      </c>
      <c r="F61" s="21" t="s">
        <v>62</v>
      </c>
      <c r="G61" s="19"/>
      <c r="H61" s="21"/>
      <c r="I61" s="21"/>
      <c r="J61" s="21"/>
      <c r="K61" s="3"/>
    </row>
    <row r="62" spans="1:11" s="7" customFormat="1">
      <c r="A62" s="3"/>
      <c r="B62" s="21"/>
      <c r="C62" s="23"/>
      <c r="D62" s="19" t="str">
        <f>$B$56&amp;Commodities!E51</f>
        <v>MINCRN</v>
      </c>
      <c r="E62" s="19" t="str">
        <f>"Mining technology - "&amp;Commodities!F51</f>
        <v>Mining technology - Corn</v>
      </c>
      <c r="F62" s="21" t="s">
        <v>62</v>
      </c>
      <c r="G62" s="19"/>
      <c r="H62" s="21"/>
      <c r="I62" s="21"/>
      <c r="J62" s="21"/>
      <c r="K62" s="3"/>
    </row>
    <row r="63" spans="1:11" s="7" customFormat="1">
      <c r="A63" s="3"/>
      <c r="B63" s="21"/>
      <c r="C63" s="23"/>
      <c r="D63" s="19" t="str">
        <f>$B$56&amp;Commodities!E52</f>
        <v>MINRPS</v>
      </c>
      <c r="E63" s="19" t="str">
        <f>"Mining technology - "&amp;Commodities!F52</f>
        <v>Mining technology - Rapeseed</v>
      </c>
      <c r="F63" s="21" t="s">
        <v>62</v>
      </c>
      <c r="G63" s="19"/>
      <c r="H63" s="21"/>
      <c r="I63" s="21"/>
      <c r="J63" s="21"/>
      <c r="K63" s="3"/>
    </row>
    <row r="64" spans="1:11" s="7" customFormat="1">
      <c r="A64" s="3"/>
      <c r="B64" s="21"/>
      <c r="C64" s="23"/>
      <c r="D64" s="19" t="str">
        <f>$B$56&amp;Commodities!E53</f>
        <v>MINSGB</v>
      </c>
      <c r="E64" s="19" t="str">
        <f>"Mining technology - "&amp;Commodities!F53</f>
        <v>Mining technology - Sugar Beet</v>
      </c>
      <c r="F64" s="21" t="s">
        <v>62</v>
      </c>
      <c r="G64" s="19"/>
      <c r="H64" s="21"/>
      <c r="I64" s="21"/>
      <c r="J64" s="21"/>
      <c r="K64" s="3"/>
    </row>
    <row r="65" spans="1:11" s="7" customFormat="1">
      <c r="A65" s="3"/>
      <c r="B65" s="21"/>
      <c r="C65" s="23"/>
      <c r="D65" s="19" t="str">
        <f>$B$56&amp;Commodities!E54</f>
        <v>MINDLI</v>
      </c>
      <c r="E65" s="19" t="str">
        <f>"Mining technology - "&amp;Commodities!F54</f>
        <v>Mining technology - Deep Litter</v>
      </c>
      <c r="F65" s="21" t="s">
        <v>62</v>
      </c>
      <c r="G65" s="19"/>
      <c r="H65" s="21"/>
      <c r="I65" s="21"/>
      <c r="J65" s="21"/>
      <c r="K65" s="3"/>
    </row>
    <row r="66" spans="1:11" s="7" customFormat="1">
      <c r="A66" s="3"/>
      <c r="B66" s="21"/>
      <c r="C66" s="23"/>
      <c r="D66" s="19" t="str">
        <f>$B$56&amp;Commodities!E55</f>
        <v>MINMNR</v>
      </c>
      <c r="E66" s="19" t="str">
        <f>"Mining technology - "&amp;Commodities!F55</f>
        <v>Mining technology - Manure (Gylle)</v>
      </c>
      <c r="F66" s="21" t="s">
        <v>62</v>
      </c>
      <c r="G66" s="19"/>
      <c r="H66" s="21"/>
      <c r="I66" s="21"/>
      <c r="J66" s="21"/>
      <c r="K66" s="3"/>
    </row>
    <row r="67" spans="1:11" s="7" customFormat="1">
      <c r="A67" s="3"/>
      <c r="B67" s="21"/>
      <c r="C67" s="23"/>
      <c r="D67" s="19" t="str">
        <f>$B$56&amp;RIGHT(Commodities!E56,3)</f>
        <v>MINNGA</v>
      </c>
      <c r="E67" s="19" t="str">
        <f>"Mining technology - "&amp;Commodities!F56</f>
        <v>Mining technology - Mining Natural Gas</v>
      </c>
      <c r="F67" s="21" t="s">
        <v>62</v>
      </c>
      <c r="G67" s="19"/>
      <c r="H67" s="21"/>
      <c r="I67" s="21"/>
      <c r="J67" s="21"/>
      <c r="K67" s="3"/>
    </row>
    <row r="68" spans="1:11" s="7" customFormat="1">
      <c r="A68" s="3"/>
      <c r="B68" s="21"/>
      <c r="C68" s="23"/>
      <c r="D68" s="19" t="str">
        <f>$B$56&amp;RIGHT(Commodities!E57,3)</f>
        <v>MINCRD</v>
      </c>
      <c r="E68" s="19" t="str">
        <f>"Mining technology - "&amp;Commodities!F57</f>
        <v>Mining technology - Mining Crude Oil</v>
      </c>
      <c r="F68" s="21" t="s">
        <v>62</v>
      </c>
      <c r="G68" s="19"/>
      <c r="H68" s="21"/>
      <c r="I68" s="21"/>
      <c r="J68" s="21"/>
      <c r="K68" s="3"/>
    </row>
    <row r="69" spans="1:11" s="7" customFormat="1">
      <c r="A69" s="3"/>
      <c r="B69" s="21"/>
      <c r="C69" s="23"/>
      <c r="D69" s="19" t="str">
        <f>$B$56&amp;Commodities!E58</f>
        <v>MINWIN</v>
      </c>
      <c r="E69" s="19" t="str">
        <f>"Mining technology - "&amp;Commodities!F58</f>
        <v>Mining technology - Wind</v>
      </c>
      <c r="F69" s="21" t="s">
        <v>62</v>
      </c>
      <c r="G69" s="19"/>
      <c r="H69" s="21"/>
      <c r="I69" s="21"/>
      <c r="J69" s="21"/>
      <c r="K69" s="3"/>
    </row>
    <row r="70" spans="1:11" s="7" customFormat="1">
      <c r="A70" s="3"/>
      <c r="B70" s="21"/>
      <c r="C70" s="23"/>
      <c r="D70" s="19" t="str">
        <f>$B$56&amp;Commodities!E59</f>
        <v>MINHYD</v>
      </c>
      <c r="E70" s="19" t="str">
        <f>"Mining technology - "&amp;Commodities!F59</f>
        <v>Mining technology - Hydro</v>
      </c>
      <c r="F70" s="21" t="s">
        <v>62</v>
      </c>
      <c r="G70" s="19"/>
      <c r="H70" s="21"/>
      <c r="I70" s="21"/>
      <c r="J70" s="21"/>
      <c r="K70" s="3"/>
    </row>
    <row r="71" spans="1:11" s="7" customFormat="1">
      <c r="A71" s="3"/>
      <c r="B71" s="21"/>
      <c r="C71" s="23"/>
      <c r="D71" s="19" t="str">
        <f>$B$56&amp;Commodities!E60</f>
        <v>MINSOL</v>
      </c>
      <c r="E71" s="19" t="str">
        <f>"Mining technology - "&amp;Commodities!F60</f>
        <v>Mining technology - Solar</v>
      </c>
      <c r="F71" s="21" t="s">
        <v>62</v>
      </c>
      <c r="G71" s="19"/>
      <c r="H71" s="21"/>
      <c r="I71" s="21"/>
      <c r="J71" s="21"/>
      <c r="K71" s="3"/>
    </row>
    <row r="72" spans="1:11" s="7" customFormat="1">
      <c r="A72" s="3"/>
      <c r="B72" s="21"/>
      <c r="C72" s="23"/>
      <c r="D72" s="19" t="str">
        <f>$B$56&amp;Commodities!E61</f>
        <v>MINGEO</v>
      </c>
      <c r="E72" s="19" t="str">
        <f>"Mining technology - "&amp;Commodities!F61</f>
        <v>Mining technology - Geothermal</v>
      </c>
      <c r="F72" s="21" t="s">
        <v>62</v>
      </c>
      <c r="G72" s="19"/>
      <c r="H72" s="21"/>
      <c r="I72" s="21"/>
      <c r="J72" s="21"/>
      <c r="K72" s="3"/>
    </row>
    <row r="73" spans="1:11" s="7" customFormat="1">
      <c r="A73" s="3"/>
      <c r="B73" s="21"/>
      <c r="C73" s="23"/>
      <c r="D73" s="19" t="str">
        <f>$B$56&amp;Commodities!E62</f>
        <v>MINWAV</v>
      </c>
      <c r="E73" s="19" t="str">
        <f>"Mining technology - "&amp;Commodities!F62</f>
        <v>Mining technology - Wave</v>
      </c>
      <c r="F73" s="21" t="s">
        <v>62</v>
      </c>
      <c r="G73" s="19"/>
      <c r="H73" s="21"/>
      <c r="I73" s="21"/>
      <c r="J73" s="21"/>
      <c r="K73" s="3"/>
    </row>
    <row r="74" spans="1:11" s="7" customFormat="1">
      <c r="A74" s="3"/>
      <c r="B74" s="607"/>
      <c r="C74" s="639"/>
      <c r="D74" s="632" t="str">
        <f>$B$56&amp;Commodities!E63</f>
        <v>MINMOV</v>
      </c>
      <c r="E74" s="632" t="str">
        <f>"Mining technology - "&amp;Commodities!F63</f>
        <v>Mining technology - Movement - Dummy commodity for bike and walk</v>
      </c>
      <c r="F74" s="607" t="s">
        <v>62</v>
      </c>
      <c r="G74" s="632"/>
      <c r="H74" s="607"/>
      <c r="I74" s="607"/>
      <c r="J74" s="21"/>
      <c r="K74" s="3"/>
    </row>
    <row r="75" spans="1:11" s="7" customFormat="1">
      <c r="A75" s="3"/>
      <c r="B75" s="21" t="s">
        <v>331</v>
      </c>
      <c r="C75" s="23"/>
      <c r="D75" s="19" t="str">
        <f>$B$75&amp;Commodities!E12</f>
        <v>EXPCOA</v>
      </c>
      <c r="E75" s="19" t="str">
        <f>"Export technology - "&amp;Commodities!F12</f>
        <v>Export technology - Coal</v>
      </c>
      <c r="F75" s="21" t="s">
        <v>62</v>
      </c>
      <c r="G75" s="19"/>
      <c r="H75" s="21"/>
      <c r="I75" s="21"/>
      <c r="J75" s="21"/>
      <c r="K75" s="3"/>
    </row>
    <row r="76" spans="1:11" s="7" customFormat="1">
      <c r="A76" s="3"/>
      <c r="B76" s="21"/>
      <c r="C76" s="23"/>
      <c r="D76" s="19" t="str">
        <f>$B$75&amp;Commodities!E13</f>
        <v>EXPNGA</v>
      </c>
      <c r="E76" s="19" t="str">
        <f>"Export technology - "&amp;Commodities!F13</f>
        <v>Export technology - Natural Gas</v>
      </c>
      <c r="F76" s="21" t="s">
        <v>62</v>
      </c>
      <c r="G76" s="19"/>
      <c r="H76" s="21"/>
      <c r="I76" s="21"/>
      <c r="J76" s="21"/>
      <c r="K76" s="3"/>
    </row>
    <row r="77" spans="1:11" s="7" customFormat="1">
      <c r="A77" s="3"/>
      <c r="B77" s="21"/>
      <c r="C77" s="23"/>
      <c r="D77" s="19" t="str">
        <f>$B$75&amp;Commodities!E14</f>
        <v>EXPCRD</v>
      </c>
      <c r="E77" s="19" t="str">
        <f>"Export technology - "&amp;Commodities!F14</f>
        <v>Export technology - Crude Oil</v>
      </c>
      <c r="F77" s="21" t="s">
        <v>62</v>
      </c>
      <c r="G77" s="19"/>
      <c r="H77" s="21"/>
      <c r="I77" s="21"/>
      <c r="J77" s="21"/>
      <c r="K77" s="3"/>
    </row>
    <row r="78" spans="1:11" s="7" customFormat="1">
      <c r="A78" s="3"/>
      <c r="B78" s="21"/>
      <c r="C78" s="23"/>
      <c r="D78" s="19" t="str">
        <f>$B$75&amp;Commodities!E15</f>
        <v>EXPLPG</v>
      </c>
      <c r="E78" s="19" t="str">
        <f>"Export technology - "&amp;Commodities!F15</f>
        <v>Export technology - Liquid petrol gas</v>
      </c>
      <c r="F78" s="21" t="s">
        <v>62</v>
      </c>
      <c r="G78" s="19"/>
      <c r="H78" s="21"/>
      <c r="I78" s="21"/>
      <c r="J78" s="21"/>
      <c r="K78" s="3"/>
    </row>
    <row r="79" spans="1:11" s="7" customFormat="1">
      <c r="A79" s="3"/>
      <c r="B79" s="21"/>
      <c r="C79" s="23"/>
      <c r="D79" s="19" t="str">
        <f>$B$75&amp;Commodities!E16</f>
        <v>EXPLVN</v>
      </c>
      <c r="E79" s="19" t="str">
        <f>"Export technology - "&amp;Commodities!F16</f>
        <v>Export technology - Naphtha (Petroleoum)</v>
      </c>
      <c r="F79" s="21" t="s">
        <v>62</v>
      </c>
      <c r="G79" s="19"/>
      <c r="H79" s="21"/>
      <c r="I79" s="21"/>
      <c r="J79" s="21"/>
      <c r="K79" s="3"/>
    </row>
    <row r="80" spans="1:11" s="7" customFormat="1">
      <c r="A80" s="3"/>
      <c r="B80" s="21"/>
      <c r="C80" s="23"/>
      <c r="D80" s="19" t="str">
        <f>$B$75&amp;Commodities!E17</f>
        <v>EXPGSL</v>
      </c>
      <c r="E80" s="19" t="str">
        <f>"Export technology - "&amp;Commodities!F17</f>
        <v>Export technology - Gasoline</v>
      </c>
      <c r="F80" s="21" t="s">
        <v>62</v>
      </c>
      <c r="G80" s="19"/>
      <c r="H80" s="21"/>
      <c r="I80" s="21"/>
      <c r="J80" s="21"/>
      <c r="K80" s="3"/>
    </row>
    <row r="81" spans="1:11" s="7" customFormat="1">
      <c r="A81" s="3"/>
      <c r="B81" s="21"/>
      <c r="C81" s="23"/>
      <c r="D81" s="19" t="str">
        <f>$B$75&amp;Commodities!E18</f>
        <v>EXPKER</v>
      </c>
      <c r="E81" s="19" t="str">
        <f>"Export technology - "&amp;Commodities!F18</f>
        <v>Export technology - Kerosene</v>
      </c>
      <c r="F81" s="21" t="s">
        <v>62</v>
      </c>
      <c r="G81" s="19"/>
      <c r="H81" s="21"/>
      <c r="I81" s="21"/>
      <c r="J81" s="21"/>
      <c r="K81" s="3"/>
    </row>
    <row r="82" spans="1:11" s="7" customFormat="1">
      <c r="A82" s="3"/>
      <c r="B82" s="21"/>
      <c r="C82" s="23"/>
      <c r="D82" s="19" t="str">
        <f>$B$75&amp;Commodities!E19</f>
        <v>EXPDSL</v>
      </c>
      <c r="E82" s="19" t="str">
        <f>"Export technology - "&amp;Commodities!F19</f>
        <v>Export technology - Diesel</v>
      </c>
      <c r="F82" s="21" t="s">
        <v>62</v>
      </c>
      <c r="G82" s="19"/>
      <c r="H82" s="21"/>
      <c r="I82" s="21"/>
      <c r="J82" s="21"/>
      <c r="K82" s="3"/>
    </row>
    <row r="83" spans="1:11" s="7" customFormat="1">
      <c r="A83" s="3"/>
      <c r="B83" s="21"/>
      <c r="C83" s="23"/>
      <c r="D83" s="19" t="str">
        <f>$B$75&amp;Commodities!E20</f>
        <v>EXPHFO</v>
      </c>
      <c r="E83" s="19" t="str">
        <f>"Export technology - "&amp;Commodities!F20</f>
        <v>Export technology - Heavy Fuel Oil</v>
      </c>
      <c r="F83" s="21" t="s">
        <v>62</v>
      </c>
      <c r="G83" s="19"/>
      <c r="H83" s="21"/>
      <c r="I83" s="21"/>
      <c r="J83" s="21"/>
      <c r="K83" s="3"/>
    </row>
    <row r="84" spans="1:11" s="7" customFormat="1">
      <c r="A84" s="3"/>
      <c r="B84" s="21"/>
      <c r="C84" s="23"/>
      <c r="D84" s="19" t="str">
        <f>$B$75&amp;Commodities!E21</f>
        <v>EXPMGO</v>
      </c>
      <c r="E84" s="19" t="str">
        <f>"Export technology - "&amp;Commodities!F21</f>
        <v>Export technology - Marine Gas Oil</v>
      </c>
      <c r="F84" s="21" t="s">
        <v>62</v>
      </c>
      <c r="G84" s="19"/>
      <c r="H84" s="21"/>
      <c r="I84" s="21"/>
      <c r="J84" s="21"/>
      <c r="K84" s="3"/>
    </row>
    <row r="85" spans="1:11" s="7" customFormat="1">
      <c r="A85" s="3"/>
      <c r="B85" s="21"/>
      <c r="C85" s="23"/>
      <c r="D85" s="19" t="str">
        <f>$B$75&amp;Commodities!E22</f>
        <v>EXPAGSL</v>
      </c>
      <c r="E85" s="19" t="str">
        <f>"Export technology - "&amp;Commodities!F22</f>
        <v>Export technology - Aviation gasoline</v>
      </c>
      <c r="F85" s="21" t="s">
        <v>62</v>
      </c>
      <c r="G85" s="19"/>
      <c r="H85" s="21"/>
      <c r="I85" s="21"/>
      <c r="J85" s="21"/>
      <c r="K85" s="3"/>
    </row>
    <row r="86" spans="1:11" s="7" customFormat="1">
      <c r="A86" s="3"/>
      <c r="B86" s="21"/>
      <c r="C86" s="23"/>
      <c r="D86" s="19" t="str">
        <f>$B$75&amp;Commodities!E23</f>
        <v>EXPBGA</v>
      </c>
      <c r="E86" s="19" t="str">
        <f>"Export technology - "&amp;Commodities!F23</f>
        <v>Export technology - Biogas</v>
      </c>
      <c r="F86" s="21" t="s">
        <v>62</v>
      </c>
      <c r="G86" s="19"/>
      <c r="H86" s="21"/>
      <c r="I86" s="21"/>
      <c r="J86" s="21"/>
      <c r="K86" s="3"/>
    </row>
    <row r="87" spans="1:11" s="7" customFormat="1">
      <c r="A87" s="3"/>
      <c r="B87" s="21"/>
      <c r="C87" s="23"/>
      <c r="D87" s="19" t="str">
        <f>$B$75&amp;Commodities!E24</f>
        <v>EXPHFB</v>
      </c>
      <c r="E87" s="19" t="str">
        <f>"Export technology - "&amp;Commodities!F24</f>
        <v>Export technology - Heavy Fuel Bio Oil</v>
      </c>
      <c r="F87" s="21" t="s">
        <v>62</v>
      </c>
      <c r="G87" s="19"/>
      <c r="H87" s="21"/>
      <c r="I87" s="21"/>
      <c r="J87" s="21"/>
      <c r="K87" s="3"/>
    </row>
    <row r="88" spans="1:11" s="7" customFormat="1">
      <c r="A88" s="3"/>
      <c r="B88" s="21"/>
      <c r="C88" s="23"/>
      <c r="D88" s="19" t="str">
        <f>$B$75&amp;Commodities!E25</f>
        <v>EXPDDGS</v>
      </c>
      <c r="E88" s="19" t="str">
        <f>"Export technology - "&amp;Commodities!F25</f>
        <v>Export technology - Ethanol</v>
      </c>
      <c r="F88" s="21" t="s">
        <v>62</v>
      </c>
      <c r="G88" s="19"/>
      <c r="H88" s="21"/>
      <c r="I88" s="21"/>
      <c r="J88" s="21"/>
      <c r="K88" s="3"/>
    </row>
    <row r="89" spans="1:11" s="7" customFormat="1">
      <c r="A89" s="3"/>
      <c r="B89" s="21"/>
      <c r="C89" s="23"/>
      <c r="D89" s="19" t="str">
        <f>$B$75&amp;Commodities!E26</f>
        <v>EXPH2</v>
      </c>
      <c r="E89" s="19" t="str">
        <f>"Export technology - "&amp;Commodities!F26</f>
        <v>Export technology - Hydrogen</v>
      </c>
      <c r="F89" s="21" t="s">
        <v>62</v>
      </c>
      <c r="G89" s="19"/>
      <c r="H89" s="21"/>
      <c r="I89" s="21"/>
      <c r="J89" s="21"/>
      <c r="K89" s="3"/>
    </row>
    <row r="90" spans="1:11" s="7" customFormat="1">
      <c r="A90" s="3"/>
      <c r="B90" s="21"/>
      <c r="C90" s="23"/>
      <c r="D90" s="19" t="str">
        <f>$B$75&amp;Commodities!E27</f>
        <v>EXPH2G</v>
      </c>
      <c r="E90" s="19" t="str">
        <f>"Export technology - "&amp;Commodities!F27</f>
        <v>Export technology - Hydrogen Gas</v>
      </c>
      <c r="F90" s="21" t="s">
        <v>62</v>
      </c>
      <c r="G90" s="19"/>
      <c r="H90" s="21"/>
      <c r="I90" s="21"/>
      <c r="J90" s="21"/>
      <c r="K90" s="3"/>
    </row>
    <row r="91" spans="1:11" s="7" customFormat="1">
      <c r="A91" s="3"/>
      <c r="B91" s="21"/>
      <c r="C91" s="23"/>
      <c r="D91" s="19" t="str">
        <f>$B$75&amp;Commodities!E28</f>
        <v>EXPAMM</v>
      </c>
      <c r="E91" s="19" t="str">
        <f>"Export technology - "&amp;Commodities!F28</f>
        <v>Export technology - Ammonia (Liquid)</v>
      </c>
      <c r="F91" s="21" t="s">
        <v>62</v>
      </c>
      <c r="G91" s="19"/>
      <c r="H91" s="21"/>
      <c r="I91" s="21"/>
      <c r="J91" s="21"/>
      <c r="K91" s="3"/>
    </row>
    <row r="92" spans="1:11" s="7" customFormat="1">
      <c r="A92" s="3"/>
      <c r="B92" s="21"/>
      <c r="C92" s="23"/>
      <c r="D92" s="19" t="str">
        <f>$B$75&amp;Commodities!E29</f>
        <v>EXPDME</v>
      </c>
      <c r="E92" s="19" t="str">
        <f>"Export technology - "&amp;Commodities!F29</f>
        <v>Export technology - Dimethyl ether</v>
      </c>
      <c r="F92" s="21" t="s">
        <v>62</v>
      </c>
      <c r="G92" s="19"/>
      <c r="H92" s="21"/>
      <c r="I92" s="21"/>
      <c r="J92" s="21"/>
      <c r="K92" s="3"/>
    </row>
    <row r="93" spans="1:11" s="7" customFormat="1">
      <c r="A93" s="3"/>
      <c r="B93" s="21"/>
      <c r="C93" s="23"/>
      <c r="D93" s="19" t="str">
        <f>$B$75&amp;Commodities!E30</f>
        <v>EXPKRB1</v>
      </c>
      <c r="E93" s="19" t="str">
        <f>"Export technology - "&amp;Commodities!F30</f>
        <v>Export technology - Bio Kerosene G1</v>
      </c>
      <c r="F93" s="21" t="s">
        <v>62</v>
      </c>
      <c r="G93" s="19"/>
      <c r="H93" s="21"/>
      <c r="I93" s="21"/>
      <c r="J93" s="21"/>
      <c r="K93" s="3"/>
    </row>
    <row r="94" spans="1:11" s="7" customFormat="1">
      <c r="A94" s="3"/>
      <c r="B94" s="21"/>
      <c r="C94" s="23"/>
      <c r="D94" s="19" t="str">
        <f>$B$75&amp;Commodities!E31</f>
        <v>EXPKRB2</v>
      </c>
      <c r="E94" s="19" t="str">
        <f>"Export technology - "&amp;Commodities!F31</f>
        <v>Export technology - Bio Kerosene G2</v>
      </c>
      <c r="F94" s="21" t="s">
        <v>62</v>
      </c>
      <c r="G94" s="19"/>
      <c r="H94" s="21"/>
      <c r="I94" s="21"/>
      <c r="J94" s="21"/>
      <c r="K94" s="3"/>
    </row>
    <row r="95" spans="1:11" s="7" customFormat="1">
      <c r="A95" s="3"/>
      <c r="B95" s="21"/>
      <c r="C95" s="23"/>
      <c r="D95" s="19" t="str">
        <f>$B$75&amp;Commodities!E32</f>
        <v>EXPKRE</v>
      </c>
      <c r="E95" s="19" t="str">
        <f>"Export technology - "&amp;Commodities!F32</f>
        <v>Export technology - Electro Kerosene</v>
      </c>
      <c r="F95" s="21" t="s">
        <v>62</v>
      </c>
      <c r="G95" s="19"/>
      <c r="H95" s="21"/>
      <c r="I95" s="21"/>
      <c r="J95" s="21"/>
      <c r="K95" s="3"/>
    </row>
    <row r="96" spans="1:11" s="7" customFormat="1">
      <c r="A96" s="3"/>
      <c r="B96" s="21"/>
      <c r="C96" s="23"/>
      <c r="D96" s="19" t="str">
        <f>$B$75&amp;Commodities!E33</f>
        <v>EXPSNG1</v>
      </c>
      <c r="E96" s="19" t="str">
        <f>"Export technology - "&amp;Commodities!F33</f>
        <v>Export technology - Bio Synt. Nat. Gas G1</v>
      </c>
      <c r="F96" s="21" t="s">
        <v>62</v>
      </c>
      <c r="G96" s="19"/>
      <c r="H96" s="21"/>
      <c r="I96" s="21"/>
      <c r="J96" s="21"/>
      <c r="K96" s="3"/>
    </row>
    <row r="97" spans="1:11" s="7" customFormat="1">
      <c r="A97" s="3"/>
      <c r="B97" s="21"/>
      <c r="C97" s="23"/>
      <c r="D97" s="19" t="str">
        <f>$B$75&amp;Commodities!E34</f>
        <v>EXPSNG2</v>
      </c>
      <c r="E97" s="19" t="str">
        <f>"Export technology - "&amp;Commodities!F34</f>
        <v>Export technology - Bio Synt. Nat. Gas G2</v>
      </c>
      <c r="F97" s="21" t="s">
        <v>62</v>
      </c>
      <c r="G97" s="19"/>
      <c r="H97" s="21"/>
      <c r="I97" s="21"/>
      <c r="J97" s="21"/>
      <c r="K97" s="3"/>
    </row>
    <row r="98" spans="1:11" s="7" customFormat="1">
      <c r="A98" s="3"/>
      <c r="B98" s="21"/>
      <c r="C98" s="23"/>
      <c r="D98" s="19" t="str">
        <f>$B$75&amp;Commodities!E35</f>
        <v>EXPSNE</v>
      </c>
      <c r="E98" s="19" t="str">
        <f>"Export technology - "&amp;Commodities!F35</f>
        <v>Export technology - Electro Synt. Nat. Gas</v>
      </c>
      <c r="F98" s="21" t="s">
        <v>62</v>
      </c>
      <c r="G98" s="19"/>
      <c r="H98" s="21"/>
      <c r="I98" s="21"/>
      <c r="J98" s="21"/>
      <c r="K98" s="3"/>
    </row>
    <row r="99" spans="1:11" s="7" customFormat="1">
      <c r="A99" s="3"/>
      <c r="B99" s="21"/>
      <c r="C99" s="23"/>
      <c r="D99" s="19" t="str">
        <f>$B$75&amp;Commodities!E36</f>
        <v>EXPDSB1</v>
      </c>
      <c r="E99" s="19" t="str">
        <f>"Export technology - "&amp;Commodities!F36</f>
        <v>Export technology - Biodiesel G1</v>
      </c>
      <c r="F99" s="21" t="s">
        <v>62</v>
      </c>
      <c r="G99" s="19"/>
      <c r="H99" s="21"/>
      <c r="I99" s="21"/>
      <c r="J99" s="21"/>
      <c r="K99" s="3"/>
    </row>
    <row r="100" spans="1:11" s="7" customFormat="1">
      <c r="A100" s="3"/>
      <c r="B100" s="21"/>
      <c r="C100" s="23"/>
      <c r="D100" s="19" t="str">
        <f>$B$75&amp;Commodities!E37</f>
        <v>EXPDSB2</v>
      </c>
      <c r="E100" s="19" t="str">
        <f>"Export technology - "&amp;Commodities!F37</f>
        <v>Export technology - Biodiesel G2</v>
      </c>
      <c r="F100" s="21" t="s">
        <v>62</v>
      </c>
      <c r="G100" s="19"/>
      <c r="H100" s="21"/>
      <c r="I100" s="21"/>
      <c r="J100" s="21"/>
      <c r="K100" s="3"/>
    </row>
    <row r="101" spans="1:11" s="7" customFormat="1">
      <c r="A101" s="3"/>
      <c r="B101" s="21"/>
      <c r="C101" s="23"/>
      <c r="D101" s="19" t="str">
        <f>$B$75&amp;Commodities!E38</f>
        <v>EXPDSE</v>
      </c>
      <c r="E101" s="19" t="str">
        <f>"Export technology - "&amp;Commodities!F38</f>
        <v>Export technology - Electro Diesel</v>
      </c>
      <c r="F101" s="21" t="s">
        <v>62</v>
      </c>
      <c r="G101" s="19"/>
      <c r="H101" s="21"/>
      <c r="I101" s="21"/>
      <c r="J101" s="21"/>
      <c r="K101" s="3"/>
    </row>
    <row r="102" spans="1:11" s="7" customFormat="1">
      <c r="A102" s="3"/>
      <c r="B102" s="21"/>
      <c r="C102" s="23"/>
      <c r="D102" s="19" t="str">
        <f>$B$75&amp;Commodities!E39</f>
        <v>EXPGSB1</v>
      </c>
      <c r="E102" s="19" t="str">
        <f>"Export technology - "&amp;Commodities!F39</f>
        <v>Export technology - Bioethanol G1</v>
      </c>
      <c r="F102" s="21" t="s">
        <v>62</v>
      </c>
      <c r="G102" s="19"/>
      <c r="H102" s="21"/>
      <c r="I102" s="21"/>
      <c r="J102" s="21"/>
      <c r="K102" s="3"/>
    </row>
    <row r="103" spans="1:11" s="7" customFormat="1">
      <c r="A103" s="3"/>
      <c r="B103" s="21"/>
      <c r="C103" s="23"/>
      <c r="D103" s="19" t="str">
        <f>$B$75&amp;Commodities!E40</f>
        <v>EXPGSB2</v>
      </c>
      <c r="E103" s="19" t="str">
        <f>"Export technology - "&amp;Commodities!F40</f>
        <v>Export technology - Bioethanol G2</v>
      </c>
      <c r="F103" s="21" t="s">
        <v>62</v>
      </c>
      <c r="G103" s="19"/>
      <c r="H103" s="21"/>
      <c r="I103" s="21"/>
      <c r="J103" s="21"/>
      <c r="K103" s="3"/>
    </row>
    <row r="104" spans="1:11" s="7" customFormat="1">
      <c r="A104" s="3"/>
      <c r="B104" s="21"/>
      <c r="C104" s="23"/>
      <c r="D104" s="19" t="str">
        <f>$B$75&amp;Commodities!E41</f>
        <v>EXPGSE</v>
      </c>
      <c r="E104" s="19" t="str">
        <f>"Export technology - "&amp;Commodities!F41</f>
        <v>Export technology - Electro Gasoline</v>
      </c>
      <c r="F104" s="21" t="s">
        <v>62</v>
      </c>
      <c r="G104" s="19"/>
      <c r="H104" s="21"/>
      <c r="I104" s="21"/>
      <c r="J104" s="21"/>
      <c r="K104" s="3"/>
    </row>
    <row r="105" spans="1:11" s="7" customFormat="1">
      <c r="A105" s="3"/>
      <c r="B105" s="21"/>
      <c r="C105" s="23"/>
      <c r="D105" s="19" t="str">
        <f>$B$75&amp;Commodities!E42</f>
        <v>EXPMOB1</v>
      </c>
      <c r="E105" s="19" t="str">
        <f>"Export technology - "&amp;Commodities!F42</f>
        <v>Export technology - Bio Methanol G1</v>
      </c>
      <c r="F105" s="21" t="s">
        <v>62</v>
      </c>
      <c r="G105" s="19"/>
      <c r="H105" s="21"/>
      <c r="I105" s="21"/>
      <c r="J105" s="21"/>
      <c r="K105" s="3"/>
    </row>
    <row r="106" spans="1:11" s="7" customFormat="1">
      <c r="A106" s="3"/>
      <c r="B106" s="21"/>
      <c r="C106" s="23"/>
      <c r="D106" s="19" t="str">
        <f>$B$75&amp;Commodities!E43</f>
        <v>EXPMOB2</v>
      </c>
      <c r="E106" s="19" t="str">
        <f>"Export technology - "&amp;Commodities!F43</f>
        <v>Export technology - Bio Methanol G2</v>
      </c>
      <c r="F106" s="21" t="s">
        <v>62</v>
      </c>
      <c r="G106" s="19"/>
      <c r="H106" s="21"/>
      <c r="I106" s="21"/>
      <c r="J106" s="21"/>
      <c r="K106" s="3"/>
    </row>
    <row r="107" spans="1:11" s="7" customFormat="1">
      <c r="A107" s="3"/>
      <c r="B107" s="21"/>
      <c r="C107" s="23"/>
      <c r="D107" s="19" t="str">
        <f>$B$75&amp;Commodities!E44</f>
        <v>EXPMOE</v>
      </c>
      <c r="E107" s="19" t="str">
        <f>"Export technology - "&amp;Commodities!F44</f>
        <v>Export technology - Electro Methanol</v>
      </c>
      <c r="F107" s="21" t="s">
        <v>62</v>
      </c>
      <c r="G107" s="19"/>
      <c r="H107" s="21"/>
      <c r="I107" s="21"/>
      <c r="J107" s="21"/>
      <c r="K107" s="3"/>
    </row>
    <row r="108" spans="1:11" s="7" customFormat="1">
      <c r="A108" s="3"/>
      <c r="B108" s="21"/>
      <c r="C108" s="23"/>
      <c r="D108" s="19" t="str">
        <f>$B$75&amp;Commodities!E64</f>
        <v>EXPLNB</v>
      </c>
      <c r="E108" s="19" t="str">
        <f>"Export technology - "&amp;Commodities!F64</f>
        <v>Export technology - Bio Naphtha (Petroleoum)</v>
      </c>
      <c r="F108" s="21" t="s">
        <v>62</v>
      </c>
      <c r="G108" s="19"/>
      <c r="H108" s="21"/>
      <c r="I108" s="21"/>
      <c r="J108" s="21"/>
      <c r="K108" s="3"/>
    </row>
    <row r="109" spans="1:11" s="7" customFormat="1">
      <c r="A109" s="3"/>
      <c r="B109" s="21"/>
      <c r="C109" s="23"/>
      <c r="D109" s="19" t="str">
        <f>$B$75&amp;Commodities!E65</f>
        <v>EXPGLY</v>
      </c>
      <c r="E109" s="19" t="str">
        <f>"Export technology - "&amp;Commodities!F65</f>
        <v>Export technology - Glycerol</v>
      </c>
      <c r="F109" s="21" t="s">
        <v>62</v>
      </c>
      <c r="G109" s="19"/>
      <c r="H109" s="21"/>
      <c r="I109" s="21"/>
      <c r="J109" s="21"/>
      <c r="K109" s="3"/>
    </row>
    <row r="110" spans="1:11" s="7" customFormat="1">
      <c r="A110" s="3"/>
      <c r="B110" s="21"/>
      <c r="C110" s="23"/>
      <c r="D110" s="19" t="str">
        <f>$B$75&amp;Commodities!E66</f>
        <v>EXPRPC</v>
      </c>
      <c r="E110" s="19" t="str">
        <f>"Export technology - "&amp;Commodities!F66</f>
        <v>Export technology - Rape Cake</v>
      </c>
      <c r="F110" s="21" t="s">
        <v>62</v>
      </c>
      <c r="G110" s="19"/>
      <c r="H110" s="21"/>
      <c r="I110" s="21"/>
      <c r="J110" s="21"/>
      <c r="K110" s="3"/>
    </row>
    <row r="111" spans="1:11" s="7" customFormat="1">
      <c r="A111" s="3"/>
      <c r="B111" s="607"/>
      <c r="C111" s="639"/>
      <c r="D111" s="632" t="str">
        <f>$B$75&amp;Commodities!E67</f>
        <v>EXPSGP</v>
      </c>
      <c r="E111" s="632" t="str">
        <f>"Export technology - "&amp;Commodities!F67</f>
        <v>Export technology - Sugar Beet Pulp</v>
      </c>
      <c r="F111" s="607" t="s">
        <v>62</v>
      </c>
      <c r="G111" s="632"/>
      <c r="H111" s="607"/>
      <c r="I111" s="607"/>
      <c r="J111" s="21"/>
      <c r="K111" s="3"/>
    </row>
    <row r="112" spans="1:11" s="7" customFormat="1">
      <c r="A112" s="3"/>
      <c r="B112" s="453" t="s">
        <v>143</v>
      </c>
      <c r="C112" s="23"/>
      <c r="D112" s="569" t="str">
        <f>"FT-"&amp;Commodities!E77</f>
        <v>FT-SUPELC</v>
      </c>
      <c r="E112" s="569" t="str">
        <f>"FT technology - "&amp;Commodities!F77</f>
        <v>FT technology - Supply electricity</v>
      </c>
      <c r="F112" s="453" t="s">
        <v>62</v>
      </c>
      <c r="G112" s="19"/>
      <c r="H112" s="21"/>
      <c r="I112" s="21"/>
      <c r="J112" s="21"/>
      <c r="K112" s="3"/>
    </row>
    <row r="113" spans="1:11" s="7" customFormat="1">
      <c r="A113" s="3"/>
      <c r="B113" s="21"/>
      <c r="C113" s="23"/>
      <c r="D113" s="569" t="str">
        <f>"FT-"&amp;Commodities!E78</f>
        <v>FT-SUPHETC</v>
      </c>
      <c r="E113" s="569" t="str">
        <f>"FT technology - "&amp;Commodities!F78</f>
        <v>FT technology - Supply Decentral district heating</v>
      </c>
      <c r="F113" s="453" t="s">
        <v>62</v>
      </c>
      <c r="G113" s="19"/>
      <c r="H113" s="21"/>
      <c r="I113" s="21"/>
      <c r="J113" s="21"/>
      <c r="K113" s="3"/>
    </row>
    <row r="114" spans="1:11" s="7" customFormat="1">
      <c r="A114" s="3"/>
      <c r="B114" s="607"/>
      <c r="C114" s="639"/>
      <c r="D114" s="614" t="str">
        <f>"FT-"&amp;Commodities!E79</f>
        <v>FT-SUPHETD</v>
      </c>
      <c r="E114" s="614" t="str">
        <f>"FT technology - "&amp;Commodities!F79</f>
        <v>FT technology - Supply Central district heating</v>
      </c>
      <c r="F114" s="606" t="s">
        <v>62</v>
      </c>
      <c r="G114" s="632"/>
      <c r="H114" s="607"/>
      <c r="I114" s="607"/>
      <c r="J114" s="21"/>
      <c r="K114" s="3"/>
    </row>
    <row r="115" spans="1:11" s="7" customFormat="1">
      <c r="A115" s="3"/>
      <c r="B115" s="453"/>
      <c r="C115" s="23"/>
      <c r="D115" s="569" t="str">
        <f>"FT-"&amp;Commodities!E80</f>
        <v>FT-SUPCOA</v>
      </c>
      <c r="E115" s="569" t="str">
        <f>"FT technology - "&amp;Commodities!F80</f>
        <v>FT technology - Supply Coal</v>
      </c>
      <c r="F115" s="453" t="s">
        <v>62</v>
      </c>
      <c r="G115" s="19"/>
      <c r="H115" s="21"/>
      <c r="I115" s="21"/>
      <c r="J115" s="21"/>
      <c r="K115" s="3"/>
    </row>
    <row r="116" spans="1:11" s="7" customFormat="1">
      <c r="A116" s="3"/>
      <c r="B116" s="21"/>
      <c r="C116" s="23"/>
      <c r="D116" s="569" t="str">
        <f>"FT-"&amp;Commodities!E81</f>
        <v>FT-SUPNGA</v>
      </c>
      <c r="E116" s="569" t="str">
        <f>"FT technology - "&amp;Commodities!F81</f>
        <v>FT technology - Supply Natural Gas</v>
      </c>
      <c r="F116" s="453" t="s">
        <v>62</v>
      </c>
      <c r="G116" s="19"/>
      <c r="H116" s="21"/>
      <c r="I116" s="21"/>
      <c r="J116" s="21"/>
      <c r="K116" s="3"/>
    </row>
    <row r="117" spans="1:11" s="7" customFormat="1">
      <c r="A117" s="3"/>
      <c r="B117" s="21"/>
      <c r="C117" s="23"/>
      <c r="D117" s="569" t="str">
        <f>"FT-"&amp;Commodities!E82</f>
        <v>FT-SUPCRD</v>
      </c>
      <c r="E117" s="569" t="str">
        <f>"FT technology - "&amp;Commodities!F82</f>
        <v>FT technology - Supply Crude Oil</v>
      </c>
      <c r="F117" s="453" t="s">
        <v>62</v>
      </c>
      <c r="G117" s="19"/>
      <c r="H117" s="21"/>
      <c r="I117" s="21"/>
      <c r="J117" s="21"/>
      <c r="K117" s="3"/>
    </row>
    <row r="118" spans="1:11" s="7" customFormat="1">
      <c r="A118" s="3"/>
      <c r="B118" s="21"/>
      <c r="C118" s="23"/>
      <c r="D118" s="569" t="str">
        <f>"FT-"&amp;Commodities!E83</f>
        <v>FT-SUPLPG</v>
      </c>
      <c r="E118" s="569" t="str">
        <f>"FT technology - "&amp;Commodities!F83</f>
        <v>FT technology - Supply Liquid petrol gas</v>
      </c>
      <c r="F118" s="453" t="s">
        <v>62</v>
      </c>
      <c r="G118" s="19"/>
      <c r="H118" s="21"/>
      <c r="I118" s="21"/>
      <c r="J118" s="21"/>
      <c r="K118" s="3"/>
    </row>
    <row r="119" spans="1:11" s="7" customFormat="1">
      <c r="A119" s="3"/>
      <c r="B119" s="21"/>
      <c r="C119" s="23"/>
      <c r="D119" s="569" t="str">
        <f>"FT-"&amp;Commodities!E84</f>
        <v>FT-SUPLVN</v>
      </c>
      <c r="E119" s="569" t="str">
        <f>"FT technology - "&amp;Commodities!F84</f>
        <v>FT technology - Supply Naphtha (Petroleoum)</v>
      </c>
      <c r="F119" s="453" t="s">
        <v>62</v>
      </c>
      <c r="G119" s="19"/>
      <c r="H119" s="21"/>
      <c r="I119" s="21"/>
      <c r="J119" s="21"/>
      <c r="K119" s="3"/>
    </row>
    <row r="120" spans="1:11" s="7" customFormat="1">
      <c r="A120" s="3"/>
      <c r="B120" s="21"/>
      <c r="C120" s="23"/>
      <c r="D120" s="569" t="str">
        <f>"FT-"&amp;Commodities!E85</f>
        <v>FT-SUPGSL</v>
      </c>
      <c r="E120" s="569" t="str">
        <f>"FT technology - "&amp;Commodities!F85</f>
        <v>FT technology - Supply Gasoline</v>
      </c>
      <c r="F120" s="453" t="s">
        <v>62</v>
      </c>
      <c r="G120" s="19"/>
      <c r="H120" s="21"/>
      <c r="I120" s="21"/>
      <c r="J120" s="21"/>
      <c r="K120" s="3"/>
    </row>
    <row r="121" spans="1:11" s="7" customFormat="1">
      <c r="A121" s="3"/>
      <c r="B121" s="21"/>
      <c r="C121" s="23"/>
      <c r="D121" s="569" t="str">
        <f>"FT-"&amp;Commodities!E86</f>
        <v>FT-SUPKER</v>
      </c>
      <c r="E121" s="569" t="str">
        <f>"FT technology - "&amp;Commodities!F86</f>
        <v>FT technology - Supply Kerosene</v>
      </c>
      <c r="F121" s="453" t="s">
        <v>62</v>
      </c>
      <c r="G121" s="19"/>
      <c r="H121" s="21"/>
      <c r="I121" s="21"/>
      <c r="J121" s="21"/>
      <c r="K121" s="3"/>
    </row>
    <row r="122" spans="1:11" s="7" customFormat="1">
      <c r="A122" s="3"/>
      <c r="B122" s="21"/>
      <c r="C122" s="23"/>
      <c r="D122" s="569" t="str">
        <f>"FT-"&amp;Commodities!E87</f>
        <v>FT-SUPDSL</v>
      </c>
      <c r="E122" s="569" t="str">
        <f>"FT technology - "&amp;Commodities!F87</f>
        <v>FT technology - Supply Diesel</v>
      </c>
      <c r="F122" s="453" t="s">
        <v>62</v>
      </c>
      <c r="G122" s="19"/>
      <c r="H122" s="21"/>
      <c r="I122" s="21"/>
      <c r="J122" s="21"/>
      <c r="K122" s="3"/>
    </row>
    <row r="123" spans="1:11" s="7" customFormat="1">
      <c r="A123" s="3"/>
      <c r="B123" s="21"/>
      <c r="C123" s="23"/>
      <c r="D123" s="569" t="str">
        <f>"FT-"&amp;Commodities!E88</f>
        <v>FT-SUPHFO</v>
      </c>
      <c r="E123" s="569" t="str">
        <f>"FT technology - "&amp;Commodities!F88</f>
        <v>FT technology - Supply Heavy Fuel Oil</v>
      </c>
      <c r="F123" s="453" t="s">
        <v>62</v>
      </c>
      <c r="G123" s="19"/>
      <c r="H123" s="21"/>
      <c r="I123" s="21"/>
      <c r="J123" s="21"/>
      <c r="K123" s="3"/>
    </row>
    <row r="124" spans="1:11">
      <c r="D124" s="569" t="str">
        <f>"FT-"&amp;Commodities!E89</f>
        <v>FT-SUPMGO</v>
      </c>
      <c r="E124" s="569" t="str">
        <f>"FT technology - "&amp;Commodities!F89</f>
        <v>FT technology - Supply Marine Gas Oil</v>
      </c>
      <c r="F124" s="453" t="s">
        <v>62</v>
      </c>
      <c r="G124" s="19"/>
      <c r="H124" s="16"/>
      <c r="I124" s="16"/>
      <c r="J124" s="16"/>
    </row>
    <row r="125" spans="1:11">
      <c r="D125" s="569" t="str">
        <f>"FT-"&amp;Commodities!E90</f>
        <v>FT-SUPAGSL</v>
      </c>
      <c r="E125" s="569" t="str">
        <f>"FT technology - "&amp;Commodities!F90</f>
        <v>FT technology - Supply Aviation gasoline</v>
      </c>
      <c r="F125" s="453" t="s">
        <v>62</v>
      </c>
      <c r="G125" s="19"/>
      <c r="H125" s="16"/>
      <c r="I125" s="16"/>
      <c r="J125" s="16"/>
    </row>
    <row r="126" spans="1:11">
      <c r="D126" s="569" t="str">
        <f>"FT-"&amp;Commodities!E91</f>
        <v>FT-SUPWST</v>
      </c>
      <c r="E126" s="569" t="str">
        <f>"FT technology - "&amp;Commodities!F91</f>
        <v>FT technology - Supply Waste</v>
      </c>
      <c r="F126" s="453" t="s">
        <v>62</v>
      </c>
      <c r="G126" s="19"/>
      <c r="H126" s="16"/>
      <c r="I126" s="16"/>
      <c r="J126" s="16"/>
    </row>
    <row r="127" spans="1:11">
      <c r="D127" s="569" t="str">
        <f>"FT-"&amp;Commodities!E92</f>
        <v>FT-SUPSTR</v>
      </c>
      <c r="E127" s="569" t="str">
        <f>"FT technology - "&amp;Commodities!F92</f>
        <v>FT technology - Supply Straw</v>
      </c>
      <c r="F127" s="453" t="s">
        <v>62</v>
      </c>
      <c r="G127" s="19"/>
      <c r="H127" s="16"/>
      <c r="I127" s="16"/>
      <c r="J127" s="16"/>
    </row>
    <row r="128" spans="1:11">
      <c r="D128" s="569" t="str">
        <f>"FT-"&amp;Commodities!E93</f>
        <v>FT-SUPGRS</v>
      </c>
      <c r="E128" s="569" t="str">
        <f>"FT technology - "&amp;Commodities!F93</f>
        <v>FT technology - Supply Grass</v>
      </c>
      <c r="F128" s="453" t="s">
        <v>62</v>
      </c>
      <c r="G128" s="19"/>
      <c r="H128" s="16"/>
      <c r="I128" s="16"/>
      <c r="J128" s="16"/>
    </row>
    <row r="129" spans="1:11">
      <c r="D129" s="569" t="str">
        <f>"FT-"&amp;Commodities!E94</f>
        <v>FT-SUPWPE</v>
      </c>
      <c r="E129" s="569" t="str">
        <f>"FT technology - "&amp;Commodities!F94</f>
        <v>FT technology - Supply Wood pellets</v>
      </c>
      <c r="F129" s="453" t="s">
        <v>62</v>
      </c>
      <c r="G129" s="19"/>
      <c r="H129" s="16"/>
      <c r="I129" s="16"/>
      <c r="J129" s="16"/>
    </row>
    <row r="130" spans="1:11">
      <c r="D130" s="569" t="str">
        <f>"FT-"&amp;Commodities!E95</f>
        <v>FT-SUPWCH</v>
      </c>
      <c r="E130" s="569" t="str">
        <f>"FT technology - "&amp;Commodities!F95</f>
        <v>FT technology - Supply Wood chips and wood waste</v>
      </c>
      <c r="F130" s="453" t="s">
        <v>62</v>
      </c>
      <c r="G130" s="19"/>
      <c r="H130" s="16"/>
      <c r="I130" s="16"/>
      <c r="J130" s="16"/>
    </row>
    <row r="131" spans="1:11">
      <c r="D131" s="569" t="str">
        <f>"FT-"&amp;Commodities!E96</f>
        <v>FT-SUPFIW</v>
      </c>
      <c r="E131" s="569" t="str">
        <f>"FT technology - "&amp;Commodities!F96</f>
        <v>FT technology - Supply Firewood</v>
      </c>
      <c r="F131" s="453" t="s">
        <v>62</v>
      </c>
      <c r="G131" s="19"/>
      <c r="H131" s="16"/>
      <c r="I131" s="16"/>
      <c r="J131" s="16"/>
    </row>
    <row r="132" spans="1:11">
      <c r="D132" s="569" t="str">
        <f>"FT-"&amp;Commodities!E97</f>
        <v>FT-SUPCRN</v>
      </c>
      <c r="E132" s="569" t="str">
        <f>"FT technology - "&amp;Commodities!F97</f>
        <v>FT technology - Supply Corn</v>
      </c>
      <c r="F132" s="453" t="s">
        <v>62</v>
      </c>
      <c r="G132" s="19"/>
      <c r="H132" s="16"/>
      <c r="I132" s="16"/>
      <c r="J132" s="16"/>
    </row>
    <row r="133" spans="1:11">
      <c r="D133" s="569" t="str">
        <f>"FT-"&amp;Commodities!E98</f>
        <v>FT-SUPRPS</v>
      </c>
      <c r="E133" s="569" t="str">
        <f>"FT technology - "&amp;Commodities!F98</f>
        <v>FT technology - Supply Rapeseed</v>
      </c>
      <c r="F133" s="453" t="s">
        <v>62</v>
      </c>
      <c r="G133" s="19"/>
      <c r="H133" s="16"/>
      <c r="I133" s="16"/>
      <c r="J133" s="16"/>
    </row>
    <row r="134" spans="1:11" s="485" customFormat="1">
      <c r="D134" s="569" t="str">
        <f>"FT-"&amp;Commodities!E99</f>
        <v>FT-SUPSGB</v>
      </c>
      <c r="E134" s="569" t="str">
        <f>"FT technology - "&amp;Commodities!F99</f>
        <v>FT technology - Supply Sugar Beet</v>
      </c>
      <c r="F134" s="453" t="s">
        <v>62</v>
      </c>
      <c r="G134" s="19"/>
      <c r="H134" s="566"/>
      <c r="I134" s="566"/>
      <c r="J134" s="566"/>
      <c r="K134" s="1"/>
    </row>
    <row r="135" spans="1:11">
      <c r="D135" s="569" t="str">
        <f>"FT-"&amp;Commodities!E100</f>
        <v>FT-SUPDLI</v>
      </c>
      <c r="E135" s="569" t="str">
        <f>"FT technology - "&amp;Commodities!F100</f>
        <v>FT technology - Supply Deep Litter</v>
      </c>
      <c r="F135" s="453" t="s">
        <v>62</v>
      </c>
      <c r="G135" s="19"/>
      <c r="H135" s="566"/>
      <c r="I135" s="566"/>
      <c r="J135" s="566"/>
      <c r="K135" s="1"/>
    </row>
    <row r="136" spans="1:11">
      <c r="D136" s="569" t="str">
        <f>"FT-"&amp;Commodities!E101</f>
        <v>FT-SUPMNR</v>
      </c>
      <c r="E136" s="569" t="str">
        <f>"FT technology - "&amp;Commodities!F101</f>
        <v>FT technology - Supply Manure (Gylle)</v>
      </c>
      <c r="F136" s="453" t="s">
        <v>62</v>
      </c>
      <c r="G136" s="19"/>
      <c r="H136" s="566"/>
      <c r="I136" s="566"/>
      <c r="J136" s="566"/>
      <c r="K136" s="1"/>
    </row>
    <row r="137" spans="1:11" s="569" customFormat="1">
      <c r="D137" s="569" t="str">
        <f>"FT-"&amp;Commodities!E102</f>
        <v>FT-SUPBGA</v>
      </c>
      <c r="E137" s="569" t="str">
        <f>"FT technology - "&amp;Commodities!F102</f>
        <v>FT technology - Supply Biogas</v>
      </c>
      <c r="F137" s="453" t="s">
        <v>62</v>
      </c>
      <c r="G137" s="453"/>
      <c r="H137" s="566"/>
      <c r="I137" s="566"/>
      <c r="J137" s="566"/>
      <c r="K137" s="1"/>
    </row>
    <row r="138" spans="1:11">
      <c r="D138" s="569" t="str">
        <f>"FT-"&amp;Commodities!E103</f>
        <v>FT-SUPHFB</v>
      </c>
      <c r="E138" s="569" t="str">
        <f>"FT technology - "&amp;Commodities!F103</f>
        <v>FT technology - Supply Heavy Fuel Bio Oil</v>
      </c>
      <c r="F138" s="453" t="s">
        <v>62</v>
      </c>
      <c r="G138" s="19"/>
      <c r="H138" s="566"/>
      <c r="I138" s="566"/>
      <c r="J138" s="566"/>
      <c r="K138" s="1"/>
    </row>
    <row r="139" spans="1:11" s="1" customFormat="1">
      <c r="D139" s="569" t="str">
        <f>"FT-"&amp;Commodities!E104</f>
        <v>FT-SUPDDGS</v>
      </c>
      <c r="E139" s="569" t="str">
        <f>"FT technology - "&amp;Commodities!F104</f>
        <v>FT technology - Supply Ethanol</v>
      </c>
      <c r="F139" s="453" t="s">
        <v>62</v>
      </c>
      <c r="G139" s="19"/>
      <c r="H139" s="566"/>
      <c r="I139" s="566"/>
      <c r="J139" s="566"/>
    </row>
    <row r="140" spans="1:11" s="1" customFormat="1">
      <c r="D140" s="569" t="str">
        <f>"FT-"&amp;Commodities!E105</f>
        <v>FT-SUPH2</v>
      </c>
      <c r="E140" s="569" t="str">
        <f>"FT technology - "&amp;Commodities!F105</f>
        <v>FT technology - Supply Hydrogen</v>
      </c>
      <c r="F140" s="453" t="s">
        <v>62</v>
      </c>
      <c r="G140" s="19"/>
      <c r="H140" s="566"/>
      <c r="I140" s="566"/>
      <c r="J140" s="566"/>
    </row>
    <row r="141" spans="1:11" s="1" customFormat="1">
      <c r="A141" s="3"/>
      <c r="D141" s="569" t="str">
        <f>"FT-"&amp;Commodities!E106</f>
        <v>FT-SUPH2G</v>
      </c>
      <c r="E141" s="569" t="str">
        <f>"FT technology - "&amp;Commodities!F106</f>
        <v>FT technology - Supply Hydrogen Gas</v>
      </c>
      <c r="F141" s="453" t="s">
        <v>62</v>
      </c>
      <c r="G141" s="19"/>
      <c r="H141" s="566"/>
      <c r="I141" s="566"/>
      <c r="J141" s="566"/>
    </row>
    <row r="142" spans="1:11" s="1" customFormat="1">
      <c r="A142" s="3"/>
      <c r="D142" s="569" t="str">
        <f>"FT-"&amp;Commodities!E107</f>
        <v>FT-SUPAMM</v>
      </c>
      <c r="E142" s="569" t="str">
        <f>"FT technology - "&amp;Commodities!F107</f>
        <v>FT technology - Supply Ammonia (Liquid)</v>
      </c>
      <c r="F142" s="453" t="s">
        <v>62</v>
      </c>
      <c r="G142" s="19"/>
      <c r="H142" s="566"/>
      <c r="I142" s="566"/>
      <c r="J142" s="566"/>
    </row>
    <row r="143" spans="1:11" s="1" customFormat="1">
      <c r="A143" s="3"/>
      <c r="D143" s="569" t="str">
        <f>"FT-"&amp;Commodities!E108</f>
        <v>FT-SUPDME</v>
      </c>
      <c r="E143" s="569" t="str">
        <f>"FT technology - "&amp;Commodities!F108</f>
        <v>FT technology - Supply Dimethyl ether</v>
      </c>
      <c r="F143" s="453" t="s">
        <v>62</v>
      </c>
      <c r="G143" s="19"/>
      <c r="H143" s="566"/>
      <c r="I143" s="566"/>
      <c r="J143" s="566"/>
    </row>
    <row r="144" spans="1:11" s="1" customFormat="1">
      <c r="A144" s="3"/>
      <c r="D144" s="695" t="str">
        <f>"FT-"&amp;Commodities!E109</f>
        <v>FT-SUPKRB</v>
      </c>
      <c r="E144" s="695" t="str">
        <f>"FT technology - "&amp;Commodities!F109</f>
        <v>FT technology - Supply Bio Kerosene</v>
      </c>
      <c r="F144" s="453" t="s">
        <v>62</v>
      </c>
      <c r="G144" s="19"/>
      <c r="H144" s="566"/>
      <c r="I144" s="566"/>
      <c r="J144" s="566"/>
    </row>
    <row r="145" spans="1:11" s="1" customFormat="1">
      <c r="A145" s="3"/>
      <c r="D145" s="695" t="str">
        <f>"FT-"&amp;Commodities!E110</f>
        <v>FT-SUPSNG</v>
      </c>
      <c r="E145" s="695" t="str">
        <f>"FT technology - "&amp;Commodities!F110</f>
        <v>FT technology - Supply Bio Synt. Nat. Gas</v>
      </c>
      <c r="F145" s="453" t="s">
        <v>62</v>
      </c>
      <c r="G145" s="19"/>
      <c r="H145" s="566"/>
      <c r="I145" s="566"/>
      <c r="J145" s="566"/>
    </row>
    <row r="146" spans="1:11">
      <c r="D146" s="695" t="str">
        <f>"FT-"&amp;Commodities!E111</f>
        <v>FT-SUPDSB</v>
      </c>
      <c r="E146" s="695" t="str">
        <f>"FT technology - "&amp;Commodities!F111</f>
        <v>FT technology - Supply Biodiesel</v>
      </c>
      <c r="F146" s="453" t="s">
        <v>62</v>
      </c>
      <c r="G146" s="19"/>
      <c r="H146" s="566"/>
      <c r="I146" s="566"/>
      <c r="J146" s="566"/>
      <c r="K146" s="1"/>
    </row>
    <row r="147" spans="1:11">
      <c r="D147" s="695" t="str">
        <f>"FT-"&amp;Commodities!E112</f>
        <v>FT-SUPGSB</v>
      </c>
      <c r="E147" s="695" t="str">
        <f>"FT technology - "&amp;Commodities!F112</f>
        <v>FT technology - Supply Bioethanol</v>
      </c>
      <c r="F147" s="453" t="s">
        <v>62</v>
      </c>
      <c r="G147" s="19"/>
      <c r="H147" s="566"/>
      <c r="I147" s="566"/>
      <c r="J147" s="566"/>
      <c r="K147" s="1"/>
    </row>
    <row r="148" spans="1:11">
      <c r="D148" s="695" t="str">
        <f>"FT-"&amp;Commodities!E113</f>
        <v>FT-SUPMOB</v>
      </c>
      <c r="E148" s="695" t="str">
        <f>"FT technology - "&amp;Commodities!F113</f>
        <v>FT technology - Supply Bio Methanol</v>
      </c>
      <c r="F148" s="453" t="s">
        <v>62</v>
      </c>
      <c r="G148" s="19"/>
      <c r="H148" s="566"/>
      <c r="I148" s="566"/>
      <c r="J148" s="566"/>
      <c r="K148" s="1"/>
    </row>
    <row r="149" spans="1:11">
      <c r="D149" s="685" t="s">
        <v>786</v>
      </c>
      <c r="E149" s="569" t="str">
        <f>"FT technology - "&amp;Commodities!F56</f>
        <v>FT technology - Mining Natural Gas</v>
      </c>
      <c r="F149" s="453" t="s">
        <v>62</v>
      </c>
      <c r="G149" s="19"/>
      <c r="H149" s="20"/>
      <c r="I149" s="20"/>
      <c r="J149" s="20"/>
    </row>
    <row r="150" spans="1:11">
      <c r="B150" s="614"/>
      <c r="C150" s="614"/>
      <c r="D150" s="696" t="s">
        <v>787</v>
      </c>
      <c r="E150" s="614" t="str">
        <f>"FT technology - "&amp;Commodities!F57</f>
        <v>FT technology - Mining Crude Oil</v>
      </c>
      <c r="F150" s="606" t="s">
        <v>62</v>
      </c>
      <c r="G150" s="632"/>
      <c r="H150" s="605"/>
      <c r="I150" s="605"/>
      <c r="J150" s="20"/>
    </row>
    <row r="151" spans="1:11" s="695" customFormat="1">
      <c r="B151" s="1"/>
      <c r="C151" s="483" t="str">
        <f>Refineries!D8</f>
        <v>DKE</v>
      </c>
      <c r="D151" s="483" t="str">
        <f>Refineries!C8</f>
        <v>SREFDKE</v>
      </c>
      <c r="E151" s="483" t="str">
        <f>Refineries!E8</f>
        <v>Refinery Denmark East</v>
      </c>
      <c r="F151" s="697" t="s">
        <v>62</v>
      </c>
      <c r="G151" s="697" t="s">
        <v>1095</v>
      </c>
      <c r="H151" s="566"/>
      <c r="I151" s="566"/>
      <c r="J151" s="566"/>
    </row>
    <row r="152" spans="1:11" s="695" customFormat="1">
      <c r="B152" s="1"/>
      <c r="C152" s="483" t="str">
        <f>Refineries!D26</f>
        <v>DKW</v>
      </c>
      <c r="D152" s="483" t="str">
        <f>Refineries!C26</f>
        <v>SREFDKW</v>
      </c>
      <c r="E152" s="483" t="str">
        <f>Refineries!E26</f>
        <v>Refinery Denmark West</v>
      </c>
      <c r="F152" s="697" t="s">
        <v>62</v>
      </c>
      <c r="G152" s="697" t="s">
        <v>1095</v>
      </c>
      <c r="H152" s="566"/>
      <c r="I152" s="566"/>
      <c r="J152" s="566"/>
    </row>
    <row r="153" spans="1:11" s="695" customFormat="1">
      <c r="B153" s="1"/>
      <c r="C153" s="1"/>
      <c r="D153" s="483"/>
      <c r="E153" s="1"/>
      <c r="F153" s="697"/>
      <c r="G153" s="19"/>
      <c r="H153" s="566"/>
      <c r="I153" s="566"/>
      <c r="J153" s="566"/>
    </row>
    <row r="154" spans="1:11">
      <c r="D154" s="698" t="s">
        <v>919</v>
      </c>
      <c r="E154" s="698" t="s">
        <v>920</v>
      </c>
      <c r="F154" s="697" t="s">
        <v>62</v>
      </c>
      <c r="G154" s="19"/>
      <c r="H154" s="20"/>
      <c r="I154" s="20"/>
      <c r="J154" s="20"/>
    </row>
    <row r="155" spans="1:11">
      <c r="D155" s="569"/>
      <c r="E155" s="569"/>
      <c r="F155" s="453"/>
      <c r="G155" s="19"/>
      <c r="H155" s="566"/>
      <c r="I155" s="566"/>
      <c r="J155" s="566"/>
      <c r="K155" s="1"/>
    </row>
    <row r="156" spans="1:11">
      <c r="D156" s="569"/>
      <c r="E156" s="569"/>
      <c r="F156" s="453"/>
      <c r="G156" s="19"/>
      <c r="H156" s="566"/>
      <c r="I156" s="566"/>
      <c r="J156" s="566"/>
      <c r="K156" s="1"/>
    </row>
    <row r="157" spans="1:11">
      <c r="F157" s="1"/>
      <c r="G157" s="19"/>
      <c r="H157" s="566"/>
      <c r="I157" s="566"/>
      <c r="J157" s="566"/>
      <c r="K157" s="1"/>
    </row>
    <row r="158" spans="1:11">
      <c r="F158" s="1"/>
      <c r="G158" s="19"/>
      <c r="H158" s="566"/>
      <c r="I158" s="566"/>
      <c r="J158" s="566"/>
      <c r="K158" s="1"/>
    </row>
    <row r="159" spans="1:11">
      <c r="F159" s="1"/>
      <c r="G159" s="19"/>
      <c r="H159" s="566"/>
      <c r="I159" s="566"/>
      <c r="J159" s="566"/>
      <c r="K159" s="1"/>
    </row>
    <row r="160" spans="1:11">
      <c r="F160" s="1"/>
      <c r="G160" s="19"/>
      <c r="H160" s="566"/>
      <c r="I160" s="566"/>
      <c r="J160" s="566"/>
      <c r="K160" s="1"/>
    </row>
    <row r="161" spans="6:11">
      <c r="F161" s="1"/>
      <c r="G161" s="19"/>
      <c r="H161" s="566"/>
      <c r="I161" s="566"/>
      <c r="J161" s="566"/>
      <c r="K161" s="1"/>
    </row>
    <row r="162" spans="6:11">
      <c r="F162" s="1"/>
      <c r="G162" s="19"/>
      <c r="H162" s="566"/>
      <c r="I162" s="566"/>
      <c r="J162" s="566"/>
      <c r="K162" s="1"/>
    </row>
    <row r="163" spans="6:11">
      <c r="F163" s="1"/>
      <c r="G163" s="19"/>
      <c r="H163" s="566"/>
      <c r="I163" s="566"/>
      <c r="J163" s="566"/>
      <c r="K163" s="1"/>
    </row>
    <row r="164" spans="6:11">
      <c r="F164" s="1"/>
      <c r="G164" s="19"/>
      <c r="H164" s="566"/>
      <c r="I164" s="566"/>
      <c r="J164" s="566"/>
      <c r="K164" s="1"/>
    </row>
    <row r="165" spans="6:11">
      <c r="F165" s="1"/>
      <c r="G165" s="19"/>
      <c r="H165" s="566"/>
      <c r="I165" s="566"/>
      <c r="J165" s="566"/>
      <c r="K165" s="1"/>
    </row>
    <row r="166" spans="6:11">
      <c r="F166" s="1"/>
      <c r="G166" s="566"/>
      <c r="H166" s="566"/>
      <c r="I166" s="566"/>
      <c r="J166" s="566"/>
      <c r="K166" s="1"/>
    </row>
    <row r="167" spans="6:11">
      <c r="F167" s="1"/>
      <c r="G167" s="566"/>
      <c r="H167" s="566"/>
      <c r="I167" s="566"/>
      <c r="J167" s="566"/>
      <c r="K167" s="1"/>
    </row>
    <row r="168" spans="6:11">
      <c r="F168" s="1"/>
      <c r="G168" s="566"/>
      <c r="H168" s="566"/>
      <c r="I168" s="566"/>
      <c r="J168" s="566"/>
      <c r="K168" s="1"/>
    </row>
    <row r="169" spans="6:11">
      <c r="F169" s="1"/>
      <c r="G169" s="566"/>
      <c r="H169" s="566"/>
      <c r="I169" s="566"/>
      <c r="J169" s="566"/>
      <c r="K169" s="1"/>
    </row>
    <row r="170" spans="6:11">
      <c r="F170" s="1"/>
      <c r="G170" s="566"/>
      <c r="H170" s="566"/>
      <c r="I170" s="566"/>
      <c r="J170" s="566"/>
      <c r="K170" s="1"/>
    </row>
    <row r="171" spans="6:11">
      <c r="F171" s="1"/>
      <c r="G171" s="566"/>
      <c r="H171" s="566"/>
      <c r="I171" s="566"/>
      <c r="J171" s="566"/>
      <c r="K171" s="1"/>
    </row>
    <row r="172" spans="6:11">
      <c r="F172" s="1"/>
      <c r="G172" s="566"/>
      <c r="H172" s="566"/>
      <c r="I172" s="566"/>
      <c r="J172" s="566"/>
      <c r="K172" s="1"/>
    </row>
    <row r="173" spans="6:11">
      <c r="F173" s="1"/>
      <c r="G173" s="566"/>
      <c r="H173" s="566"/>
      <c r="I173" s="566"/>
      <c r="J173" s="566"/>
      <c r="K173" s="1"/>
    </row>
    <row r="174" spans="6:11">
      <c r="F174" s="1"/>
      <c r="G174" s="566"/>
      <c r="H174" s="566"/>
      <c r="I174" s="566"/>
      <c r="J174" s="566"/>
      <c r="K174" s="1"/>
    </row>
    <row r="175" spans="6:11">
      <c r="F175" s="1"/>
      <c r="G175" s="566"/>
      <c r="H175" s="566"/>
      <c r="I175" s="566"/>
      <c r="J175" s="566"/>
      <c r="K175" s="1"/>
    </row>
    <row r="176" spans="6:11">
      <c r="F176" s="1"/>
      <c r="G176" s="566"/>
      <c r="H176" s="566"/>
      <c r="I176" s="566"/>
      <c r="J176" s="566"/>
      <c r="K176" s="1"/>
    </row>
    <row r="177" spans="6:11">
      <c r="F177" s="1"/>
      <c r="G177" s="1"/>
      <c r="H177" s="1"/>
      <c r="I177" s="1"/>
      <c r="J177" s="1"/>
      <c r="K177" s="1"/>
    </row>
    <row r="178" spans="6:11">
      <c r="F178" s="1"/>
      <c r="G178" s="1"/>
      <c r="H178" s="1"/>
      <c r="I178" s="1"/>
      <c r="J178" s="1"/>
      <c r="K178" s="1"/>
    </row>
    <row r="179" spans="6:11">
      <c r="F179" s="1"/>
      <c r="G179" s="1"/>
      <c r="H179" s="1"/>
      <c r="I179" s="1"/>
      <c r="J179" s="1"/>
      <c r="K179" s="1"/>
    </row>
    <row r="180" spans="6:11">
      <c r="F180" s="1"/>
      <c r="G180" s="1"/>
      <c r="H180" s="1"/>
      <c r="I180" s="1"/>
      <c r="J180" s="1"/>
      <c r="K180" s="1"/>
    </row>
    <row r="181" spans="6:11">
      <c r="F181" s="1"/>
      <c r="G181" s="1"/>
      <c r="H181" s="1"/>
      <c r="I181" s="1"/>
      <c r="J181" s="1"/>
      <c r="K181" s="1"/>
    </row>
    <row r="182" spans="6:11">
      <c r="F182" s="1"/>
      <c r="G182" s="1"/>
      <c r="H182" s="1"/>
      <c r="I182" s="1"/>
      <c r="J182" s="1"/>
      <c r="K182" s="1"/>
    </row>
    <row r="183" spans="6:11">
      <c r="F183" s="1"/>
      <c r="G183" s="1"/>
      <c r="H183" s="1"/>
      <c r="I183" s="1"/>
      <c r="J183" s="1"/>
      <c r="K183" s="1"/>
    </row>
    <row r="184" spans="6:11">
      <c r="F184" s="1"/>
      <c r="G184" s="1"/>
      <c r="H184" s="1"/>
      <c r="I184" s="1"/>
      <c r="J184" s="1"/>
      <c r="K184" s="1"/>
    </row>
    <row r="185" spans="6:11">
      <c r="F185" s="1"/>
      <c r="G185" s="1"/>
      <c r="H185" s="1"/>
      <c r="I185" s="1"/>
      <c r="J185" s="1"/>
      <c r="K185" s="1"/>
    </row>
    <row r="186" spans="6:11">
      <c r="F186" s="1"/>
      <c r="G186" s="1"/>
      <c r="H186" s="1"/>
      <c r="I186" s="1"/>
      <c r="J186" s="1"/>
      <c r="K186" s="1"/>
    </row>
    <row r="187" spans="6:11">
      <c r="F187" s="1"/>
      <c r="G187" s="1"/>
      <c r="H187" s="1"/>
      <c r="I187" s="1"/>
      <c r="J187" s="1"/>
      <c r="K187" s="1"/>
    </row>
    <row r="188" spans="6:11">
      <c r="F188" s="1"/>
      <c r="G188" s="1"/>
      <c r="H188" s="1"/>
      <c r="I188" s="1"/>
      <c r="J188" s="1"/>
      <c r="K188" s="1"/>
    </row>
    <row r="189" spans="6:11">
      <c r="F189" s="1"/>
      <c r="G189" s="1"/>
      <c r="H189" s="1"/>
      <c r="I189" s="1"/>
      <c r="J189" s="1"/>
      <c r="K189" s="1"/>
    </row>
    <row r="190" spans="6:11">
      <c r="F190" s="1"/>
      <c r="G190" s="1"/>
      <c r="H190" s="1"/>
      <c r="I190" s="1"/>
      <c r="J190" s="1"/>
      <c r="K190" s="1"/>
    </row>
    <row r="191" spans="6:11">
      <c r="F191" s="1"/>
      <c r="G191" s="1"/>
      <c r="H191" s="1"/>
      <c r="I191" s="1"/>
      <c r="J191" s="1"/>
      <c r="K191" s="1"/>
    </row>
    <row r="192" spans="6:11">
      <c r="F192" s="1"/>
      <c r="G192" s="1"/>
      <c r="H192" s="1"/>
      <c r="I192" s="1"/>
      <c r="J192" s="1"/>
      <c r="K192" s="1"/>
    </row>
    <row r="193" spans="6:11">
      <c r="F193" s="1"/>
      <c r="G193" s="1"/>
      <c r="H193" s="1"/>
      <c r="I193" s="1"/>
      <c r="J193" s="1"/>
      <c r="K193" s="1"/>
    </row>
    <row r="194" spans="6:11">
      <c r="F194" s="1"/>
      <c r="G194" s="1"/>
      <c r="H194" s="1"/>
      <c r="I194" s="1"/>
      <c r="J194" s="1"/>
      <c r="K194" s="1"/>
    </row>
    <row r="195" spans="6:11">
      <c r="F195" s="1"/>
      <c r="G195" s="1"/>
      <c r="H195" s="1"/>
      <c r="I195" s="1"/>
      <c r="J195" s="1"/>
      <c r="K195" s="1"/>
    </row>
    <row r="196" spans="6:11">
      <c r="F196" s="1"/>
      <c r="G196" s="1"/>
      <c r="H196" s="1"/>
      <c r="I196" s="1"/>
      <c r="J196" s="1"/>
      <c r="K196" s="1"/>
    </row>
    <row r="197" spans="6:11">
      <c r="F197" s="1"/>
      <c r="G197" s="1"/>
      <c r="H197" s="1"/>
      <c r="I197" s="1"/>
      <c r="J197" s="1"/>
      <c r="K197" s="1"/>
    </row>
    <row r="198" spans="6:11">
      <c r="F198" s="1"/>
      <c r="G198" s="1"/>
      <c r="H198" s="1"/>
      <c r="I198" s="1"/>
      <c r="J198" s="1"/>
      <c r="K198" s="1"/>
    </row>
  </sheetData>
  <phoneticPr fontId="32" type="noConversion"/>
  <pageMargins left="0.75" right="0.75" top="1" bottom="1" header="0.5" footer="0.5"/>
  <pageSetup paperSize="9"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71B45A-4895-4A76-823C-45B3260B9634}">
  <sheetPr codeName="Sheet11">
    <tabColor rgb="FF92D050"/>
  </sheetPr>
  <dimension ref="B1:DD2069"/>
  <sheetViews>
    <sheetView tabSelected="1" zoomScale="70" zoomScaleNormal="70" workbookViewId="0">
      <pane xSplit="2" ySplit="5" topLeftCell="C137" activePane="bottomRight" state="frozen"/>
      <selection pane="topRight" activeCell="C1" sqref="C1"/>
      <selection pane="bottomLeft" activeCell="A6" sqref="A6"/>
      <selection pane="bottomRight" activeCell="E188" sqref="E188"/>
    </sheetView>
  </sheetViews>
  <sheetFormatPr defaultColWidth="8.6640625" defaultRowHeight="13.2"/>
  <cols>
    <col min="1" max="1" width="3.33203125" style="569" customWidth="1"/>
    <col min="2" max="2" width="14.109375" style="569" customWidth="1"/>
    <col min="3" max="3" width="42.6640625" style="569" customWidth="1"/>
    <col min="4" max="4" width="37.109375" style="569" bestFit="1" customWidth="1"/>
    <col min="5" max="5" width="22.6640625" style="567" customWidth="1"/>
    <col min="6" max="6" width="13" style="570" customWidth="1"/>
    <col min="7" max="47" width="13" style="569" customWidth="1"/>
    <col min="48" max="48" width="10" style="569" bestFit="1" customWidth="1"/>
    <col min="49" max="50" width="8.6640625" style="569" customWidth="1"/>
    <col min="51" max="56" width="12.6640625" style="569" customWidth="1"/>
    <col min="57" max="57" width="9.88671875" style="569" customWidth="1"/>
    <col min="58" max="16384" width="8.6640625" style="569"/>
  </cols>
  <sheetData>
    <row r="1" spans="2:64">
      <c r="E1" s="5"/>
      <c r="F1" s="5"/>
      <c r="G1" s="570"/>
      <c r="H1" s="570"/>
    </row>
    <row r="2" spans="2:64">
      <c r="D2" s="5"/>
      <c r="E2" s="2"/>
      <c r="F2" s="2"/>
      <c r="G2" s="570"/>
      <c r="H2" s="570"/>
    </row>
    <row r="3" spans="2:64">
      <c r="F3" s="104" t="s">
        <v>208</v>
      </c>
      <c r="G3" s="570"/>
      <c r="H3" s="570"/>
    </row>
    <row r="4" spans="2:64" ht="27.6">
      <c r="B4" s="11" t="s">
        <v>1</v>
      </c>
      <c r="C4" s="11" t="s">
        <v>21</v>
      </c>
      <c r="D4" s="11" t="s">
        <v>81</v>
      </c>
      <c r="E4" s="11" t="s">
        <v>13</v>
      </c>
      <c r="F4" s="11" t="s">
        <v>209</v>
      </c>
      <c r="G4" s="628" t="s">
        <v>63</v>
      </c>
      <c r="H4" s="81" t="s">
        <v>339</v>
      </c>
      <c r="I4" s="81" t="s">
        <v>202</v>
      </c>
      <c r="J4" s="81" t="s">
        <v>203</v>
      </c>
      <c r="K4" s="628" t="s">
        <v>204</v>
      </c>
      <c r="L4" s="628" t="s">
        <v>843</v>
      </c>
      <c r="M4" s="628" t="s">
        <v>844</v>
      </c>
      <c r="N4" s="628" t="s">
        <v>845</v>
      </c>
      <c r="O4" s="628" t="s">
        <v>846</v>
      </c>
      <c r="P4" s="628" t="s">
        <v>847</v>
      </c>
      <c r="Q4" s="628" t="s">
        <v>64</v>
      </c>
      <c r="R4" s="628" t="s">
        <v>848</v>
      </c>
      <c r="S4" s="628" t="s">
        <v>849</v>
      </c>
      <c r="T4" s="628" t="s">
        <v>850</v>
      </c>
      <c r="U4" s="628" t="s">
        <v>851</v>
      </c>
      <c r="V4" s="628" t="s">
        <v>852</v>
      </c>
      <c r="W4" s="628" t="s">
        <v>853</v>
      </c>
      <c r="X4" s="628" t="s">
        <v>854</v>
      </c>
      <c r="Y4" s="628" t="s">
        <v>855</v>
      </c>
      <c r="Z4" s="628" t="s">
        <v>856</v>
      </c>
      <c r="AA4" s="628" t="s">
        <v>67</v>
      </c>
      <c r="AB4" s="628" t="s">
        <v>857</v>
      </c>
      <c r="AC4" s="628" t="s">
        <v>858</v>
      </c>
      <c r="AD4" s="628" t="s">
        <v>859</v>
      </c>
      <c r="AE4" s="628" t="s">
        <v>860</v>
      </c>
      <c r="AF4" s="628" t="s">
        <v>861</v>
      </c>
      <c r="AG4" s="628" t="s">
        <v>862</v>
      </c>
      <c r="AH4" s="628" t="s">
        <v>863</v>
      </c>
      <c r="AI4" s="628" t="s">
        <v>864</v>
      </c>
      <c r="AJ4" s="628" t="s">
        <v>865</v>
      </c>
      <c r="AK4" s="628" t="s">
        <v>66</v>
      </c>
      <c r="AL4" s="628" t="s">
        <v>866</v>
      </c>
      <c r="AM4" s="628" t="s">
        <v>867</v>
      </c>
      <c r="AN4" s="628" t="s">
        <v>868</v>
      </c>
      <c r="AO4" s="628" t="s">
        <v>869</v>
      </c>
      <c r="AP4" s="628" t="s">
        <v>870</v>
      </c>
      <c r="AQ4" s="628" t="s">
        <v>871</v>
      </c>
      <c r="AR4" s="628" t="s">
        <v>872</v>
      </c>
      <c r="AS4" s="628" t="s">
        <v>873</v>
      </c>
      <c r="AT4" s="628" t="s">
        <v>874</v>
      </c>
      <c r="AU4" s="628" t="s">
        <v>65</v>
      </c>
      <c r="AV4" s="692" t="s">
        <v>793</v>
      </c>
      <c r="AW4" s="690" t="s">
        <v>758</v>
      </c>
      <c r="AX4" s="690" t="s">
        <v>759</v>
      </c>
      <c r="AY4" s="690" t="s">
        <v>760</v>
      </c>
      <c r="AZ4" s="690" t="s">
        <v>761</v>
      </c>
      <c r="BA4" s="690" t="s">
        <v>762</v>
      </c>
      <c r="BB4" s="690" t="s">
        <v>763</v>
      </c>
      <c r="BC4" s="690" t="s">
        <v>764</v>
      </c>
      <c r="BD4" s="690" t="s">
        <v>765</v>
      </c>
      <c r="BE4" s="690" t="s">
        <v>263</v>
      </c>
      <c r="BG4" s="603"/>
      <c r="BH4" s="603"/>
      <c r="BI4" s="603" t="s">
        <v>766</v>
      </c>
      <c r="BJ4" s="603"/>
      <c r="BK4" s="603"/>
      <c r="BL4" s="603"/>
    </row>
    <row r="5" spans="2:64" ht="13.8" thickBot="1">
      <c r="B5" s="12" t="s">
        <v>22</v>
      </c>
      <c r="C5" s="260"/>
      <c r="D5" s="260"/>
      <c r="E5" s="260"/>
      <c r="F5" s="260" t="s">
        <v>211</v>
      </c>
      <c r="G5" s="261">
        <v>2010</v>
      </c>
      <c r="H5" s="261">
        <v>2011</v>
      </c>
      <c r="I5" s="261">
        <v>2012</v>
      </c>
      <c r="J5" s="261">
        <v>2013</v>
      </c>
      <c r="K5" s="261">
        <v>2014</v>
      </c>
      <c r="L5" s="261">
        <v>2015</v>
      </c>
      <c r="M5" s="261">
        <v>2016</v>
      </c>
      <c r="N5" s="261">
        <v>2017</v>
      </c>
      <c r="O5" s="261">
        <v>2018</v>
      </c>
      <c r="P5" s="261">
        <v>2019</v>
      </c>
      <c r="Q5" s="261">
        <v>2020</v>
      </c>
      <c r="R5" s="261">
        <v>2021</v>
      </c>
      <c r="S5" s="261">
        <v>2022</v>
      </c>
      <c r="T5" s="261">
        <v>2023</v>
      </c>
      <c r="U5" s="261">
        <v>2024</v>
      </c>
      <c r="V5" s="261">
        <v>2025</v>
      </c>
      <c r="W5" s="261">
        <v>2026</v>
      </c>
      <c r="X5" s="261">
        <v>2027</v>
      </c>
      <c r="Y5" s="261">
        <v>2028</v>
      </c>
      <c r="Z5" s="261">
        <v>2029</v>
      </c>
      <c r="AA5" s="261">
        <v>2030</v>
      </c>
      <c r="AB5" s="261">
        <v>2031</v>
      </c>
      <c r="AC5" s="261">
        <v>2032</v>
      </c>
      <c r="AD5" s="261">
        <v>2033</v>
      </c>
      <c r="AE5" s="261">
        <v>2034</v>
      </c>
      <c r="AF5" s="261">
        <v>2035</v>
      </c>
      <c r="AG5" s="261">
        <v>2036</v>
      </c>
      <c r="AH5" s="261">
        <v>2037</v>
      </c>
      <c r="AI5" s="261">
        <v>2038</v>
      </c>
      <c r="AJ5" s="261">
        <v>2039</v>
      </c>
      <c r="AK5" s="261">
        <v>2040</v>
      </c>
      <c r="AL5" s="261">
        <v>2041</v>
      </c>
      <c r="AM5" s="261">
        <v>2042</v>
      </c>
      <c r="AN5" s="261">
        <v>2043</v>
      </c>
      <c r="AO5" s="261">
        <v>2044</v>
      </c>
      <c r="AP5" s="261">
        <v>2045</v>
      </c>
      <c r="AQ5" s="261">
        <v>2046</v>
      </c>
      <c r="AR5" s="261">
        <v>2047</v>
      </c>
      <c r="AS5" s="261">
        <v>2048</v>
      </c>
      <c r="AT5" s="261">
        <v>2049</v>
      </c>
      <c r="AU5" s="261">
        <v>2050</v>
      </c>
      <c r="AV5" s="629"/>
      <c r="AW5" s="691" t="s">
        <v>62</v>
      </c>
      <c r="AX5" s="691" t="s">
        <v>62</v>
      </c>
      <c r="AY5" s="691" t="s">
        <v>62</v>
      </c>
      <c r="AZ5" s="691" t="s">
        <v>62</v>
      </c>
      <c r="BA5" s="691" t="s">
        <v>62</v>
      </c>
      <c r="BB5" s="691" t="s">
        <v>62</v>
      </c>
      <c r="BC5" s="691" t="s">
        <v>62</v>
      </c>
      <c r="BD5" s="691" t="s">
        <v>62</v>
      </c>
      <c r="BE5" s="691" t="s">
        <v>264</v>
      </c>
      <c r="BG5" s="603"/>
      <c r="BH5" s="603"/>
      <c r="BI5" s="603"/>
      <c r="BJ5" s="603"/>
      <c r="BK5" s="603"/>
      <c r="BL5" s="603"/>
    </row>
    <row r="6" spans="2:64" ht="14.4">
      <c r="B6" s="8" t="str">
        <f>Processes!D6</f>
        <v>IMPPEA</v>
      </c>
      <c r="C6" s="8" t="str">
        <f>Processes!E6</f>
        <v>Import technology - Peat</v>
      </c>
      <c r="D6" s="262"/>
      <c r="E6" s="262" t="str">
        <f>IF(LEN(B6)=6,RIGHT(B6,3),RIGHT(B6,4))</f>
        <v>PEA</v>
      </c>
      <c r="F6" s="824" t="s">
        <v>1103</v>
      </c>
      <c r="G6" s="568">
        <f t="shared" ref="G6:P15" si="0">IFERROR(INDEX($G$121:$AU$176,MATCH($E6,$E$121:$E$176,0),MATCH(G$5,$G$120:$AU$120,0)),0)</f>
        <v>46</v>
      </c>
      <c r="H6" s="568">
        <f t="shared" si="0"/>
        <v>46</v>
      </c>
      <c r="I6" s="568">
        <f t="shared" si="0"/>
        <v>46</v>
      </c>
      <c r="J6" s="568">
        <f t="shared" si="0"/>
        <v>45.7</v>
      </c>
      <c r="K6" s="568">
        <f t="shared" si="0"/>
        <v>45.3</v>
      </c>
      <c r="L6" s="568">
        <f t="shared" si="0"/>
        <v>44.9</v>
      </c>
      <c r="M6" s="568">
        <f t="shared" si="0"/>
        <v>45.4</v>
      </c>
      <c r="N6" s="568">
        <f t="shared" si="0"/>
        <v>45.9</v>
      </c>
      <c r="O6" s="568">
        <f t="shared" si="0"/>
        <v>45.179472202489855</v>
      </c>
      <c r="P6" s="568">
        <f t="shared" si="0"/>
        <v>45.117600562980392</v>
      </c>
      <c r="Q6" s="568">
        <f t="shared" ref="Q6:Z15" si="1">IFERROR(INDEX($G$121:$AU$176,MATCH($E6,$E$121:$E$176,0),MATCH(Q$5,$G$120:$AU$120,0)),0)</f>
        <v>45.248389703133633</v>
      </c>
      <c r="R6" s="568">
        <f t="shared" si="1"/>
        <v>45.190250127598674</v>
      </c>
      <c r="S6" s="568">
        <f t="shared" si="1"/>
        <v>45.392121473736516</v>
      </c>
      <c r="T6" s="568">
        <f t="shared" si="1"/>
        <v>45.644433925671841</v>
      </c>
      <c r="U6" s="568">
        <f t="shared" si="1"/>
        <v>45.923015098100862</v>
      </c>
      <c r="V6" s="568">
        <f t="shared" si="1"/>
        <v>46.207001444406053</v>
      </c>
      <c r="W6" s="568">
        <f t="shared" si="1"/>
        <v>46.419730980267232</v>
      </c>
      <c r="X6" s="568">
        <f t="shared" si="1"/>
        <v>46.631059323825987</v>
      </c>
      <c r="Y6" s="568">
        <f t="shared" si="1"/>
        <v>46.839924523073165</v>
      </c>
      <c r="Z6" s="568">
        <f t="shared" si="1"/>
        <v>47.054043906757286</v>
      </c>
      <c r="AA6" s="568">
        <f t="shared" ref="AA6:AJ15" si="2">IFERROR(INDEX($G$121:$AU$176,MATCH($E6,$E$121:$E$176,0),MATCH(AA$5,$G$120:$AU$120,0)),0)</f>
        <v>47.263106384197172</v>
      </c>
      <c r="AB6" s="568">
        <f t="shared" si="2"/>
        <v>47.363169268373781</v>
      </c>
      <c r="AC6" s="568">
        <f t="shared" si="2"/>
        <v>47.463048827686151</v>
      </c>
      <c r="AD6" s="568">
        <f t="shared" si="2"/>
        <v>47.562746231205452</v>
      </c>
      <c r="AE6" s="568">
        <f t="shared" si="2"/>
        <v>47.662262629564232</v>
      </c>
      <c r="AF6" s="568">
        <f t="shared" si="2"/>
        <v>47.761599155151828</v>
      </c>
      <c r="AG6" s="568">
        <f t="shared" si="2"/>
        <v>47.861557709026719</v>
      </c>
      <c r="AH6" s="568">
        <f t="shared" si="2"/>
        <v>47.961224086497161</v>
      </c>
      <c r="AI6" s="568">
        <f t="shared" si="2"/>
        <v>48.06060022028862</v>
      </c>
      <c r="AJ6" s="568">
        <f t="shared" si="2"/>
        <v>48.159688016832391</v>
      </c>
      <c r="AK6" s="568">
        <f t="shared" ref="AK6:AU15" si="3">IFERROR(INDEX($G$121:$AU$176,MATCH($E6,$E$121:$E$176,0),MATCH(AK$5,$G$120:$AU$120,0)),0)</f>
        <v>48.258489356547372</v>
      </c>
      <c r="AL6" s="568">
        <f t="shared" si="3"/>
        <v>48.37762671431922</v>
      </c>
      <c r="AM6" s="568">
        <f t="shared" si="3"/>
        <v>48.496315696545963</v>
      </c>
      <c r="AN6" s="568">
        <f t="shared" si="3"/>
        <v>48.614559135690349</v>
      </c>
      <c r="AO6" s="568">
        <f t="shared" si="3"/>
        <v>48.73235982855357</v>
      </c>
      <c r="AP6" s="568">
        <f t="shared" si="3"/>
        <v>48.849720536660548</v>
      </c>
      <c r="AQ6" s="568">
        <f t="shared" si="3"/>
        <v>49.024574818868821</v>
      </c>
      <c r="AR6" s="568">
        <f t="shared" si="3"/>
        <v>49.198719487894593</v>
      </c>
      <c r="AS6" s="568">
        <f t="shared" si="3"/>
        <v>49.372158440659689</v>
      </c>
      <c r="AT6" s="568">
        <f t="shared" si="3"/>
        <v>49.544895527221009</v>
      </c>
      <c r="AU6" s="568">
        <f t="shared" si="3"/>
        <v>49.716934551280723</v>
      </c>
      <c r="AV6" s="569">
        <v>5</v>
      </c>
      <c r="AW6" s="569">
        <v>0</v>
      </c>
      <c r="AX6" s="695">
        <v>0</v>
      </c>
      <c r="AY6" s="695">
        <v>0</v>
      </c>
      <c r="AZ6" s="695">
        <v>0</v>
      </c>
      <c r="BA6" s="695">
        <v>0</v>
      </c>
      <c r="BB6" s="695">
        <v>0</v>
      </c>
      <c r="BC6" s="695">
        <v>0</v>
      </c>
      <c r="BD6" s="695">
        <v>0</v>
      </c>
      <c r="BE6" s="569">
        <v>5</v>
      </c>
      <c r="BF6" s="603"/>
      <c r="BG6" s="603"/>
      <c r="BH6" s="603" t="s">
        <v>767</v>
      </c>
      <c r="BI6" s="603" t="s">
        <v>768</v>
      </c>
      <c r="BJ6" s="603"/>
      <c r="BK6" s="603"/>
    </row>
    <row r="7" spans="2:64" ht="14.4">
      <c r="B7" s="8" t="str">
        <f>Processes!D7</f>
        <v>IMPIWH</v>
      </c>
      <c r="C7" s="8" t="str">
        <f>Processes!E7</f>
        <v xml:space="preserve">Import technology - Industrial waste heat </v>
      </c>
      <c r="D7" s="262"/>
      <c r="E7" s="262" t="str">
        <f t="shared" ref="E7:E52" si="4">IF(LEN(B7)=6,RIGHT(B7,3),RIGHT(B7,4))</f>
        <v>IWH</v>
      </c>
      <c r="F7" s="824" t="s">
        <v>1103</v>
      </c>
      <c r="G7" s="568">
        <f t="shared" si="0"/>
        <v>0</v>
      </c>
      <c r="H7" s="568">
        <f t="shared" si="0"/>
        <v>0</v>
      </c>
      <c r="I7" s="568">
        <f t="shared" si="0"/>
        <v>0</v>
      </c>
      <c r="J7" s="568">
        <f t="shared" si="0"/>
        <v>0</v>
      </c>
      <c r="K7" s="568">
        <f t="shared" si="0"/>
        <v>0</v>
      </c>
      <c r="L7" s="568">
        <f t="shared" si="0"/>
        <v>0</v>
      </c>
      <c r="M7" s="568">
        <f t="shared" si="0"/>
        <v>0</v>
      </c>
      <c r="N7" s="568">
        <f t="shared" si="0"/>
        <v>0</v>
      </c>
      <c r="O7" s="568">
        <f t="shared" si="0"/>
        <v>0</v>
      </c>
      <c r="P7" s="568">
        <f t="shared" si="0"/>
        <v>0</v>
      </c>
      <c r="Q7" s="568">
        <f t="shared" si="1"/>
        <v>0</v>
      </c>
      <c r="R7" s="568">
        <f t="shared" si="1"/>
        <v>0</v>
      </c>
      <c r="S7" s="568">
        <f t="shared" si="1"/>
        <v>0</v>
      </c>
      <c r="T7" s="568">
        <f t="shared" si="1"/>
        <v>0</v>
      </c>
      <c r="U7" s="568">
        <f t="shared" si="1"/>
        <v>0</v>
      </c>
      <c r="V7" s="568">
        <f t="shared" si="1"/>
        <v>0</v>
      </c>
      <c r="W7" s="568">
        <f t="shared" si="1"/>
        <v>0</v>
      </c>
      <c r="X7" s="568">
        <f t="shared" si="1"/>
        <v>0</v>
      </c>
      <c r="Y7" s="568">
        <f t="shared" si="1"/>
        <v>0</v>
      </c>
      <c r="Z7" s="568">
        <f t="shared" si="1"/>
        <v>0</v>
      </c>
      <c r="AA7" s="568">
        <f t="shared" si="2"/>
        <v>0</v>
      </c>
      <c r="AB7" s="568">
        <f t="shared" si="2"/>
        <v>0</v>
      </c>
      <c r="AC7" s="568">
        <f t="shared" si="2"/>
        <v>0</v>
      </c>
      <c r="AD7" s="568">
        <f t="shared" si="2"/>
        <v>0</v>
      </c>
      <c r="AE7" s="568">
        <f t="shared" si="2"/>
        <v>0</v>
      </c>
      <c r="AF7" s="568">
        <f t="shared" si="2"/>
        <v>0</v>
      </c>
      <c r="AG7" s="568">
        <f t="shared" si="2"/>
        <v>0</v>
      </c>
      <c r="AH7" s="568">
        <f t="shared" si="2"/>
        <v>0</v>
      </c>
      <c r="AI7" s="568">
        <f t="shared" si="2"/>
        <v>0</v>
      </c>
      <c r="AJ7" s="568">
        <f t="shared" si="2"/>
        <v>0</v>
      </c>
      <c r="AK7" s="568">
        <f t="shared" si="3"/>
        <v>0</v>
      </c>
      <c r="AL7" s="568">
        <f t="shared" si="3"/>
        <v>0</v>
      </c>
      <c r="AM7" s="568">
        <f t="shared" si="3"/>
        <v>0</v>
      </c>
      <c r="AN7" s="568">
        <f t="shared" si="3"/>
        <v>0</v>
      </c>
      <c r="AO7" s="568">
        <f t="shared" si="3"/>
        <v>0</v>
      </c>
      <c r="AP7" s="568">
        <f t="shared" si="3"/>
        <v>0</v>
      </c>
      <c r="AQ7" s="568">
        <f t="shared" si="3"/>
        <v>0</v>
      </c>
      <c r="AR7" s="568">
        <f t="shared" si="3"/>
        <v>0</v>
      </c>
      <c r="AS7" s="568">
        <f t="shared" si="3"/>
        <v>0</v>
      </c>
      <c r="AT7" s="568">
        <f t="shared" si="3"/>
        <v>0</v>
      </c>
      <c r="AU7" s="568">
        <f t="shared" si="3"/>
        <v>0</v>
      </c>
      <c r="AV7" s="569">
        <v>5</v>
      </c>
      <c r="AW7" s="569">
        <v>0</v>
      </c>
      <c r="AX7" s="695">
        <v>0</v>
      </c>
      <c r="AY7" s="695">
        <v>0</v>
      </c>
      <c r="AZ7" s="695">
        <v>0</v>
      </c>
      <c r="BA7" s="695">
        <v>0</v>
      </c>
      <c r="BB7" s="695">
        <v>0</v>
      </c>
      <c r="BC7" s="695">
        <v>0</v>
      </c>
      <c r="BD7" s="695">
        <v>0</v>
      </c>
      <c r="BE7" s="695">
        <v>5</v>
      </c>
      <c r="BF7" s="603"/>
      <c r="BG7" s="603"/>
      <c r="BH7" s="603">
        <v>0.46</v>
      </c>
      <c r="BI7" s="603">
        <v>0.54</v>
      </c>
      <c r="BJ7" s="603"/>
      <c r="BK7" s="603"/>
    </row>
    <row r="8" spans="2:64" ht="14.4">
      <c r="B8" s="8" t="str">
        <f>Processes!D8</f>
        <v>IMPBFG</v>
      </c>
      <c r="C8" s="8" t="str">
        <f>Processes!E8</f>
        <v>Import technology - Blast furnace gas</v>
      </c>
      <c r="D8" s="262"/>
      <c r="E8" s="262" t="str">
        <f t="shared" si="4"/>
        <v>BFG</v>
      </c>
      <c r="F8" s="824" t="s">
        <v>1103</v>
      </c>
      <c r="G8" s="568">
        <f t="shared" si="0"/>
        <v>11.55</v>
      </c>
      <c r="H8" s="568">
        <f t="shared" si="0"/>
        <v>13.85</v>
      </c>
      <c r="I8" s="568">
        <f t="shared" si="0"/>
        <v>11.95</v>
      </c>
      <c r="J8" s="568">
        <f t="shared" si="0"/>
        <v>10.15</v>
      </c>
      <c r="K8" s="568">
        <f t="shared" si="0"/>
        <v>8.6</v>
      </c>
      <c r="L8" s="568">
        <f t="shared" si="0"/>
        <v>7.85</v>
      </c>
      <c r="M8" s="568">
        <f t="shared" si="0"/>
        <v>6.1</v>
      </c>
      <c r="N8" s="568">
        <f t="shared" si="0"/>
        <v>5.85</v>
      </c>
      <c r="O8" s="568">
        <f t="shared" si="0"/>
        <v>11.467898064011884</v>
      </c>
      <c r="P8" s="568">
        <f t="shared" si="0"/>
        <v>7.7663830030950765</v>
      </c>
      <c r="Q8" s="568">
        <f t="shared" si="1"/>
        <v>6.4647759447939386</v>
      </c>
      <c r="R8" s="568">
        <f t="shared" si="1"/>
        <v>6.5830294771624471</v>
      </c>
      <c r="S8" s="568">
        <f t="shared" si="1"/>
        <v>6.8367367407151214</v>
      </c>
      <c r="T8" s="568">
        <f t="shared" si="1"/>
        <v>7.0869633419431945</v>
      </c>
      <c r="U8" s="568">
        <f t="shared" si="1"/>
        <v>7.3237003604902249</v>
      </c>
      <c r="V8" s="568">
        <f t="shared" si="1"/>
        <v>7.2904494140519214</v>
      </c>
      <c r="W8" s="568">
        <f t="shared" si="1"/>
        <v>7.2658292469417001</v>
      </c>
      <c r="X8" s="568">
        <f t="shared" si="1"/>
        <v>7.2386152965441681</v>
      </c>
      <c r="Y8" s="568">
        <f t="shared" si="1"/>
        <v>7.2065953240946836</v>
      </c>
      <c r="Z8" s="568">
        <f t="shared" si="1"/>
        <v>7.1719818027432378</v>
      </c>
      <c r="AA8" s="568">
        <f t="shared" si="2"/>
        <v>7.1332515760414905</v>
      </c>
      <c r="AB8" s="568">
        <f t="shared" si="2"/>
        <v>7.1153465320667548</v>
      </c>
      <c r="AC8" s="568">
        <f t="shared" si="2"/>
        <v>7.097518632127068</v>
      </c>
      <c r="AD8" s="568">
        <f t="shared" si="2"/>
        <v>7.0795572350830023</v>
      </c>
      <c r="AE8" s="568">
        <f t="shared" si="2"/>
        <v>7.0616767132396783</v>
      </c>
      <c r="AF8" s="568">
        <f t="shared" si="2"/>
        <v>7.0437860033118742</v>
      </c>
      <c r="AG8" s="568">
        <f t="shared" si="2"/>
        <v>7.0259928453493545</v>
      </c>
      <c r="AH8" s="568">
        <f t="shared" si="2"/>
        <v>7.0080856252282011</v>
      </c>
      <c r="AI8" s="568">
        <f t="shared" si="2"/>
        <v>6.990255369175598</v>
      </c>
      <c r="AJ8" s="568">
        <f t="shared" si="2"/>
        <v>6.9723272493975728</v>
      </c>
      <c r="AK8" s="568">
        <f t="shared" si="3"/>
        <v>6.9544309358125274</v>
      </c>
      <c r="AL8" s="568">
        <f t="shared" si="3"/>
        <v>6.9365345690910853</v>
      </c>
      <c r="AM8" s="568">
        <f t="shared" si="3"/>
        <v>6.9183052264039517</v>
      </c>
      <c r="AN8" s="568">
        <f t="shared" si="3"/>
        <v>6.900075278683218</v>
      </c>
      <c r="AO8" s="568">
        <f t="shared" si="3"/>
        <v>6.8818447251553092</v>
      </c>
      <c r="AP8" s="568">
        <f t="shared" si="3"/>
        <v>6.8636135650456671</v>
      </c>
      <c r="AQ8" s="568">
        <f t="shared" si="3"/>
        <v>6.8453817975787317</v>
      </c>
      <c r="AR8" s="568">
        <f t="shared" si="3"/>
        <v>6.8271494219779587</v>
      </c>
      <c r="AS8" s="568">
        <f t="shared" si="3"/>
        <v>6.808916437465812</v>
      </c>
      <c r="AT8" s="568">
        <f t="shared" si="3"/>
        <v>6.7906828432637569</v>
      </c>
      <c r="AU8" s="568">
        <f t="shared" si="3"/>
        <v>6.7724486385922678</v>
      </c>
      <c r="AV8" s="569">
        <v>5</v>
      </c>
      <c r="AW8" s="569">
        <v>0</v>
      </c>
      <c r="AX8" s="695">
        <v>0</v>
      </c>
      <c r="AY8" s="695">
        <v>0</v>
      </c>
      <c r="AZ8" s="695">
        <v>0</v>
      </c>
      <c r="BA8" s="695">
        <v>0</v>
      </c>
      <c r="BB8" s="695">
        <v>0</v>
      </c>
      <c r="BC8" s="695">
        <v>0</v>
      </c>
      <c r="BD8" s="695">
        <v>0</v>
      </c>
      <c r="BE8" s="695">
        <v>5</v>
      </c>
      <c r="BF8" s="603"/>
      <c r="BG8" s="603"/>
      <c r="BH8" s="603"/>
      <c r="BI8" s="603"/>
      <c r="BJ8" s="603"/>
      <c r="BK8" s="603"/>
    </row>
    <row r="9" spans="2:64" ht="14.4">
      <c r="B9" s="8" t="str">
        <f>Processes!D9</f>
        <v>IMPAMB</v>
      </c>
      <c r="C9" s="8" t="str">
        <f>Processes!E9</f>
        <v>Import technology - Ambient Temperature for heat pump</v>
      </c>
      <c r="D9" s="262"/>
      <c r="E9" s="262" t="str">
        <f t="shared" si="4"/>
        <v>AMB</v>
      </c>
      <c r="F9" s="824" t="s">
        <v>1103</v>
      </c>
      <c r="G9" s="568">
        <f t="shared" si="0"/>
        <v>0</v>
      </c>
      <c r="H9" s="568">
        <f t="shared" si="0"/>
        <v>0</v>
      </c>
      <c r="I9" s="568">
        <f t="shared" si="0"/>
        <v>0</v>
      </c>
      <c r="J9" s="568">
        <f t="shared" si="0"/>
        <v>0</v>
      </c>
      <c r="K9" s="568">
        <f t="shared" si="0"/>
        <v>0</v>
      </c>
      <c r="L9" s="568">
        <f t="shared" si="0"/>
        <v>0</v>
      </c>
      <c r="M9" s="568">
        <f t="shared" si="0"/>
        <v>0</v>
      </c>
      <c r="N9" s="568">
        <f t="shared" si="0"/>
        <v>0</v>
      </c>
      <c r="O9" s="568">
        <f t="shared" si="0"/>
        <v>0</v>
      </c>
      <c r="P9" s="568">
        <f t="shared" si="0"/>
        <v>0</v>
      </c>
      <c r="Q9" s="568">
        <f t="shared" si="1"/>
        <v>0</v>
      </c>
      <c r="R9" s="568">
        <f t="shared" si="1"/>
        <v>0</v>
      </c>
      <c r="S9" s="568">
        <f t="shared" si="1"/>
        <v>0</v>
      </c>
      <c r="T9" s="568">
        <f t="shared" si="1"/>
        <v>0</v>
      </c>
      <c r="U9" s="568">
        <f t="shared" si="1"/>
        <v>0</v>
      </c>
      <c r="V9" s="568">
        <f t="shared" si="1"/>
        <v>0</v>
      </c>
      <c r="W9" s="568">
        <f t="shared" si="1"/>
        <v>0</v>
      </c>
      <c r="X9" s="568">
        <f t="shared" si="1"/>
        <v>0</v>
      </c>
      <c r="Y9" s="568">
        <f t="shared" si="1"/>
        <v>0</v>
      </c>
      <c r="Z9" s="568">
        <f t="shared" si="1"/>
        <v>0</v>
      </c>
      <c r="AA9" s="568">
        <f t="shared" si="2"/>
        <v>0</v>
      </c>
      <c r="AB9" s="568">
        <f t="shared" si="2"/>
        <v>0</v>
      </c>
      <c r="AC9" s="568">
        <f t="shared" si="2"/>
        <v>0</v>
      </c>
      <c r="AD9" s="568">
        <f t="shared" si="2"/>
        <v>0</v>
      </c>
      <c r="AE9" s="568">
        <f t="shared" si="2"/>
        <v>0</v>
      </c>
      <c r="AF9" s="568">
        <f t="shared" si="2"/>
        <v>0</v>
      </c>
      <c r="AG9" s="568">
        <f t="shared" si="2"/>
        <v>0</v>
      </c>
      <c r="AH9" s="568">
        <f t="shared" si="2"/>
        <v>0</v>
      </c>
      <c r="AI9" s="568">
        <f t="shared" si="2"/>
        <v>0</v>
      </c>
      <c r="AJ9" s="568">
        <f t="shared" si="2"/>
        <v>0</v>
      </c>
      <c r="AK9" s="568">
        <f t="shared" si="3"/>
        <v>0</v>
      </c>
      <c r="AL9" s="568">
        <f t="shared" si="3"/>
        <v>0</v>
      </c>
      <c r="AM9" s="568">
        <f t="shared" si="3"/>
        <v>0</v>
      </c>
      <c r="AN9" s="568">
        <f t="shared" si="3"/>
        <v>0</v>
      </c>
      <c r="AO9" s="568">
        <f t="shared" si="3"/>
        <v>0</v>
      </c>
      <c r="AP9" s="568">
        <f t="shared" si="3"/>
        <v>0</v>
      </c>
      <c r="AQ9" s="568">
        <f t="shared" si="3"/>
        <v>0</v>
      </c>
      <c r="AR9" s="568">
        <f t="shared" si="3"/>
        <v>0</v>
      </c>
      <c r="AS9" s="568">
        <f t="shared" si="3"/>
        <v>0</v>
      </c>
      <c r="AT9" s="568">
        <f t="shared" si="3"/>
        <v>0</v>
      </c>
      <c r="AU9" s="568">
        <f t="shared" si="3"/>
        <v>0</v>
      </c>
      <c r="AV9" s="569">
        <v>5</v>
      </c>
      <c r="AX9" s="695"/>
      <c r="AY9" s="695"/>
      <c r="AZ9" s="695"/>
      <c r="BA9" s="695"/>
      <c r="BB9" s="695"/>
      <c r="BC9" s="695"/>
      <c r="BD9" s="695"/>
      <c r="BF9" s="603"/>
      <c r="BG9" s="603"/>
      <c r="BH9" s="603"/>
      <c r="BI9" s="603"/>
      <c r="BJ9" s="603"/>
      <c r="BK9" s="603"/>
    </row>
    <row r="10" spans="2:64" ht="14.4">
      <c r="B10" s="8" t="str">
        <f>Processes!D10</f>
        <v>IMPURN</v>
      </c>
      <c r="C10" s="8" t="str">
        <f>Processes!E10</f>
        <v>Import technology - Nuclear fuel</v>
      </c>
      <c r="D10" s="262"/>
      <c r="E10" s="262" t="str">
        <f t="shared" si="4"/>
        <v>URN</v>
      </c>
      <c r="F10" s="824" t="s">
        <v>1103</v>
      </c>
      <c r="G10" s="568">
        <f t="shared" si="0"/>
        <v>4.1805555555555554</v>
      </c>
      <c r="H10" s="568">
        <f t="shared" si="0"/>
        <v>4.1805555555555554</v>
      </c>
      <c r="I10" s="568">
        <f t="shared" si="0"/>
        <v>4.1805555555555554</v>
      </c>
      <c r="J10" s="568">
        <f t="shared" si="0"/>
        <v>4.1805555555555554</v>
      </c>
      <c r="K10" s="568">
        <f t="shared" si="0"/>
        <v>4.1805555555555554</v>
      </c>
      <c r="L10" s="568">
        <f t="shared" si="0"/>
        <v>4.1805555555555554</v>
      </c>
      <c r="M10" s="568">
        <f t="shared" si="0"/>
        <v>4.1805555555555554</v>
      </c>
      <c r="N10" s="568">
        <f t="shared" si="0"/>
        <v>4.1805555555555554</v>
      </c>
      <c r="O10" s="568">
        <f t="shared" si="0"/>
        <v>4.1805555555555554</v>
      </c>
      <c r="P10" s="568">
        <f t="shared" si="0"/>
        <v>4.1805555555555554</v>
      </c>
      <c r="Q10" s="568">
        <f t="shared" si="1"/>
        <v>4.1805555555555554</v>
      </c>
      <c r="R10" s="568">
        <f t="shared" si="1"/>
        <v>4.1805555555555554</v>
      </c>
      <c r="S10" s="568">
        <f t="shared" si="1"/>
        <v>4.1805555555555554</v>
      </c>
      <c r="T10" s="568">
        <f t="shared" si="1"/>
        <v>4.1805555555555554</v>
      </c>
      <c r="U10" s="568">
        <f t="shared" si="1"/>
        <v>4.1805555555555554</v>
      </c>
      <c r="V10" s="568">
        <f t="shared" si="1"/>
        <v>4.1805555555555554</v>
      </c>
      <c r="W10" s="568">
        <f t="shared" si="1"/>
        <v>4.1805555555555554</v>
      </c>
      <c r="X10" s="568">
        <f t="shared" si="1"/>
        <v>4.1805555555555554</v>
      </c>
      <c r="Y10" s="568">
        <f t="shared" si="1"/>
        <v>4.1805555555555554</v>
      </c>
      <c r="Z10" s="568">
        <f t="shared" si="1"/>
        <v>4.1805555555555554</v>
      </c>
      <c r="AA10" s="568">
        <f t="shared" si="2"/>
        <v>4.1805555555555554</v>
      </c>
      <c r="AB10" s="568">
        <f t="shared" si="2"/>
        <v>4.1805555555555554</v>
      </c>
      <c r="AC10" s="568">
        <f t="shared" si="2"/>
        <v>4.1805555555555554</v>
      </c>
      <c r="AD10" s="568">
        <f t="shared" si="2"/>
        <v>4.1805555555555554</v>
      </c>
      <c r="AE10" s="568">
        <f t="shared" si="2"/>
        <v>4.1805555555555554</v>
      </c>
      <c r="AF10" s="568">
        <f t="shared" si="2"/>
        <v>4.1805555555555554</v>
      </c>
      <c r="AG10" s="568">
        <f t="shared" si="2"/>
        <v>4.1805555555555554</v>
      </c>
      <c r="AH10" s="568">
        <f t="shared" si="2"/>
        <v>4.1805555555555554</v>
      </c>
      <c r="AI10" s="568">
        <f t="shared" si="2"/>
        <v>4.1805555555555554</v>
      </c>
      <c r="AJ10" s="568">
        <f t="shared" si="2"/>
        <v>4.1805555555555554</v>
      </c>
      <c r="AK10" s="568">
        <f t="shared" si="3"/>
        <v>4.1805555555555554</v>
      </c>
      <c r="AL10" s="568">
        <f t="shared" si="3"/>
        <v>4.1805555555555554</v>
      </c>
      <c r="AM10" s="568">
        <f t="shared" si="3"/>
        <v>4.1805555555555554</v>
      </c>
      <c r="AN10" s="568">
        <f t="shared" si="3"/>
        <v>4.1805555555555554</v>
      </c>
      <c r="AO10" s="568">
        <f t="shared" si="3"/>
        <v>4.1805555555555554</v>
      </c>
      <c r="AP10" s="568">
        <f t="shared" si="3"/>
        <v>4.1805555555555554</v>
      </c>
      <c r="AQ10" s="568">
        <f t="shared" si="3"/>
        <v>4.1805555555555554</v>
      </c>
      <c r="AR10" s="568">
        <f t="shared" si="3"/>
        <v>4.1805555555555554</v>
      </c>
      <c r="AS10" s="568">
        <f t="shared" si="3"/>
        <v>4.1805555555555554</v>
      </c>
      <c r="AT10" s="568">
        <f t="shared" si="3"/>
        <v>4.1805555555555554</v>
      </c>
      <c r="AU10" s="568">
        <f t="shared" si="3"/>
        <v>4.1805555555555554</v>
      </c>
      <c r="AV10" s="569">
        <v>5</v>
      </c>
      <c r="AW10" s="569">
        <v>0</v>
      </c>
      <c r="AX10" s="695">
        <v>0</v>
      </c>
      <c r="AY10" s="695">
        <v>0</v>
      </c>
      <c r="AZ10" s="695">
        <v>0</v>
      </c>
      <c r="BA10" s="695">
        <v>0</v>
      </c>
      <c r="BB10" s="695">
        <v>0</v>
      </c>
      <c r="BC10" s="695">
        <v>0</v>
      </c>
      <c r="BD10" s="695">
        <v>0</v>
      </c>
      <c r="BE10" s="569">
        <v>5</v>
      </c>
      <c r="BF10" s="603"/>
      <c r="BG10" s="603"/>
      <c r="BH10" s="603"/>
      <c r="BI10" s="603"/>
      <c r="BJ10" s="603"/>
      <c r="BK10" s="603"/>
    </row>
    <row r="11" spans="2:64" ht="14.4">
      <c r="B11" s="8" t="str">
        <f>Processes!D11</f>
        <v>IMPBLQ</v>
      </c>
      <c r="C11" s="8" t="str">
        <f>Processes!E11</f>
        <v>Import technology - Black liquor</v>
      </c>
      <c r="D11" s="262"/>
      <c r="E11" s="262" t="str">
        <f t="shared" si="4"/>
        <v>BLQ</v>
      </c>
      <c r="F11" s="824" t="s">
        <v>1103</v>
      </c>
      <c r="G11" s="568">
        <f t="shared" si="0"/>
        <v>0.1</v>
      </c>
      <c r="H11" s="568">
        <f t="shared" si="0"/>
        <v>0.1</v>
      </c>
      <c r="I11" s="568">
        <f t="shared" si="0"/>
        <v>0.1</v>
      </c>
      <c r="J11" s="568">
        <f t="shared" si="0"/>
        <v>0.1</v>
      </c>
      <c r="K11" s="568">
        <f t="shared" si="0"/>
        <v>0.1</v>
      </c>
      <c r="L11" s="568">
        <f t="shared" si="0"/>
        <v>0.1</v>
      </c>
      <c r="M11" s="568">
        <f t="shared" si="0"/>
        <v>0.1</v>
      </c>
      <c r="N11" s="568">
        <f t="shared" si="0"/>
        <v>0.1</v>
      </c>
      <c r="O11" s="568">
        <f t="shared" si="0"/>
        <v>0.1</v>
      </c>
      <c r="P11" s="568">
        <f t="shared" si="0"/>
        <v>0.1</v>
      </c>
      <c r="Q11" s="568">
        <f t="shared" si="1"/>
        <v>0.1</v>
      </c>
      <c r="R11" s="568">
        <f t="shared" si="1"/>
        <v>0.1</v>
      </c>
      <c r="S11" s="568">
        <f t="shared" si="1"/>
        <v>0.1</v>
      </c>
      <c r="T11" s="568">
        <f t="shared" si="1"/>
        <v>0.1</v>
      </c>
      <c r="U11" s="568">
        <f t="shared" si="1"/>
        <v>0.1</v>
      </c>
      <c r="V11" s="568">
        <f t="shared" si="1"/>
        <v>0.1</v>
      </c>
      <c r="W11" s="568">
        <f t="shared" si="1"/>
        <v>0.1</v>
      </c>
      <c r="X11" s="568">
        <f t="shared" si="1"/>
        <v>0.1</v>
      </c>
      <c r="Y11" s="568">
        <f t="shared" si="1"/>
        <v>0.1</v>
      </c>
      <c r="Z11" s="568">
        <f t="shared" si="1"/>
        <v>0.1</v>
      </c>
      <c r="AA11" s="568">
        <f t="shared" si="2"/>
        <v>0.1</v>
      </c>
      <c r="AB11" s="568">
        <f t="shared" si="2"/>
        <v>0.1</v>
      </c>
      <c r="AC11" s="568">
        <f t="shared" si="2"/>
        <v>0.1</v>
      </c>
      <c r="AD11" s="568">
        <f t="shared" si="2"/>
        <v>0.1</v>
      </c>
      <c r="AE11" s="568">
        <f t="shared" si="2"/>
        <v>0.1</v>
      </c>
      <c r="AF11" s="568">
        <f t="shared" si="2"/>
        <v>0.1</v>
      </c>
      <c r="AG11" s="568">
        <f t="shared" si="2"/>
        <v>0.1</v>
      </c>
      <c r="AH11" s="568">
        <f t="shared" si="2"/>
        <v>0.1</v>
      </c>
      <c r="AI11" s="568">
        <f t="shared" si="2"/>
        <v>0.1</v>
      </c>
      <c r="AJ11" s="568">
        <f t="shared" si="2"/>
        <v>0.1</v>
      </c>
      <c r="AK11" s="568">
        <f t="shared" si="3"/>
        <v>0.1</v>
      </c>
      <c r="AL11" s="568">
        <f t="shared" si="3"/>
        <v>0.1</v>
      </c>
      <c r="AM11" s="568">
        <f t="shared" si="3"/>
        <v>0.1</v>
      </c>
      <c r="AN11" s="568">
        <f t="shared" si="3"/>
        <v>0.1</v>
      </c>
      <c r="AO11" s="568">
        <f t="shared" si="3"/>
        <v>0.1</v>
      </c>
      <c r="AP11" s="568">
        <f t="shared" si="3"/>
        <v>0.1</v>
      </c>
      <c r="AQ11" s="568">
        <f t="shared" si="3"/>
        <v>0.1</v>
      </c>
      <c r="AR11" s="568">
        <f t="shared" si="3"/>
        <v>0.1</v>
      </c>
      <c r="AS11" s="568">
        <f t="shared" si="3"/>
        <v>0.1</v>
      </c>
      <c r="AT11" s="568">
        <f t="shared" si="3"/>
        <v>0.1</v>
      </c>
      <c r="AU11" s="568">
        <f t="shared" si="3"/>
        <v>0.1</v>
      </c>
      <c r="AV11" s="569">
        <v>5</v>
      </c>
      <c r="AW11" s="569">
        <v>0</v>
      </c>
      <c r="AX11" s="695">
        <v>0</v>
      </c>
      <c r="AY11" s="695">
        <v>0</v>
      </c>
      <c r="AZ11" s="695">
        <v>0</v>
      </c>
      <c r="BA11" s="695">
        <v>0</v>
      </c>
      <c r="BB11" s="695">
        <v>0</v>
      </c>
      <c r="BC11" s="695">
        <v>0</v>
      </c>
      <c r="BD11" s="695">
        <v>0</v>
      </c>
      <c r="BE11" s="695">
        <v>5</v>
      </c>
      <c r="BF11" s="603"/>
      <c r="BG11" s="603"/>
      <c r="BH11" s="603"/>
      <c r="BI11" s="603"/>
      <c r="BJ11" s="603"/>
      <c r="BK11" s="603"/>
    </row>
    <row r="12" spans="2:64" ht="14.4">
      <c r="B12" s="8" t="str">
        <f>Processes!D12</f>
        <v>IMPCOA</v>
      </c>
      <c r="C12" s="8" t="str">
        <f>Processes!E12</f>
        <v>Import technology - Coal</v>
      </c>
      <c r="D12" s="262"/>
      <c r="E12" s="262" t="str">
        <f t="shared" si="4"/>
        <v>COA</v>
      </c>
      <c r="F12" s="823" t="str">
        <f t="shared" ref="F12:F69" si="5">IFERROR(VLOOKUP(E12,$E$121:$F$173,2,FALSE),"MKr19")</f>
        <v>MKr19</v>
      </c>
      <c r="G12" s="568">
        <f t="shared" si="0"/>
        <v>23.1</v>
      </c>
      <c r="H12" s="568">
        <f t="shared" si="0"/>
        <v>27.7</v>
      </c>
      <c r="I12" s="568">
        <f t="shared" si="0"/>
        <v>23.9</v>
      </c>
      <c r="J12" s="568">
        <f t="shared" si="0"/>
        <v>20.3</v>
      </c>
      <c r="K12" s="568">
        <f t="shared" si="0"/>
        <v>17.2</v>
      </c>
      <c r="L12" s="568">
        <f t="shared" si="0"/>
        <v>15.7</v>
      </c>
      <c r="M12" s="568">
        <f t="shared" si="0"/>
        <v>12.2</v>
      </c>
      <c r="N12" s="568">
        <f t="shared" si="0"/>
        <v>11.7</v>
      </c>
      <c r="O12" s="568">
        <f t="shared" si="0"/>
        <v>22.935796128023767</v>
      </c>
      <c r="P12" s="568">
        <f t="shared" si="0"/>
        <v>15.532766006190153</v>
      </c>
      <c r="Q12" s="568">
        <f t="shared" si="1"/>
        <v>12.929551889587877</v>
      </c>
      <c r="R12" s="568">
        <f t="shared" si="1"/>
        <v>13.166058954324894</v>
      </c>
      <c r="S12" s="568">
        <f t="shared" si="1"/>
        <v>13.673473481430243</v>
      </c>
      <c r="T12" s="568">
        <f t="shared" si="1"/>
        <v>14.173926683886389</v>
      </c>
      <c r="U12" s="568">
        <f t="shared" si="1"/>
        <v>14.64740072098045</v>
      </c>
      <c r="V12" s="568">
        <f t="shared" si="1"/>
        <v>14.580898828103843</v>
      </c>
      <c r="W12" s="568">
        <f t="shared" si="1"/>
        <v>14.5316584938834</v>
      </c>
      <c r="X12" s="568">
        <f t="shared" si="1"/>
        <v>14.477230593088336</v>
      </c>
      <c r="Y12" s="568">
        <f t="shared" si="1"/>
        <v>14.413190648189367</v>
      </c>
      <c r="Z12" s="568">
        <f t="shared" si="1"/>
        <v>14.343963605486476</v>
      </c>
      <c r="AA12" s="568">
        <f t="shared" si="2"/>
        <v>14.266503152082981</v>
      </c>
      <c r="AB12" s="568">
        <f t="shared" si="2"/>
        <v>14.23069306413351</v>
      </c>
      <c r="AC12" s="568">
        <f t="shared" si="2"/>
        <v>14.195037264254136</v>
      </c>
      <c r="AD12" s="568">
        <f t="shared" si="2"/>
        <v>14.159114470166005</v>
      </c>
      <c r="AE12" s="568">
        <f t="shared" si="2"/>
        <v>14.123353426479357</v>
      </c>
      <c r="AF12" s="568">
        <f t="shared" si="2"/>
        <v>14.087572006623748</v>
      </c>
      <c r="AG12" s="568">
        <f t="shared" si="2"/>
        <v>14.051985690698709</v>
      </c>
      <c r="AH12" s="568">
        <f t="shared" si="2"/>
        <v>14.016171250456402</v>
      </c>
      <c r="AI12" s="568">
        <f t="shared" si="2"/>
        <v>13.980510738351196</v>
      </c>
      <c r="AJ12" s="568">
        <f t="shared" si="2"/>
        <v>13.944654498795146</v>
      </c>
      <c r="AK12" s="568">
        <f t="shared" si="3"/>
        <v>13.908861871625055</v>
      </c>
      <c r="AL12" s="568">
        <f t="shared" si="3"/>
        <v>13.873069138182171</v>
      </c>
      <c r="AM12" s="568">
        <f t="shared" si="3"/>
        <v>13.836610452807903</v>
      </c>
      <c r="AN12" s="568">
        <f t="shared" si="3"/>
        <v>13.800150557366436</v>
      </c>
      <c r="AO12" s="568">
        <f t="shared" si="3"/>
        <v>13.763689450310618</v>
      </c>
      <c r="AP12" s="568">
        <f t="shared" si="3"/>
        <v>13.727227130091334</v>
      </c>
      <c r="AQ12" s="568">
        <f t="shared" si="3"/>
        <v>13.690763595157463</v>
      </c>
      <c r="AR12" s="568">
        <f t="shared" si="3"/>
        <v>13.654298843955917</v>
      </c>
      <c r="AS12" s="568">
        <f t="shared" si="3"/>
        <v>13.617832874931624</v>
      </c>
      <c r="AT12" s="568">
        <f t="shared" si="3"/>
        <v>13.581365686527514</v>
      </c>
      <c r="AU12" s="568">
        <f t="shared" si="3"/>
        <v>13.544897277184536</v>
      </c>
      <c r="AV12" s="569">
        <v>5</v>
      </c>
      <c r="BF12" s="603"/>
      <c r="BG12" s="603"/>
      <c r="BH12" s="603"/>
      <c r="BI12" s="603"/>
      <c r="BJ12" s="603"/>
      <c r="BK12" s="603"/>
    </row>
    <row r="13" spans="2:64" ht="14.4">
      <c r="B13" s="8" t="str">
        <f>Processes!D13</f>
        <v>IMPNGA</v>
      </c>
      <c r="C13" s="8" t="str">
        <f>Processes!E13</f>
        <v>Import technology - Natural Gas</v>
      </c>
      <c r="D13" s="262"/>
      <c r="E13" s="262" t="str">
        <f t="shared" si="4"/>
        <v>NGA</v>
      </c>
      <c r="F13" s="823" t="str">
        <f t="shared" si="5"/>
        <v>MKr19</v>
      </c>
      <c r="G13" s="568">
        <f t="shared" si="0"/>
        <v>44.4</v>
      </c>
      <c r="H13" s="568">
        <f t="shared" si="0"/>
        <v>46.1</v>
      </c>
      <c r="I13" s="568">
        <f t="shared" si="0"/>
        <v>55.1</v>
      </c>
      <c r="J13" s="568">
        <f t="shared" si="0"/>
        <v>54.2</v>
      </c>
      <c r="K13" s="568">
        <f t="shared" si="0"/>
        <v>45.7</v>
      </c>
      <c r="L13" s="568">
        <f t="shared" si="0"/>
        <v>44</v>
      </c>
      <c r="M13" s="568">
        <f t="shared" si="0"/>
        <v>36.799999999999997</v>
      </c>
      <c r="N13" s="568">
        <f t="shared" si="0"/>
        <v>36.9</v>
      </c>
      <c r="O13" s="568">
        <f t="shared" si="0"/>
        <v>53.422183381850253</v>
      </c>
      <c r="P13" s="568">
        <f t="shared" si="0"/>
        <v>34.261011240620462</v>
      </c>
      <c r="Q13" s="568">
        <f t="shared" si="1"/>
        <v>33.397849986482257</v>
      </c>
      <c r="R13" s="568">
        <f t="shared" si="1"/>
        <v>31.525290025438199</v>
      </c>
      <c r="S13" s="568">
        <f t="shared" si="1"/>
        <v>32.762548621541896</v>
      </c>
      <c r="T13" s="568">
        <f t="shared" si="1"/>
        <v>33.367688312875465</v>
      </c>
      <c r="U13" s="568">
        <f t="shared" si="1"/>
        <v>33.567123920362071</v>
      </c>
      <c r="V13" s="568">
        <f t="shared" si="1"/>
        <v>33.506083462913665</v>
      </c>
      <c r="W13" s="568">
        <f t="shared" si="1"/>
        <v>33.467639204304064</v>
      </c>
      <c r="X13" s="568">
        <f t="shared" si="1"/>
        <v>33.442947086231669</v>
      </c>
      <c r="Y13" s="568">
        <f t="shared" si="1"/>
        <v>33.42179959045346</v>
      </c>
      <c r="Z13" s="568">
        <f t="shared" si="1"/>
        <v>33.414220248022303</v>
      </c>
      <c r="AA13" s="568">
        <f t="shared" si="2"/>
        <v>33.412152610409883</v>
      </c>
      <c r="AB13" s="568">
        <f t="shared" si="2"/>
        <v>33.458238338148384</v>
      </c>
      <c r="AC13" s="568">
        <f t="shared" si="2"/>
        <v>33.504324065886884</v>
      </c>
      <c r="AD13" s="568">
        <f t="shared" si="2"/>
        <v>33.550409793625377</v>
      </c>
      <c r="AE13" s="568">
        <f t="shared" si="2"/>
        <v>33.59649552136387</v>
      </c>
      <c r="AF13" s="568">
        <f t="shared" si="2"/>
        <v>33.642581249102378</v>
      </c>
      <c r="AG13" s="568">
        <f t="shared" si="2"/>
        <v>33.688666976840878</v>
      </c>
      <c r="AH13" s="568">
        <f t="shared" si="2"/>
        <v>33.734752704579364</v>
      </c>
      <c r="AI13" s="568">
        <f t="shared" si="2"/>
        <v>33.780838432317864</v>
      </c>
      <c r="AJ13" s="568">
        <f t="shared" si="2"/>
        <v>33.82692416005635</v>
      </c>
      <c r="AK13" s="568">
        <f t="shared" si="3"/>
        <v>33.873009887794851</v>
      </c>
      <c r="AL13" s="568">
        <f t="shared" si="3"/>
        <v>33.919095615533351</v>
      </c>
      <c r="AM13" s="568">
        <f t="shared" si="3"/>
        <v>33.965181343271844</v>
      </c>
      <c r="AN13" s="568">
        <f t="shared" si="3"/>
        <v>34.011267071010337</v>
      </c>
      <c r="AO13" s="568">
        <f t="shared" si="3"/>
        <v>34.057352798748838</v>
      </c>
      <c r="AP13" s="568">
        <f t="shared" si="3"/>
        <v>34.103438526487338</v>
      </c>
      <c r="AQ13" s="568">
        <f t="shared" si="3"/>
        <v>34.149524254225838</v>
      </c>
      <c r="AR13" s="568">
        <f t="shared" si="3"/>
        <v>34.195609981964324</v>
      </c>
      <c r="AS13" s="568">
        <f t="shared" si="3"/>
        <v>34.241695709702832</v>
      </c>
      <c r="AT13" s="568">
        <f t="shared" si="3"/>
        <v>34.287781437441318</v>
      </c>
      <c r="AU13" s="568">
        <f t="shared" si="3"/>
        <v>34.333867165179825</v>
      </c>
      <c r="AV13" s="569">
        <v>5</v>
      </c>
      <c r="BF13" s="603"/>
      <c r="BG13" s="603"/>
      <c r="BH13" s="603"/>
      <c r="BI13" s="603"/>
      <c r="BJ13" s="603"/>
      <c r="BK13" s="603"/>
    </row>
    <row r="14" spans="2:64" ht="14.4">
      <c r="B14" s="8" t="str">
        <f>Processes!D14</f>
        <v>IMPCRD</v>
      </c>
      <c r="C14" s="8" t="str">
        <f>Processes!E14</f>
        <v>Import technology - Crude Oil</v>
      </c>
      <c r="D14" s="262"/>
      <c r="E14" s="262" t="str">
        <f t="shared" si="4"/>
        <v>CRD</v>
      </c>
      <c r="F14" s="823" t="str">
        <f t="shared" si="5"/>
        <v>MKr19</v>
      </c>
      <c r="G14" s="568">
        <f t="shared" si="0"/>
        <v>76.2</v>
      </c>
      <c r="H14" s="568">
        <f t="shared" si="0"/>
        <v>106.1</v>
      </c>
      <c r="I14" s="568">
        <f t="shared" si="0"/>
        <v>112.9</v>
      </c>
      <c r="J14" s="568">
        <f t="shared" si="0"/>
        <v>100.3</v>
      </c>
      <c r="K14" s="568">
        <f t="shared" si="0"/>
        <v>97.3</v>
      </c>
      <c r="L14" s="568">
        <f t="shared" si="0"/>
        <v>62.7</v>
      </c>
      <c r="M14" s="568">
        <f t="shared" si="0"/>
        <v>59.9</v>
      </c>
      <c r="N14" s="568">
        <f t="shared" si="0"/>
        <v>63.9</v>
      </c>
      <c r="O14" s="568">
        <f t="shared" si="0"/>
        <v>78.592912119302227</v>
      </c>
      <c r="P14" s="568">
        <f t="shared" si="0"/>
        <v>72.66780821917807</v>
      </c>
      <c r="Q14" s="568">
        <f t="shared" si="1"/>
        <v>71.191547947610658</v>
      </c>
      <c r="R14" s="568">
        <f t="shared" si="1"/>
        <v>49.181117057429148</v>
      </c>
      <c r="S14" s="568">
        <f t="shared" si="1"/>
        <v>52.581323432074825</v>
      </c>
      <c r="T14" s="568">
        <f t="shared" si="1"/>
        <v>54.889966476332738</v>
      </c>
      <c r="U14" s="568">
        <f t="shared" si="1"/>
        <v>56.568388062461416</v>
      </c>
      <c r="V14" s="568">
        <f t="shared" si="1"/>
        <v>57.786429057350325</v>
      </c>
      <c r="W14" s="568">
        <f t="shared" si="1"/>
        <v>59.146270171698553</v>
      </c>
      <c r="X14" s="568">
        <f t="shared" si="1"/>
        <v>60.478046986869018</v>
      </c>
      <c r="Y14" s="568">
        <f t="shared" si="1"/>
        <v>61.703174257304624</v>
      </c>
      <c r="Z14" s="568">
        <f t="shared" si="1"/>
        <v>62.989602327697277</v>
      </c>
      <c r="AA14" s="568">
        <f t="shared" si="2"/>
        <v>64.209121548162642</v>
      </c>
      <c r="AB14" s="568">
        <f t="shared" si="2"/>
        <v>63.901532941943884</v>
      </c>
      <c r="AC14" s="568">
        <f t="shared" si="2"/>
        <v>63.593944335725141</v>
      </c>
      <c r="AD14" s="568">
        <f t="shared" si="2"/>
        <v>63.286355729506404</v>
      </c>
      <c r="AE14" s="568">
        <f t="shared" si="2"/>
        <v>62.978767123287653</v>
      </c>
      <c r="AF14" s="568">
        <f t="shared" si="2"/>
        <v>62.671178517068917</v>
      </c>
      <c r="AG14" s="568">
        <f t="shared" si="2"/>
        <v>62.363589910850173</v>
      </c>
      <c r="AH14" s="568">
        <f t="shared" si="2"/>
        <v>62.056001304631437</v>
      </c>
      <c r="AI14" s="568">
        <f t="shared" si="2"/>
        <v>61.7484126984127</v>
      </c>
      <c r="AJ14" s="568">
        <f t="shared" si="2"/>
        <v>61.440824092193949</v>
      </c>
      <c r="AK14" s="568">
        <f t="shared" si="3"/>
        <v>61.133235485975206</v>
      </c>
      <c r="AL14" s="568">
        <f t="shared" si="3"/>
        <v>60.825646879756469</v>
      </c>
      <c r="AM14" s="568">
        <f t="shared" si="3"/>
        <v>60.518058273537719</v>
      </c>
      <c r="AN14" s="568">
        <f t="shared" si="3"/>
        <v>60.210469667318975</v>
      </c>
      <c r="AO14" s="568">
        <f t="shared" si="3"/>
        <v>59.902881061100238</v>
      </c>
      <c r="AP14" s="568">
        <f t="shared" si="3"/>
        <v>59.595292454881495</v>
      </c>
      <c r="AQ14" s="568">
        <f t="shared" si="3"/>
        <v>59.287703848662751</v>
      </c>
      <c r="AR14" s="568">
        <f t="shared" si="3"/>
        <v>58.980115242444008</v>
      </c>
      <c r="AS14" s="568">
        <f t="shared" si="3"/>
        <v>58.672526636225271</v>
      </c>
      <c r="AT14" s="568">
        <f t="shared" si="3"/>
        <v>58.364938030006527</v>
      </c>
      <c r="AU14" s="568">
        <f t="shared" si="3"/>
        <v>58.057349423787784</v>
      </c>
      <c r="AV14" s="569">
        <v>5</v>
      </c>
      <c r="AW14" s="693">
        <v>53.681999999999995</v>
      </c>
      <c r="AX14" s="693">
        <v>63.018000000000001</v>
      </c>
      <c r="AY14" s="693">
        <v>51.933999999999997</v>
      </c>
      <c r="AZ14" s="693">
        <v>60.966000000000001</v>
      </c>
      <c r="BA14" s="693">
        <v>62.330000000000005</v>
      </c>
      <c r="BB14" s="693">
        <v>0</v>
      </c>
      <c r="BC14" s="693">
        <v>73.87078360000001</v>
      </c>
      <c r="BD14" s="693">
        <v>86.717876400000009</v>
      </c>
      <c r="BE14" s="569">
        <v>4</v>
      </c>
      <c r="BF14" s="603"/>
      <c r="BG14" s="603"/>
      <c r="BH14" s="603"/>
      <c r="BI14" s="603"/>
      <c r="BJ14" s="603"/>
      <c r="BK14" s="603"/>
    </row>
    <row r="15" spans="2:64" ht="14.4">
      <c r="B15" s="8" t="str">
        <f>Processes!D15</f>
        <v>IMPLPG</v>
      </c>
      <c r="C15" s="8" t="str">
        <f>Processes!E15</f>
        <v>Import technology - Liquid petrol gas</v>
      </c>
      <c r="D15" s="262"/>
      <c r="E15" s="262" t="str">
        <f t="shared" si="4"/>
        <v>LPG</v>
      </c>
      <c r="F15" s="823" t="str">
        <f t="shared" si="5"/>
        <v>MKr14</v>
      </c>
      <c r="G15" s="568">
        <f t="shared" si="0"/>
        <v>88.8</v>
      </c>
      <c r="H15" s="568">
        <f t="shared" si="0"/>
        <v>92.2</v>
      </c>
      <c r="I15" s="568">
        <f t="shared" si="0"/>
        <v>110.2</v>
      </c>
      <c r="J15" s="568">
        <f t="shared" si="0"/>
        <v>108.4</v>
      </c>
      <c r="K15" s="568">
        <f t="shared" si="0"/>
        <v>91.4</v>
      </c>
      <c r="L15" s="568">
        <f t="shared" si="0"/>
        <v>88</v>
      </c>
      <c r="M15" s="568">
        <f t="shared" si="0"/>
        <v>73.599999999999994</v>
      </c>
      <c r="N15" s="568">
        <f t="shared" si="0"/>
        <v>73.8</v>
      </c>
      <c r="O15" s="568">
        <f t="shared" si="0"/>
        <v>106.84436676370051</v>
      </c>
      <c r="P15" s="568">
        <f t="shared" si="0"/>
        <v>68.522022481240924</v>
      </c>
      <c r="Q15" s="568">
        <f t="shared" si="1"/>
        <v>66.795699972964513</v>
      </c>
      <c r="R15" s="568">
        <f t="shared" si="1"/>
        <v>63.050580050876398</v>
      </c>
      <c r="S15" s="568">
        <f t="shared" si="1"/>
        <v>65.525097243083792</v>
      </c>
      <c r="T15" s="568">
        <f t="shared" si="1"/>
        <v>66.735376625750931</v>
      </c>
      <c r="U15" s="568">
        <f t="shared" si="1"/>
        <v>67.134247840724143</v>
      </c>
      <c r="V15" s="568">
        <f t="shared" si="1"/>
        <v>67.01216692582733</v>
      </c>
      <c r="W15" s="568">
        <f t="shared" si="1"/>
        <v>66.935278408608127</v>
      </c>
      <c r="X15" s="568">
        <f t="shared" si="1"/>
        <v>66.885894172463338</v>
      </c>
      <c r="Y15" s="568">
        <f t="shared" si="1"/>
        <v>66.843599180906921</v>
      </c>
      <c r="Z15" s="568">
        <f t="shared" si="1"/>
        <v>66.828440496044607</v>
      </c>
      <c r="AA15" s="568">
        <f t="shared" si="2"/>
        <v>66.824305220819767</v>
      </c>
      <c r="AB15" s="568">
        <f t="shared" si="2"/>
        <v>66.916476676296767</v>
      </c>
      <c r="AC15" s="568">
        <f t="shared" si="2"/>
        <v>67.008648131773768</v>
      </c>
      <c r="AD15" s="568">
        <f t="shared" si="2"/>
        <v>67.100819587250754</v>
      </c>
      <c r="AE15" s="568">
        <f t="shared" si="2"/>
        <v>67.192991042727741</v>
      </c>
      <c r="AF15" s="568">
        <f t="shared" si="2"/>
        <v>67.285162498204755</v>
      </c>
      <c r="AG15" s="568">
        <f t="shared" si="2"/>
        <v>67.377333953681756</v>
      </c>
      <c r="AH15" s="568">
        <f t="shared" si="2"/>
        <v>67.469505409158728</v>
      </c>
      <c r="AI15" s="568">
        <f t="shared" si="2"/>
        <v>67.561676864635729</v>
      </c>
      <c r="AJ15" s="568">
        <f t="shared" si="2"/>
        <v>67.653848320112701</v>
      </c>
      <c r="AK15" s="568">
        <f t="shared" si="3"/>
        <v>67.746019775589701</v>
      </c>
      <c r="AL15" s="568">
        <f t="shared" si="3"/>
        <v>67.838191231066702</v>
      </c>
      <c r="AM15" s="568">
        <f t="shared" si="3"/>
        <v>67.930362686543688</v>
      </c>
      <c r="AN15" s="568">
        <f t="shared" si="3"/>
        <v>68.022534142020675</v>
      </c>
      <c r="AO15" s="568">
        <f t="shared" si="3"/>
        <v>68.114705597497675</v>
      </c>
      <c r="AP15" s="568">
        <f t="shared" si="3"/>
        <v>68.206877052974676</v>
      </c>
      <c r="AQ15" s="568">
        <f t="shared" si="3"/>
        <v>68.299048508451676</v>
      </c>
      <c r="AR15" s="568">
        <f t="shared" si="3"/>
        <v>68.391219963928648</v>
      </c>
      <c r="AS15" s="568">
        <f t="shared" si="3"/>
        <v>68.483391419405663</v>
      </c>
      <c r="AT15" s="568">
        <f t="shared" si="3"/>
        <v>68.575562874882635</v>
      </c>
      <c r="AU15" s="568">
        <f t="shared" si="3"/>
        <v>68.66773433035965</v>
      </c>
      <c r="AV15" s="569">
        <v>5</v>
      </c>
      <c r="AW15" s="693">
        <v>1</v>
      </c>
      <c r="AX15" s="693">
        <v>1</v>
      </c>
      <c r="AY15" s="693">
        <v>0.18400000000000002</v>
      </c>
      <c r="AZ15" s="693">
        <v>0.21600000000000003</v>
      </c>
      <c r="BA15" s="693">
        <v>1.5640000000000001</v>
      </c>
      <c r="BB15" s="693">
        <v>1.8360000000000001</v>
      </c>
      <c r="BC15" s="693">
        <v>0</v>
      </c>
      <c r="BD15" s="693">
        <v>0</v>
      </c>
      <c r="BE15" s="695">
        <v>4</v>
      </c>
      <c r="BF15" s="603"/>
      <c r="BG15" s="603"/>
      <c r="BH15" s="603"/>
      <c r="BI15" s="603"/>
      <c r="BJ15" s="603"/>
      <c r="BK15" s="603"/>
    </row>
    <row r="16" spans="2:64" ht="14.4">
      <c r="B16" s="8" t="str">
        <f>Processes!D16</f>
        <v>IMPLVN</v>
      </c>
      <c r="C16" s="8" t="str">
        <f>Processes!E16</f>
        <v>Import technology - Naphtha (Petroleoum)</v>
      </c>
      <c r="D16" s="262"/>
      <c r="E16" s="262" t="str">
        <f t="shared" si="4"/>
        <v>LVN</v>
      </c>
      <c r="F16" s="823" t="str">
        <f t="shared" si="5"/>
        <v>MKr14</v>
      </c>
      <c r="G16" s="568">
        <f t="shared" ref="G16:P25" si="6">IFERROR(INDEX($G$121:$AU$176,MATCH($E16,$E$121:$E$176,0),MATCH(G$5,$G$120:$AU$120,0)),0)</f>
        <v>88.8</v>
      </c>
      <c r="H16" s="568">
        <f t="shared" si="6"/>
        <v>92.2</v>
      </c>
      <c r="I16" s="568">
        <f t="shared" si="6"/>
        <v>110.2</v>
      </c>
      <c r="J16" s="568">
        <f t="shared" si="6"/>
        <v>108.4</v>
      </c>
      <c r="K16" s="568">
        <f t="shared" si="6"/>
        <v>91.4</v>
      </c>
      <c r="L16" s="568">
        <f t="shared" si="6"/>
        <v>88</v>
      </c>
      <c r="M16" s="568">
        <f t="shared" si="6"/>
        <v>73.599999999999994</v>
      </c>
      <c r="N16" s="568">
        <f t="shared" si="6"/>
        <v>73.8</v>
      </c>
      <c r="O16" s="568">
        <f t="shared" si="6"/>
        <v>106.84436676370051</v>
      </c>
      <c r="P16" s="568">
        <f t="shared" si="6"/>
        <v>68.522022481240924</v>
      </c>
      <c r="Q16" s="568">
        <f t="shared" ref="Q16:Z25" si="7">IFERROR(INDEX($G$121:$AU$176,MATCH($E16,$E$121:$E$176,0),MATCH(Q$5,$G$120:$AU$120,0)),0)</f>
        <v>66.795699972964513</v>
      </c>
      <c r="R16" s="568">
        <f t="shared" si="7"/>
        <v>63.050580050876398</v>
      </c>
      <c r="S16" s="568">
        <f t="shared" si="7"/>
        <v>65.525097243083792</v>
      </c>
      <c r="T16" s="568">
        <f t="shared" si="7"/>
        <v>66.735376625750931</v>
      </c>
      <c r="U16" s="568">
        <f t="shared" si="7"/>
        <v>67.134247840724143</v>
      </c>
      <c r="V16" s="568">
        <f t="shared" si="7"/>
        <v>67.01216692582733</v>
      </c>
      <c r="W16" s="568">
        <f t="shared" si="7"/>
        <v>66.935278408608127</v>
      </c>
      <c r="X16" s="568">
        <f t="shared" si="7"/>
        <v>66.885894172463338</v>
      </c>
      <c r="Y16" s="568">
        <f t="shared" si="7"/>
        <v>66.843599180906921</v>
      </c>
      <c r="Z16" s="568">
        <f t="shared" si="7"/>
        <v>66.828440496044607</v>
      </c>
      <c r="AA16" s="568">
        <f t="shared" ref="AA16:AJ25" si="8">IFERROR(INDEX($G$121:$AU$176,MATCH($E16,$E$121:$E$176,0),MATCH(AA$5,$G$120:$AU$120,0)),0)</f>
        <v>66.824305220819767</v>
      </c>
      <c r="AB16" s="568">
        <f t="shared" si="8"/>
        <v>66.916476676296767</v>
      </c>
      <c r="AC16" s="568">
        <f t="shared" si="8"/>
        <v>67.008648131773768</v>
      </c>
      <c r="AD16" s="568">
        <f t="shared" si="8"/>
        <v>67.100819587250754</v>
      </c>
      <c r="AE16" s="568">
        <f t="shared" si="8"/>
        <v>67.192991042727741</v>
      </c>
      <c r="AF16" s="568">
        <f t="shared" si="8"/>
        <v>67.285162498204755</v>
      </c>
      <c r="AG16" s="568">
        <f t="shared" si="8"/>
        <v>67.377333953681756</v>
      </c>
      <c r="AH16" s="568">
        <f t="shared" si="8"/>
        <v>67.469505409158728</v>
      </c>
      <c r="AI16" s="568">
        <f t="shared" si="8"/>
        <v>67.561676864635729</v>
      </c>
      <c r="AJ16" s="568">
        <f t="shared" si="8"/>
        <v>67.653848320112701</v>
      </c>
      <c r="AK16" s="568">
        <f t="shared" ref="AK16:AU25" si="9">IFERROR(INDEX($G$121:$AU$176,MATCH($E16,$E$121:$E$176,0),MATCH(AK$5,$G$120:$AU$120,0)),0)</f>
        <v>67.746019775589701</v>
      </c>
      <c r="AL16" s="568">
        <f t="shared" si="9"/>
        <v>67.838191231066702</v>
      </c>
      <c r="AM16" s="568">
        <f t="shared" si="9"/>
        <v>67.930362686543688</v>
      </c>
      <c r="AN16" s="568">
        <f t="shared" si="9"/>
        <v>68.022534142020675</v>
      </c>
      <c r="AO16" s="568">
        <f t="shared" si="9"/>
        <v>68.114705597497675</v>
      </c>
      <c r="AP16" s="568">
        <f t="shared" si="9"/>
        <v>68.206877052974676</v>
      </c>
      <c r="AQ16" s="568">
        <f t="shared" si="9"/>
        <v>68.299048508451676</v>
      </c>
      <c r="AR16" s="568">
        <f t="shared" si="9"/>
        <v>68.391219963928648</v>
      </c>
      <c r="AS16" s="568">
        <f t="shared" si="9"/>
        <v>68.483391419405663</v>
      </c>
      <c r="AT16" s="568">
        <f t="shared" si="9"/>
        <v>68.575562874882635</v>
      </c>
      <c r="AU16" s="568">
        <f t="shared" si="9"/>
        <v>68.66773433035965</v>
      </c>
      <c r="AV16" s="569">
        <v>5</v>
      </c>
      <c r="AW16" s="693">
        <v>2.7600000000000002</v>
      </c>
      <c r="AX16" s="693">
        <v>3.24</v>
      </c>
      <c r="AY16" s="693">
        <v>3.5880000000000001</v>
      </c>
      <c r="AZ16" s="693">
        <v>4.2119999999999997</v>
      </c>
      <c r="BA16" s="693">
        <v>2.4380000000000002</v>
      </c>
      <c r="BB16" s="693">
        <v>2.8620000000000001</v>
      </c>
      <c r="BC16" s="693">
        <v>3.9831303400000002</v>
      </c>
      <c r="BD16" s="693">
        <v>4.6758486600000007</v>
      </c>
      <c r="BE16" s="695">
        <v>4</v>
      </c>
      <c r="BF16" s="603"/>
      <c r="BG16" s="603"/>
      <c r="BH16" s="603"/>
      <c r="BI16" s="603"/>
      <c r="BJ16" s="603"/>
      <c r="BK16" s="603"/>
    </row>
    <row r="17" spans="2:67" ht="14.4">
      <c r="B17" s="8" t="str">
        <f>Processes!D17</f>
        <v>IMPGSL</v>
      </c>
      <c r="C17" s="8" t="str">
        <f>Processes!E17</f>
        <v>Import technology - Gasoline</v>
      </c>
      <c r="D17" s="262"/>
      <c r="E17" s="262" t="str">
        <f t="shared" si="4"/>
        <v>GSL</v>
      </c>
      <c r="F17" s="823" t="str">
        <f t="shared" si="5"/>
        <v>MKr19</v>
      </c>
      <c r="G17" s="568">
        <f t="shared" si="6"/>
        <v>92.8</v>
      </c>
      <c r="H17" s="568">
        <f t="shared" si="6"/>
        <v>122.9</v>
      </c>
      <c r="I17" s="568">
        <f t="shared" si="6"/>
        <v>136.69999999999999</v>
      </c>
      <c r="J17" s="568">
        <f t="shared" si="6"/>
        <v>122</v>
      </c>
      <c r="K17" s="568">
        <f t="shared" si="6"/>
        <v>114.8</v>
      </c>
      <c r="L17" s="568">
        <f t="shared" si="6"/>
        <v>78.2</v>
      </c>
      <c r="M17" s="568">
        <f t="shared" si="6"/>
        <v>75.3</v>
      </c>
      <c r="N17" s="568">
        <f t="shared" si="6"/>
        <v>79.400000000000006</v>
      </c>
      <c r="O17" s="568">
        <f t="shared" si="6"/>
        <v>102.40107579472352</v>
      </c>
      <c r="P17" s="568">
        <f t="shared" si="6"/>
        <v>97.746963615472367</v>
      </c>
      <c r="Q17" s="568">
        <f t="shared" si="7"/>
        <v>96.267025086546809</v>
      </c>
      <c r="R17" s="568">
        <f t="shared" si="7"/>
        <v>74.282939675183428</v>
      </c>
      <c r="S17" s="568">
        <f t="shared" si="7"/>
        <v>77.691438545887451</v>
      </c>
      <c r="T17" s="568">
        <f t="shared" si="7"/>
        <v>80.014522441042786</v>
      </c>
      <c r="U17" s="568">
        <f t="shared" si="7"/>
        <v>81.712731586007934</v>
      </c>
      <c r="V17" s="568">
        <f t="shared" si="7"/>
        <v>82.949209412536121</v>
      </c>
      <c r="W17" s="568">
        <f t="shared" si="7"/>
        <v>84.314672750845261</v>
      </c>
      <c r="X17" s="568">
        <f t="shared" si="7"/>
        <v>85.652811517689884</v>
      </c>
      <c r="Y17" s="568">
        <f t="shared" si="7"/>
        <v>86.883932814730045</v>
      </c>
      <c r="Z17" s="568">
        <f t="shared" si="7"/>
        <v>88.17668470166312</v>
      </c>
      <c r="AA17" s="568">
        <f t="shared" si="8"/>
        <v>89.399874602600562</v>
      </c>
      <c r="AB17" s="568">
        <f t="shared" si="8"/>
        <v>89.093730840397711</v>
      </c>
      <c r="AC17" s="568">
        <f t="shared" si="8"/>
        <v>88.786854893898322</v>
      </c>
      <c r="AD17" s="568">
        <f t="shared" si="8"/>
        <v>88.481245986171288</v>
      </c>
      <c r="AE17" s="568">
        <f t="shared" si="8"/>
        <v>88.174869481157842</v>
      </c>
      <c r="AF17" s="568">
        <f t="shared" si="8"/>
        <v>87.868589672609204</v>
      </c>
      <c r="AG17" s="568">
        <f t="shared" si="8"/>
        <v>87.561383985383955</v>
      </c>
      <c r="AH17" s="568">
        <f t="shared" si="8"/>
        <v>87.255260877276157</v>
      </c>
      <c r="AI17" s="568">
        <f t="shared" si="8"/>
        <v>86.948407292957839</v>
      </c>
      <c r="AJ17" s="568">
        <f t="shared" si="8"/>
        <v>86.642482546272987</v>
      </c>
      <c r="AK17" s="568">
        <f t="shared" si="9"/>
        <v>86.336255922780509</v>
      </c>
      <c r="AL17" s="568">
        <f t="shared" si="9"/>
        <v>86.030029803612607</v>
      </c>
      <c r="AM17" s="568">
        <f t="shared" si="9"/>
        <v>85.726964003619855</v>
      </c>
      <c r="AN17" s="568">
        <f t="shared" si="9"/>
        <v>85.423903946081424</v>
      </c>
      <c r="AO17" s="568">
        <f t="shared" si="9"/>
        <v>85.120849638339479</v>
      </c>
      <c r="AP17" s="568">
        <f t="shared" si="9"/>
        <v>84.817801087745465</v>
      </c>
      <c r="AQ17" s="568">
        <f t="shared" si="9"/>
        <v>84.514758301660265</v>
      </c>
      <c r="AR17" s="568">
        <f t="shared" si="9"/>
        <v>84.211721287454196</v>
      </c>
      <c r="AS17" s="568">
        <f t="shared" si="9"/>
        <v>83.908690052506984</v>
      </c>
      <c r="AT17" s="568">
        <f t="shared" si="9"/>
        <v>83.60566460420776</v>
      </c>
      <c r="AU17" s="568">
        <f t="shared" si="9"/>
        <v>83.302644949955152</v>
      </c>
      <c r="AV17" s="569">
        <v>5</v>
      </c>
      <c r="AW17" s="693">
        <v>9.9360000000000017</v>
      </c>
      <c r="AX17" s="693">
        <v>11.664000000000001</v>
      </c>
      <c r="AY17" s="693">
        <v>9.4760000000000009</v>
      </c>
      <c r="AZ17" s="693">
        <v>11.124000000000002</v>
      </c>
      <c r="BA17" s="693">
        <v>8.0500000000000007</v>
      </c>
      <c r="BB17" s="693">
        <v>9.4500000000000011</v>
      </c>
      <c r="BC17" s="693">
        <v>16.33415012</v>
      </c>
      <c r="BD17" s="693">
        <v>19.174871880000001</v>
      </c>
      <c r="BE17" s="695">
        <v>4</v>
      </c>
      <c r="BF17" s="603"/>
      <c r="BG17" s="603"/>
      <c r="BH17" s="603"/>
      <c r="BI17" s="603"/>
      <c r="BJ17" s="603"/>
      <c r="BK17" s="603"/>
    </row>
    <row r="18" spans="2:67" ht="14.4">
      <c r="B18" s="8" t="str">
        <f>Processes!D18</f>
        <v>IMPKER</v>
      </c>
      <c r="C18" s="8" t="str">
        <f>Processes!E18</f>
        <v>Import technology - Kerosene</v>
      </c>
      <c r="D18" s="262"/>
      <c r="E18" s="262" t="str">
        <f t="shared" si="4"/>
        <v>KER</v>
      </c>
      <c r="F18" s="823" t="str">
        <f t="shared" si="5"/>
        <v>MKr19</v>
      </c>
      <c r="G18" s="568">
        <f t="shared" si="6"/>
        <v>76.5</v>
      </c>
      <c r="H18" s="568">
        <f t="shared" si="6"/>
        <v>112.4</v>
      </c>
      <c r="I18" s="568">
        <f t="shared" si="6"/>
        <v>116.3</v>
      </c>
      <c r="J18" s="568">
        <f t="shared" si="6"/>
        <v>118.6</v>
      </c>
      <c r="K18" s="568">
        <f t="shared" si="6"/>
        <v>110.1</v>
      </c>
      <c r="L18" s="568">
        <f t="shared" si="6"/>
        <v>73.5</v>
      </c>
      <c r="M18" s="568">
        <f t="shared" si="6"/>
        <v>70.599999999999994</v>
      </c>
      <c r="N18" s="568">
        <f t="shared" si="6"/>
        <v>74.7</v>
      </c>
      <c r="O18" s="568">
        <f t="shared" si="6"/>
        <v>99.501075794723519</v>
      </c>
      <c r="P18" s="568">
        <f t="shared" si="6"/>
        <v>92.996963615472367</v>
      </c>
      <c r="Q18" s="568">
        <f t="shared" si="7"/>
        <v>91.517025086546809</v>
      </c>
      <c r="R18" s="568">
        <f t="shared" si="7"/>
        <v>69.532939675183428</v>
      </c>
      <c r="S18" s="568">
        <f t="shared" si="7"/>
        <v>72.941438545887451</v>
      </c>
      <c r="T18" s="568">
        <f t="shared" si="7"/>
        <v>75.264522441042786</v>
      </c>
      <c r="U18" s="568">
        <f t="shared" si="7"/>
        <v>76.962731586007934</v>
      </c>
      <c r="V18" s="568">
        <f t="shared" si="7"/>
        <v>78.199209412536121</v>
      </c>
      <c r="W18" s="568">
        <f t="shared" si="7"/>
        <v>79.564672750845261</v>
      </c>
      <c r="X18" s="568">
        <f t="shared" si="7"/>
        <v>80.902811517689884</v>
      </c>
      <c r="Y18" s="568">
        <f t="shared" si="7"/>
        <v>82.133932814730045</v>
      </c>
      <c r="Z18" s="568">
        <f t="shared" si="7"/>
        <v>83.42668470166312</v>
      </c>
      <c r="AA18" s="568">
        <f t="shared" si="8"/>
        <v>84.649874602600562</v>
      </c>
      <c r="AB18" s="568">
        <f t="shared" si="8"/>
        <v>84.343730840397711</v>
      </c>
      <c r="AC18" s="568">
        <f t="shared" si="8"/>
        <v>84.036854893898322</v>
      </c>
      <c r="AD18" s="568">
        <f t="shared" si="8"/>
        <v>83.731245986171288</v>
      </c>
      <c r="AE18" s="568">
        <f t="shared" si="8"/>
        <v>83.424869481157842</v>
      </c>
      <c r="AF18" s="568">
        <f t="shared" si="8"/>
        <v>83.118589672609204</v>
      </c>
      <c r="AG18" s="568">
        <f t="shared" si="8"/>
        <v>82.811383985383955</v>
      </c>
      <c r="AH18" s="568">
        <f t="shared" si="8"/>
        <v>82.505260877276157</v>
      </c>
      <c r="AI18" s="568">
        <f t="shared" si="8"/>
        <v>82.198407292957839</v>
      </c>
      <c r="AJ18" s="568">
        <f t="shared" si="8"/>
        <v>81.892482546272987</v>
      </c>
      <c r="AK18" s="568">
        <f t="shared" si="9"/>
        <v>81.586255922780509</v>
      </c>
      <c r="AL18" s="568">
        <f t="shared" si="9"/>
        <v>81.280029803612607</v>
      </c>
      <c r="AM18" s="568">
        <f t="shared" si="9"/>
        <v>80.976964003619855</v>
      </c>
      <c r="AN18" s="568">
        <f t="shared" si="9"/>
        <v>80.673903946081424</v>
      </c>
      <c r="AO18" s="568">
        <f t="shared" si="9"/>
        <v>80.370849638339479</v>
      </c>
      <c r="AP18" s="568">
        <f t="shared" si="9"/>
        <v>80.067801087745465</v>
      </c>
      <c r="AQ18" s="568">
        <f t="shared" si="9"/>
        <v>79.764758301660265</v>
      </c>
      <c r="AR18" s="568">
        <f t="shared" si="9"/>
        <v>79.461721287454196</v>
      </c>
      <c r="AS18" s="568">
        <f t="shared" si="9"/>
        <v>79.158690052506984</v>
      </c>
      <c r="AT18" s="568">
        <f t="shared" si="9"/>
        <v>78.85566460420776</v>
      </c>
      <c r="AU18" s="568">
        <f t="shared" si="9"/>
        <v>78.552644949955152</v>
      </c>
      <c r="AV18" s="569">
        <v>5</v>
      </c>
      <c r="AW18" s="693">
        <v>16.330000000000002</v>
      </c>
      <c r="AX18" s="693">
        <v>19.170000000000002</v>
      </c>
      <c r="AY18" s="693">
        <v>14.628</v>
      </c>
      <c r="AZ18" s="693">
        <v>17.172000000000001</v>
      </c>
      <c r="BA18" s="693">
        <v>16.882000000000001</v>
      </c>
      <c r="BB18" s="693">
        <v>19.818000000000001</v>
      </c>
      <c r="BC18" s="693">
        <v>18.107285900000001</v>
      </c>
      <c r="BD18" s="693">
        <v>21.2563791</v>
      </c>
      <c r="BE18" s="695">
        <v>4</v>
      </c>
      <c r="BF18" s="603"/>
      <c r="BG18" s="603"/>
      <c r="BH18" s="603"/>
      <c r="BI18" s="603"/>
      <c r="BJ18" s="603"/>
      <c r="BK18" s="603"/>
    </row>
    <row r="19" spans="2:67" s="1" customFormat="1" ht="14.4">
      <c r="B19" s="8" t="str">
        <f>Processes!D19</f>
        <v>IMPDSL</v>
      </c>
      <c r="C19" s="8" t="str">
        <f>Processes!E19</f>
        <v>Import technology - Diesel</v>
      </c>
      <c r="D19" s="262"/>
      <c r="E19" s="262" t="str">
        <f t="shared" si="4"/>
        <v>DSL</v>
      </c>
      <c r="F19" s="823" t="str">
        <f t="shared" si="5"/>
        <v>MKr19</v>
      </c>
      <c r="G19" s="568">
        <f t="shared" si="6"/>
        <v>105.4</v>
      </c>
      <c r="H19" s="568">
        <f t="shared" si="6"/>
        <v>117.4</v>
      </c>
      <c r="I19" s="568">
        <f t="shared" si="6"/>
        <v>134.19999999999999</v>
      </c>
      <c r="J19" s="568">
        <f t="shared" si="6"/>
        <v>123.2</v>
      </c>
      <c r="K19" s="568">
        <f t="shared" si="6"/>
        <v>113.5</v>
      </c>
      <c r="L19" s="568">
        <f t="shared" si="6"/>
        <v>77</v>
      </c>
      <c r="M19" s="568">
        <f t="shared" si="6"/>
        <v>74</v>
      </c>
      <c r="N19" s="568">
        <f t="shared" si="6"/>
        <v>78.2</v>
      </c>
      <c r="O19" s="568">
        <f t="shared" si="6"/>
        <v>101.50107579472352</v>
      </c>
      <c r="P19" s="568">
        <f t="shared" si="6"/>
        <v>95.586963615472371</v>
      </c>
      <c r="Q19" s="568">
        <f t="shared" si="7"/>
        <v>94.107025086546813</v>
      </c>
      <c r="R19" s="568">
        <f t="shared" si="7"/>
        <v>72.122939675183432</v>
      </c>
      <c r="S19" s="568">
        <f t="shared" si="7"/>
        <v>75.531438545887454</v>
      </c>
      <c r="T19" s="568">
        <f t="shared" si="7"/>
        <v>77.854522441042789</v>
      </c>
      <c r="U19" s="568">
        <f t="shared" si="7"/>
        <v>79.552731586007937</v>
      </c>
      <c r="V19" s="568">
        <f t="shared" si="7"/>
        <v>80.789209412536124</v>
      </c>
      <c r="W19" s="568">
        <f t="shared" si="7"/>
        <v>82.154672750845265</v>
      </c>
      <c r="X19" s="568">
        <f t="shared" si="7"/>
        <v>83.492811517689887</v>
      </c>
      <c r="Y19" s="568">
        <f t="shared" si="7"/>
        <v>84.723932814730048</v>
      </c>
      <c r="Z19" s="568">
        <f t="shared" si="7"/>
        <v>86.016684701663124</v>
      </c>
      <c r="AA19" s="568">
        <f t="shared" si="8"/>
        <v>87.239874602600565</v>
      </c>
      <c r="AB19" s="568">
        <f t="shared" si="8"/>
        <v>86.933730840397715</v>
      </c>
      <c r="AC19" s="568">
        <f t="shared" si="8"/>
        <v>86.626854893898326</v>
      </c>
      <c r="AD19" s="568">
        <f t="shared" si="8"/>
        <v>86.321245986171292</v>
      </c>
      <c r="AE19" s="568">
        <f t="shared" si="8"/>
        <v>86.014869481157845</v>
      </c>
      <c r="AF19" s="568">
        <f t="shared" si="8"/>
        <v>85.708589672609207</v>
      </c>
      <c r="AG19" s="568">
        <f t="shared" si="8"/>
        <v>85.401383985383958</v>
      </c>
      <c r="AH19" s="568">
        <f t="shared" si="8"/>
        <v>85.095260877276161</v>
      </c>
      <c r="AI19" s="568">
        <f t="shared" si="8"/>
        <v>84.788407292957842</v>
      </c>
      <c r="AJ19" s="568">
        <f t="shared" si="8"/>
        <v>84.48248254627299</v>
      </c>
      <c r="AK19" s="568">
        <f t="shared" si="9"/>
        <v>84.176255922780513</v>
      </c>
      <c r="AL19" s="568">
        <f t="shared" si="9"/>
        <v>83.87002980361261</v>
      </c>
      <c r="AM19" s="568">
        <f t="shared" si="9"/>
        <v>83.566964003619859</v>
      </c>
      <c r="AN19" s="568">
        <f t="shared" si="9"/>
        <v>83.263903946081427</v>
      </c>
      <c r="AO19" s="568">
        <f t="shared" si="9"/>
        <v>82.960849638339482</v>
      </c>
      <c r="AP19" s="568">
        <f t="shared" si="9"/>
        <v>82.657801087745469</v>
      </c>
      <c r="AQ19" s="568">
        <f t="shared" si="9"/>
        <v>82.354758301660269</v>
      </c>
      <c r="AR19" s="568">
        <f t="shared" si="9"/>
        <v>82.0517212874542</v>
      </c>
      <c r="AS19" s="568">
        <f t="shared" si="9"/>
        <v>81.748690052506987</v>
      </c>
      <c r="AT19" s="568">
        <f t="shared" si="9"/>
        <v>81.445664604207764</v>
      </c>
      <c r="AU19" s="568">
        <f t="shared" si="9"/>
        <v>81.142644949955155</v>
      </c>
      <c r="AV19" s="569">
        <v>5</v>
      </c>
      <c r="AW19" s="693">
        <v>48.024000000000001</v>
      </c>
      <c r="AX19" s="693">
        <v>56.375999999999998</v>
      </c>
      <c r="AY19" s="693">
        <v>48.116</v>
      </c>
      <c r="AZ19" s="693">
        <v>56.484000000000002</v>
      </c>
      <c r="BA19" s="693">
        <v>47.011999999999993</v>
      </c>
      <c r="BB19" s="693">
        <v>55.187999999999995</v>
      </c>
      <c r="BC19" s="693">
        <f>120.706179*CN17</f>
        <v>0</v>
      </c>
      <c r="BD19" s="693">
        <f>120.706179*CO17</f>
        <v>0</v>
      </c>
      <c r="BE19" s="695">
        <v>4</v>
      </c>
      <c r="BF19" s="603"/>
      <c r="BG19" s="603"/>
      <c r="BH19" s="603"/>
      <c r="BI19" s="603"/>
      <c r="BJ19" s="603"/>
      <c r="BK19" s="603"/>
    </row>
    <row r="20" spans="2:67" s="1" customFormat="1" ht="14.4">
      <c r="B20" s="8" t="str">
        <f>Processes!D20</f>
        <v>IMPHFO</v>
      </c>
      <c r="C20" s="8" t="str">
        <f>Processes!E20</f>
        <v>Import technology - Heavy Fuel Oil</v>
      </c>
      <c r="D20" s="571"/>
      <c r="E20" s="262" t="str">
        <f t="shared" si="4"/>
        <v>HFO</v>
      </c>
      <c r="F20" s="823" t="str">
        <f t="shared" si="5"/>
        <v>MKr19</v>
      </c>
      <c r="G20" s="568">
        <f t="shared" si="6"/>
        <v>68.2</v>
      </c>
      <c r="H20" s="568">
        <f t="shared" si="6"/>
        <v>102</v>
      </c>
      <c r="I20" s="568">
        <f t="shared" si="6"/>
        <v>96.2</v>
      </c>
      <c r="J20" s="568">
        <f t="shared" si="6"/>
        <v>91.7</v>
      </c>
      <c r="K20" s="568">
        <f t="shared" si="6"/>
        <v>84</v>
      </c>
      <c r="L20" s="568">
        <f t="shared" si="6"/>
        <v>47.5</v>
      </c>
      <c r="M20" s="568">
        <f t="shared" si="6"/>
        <v>44.5</v>
      </c>
      <c r="N20" s="568">
        <f t="shared" si="6"/>
        <v>48.7</v>
      </c>
      <c r="O20" s="568">
        <f t="shared" si="6"/>
        <v>67.735141438725293</v>
      </c>
      <c r="P20" s="568">
        <f t="shared" si="6"/>
        <v>61.821029259474152</v>
      </c>
      <c r="Q20" s="568">
        <f t="shared" si="7"/>
        <v>60.341090730548601</v>
      </c>
      <c r="R20" s="568">
        <f t="shared" si="7"/>
        <v>38.35700531918522</v>
      </c>
      <c r="S20" s="568">
        <f t="shared" si="7"/>
        <v>41.765504189889249</v>
      </c>
      <c r="T20" s="568">
        <f t="shared" si="7"/>
        <v>44.088588085044584</v>
      </c>
      <c r="U20" s="568">
        <f t="shared" si="7"/>
        <v>45.786797230009718</v>
      </c>
      <c r="V20" s="568">
        <f t="shared" si="7"/>
        <v>47.023275056537912</v>
      </c>
      <c r="W20" s="568">
        <f t="shared" si="7"/>
        <v>48.388738394847046</v>
      </c>
      <c r="X20" s="568">
        <f t="shared" si="7"/>
        <v>49.726877161691675</v>
      </c>
      <c r="Y20" s="568">
        <f t="shared" si="7"/>
        <v>50.957998458731836</v>
      </c>
      <c r="Z20" s="568">
        <f t="shared" si="7"/>
        <v>52.250750345664912</v>
      </c>
      <c r="AA20" s="568">
        <f t="shared" si="8"/>
        <v>53.473940246602353</v>
      </c>
      <c r="AB20" s="568">
        <f t="shared" si="8"/>
        <v>53.16779648439951</v>
      </c>
      <c r="AC20" s="568">
        <f t="shared" si="8"/>
        <v>52.860920537900107</v>
      </c>
      <c r="AD20" s="568">
        <f t="shared" si="8"/>
        <v>52.55531163017308</v>
      </c>
      <c r="AE20" s="568">
        <f t="shared" si="8"/>
        <v>52.248935125159633</v>
      </c>
      <c r="AF20" s="568">
        <f t="shared" si="8"/>
        <v>51.942655316610988</v>
      </c>
      <c r="AG20" s="568">
        <f t="shared" si="8"/>
        <v>51.635449629385747</v>
      </c>
      <c r="AH20" s="568">
        <f t="shared" si="8"/>
        <v>51.329326521277956</v>
      </c>
      <c r="AI20" s="568">
        <f t="shared" si="8"/>
        <v>51.022472936959623</v>
      </c>
      <c r="AJ20" s="568">
        <f t="shared" si="8"/>
        <v>50.716548190274779</v>
      </c>
      <c r="AK20" s="568">
        <f t="shared" si="9"/>
        <v>50.410321566782294</v>
      </c>
      <c r="AL20" s="568">
        <f t="shared" si="9"/>
        <v>50.104095447614391</v>
      </c>
      <c r="AM20" s="568">
        <f t="shared" si="9"/>
        <v>49.801029647621633</v>
      </c>
      <c r="AN20" s="568">
        <f t="shared" si="9"/>
        <v>49.497969590083216</v>
      </c>
      <c r="AO20" s="568">
        <f t="shared" si="9"/>
        <v>49.19491528234127</v>
      </c>
      <c r="AP20" s="568">
        <f t="shared" si="9"/>
        <v>48.89186673174725</v>
      </c>
      <c r="AQ20" s="568">
        <f t="shared" si="9"/>
        <v>48.588823945662064</v>
      </c>
      <c r="AR20" s="568">
        <f t="shared" si="9"/>
        <v>48.285786931455988</v>
      </c>
      <c r="AS20" s="568">
        <f t="shared" si="9"/>
        <v>47.982755696508768</v>
      </c>
      <c r="AT20" s="568">
        <f t="shared" si="9"/>
        <v>47.679730248209545</v>
      </c>
      <c r="AU20" s="568">
        <f t="shared" si="9"/>
        <v>47.376710593956936</v>
      </c>
      <c r="AV20" s="569">
        <v>5</v>
      </c>
      <c r="AW20" s="693">
        <v>43.148000000000003</v>
      </c>
      <c r="AX20" s="693">
        <v>50.652000000000001</v>
      </c>
      <c r="AY20" s="693">
        <v>46</v>
      </c>
      <c r="AZ20" s="693">
        <v>54</v>
      </c>
      <c r="BA20" s="693">
        <v>42.826000000000001</v>
      </c>
      <c r="BB20" s="693">
        <v>50.274000000000001</v>
      </c>
      <c r="BC20" s="693">
        <f>145.279687*CN17</f>
        <v>0</v>
      </c>
      <c r="BD20" s="693">
        <f>145.279687*CO17</f>
        <v>0</v>
      </c>
      <c r="BE20" s="695">
        <v>4</v>
      </c>
      <c r="BM20" s="608"/>
      <c r="BN20" s="608"/>
      <c r="BO20" s="608"/>
    </row>
    <row r="21" spans="2:67" ht="14.4">
      <c r="B21" s="8" t="str">
        <f>Processes!D21</f>
        <v>IMPMGO</v>
      </c>
      <c r="C21" s="8" t="str">
        <f>Processes!E21</f>
        <v>Import technology - Marine Gas Oil</v>
      </c>
      <c r="D21" s="262"/>
      <c r="E21" s="262" t="str">
        <f t="shared" si="4"/>
        <v>MGO</v>
      </c>
      <c r="F21" s="823" t="str">
        <f t="shared" si="5"/>
        <v>MKr19</v>
      </c>
      <c r="G21" s="568">
        <f t="shared" si="6"/>
        <v>68.2</v>
      </c>
      <c r="H21" s="568">
        <f t="shared" si="6"/>
        <v>102</v>
      </c>
      <c r="I21" s="568">
        <f t="shared" si="6"/>
        <v>96.2</v>
      </c>
      <c r="J21" s="568">
        <f t="shared" si="6"/>
        <v>91.7</v>
      </c>
      <c r="K21" s="568">
        <f t="shared" si="6"/>
        <v>84</v>
      </c>
      <c r="L21" s="568">
        <f t="shared" si="6"/>
        <v>47.5</v>
      </c>
      <c r="M21" s="568">
        <f t="shared" si="6"/>
        <v>44.5</v>
      </c>
      <c r="N21" s="568">
        <f t="shared" si="6"/>
        <v>48.7</v>
      </c>
      <c r="O21" s="568">
        <f t="shared" si="6"/>
        <v>67.735141438725293</v>
      </c>
      <c r="P21" s="568">
        <f t="shared" si="6"/>
        <v>61.821029259474152</v>
      </c>
      <c r="Q21" s="568">
        <f t="shared" si="7"/>
        <v>60.341090730548601</v>
      </c>
      <c r="R21" s="568">
        <f t="shared" si="7"/>
        <v>38.35700531918522</v>
      </c>
      <c r="S21" s="568">
        <f t="shared" si="7"/>
        <v>41.765504189889249</v>
      </c>
      <c r="T21" s="568">
        <f t="shared" si="7"/>
        <v>44.088588085044584</v>
      </c>
      <c r="U21" s="568">
        <f t="shared" si="7"/>
        <v>45.786797230009718</v>
      </c>
      <c r="V21" s="568">
        <f t="shared" si="7"/>
        <v>47.023275056537912</v>
      </c>
      <c r="W21" s="568">
        <f t="shared" si="7"/>
        <v>48.388738394847046</v>
      </c>
      <c r="X21" s="568">
        <f t="shared" si="7"/>
        <v>49.726877161691675</v>
      </c>
      <c r="Y21" s="568">
        <f t="shared" si="7"/>
        <v>50.957998458731836</v>
      </c>
      <c r="Z21" s="568">
        <f t="shared" si="7"/>
        <v>52.250750345664912</v>
      </c>
      <c r="AA21" s="568">
        <f t="shared" si="8"/>
        <v>53.473940246602353</v>
      </c>
      <c r="AB21" s="568">
        <f t="shared" si="8"/>
        <v>53.16779648439951</v>
      </c>
      <c r="AC21" s="568">
        <f t="shared" si="8"/>
        <v>52.860920537900107</v>
      </c>
      <c r="AD21" s="568">
        <f t="shared" si="8"/>
        <v>52.55531163017308</v>
      </c>
      <c r="AE21" s="568">
        <f t="shared" si="8"/>
        <v>52.248935125159633</v>
      </c>
      <c r="AF21" s="568">
        <f t="shared" si="8"/>
        <v>51.942655316610988</v>
      </c>
      <c r="AG21" s="568">
        <f t="shared" si="8"/>
        <v>51.635449629385747</v>
      </c>
      <c r="AH21" s="568">
        <f t="shared" si="8"/>
        <v>51.329326521277956</v>
      </c>
      <c r="AI21" s="568">
        <f t="shared" si="8"/>
        <v>51.022472936959623</v>
      </c>
      <c r="AJ21" s="568">
        <f t="shared" si="8"/>
        <v>50.716548190274779</v>
      </c>
      <c r="AK21" s="568">
        <f t="shared" si="9"/>
        <v>50.410321566782294</v>
      </c>
      <c r="AL21" s="568">
        <f t="shared" si="9"/>
        <v>50.104095447614391</v>
      </c>
      <c r="AM21" s="568">
        <f t="shared" si="9"/>
        <v>49.801029647621633</v>
      </c>
      <c r="AN21" s="568">
        <f t="shared" si="9"/>
        <v>49.497969590083216</v>
      </c>
      <c r="AO21" s="568">
        <f t="shared" si="9"/>
        <v>49.19491528234127</v>
      </c>
      <c r="AP21" s="568">
        <f t="shared" si="9"/>
        <v>48.89186673174725</v>
      </c>
      <c r="AQ21" s="568">
        <f t="shared" si="9"/>
        <v>48.588823945662064</v>
      </c>
      <c r="AR21" s="568">
        <f t="shared" si="9"/>
        <v>48.285786931455988</v>
      </c>
      <c r="AS21" s="568">
        <f t="shared" si="9"/>
        <v>47.982755696508768</v>
      </c>
      <c r="AT21" s="568">
        <f t="shared" si="9"/>
        <v>47.679730248209545</v>
      </c>
      <c r="AU21" s="568">
        <f t="shared" si="9"/>
        <v>47.376710593956936</v>
      </c>
      <c r="AV21" s="569">
        <v>5</v>
      </c>
      <c r="BF21" s="603"/>
      <c r="BG21" s="603"/>
      <c r="BH21" s="603"/>
      <c r="BI21" s="603"/>
      <c r="BJ21" s="603"/>
      <c r="BK21" s="603"/>
    </row>
    <row r="22" spans="2:67" ht="14.4">
      <c r="B22" s="8" t="str">
        <f>Processes!D22</f>
        <v>IMPAGSL</v>
      </c>
      <c r="C22" s="8" t="str">
        <f>Processes!E22</f>
        <v>Import technology - Aviation gasoline</v>
      </c>
      <c r="D22" s="262"/>
      <c r="E22" s="262" t="str">
        <f t="shared" si="4"/>
        <v>AGSL</v>
      </c>
      <c r="F22" s="823" t="str">
        <f t="shared" si="5"/>
        <v>MKr19</v>
      </c>
      <c r="G22" s="568">
        <f t="shared" si="6"/>
        <v>76.5</v>
      </c>
      <c r="H22" s="568">
        <f t="shared" si="6"/>
        <v>112.4</v>
      </c>
      <c r="I22" s="568">
        <f t="shared" si="6"/>
        <v>116.3</v>
      </c>
      <c r="J22" s="568">
        <f t="shared" si="6"/>
        <v>118.6</v>
      </c>
      <c r="K22" s="568">
        <f t="shared" si="6"/>
        <v>110.1</v>
      </c>
      <c r="L22" s="568">
        <f t="shared" si="6"/>
        <v>73.5</v>
      </c>
      <c r="M22" s="568">
        <f t="shared" si="6"/>
        <v>70.599999999999994</v>
      </c>
      <c r="N22" s="568">
        <f t="shared" si="6"/>
        <v>74.7</v>
      </c>
      <c r="O22" s="568">
        <f t="shared" si="6"/>
        <v>99.501075794723519</v>
      </c>
      <c r="P22" s="568">
        <f t="shared" si="6"/>
        <v>92.996963615472367</v>
      </c>
      <c r="Q22" s="568">
        <f t="shared" si="7"/>
        <v>91.517025086546809</v>
      </c>
      <c r="R22" s="568">
        <f t="shared" si="7"/>
        <v>69.532939675183428</v>
      </c>
      <c r="S22" s="568">
        <f t="shared" si="7"/>
        <v>72.941438545887451</v>
      </c>
      <c r="T22" s="568">
        <f t="shared" si="7"/>
        <v>75.264522441042786</v>
      </c>
      <c r="U22" s="568">
        <f t="shared" si="7"/>
        <v>76.962731586007934</v>
      </c>
      <c r="V22" s="568">
        <f t="shared" si="7"/>
        <v>78.199209412536121</v>
      </c>
      <c r="W22" s="568">
        <f t="shared" si="7"/>
        <v>79.564672750845261</v>
      </c>
      <c r="X22" s="568">
        <f t="shared" si="7"/>
        <v>80.902811517689884</v>
      </c>
      <c r="Y22" s="568">
        <f t="shared" si="7"/>
        <v>82.133932814730045</v>
      </c>
      <c r="Z22" s="568">
        <f t="shared" si="7"/>
        <v>83.42668470166312</v>
      </c>
      <c r="AA22" s="568">
        <f t="shared" si="8"/>
        <v>84.649874602600562</v>
      </c>
      <c r="AB22" s="568">
        <f t="shared" si="8"/>
        <v>84.343730840397711</v>
      </c>
      <c r="AC22" s="568">
        <f t="shared" si="8"/>
        <v>84.036854893898322</v>
      </c>
      <c r="AD22" s="568">
        <f t="shared" si="8"/>
        <v>83.731245986171288</v>
      </c>
      <c r="AE22" s="568">
        <f t="shared" si="8"/>
        <v>83.424869481157842</v>
      </c>
      <c r="AF22" s="568">
        <f t="shared" si="8"/>
        <v>83.118589672609204</v>
      </c>
      <c r="AG22" s="568">
        <f t="shared" si="8"/>
        <v>82.811383985383955</v>
      </c>
      <c r="AH22" s="568">
        <f t="shared" si="8"/>
        <v>82.505260877276157</v>
      </c>
      <c r="AI22" s="568">
        <f t="shared" si="8"/>
        <v>82.198407292957839</v>
      </c>
      <c r="AJ22" s="568">
        <f t="shared" si="8"/>
        <v>81.892482546272987</v>
      </c>
      <c r="AK22" s="568">
        <f t="shared" si="9"/>
        <v>81.586255922780509</v>
      </c>
      <c r="AL22" s="568">
        <f t="shared" si="9"/>
        <v>81.280029803612607</v>
      </c>
      <c r="AM22" s="568">
        <f t="shared" si="9"/>
        <v>80.976964003619855</v>
      </c>
      <c r="AN22" s="568">
        <f t="shared" si="9"/>
        <v>80.673903946081424</v>
      </c>
      <c r="AO22" s="568">
        <f t="shared" si="9"/>
        <v>80.370849638339479</v>
      </c>
      <c r="AP22" s="568">
        <f t="shared" si="9"/>
        <v>80.067801087745465</v>
      </c>
      <c r="AQ22" s="568">
        <f t="shared" si="9"/>
        <v>79.764758301660265</v>
      </c>
      <c r="AR22" s="568">
        <f t="shared" si="9"/>
        <v>79.461721287454196</v>
      </c>
      <c r="AS22" s="568">
        <f t="shared" si="9"/>
        <v>79.158690052506984</v>
      </c>
      <c r="AT22" s="568">
        <f t="shared" si="9"/>
        <v>78.85566460420776</v>
      </c>
      <c r="AU22" s="568">
        <f t="shared" si="9"/>
        <v>78.552644949955152</v>
      </c>
      <c r="AV22" s="569">
        <v>5</v>
      </c>
      <c r="BF22" s="603"/>
      <c r="BG22" s="603"/>
      <c r="BH22" s="603"/>
      <c r="BI22" s="603"/>
      <c r="BJ22" s="603"/>
      <c r="BK22" s="603"/>
    </row>
    <row r="23" spans="2:67" ht="14.4">
      <c r="B23" s="8" t="str">
        <f>Processes!D23</f>
        <v>IMPBGA</v>
      </c>
      <c r="C23" s="8" t="str">
        <f>Processes!E23</f>
        <v>Import technology - Biogas</v>
      </c>
      <c r="D23" s="262"/>
      <c r="E23" s="262" t="str">
        <f t="shared" si="4"/>
        <v>BGA</v>
      </c>
      <c r="F23" s="823" t="str">
        <f t="shared" si="5"/>
        <v>MKr19</v>
      </c>
      <c r="G23" s="568">
        <f t="shared" si="6"/>
        <v>133.19999999999999</v>
      </c>
      <c r="H23" s="568">
        <f t="shared" si="6"/>
        <v>138.30000000000001</v>
      </c>
      <c r="I23" s="568">
        <f t="shared" si="6"/>
        <v>165.3</v>
      </c>
      <c r="J23" s="568">
        <f t="shared" si="6"/>
        <v>162.60000000000002</v>
      </c>
      <c r="K23" s="568">
        <f t="shared" si="6"/>
        <v>137.10000000000002</v>
      </c>
      <c r="L23" s="568">
        <f t="shared" si="6"/>
        <v>132</v>
      </c>
      <c r="M23" s="568">
        <f t="shared" si="6"/>
        <v>110.39999999999999</v>
      </c>
      <c r="N23" s="568">
        <f t="shared" si="6"/>
        <v>110.69999999999999</v>
      </c>
      <c r="O23" s="568">
        <f t="shared" si="6"/>
        <v>160.26655014555075</v>
      </c>
      <c r="P23" s="568">
        <f t="shared" si="6"/>
        <v>102.78303372186139</v>
      </c>
      <c r="Q23" s="568">
        <f t="shared" si="7"/>
        <v>100.19354995944677</v>
      </c>
      <c r="R23" s="568">
        <f t="shared" si="7"/>
        <v>94.575870076314601</v>
      </c>
      <c r="S23" s="568">
        <f t="shared" si="7"/>
        <v>98.287645864625688</v>
      </c>
      <c r="T23" s="568">
        <f t="shared" si="7"/>
        <v>100.1030649386264</v>
      </c>
      <c r="U23" s="568">
        <f t="shared" si="7"/>
        <v>100.70137176108622</v>
      </c>
      <c r="V23" s="568">
        <f t="shared" si="7"/>
        <v>100.518250388741</v>
      </c>
      <c r="W23" s="568">
        <f t="shared" si="7"/>
        <v>100.40291761291219</v>
      </c>
      <c r="X23" s="568">
        <f t="shared" si="7"/>
        <v>100.32884125869501</v>
      </c>
      <c r="Y23" s="568">
        <f t="shared" si="7"/>
        <v>100.26539877136038</v>
      </c>
      <c r="Z23" s="568">
        <f t="shared" si="7"/>
        <v>100.24266074406691</v>
      </c>
      <c r="AA23" s="568">
        <f t="shared" si="8"/>
        <v>100.23645783122964</v>
      </c>
      <c r="AB23" s="568">
        <f t="shared" si="8"/>
        <v>100.37471501444514</v>
      </c>
      <c r="AC23" s="568">
        <f t="shared" si="8"/>
        <v>100.51297219766064</v>
      </c>
      <c r="AD23" s="568">
        <f t="shared" si="8"/>
        <v>100.65122938087613</v>
      </c>
      <c r="AE23" s="568">
        <f t="shared" si="8"/>
        <v>100.78948656409162</v>
      </c>
      <c r="AF23" s="568">
        <f t="shared" si="8"/>
        <v>100.92774374730713</v>
      </c>
      <c r="AG23" s="568">
        <f t="shared" si="8"/>
        <v>101.06600093052263</v>
      </c>
      <c r="AH23" s="568">
        <f t="shared" si="8"/>
        <v>101.20425811373809</v>
      </c>
      <c r="AI23" s="568">
        <f t="shared" si="8"/>
        <v>101.34251529695359</v>
      </c>
      <c r="AJ23" s="568">
        <f t="shared" si="8"/>
        <v>101.48077248016905</v>
      </c>
      <c r="AK23" s="568">
        <f t="shared" si="9"/>
        <v>101.61902966338455</v>
      </c>
      <c r="AL23" s="568">
        <f t="shared" si="9"/>
        <v>101.75728684660005</v>
      </c>
      <c r="AM23" s="568">
        <f t="shared" si="9"/>
        <v>101.89554402981554</v>
      </c>
      <c r="AN23" s="568">
        <f t="shared" si="9"/>
        <v>102.03380121303101</v>
      </c>
      <c r="AO23" s="568">
        <f t="shared" si="9"/>
        <v>102.17205839624651</v>
      </c>
      <c r="AP23" s="568">
        <f t="shared" si="9"/>
        <v>102.31031557946201</v>
      </c>
      <c r="AQ23" s="568">
        <f t="shared" si="9"/>
        <v>102.44857276267751</v>
      </c>
      <c r="AR23" s="568">
        <f t="shared" si="9"/>
        <v>102.58682994589297</v>
      </c>
      <c r="AS23" s="568">
        <f t="shared" si="9"/>
        <v>102.72508712910849</v>
      </c>
      <c r="AT23" s="568">
        <f t="shared" si="9"/>
        <v>102.86334431232396</v>
      </c>
      <c r="AU23" s="568">
        <f t="shared" si="9"/>
        <v>103.00160149553948</v>
      </c>
      <c r="AV23" s="569">
        <v>5</v>
      </c>
      <c r="BF23" s="603"/>
      <c r="BG23" s="603"/>
      <c r="BH23" s="603"/>
      <c r="BI23" s="603"/>
      <c r="BJ23" s="603"/>
      <c r="BK23" s="603"/>
    </row>
    <row r="24" spans="2:67" ht="14.4">
      <c r="B24" s="8" t="str">
        <f>Processes!D24</f>
        <v>IMPHFB</v>
      </c>
      <c r="C24" s="8" t="str">
        <f>Processes!E24</f>
        <v>Import technology - Heavy Fuel Bio Oil</v>
      </c>
      <c r="D24" s="262"/>
      <c r="E24" s="262" t="str">
        <f t="shared" si="4"/>
        <v>HFB</v>
      </c>
      <c r="F24" s="823" t="str">
        <f t="shared" si="5"/>
        <v>MKr19</v>
      </c>
      <c r="G24" s="568">
        <f t="shared" si="6"/>
        <v>131.87375303359801</v>
      </c>
      <c r="H24" s="568">
        <f t="shared" si="6"/>
        <v>165.67375303359799</v>
      </c>
      <c r="I24" s="568">
        <f t="shared" si="6"/>
        <v>159.87375303359801</v>
      </c>
      <c r="J24" s="568">
        <f t="shared" si="6"/>
        <v>155.37375303359801</v>
      </c>
      <c r="K24" s="568">
        <f t="shared" si="6"/>
        <v>147.67375303359799</v>
      </c>
      <c r="L24" s="568">
        <f t="shared" si="6"/>
        <v>111.17375303359799</v>
      </c>
      <c r="M24" s="568">
        <f t="shared" si="6"/>
        <v>108.17375303359799</v>
      </c>
      <c r="N24" s="568">
        <f t="shared" si="6"/>
        <v>112.37375303359801</v>
      </c>
      <c r="O24" s="568">
        <f t="shared" si="6"/>
        <v>131.40889447232328</v>
      </c>
      <c r="P24" s="568">
        <f t="shared" si="6"/>
        <v>125.49478229307215</v>
      </c>
      <c r="Q24" s="568">
        <f t="shared" si="7"/>
        <v>124.0148437641466</v>
      </c>
      <c r="R24" s="568">
        <f t="shared" si="7"/>
        <v>102.03075835278321</v>
      </c>
      <c r="S24" s="568">
        <f t="shared" si="7"/>
        <v>105.43925722348725</v>
      </c>
      <c r="T24" s="568">
        <f t="shared" si="7"/>
        <v>107.76234111864258</v>
      </c>
      <c r="U24" s="568">
        <f t="shared" si="7"/>
        <v>109.46055026360771</v>
      </c>
      <c r="V24" s="568">
        <f t="shared" si="7"/>
        <v>110.69702809013592</v>
      </c>
      <c r="W24" s="568">
        <f t="shared" si="7"/>
        <v>112.06249142844504</v>
      </c>
      <c r="X24" s="568">
        <f t="shared" si="7"/>
        <v>113.40063019528966</v>
      </c>
      <c r="Y24" s="568">
        <f t="shared" si="7"/>
        <v>114.63175149232984</v>
      </c>
      <c r="Z24" s="568">
        <f t="shared" si="7"/>
        <v>115.92450337926292</v>
      </c>
      <c r="AA24" s="568">
        <f t="shared" si="8"/>
        <v>117.14769328020034</v>
      </c>
      <c r="AB24" s="568">
        <f t="shared" si="8"/>
        <v>116.84154951799751</v>
      </c>
      <c r="AC24" s="568">
        <f t="shared" si="8"/>
        <v>116.5346735714981</v>
      </c>
      <c r="AD24" s="568">
        <f t="shared" si="8"/>
        <v>116.22906466377108</v>
      </c>
      <c r="AE24" s="568">
        <f t="shared" si="8"/>
        <v>115.92268815875764</v>
      </c>
      <c r="AF24" s="568">
        <f t="shared" si="8"/>
        <v>115.61640835020899</v>
      </c>
      <c r="AG24" s="568">
        <f t="shared" si="8"/>
        <v>115.30920266298375</v>
      </c>
      <c r="AH24" s="568">
        <f t="shared" si="8"/>
        <v>115.00307955487595</v>
      </c>
      <c r="AI24" s="568">
        <f t="shared" si="8"/>
        <v>114.69622597055762</v>
      </c>
      <c r="AJ24" s="568">
        <f t="shared" si="8"/>
        <v>114.39030122387277</v>
      </c>
      <c r="AK24" s="568">
        <f t="shared" si="9"/>
        <v>114.08407460038029</v>
      </c>
      <c r="AL24" s="568">
        <f t="shared" si="9"/>
        <v>113.77784848121239</v>
      </c>
      <c r="AM24" s="568">
        <f t="shared" si="9"/>
        <v>113.47478268121964</v>
      </c>
      <c r="AN24" s="568">
        <f t="shared" si="9"/>
        <v>113.17172262368121</v>
      </c>
      <c r="AO24" s="568">
        <f t="shared" si="9"/>
        <v>112.86866831593926</v>
      </c>
      <c r="AP24" s="568">
        <f t="shared" si="9"/>
        <v>112.56561976534525</v>
      </c>
      <c r="AQ24" s="568">
        <f t="shared" si="9"/>
        <v>112.26257697926006</v>
      </c>
      <c r="AR24" s="568">
        <f t="shared" si="9"/>
        <v>111.95953996505398</v>
      </c>
      <c r="AS24" s="568">
        <f t="shared" si="9"/>
        <v>111.65650873010676</v>
      </c>
      <c r="AT24" s="568">
        <f t="shared" si="9"/>
        <v>111.35348328180754</v>
      </c>
      <c r="AU24" s="568">
        <f t="shared" si="9"/>
        <v>111.05046362755493</v>
      </c>
      <c r="AV24" s="569">
        <v>5</v>
      </c>
      <c r="BF24" s="603"/>
      <c r="BG24" s="603"/>
      <c r="BH24" s="603"/>
      <c r="BI24" s="603"/>
      <c r="BJ24" s="603"/>
      <c r="BK24" s="603"/>
    </row>
    <row r="25" spans="2:67" ht="14.4">
      <c r="B25" s="8" t="str">
        <f>Processes!D25</f>
        <v>IMPDDGS</v>
      </c>
      <c r="C25" s="8" t="str">
        <f>Processes!E25</f>
        <v>Import technology - Ethanol</v>
      </c>
      <c r="D25" s="262"/>
      <c r="E25" s="262" t="str">
        <f t="shared" si="4"/>
        <v>DDGS</v>
      </c>
      <c r="F25" s="823" t="str">
        <f t="shared" si="5"/>
        <v>MKr14</v>
      </c>
      <c r="G25" s="568">
        <f t="shared" si="6"/>
        <v>10</v>
      </c>
      <c r="H25" s="568">
        <f t="shared" si="6"/>
        <v>10</v>
      </c>
      <c r="I25" s="568">
        <f t="shared" si="6"/>
        <v>10</v>
      </c>
      <c r="J25" s="568">
        <f t="shared" si="6"/>
        <v>10</v>
      </c>
      <c r="K25" s="568">
        <f t="shared" si="6"/>
        <v>10</v>
      </c>
      <c r="L25" s="568">
        <f t="shared" si="6"/>
        <v>10</v>
      </c>
      <c r="M25" s="568">
        <f t="shared" si="6"/>
        <v>10</v>
      </c>
      <c r="N25" s="568">
        <f t="shared" si="6"/>
        <v>10</v>
      </c>
      <c r="O25" s="568">
        <f t="shared" si="6"/>
        <v>10</v>
      </c>
      <c r="P25" s="568">
        <f t="shared" si="6"/>
        <v>10</v>
      </c>
      <c r="Q25" s="568">
        <f t="shared" si="7"/>
        <v>10</v>
      </c>
      <c r="R25" s="568">
        <f t="shared" si="7"/>
        <v>10</v>
      </c>
      <c r="S25" s="568">
        <f t="shared" si="7"/>
        <v>10</v>
      </c>
      <c r="T25" s="568">
        <f t="shared" si="7"/>
        <v>10</v>
      </c>
      <c r="U25" s="568">
        <f t="shared" si="7"/>
        <v>10</v>
      </c>
      <c r="V25" s="568">
        <f t="shared" si="7"/>
        <v>10</v>
      </c>
      <c r="W25" s="568">
        <f t="shared" si="7"/>
        <v>10</v>
      </c>
      <c r="X25" s="568">
        <f t="shared" si="7"/>
        <v>10</v>
      </c>
      <c r="Y25" s="568">
        <f t="shared" si="7"/>
        <v>10</v>
      </c>
      <c r="Z25" s="568">
        <f t="shared" si="7"/>
        <v>10</v>
      </c>
      <c r="AA25" s="568">
        <f t="shared" si="8"/>
        <v>10</v>
      </c>
      <c r="AB25" s="568">
        <f t="shared" si="8"/>
        <v>10</v>
      </c>
      <c r="AC25" s="568">
        <f t="shared" si="8"/>
        <v>10</v>
      </c>
      <c r="AD25" s="568">
        <f t="shared" si="8"/>
        <v>10</v>
      </c>
      <c r="AE25" s="568">
        <f t="shared" si="8"/>
        <v>10</v>
      </c>
      <c r="AF25" s="568">
        <f t="shared" si="8"/>
        <v>10</v>
      </c>
      <c r="AG25" s="568">
        <f t="shared" si="8"/>
        <v>10</v>
      </c>
      <c r="AH25" s="568">
        <f t="shared" si="8"/>
        <v>10</v>
      </c>
      <c r="AI25" s="568">
        <f t="shared" si="8"/>
        <v>10</v>
      </c>
      <c r="AJ25" s="568">
        <f t="shared" si="8"/>
        <v>10</v>
      </c>
      <c r="AK25" s="568">
        <f t="shared" si="9"/>
        <v>10</v>
      </c>
      <c r="AL25" s="568">
        <f t="shared" si="9"/>
        <v>10</v>
      </c>
      <c r="AM25" s="568">
        <f t="shared" si="9"/>
        <v>10</v>
      </c>
      <c r="AN25" s="568">
        <f t="shared" si="9"/>
        <v>10</v>
      </c>
      <c r="AO25" s="568">
        <f t="shared" si="9"/>
        <v>10</v>
      </c>
      <c r="AP25" s="568">
        <f t="shared" si="9"/>
        <v>10</v>
      </c>
      <c r="AQ25" s="568">
        <f t="shared" si="9"/>
        <v>10</v>
      </c>
      <c r="AR25" s="568">
        <f t="shared" si="9"/>
        <v>10</v>
      </c>
      <c r="AS25" s="568">
        <f t="shared" si="9"/>
        <v>10</v>
      </c>
      <c r="AT25" s="568">
        <f t="shared" si="9"/>
        <v>10</v>
      </c>
      <c r="AU25" s="568">
        <f t="shared" si="9"/>
        <v>10</v>
      </c>
      <c r="AV25" s="569">
        <v>5</v>
      </c>
      <c r="BF25" s="603"/>
      <c r="BG25" s="603"/>
      <c r="BH25" s="603"/>
      <c r="BI25" s="603"/>
      <c r="BJ25" s="603"/>
      <c r="BK25" s="603"/>
    </row>
    <row r="26" spans="2:67" ht="14.4">
      <c r="B26" s="8" t="str">
        <f>Processes!D26</f>
        <v>IMPH2</v>
      </c>
      <c r="C26" s="8" t="str">
        <f>Processes!E26</f>
        <v>Import technology - Hydrogen</v>
      </c>
      <c r="D26" s="262"/>
      <c r="E26" s="571" t="s">
        <v>804</v>
      </c>
      <c r="F26" s="823" t="str">
        <f t="shared" si="5"/>
        <v>MKr14</v>
      </c>
      <c r="G26" s="568">
        <f t="shared" ref="G26:P35" si="10">IFERROR(INDEX($G$121:$AU$176,MATCH($E26,$E$121:$E$176,0),MATCH(G$5,$G$120:$AU$120,0)),0)</f>
        <v>586.08000000000004</v>
      </c>
      <c r="H26" s="568">
        <f t="shared" si="10"/>
        <v>807.895012134392</v>
      </c>
      <c r="I26" s="568">
        <f t="shared" si="10"/>
        <v>915.895012134392</v>
      </c>
      <c r="J26" s="568">
        <f t="shared" si="10"/>
        <v>905.09501213439205</v>
      </c>
      <c r="K26" s="568">
        <f t="shared" si="10"/>
        <v>803.09501213439205</v>
      </c>
      <c r="L26" s="568">
        <f t="shared" si="10"/>
        <v>782.69501213439196</v>
      </c>
      <c r="M26" s="568">
        <f t="shared" si="10"/>
        <v>696.29501213439198</v>
      </c>
      <c r="N26" s="568">
        <f t="shared" si="10"/>
        <v>697.49501213439191</v>
      </c>
      <c r="O26" s="568">
        <f t="shared" si="10"/>
        <v>895.76121271659497</v>
      </c>
      <c r="P26" s="568">
        <f t="shared" si="10"/>
        <v>665.8271470218375</v>
      </c>
      <c r="Q26" s="568">
        <f t="shared" ref="Q26:Z35" si="11">IFERROR(INDEX($G$121:$AU$176,MATCH($E26,$E$121:$E$176,0),MATCH(Q$5,$G$120:$AU$120,0)),0)</f>
        <v>655.4692119721791</v>
      </c>
      <c r="R26" s="568">
        <f t="shared" si="11"/>
        <v>632.99849243965036</v>
      </c>
      <c r="S26" s="568">
        <f t="shared" si="11"/>
        <v>647.84559559289471</v>
      </c>
      <c r="T26" s="568">
        <f t="shared" si="11"/>
        <v>655.10727188889757</v>
      </c>
      <c r="U26" s="568">
        <f t="shared" si="11"/>
        <v>657.50049917873685</v>
      </c>
      <c r="V26" s="568">
        <f t="shared" si="11"/>
        <v>656.76801368935594</v>
      </c>
      <c r="W26" s="568">
        <f t="shared" si="11"/>
        <v>656.30668258604078</v>
      </c>
      <c r="X26" s="568">
        <f t="shared" si="11"/>
        <v>656.01037716917199</v>
      </c>
      <c r="Y26" s="568">
        <f t="shared" si="11"/>
        <v>655.75660721983354</v>
      </c>
      <c r="Z26" s="568">
        <f t="shared" si="11"/>
        <v>655.6656551106596</v>
      </c>
      <c r="AA26" s="568">
        <f t="shared" ref="AA26:AJ35" si="12">IFERROR(INDEX($G$121:$AU$176,MATCH($E26,$E$121:$E$176,0),MATCH(AA$5,$G$120:$AU$120,0)),0)</f>
        <v>655.64084345931053</v>
      </c>
      <c r="AB26" s="568">
        <f t="shared" si="12"/>
        <v>656.19387219217253</v>
      </c>
      <c r="AC26" s="568">
        <f t="shared" si="12"/>
        <v>656.74690092503454</v>
      </c>
      <c r="AD26" s="568">
        <f t="shared" si="12"/>
        <v>657.29992965789654</v>
      </c>
      <c r="AE26" s="568">
        <f t="shared" si="12"/>
        <v>657.85295839075843</v>
      </c>
      <c r="AF26" s="568">
        <f t="shared" si="12"/>
        <v>658.40598712362055</v>
      </c>
      <c r="AG26" s="568">
        <f t="shared" si="12"/>
        <v>658.95901585648255</v>
      </c>
      <c r="AH26" s="568">
        <f t="shared" si="12"/>
        <v>659.51204458934433</v>
      </c>
      <c r="AI26" s="568">
        <f t="shared" si="12"/>
        <v>660.06507332220633</v>
      </c>
      <c r="AJ26" s="568">
        <f t="shared" si="12"/>
        <v>660.61810205506822</v>
      </c>
      <c r="AK26" s="568">
        <f t="shared" ref="AK26:AU35" si="13">IFERROR(INDEX($G$121:$AU$176,MATCH($E26,$E$121:$E$176,0),MATCH(AK$5,$G$120:$AU$120,0)),0)</f>
        <v>661.17113078793022</v>
      </c>
      <c r="AL26" s="568">
        <f t="shared" si="13"/>
        <v>661.72415952079223</v>
      </c>
      <c r="AM26" s="568">
        <f t="shared" si="13"/>
        <v>662.27718825365412</v>
      </c>
      <c r="AN26" s="568">
        <f t="shared" si="13"/>
        <v>662.83021698651601</v>
      </c>
      <c r="AO26" s="568">
        <f t="shared" si="13"/>
        <v>663.38324571937801</v>
      </c>
      <c r="AP26" s="568">
        <f t="shared" si="13"/>
        <v>663.93627445224001</v>
      </c>
      <c r="AQ26" s="568">
        <f t="shared" si="13"/>
        <v>664.48930318510202</v>
      </c>
      <c r="AR26" s="568">
        <f t="shared" si="13"/>
        <v>665.04233191796391</v>
      </c>
      <c r="AS26" s="568">
        <f t="shared" si="13"/>
        <v>665.59536065082591</v>
      </c>
      <c r="AT26" s="568">
        <f t="shared" si="13"/>
        <v>666.1483893836878</v>
      </c>
      <c r="AU26" s="568">
        <f t="shared" si="13"/>
        <v>666.70141811654992</v>
      </c>
      <c r="AV26" s="569">
        <v>5</v>
      </c>
      <c r="BF26" s="603"/>
      <c r="BG26" s="603"/>
      <c r="BH26" s="603"/>
      <c r="BI26" s="603"/>
      <c r="BJ26" s="603"/>
      <c r="BK26" s="603"/>
    </row>
    <row r="27" spans="2:67" ht="14.4">
      <c r="B27" s="8" t="str">
        <f>Processes!D27</f>
        <v>IMPH2G</v>
      </c>
      <c r="C27" s="8" t="str">
        <f>Processes!E27</f>
        <v>Import technology - Hydrogen Gas</v>
      </c>
      <c r="D27" s="262"/>
      <c r="E27" s="262" t="str">
        <f t="shared" si="4"/>
        <v>H2G</v>
      </c>
      <c r="F27" s="823" t="str">
        <f t="shared" si="5"/>
        <v>MKr14</v>
      </c>
      <c r="G27" s="568">
        <f t="shared" si="10"/>
        <v>586.08000000000004</v>
      </c>
      <c r="H27" s="568">
        <f t="shared" si="10"/>
        <v>807.895012134392</v>
      </c>
      <c r="I27" s="568">
        <f t="shared" si="10"/>
        <v>915.895012134392</v>
      </c>
      <c r="J27" s="568">
        <f t="shared" si="10"/>
        <v>905.09501213439205</v>
      </c>
      <c r="K27" s="568">
        <f t="shared" si="10"/>
        <v>803.09501213439205</v>
      </c>
      <c r="L27" s="568">
        <f t="shared" si="10"/>
        <v>782.69501213439196</v>
      </c>
      <c r="M27" s="568">
        <f t="shared" si="10"/>
        <v>696.29501213439198</v>
      </c>
      <c r="N27" s="568">
        <f t="shared" si="10"/>
        <v>697.49501213439191</v>
      </c>
      <c r="O27" s="568">
        <f t="shared" si="10"/>
        <v>895.76121271659497</v>
      </c>
      <c r="P27" s="568">
        <f t="shared" si="10"/>
        <v>665.8271470218375</v>
      </c>
      <c r="Q27" s="568">
        <f t="shared" si="11"/>
        <v>655.4692119721791</v>
      </c>
      <c r="R27" s="568">
        <f t="shared" si="11"/>
        <v>632.99849243965036</v>
      </c>
      <c r="S27" s="568">
        <f t="shared" si="11"/>
        <v>647.84559559289471</v>
      </c>
      <c r="T27" s="568">
        <f t="shared" si="11"/>
        <v>655.10727188889757</v>
      </c>
      <c r="U27" s="568">
        <f t="shared" si="11"/>
        <v>657.50049917873685</v>
      </c>
      <c r="V27" s="568">
        <f t="shared" si="11"/>
        <v>656.76801368935594</v>
      </c>
      <c r="W27" s="568">
        <f t="shared" si="11"/>
        <v>656.30668258604078</v>
      </c>
      <c r="X27" s="568">
        <f t="shared" si="11"/>
        <v>656.01037716917199</v>
      </c>
      <c r="Y27" s="568">
        <f t="shared" si="11"/>
        <v>655.75660721983354</v>
      </c>
      <c r="Z27" s="568">
        <f t="shared" si="11"/>
        <v>655.6656551106596</v>
      </c>
      <c r="AA27" s="568">
        <f t="shared" si="12"/>
        <v>655.64084345931053</v>
      </c>
      <c r="AB27" s="568">
        <f t="shared" si="12"/>
        <v>656.19387219217253</v>
      </c>
      <c r="AC27" s="568">
        <f t="shared" si="12"/>
        <v>656.74690092503454</v>
      </c>
      <c r="AD27" s="568">
        <f t="shared" si="12"/>
        <v>657.29992965789654</v>
      </c>
      <c r="AE27" s="568">
        <f t="shared" si="12"/>
        <v>657.85295839075843</v>
      </c>
      <c r="AF27" s="568">
        <f t="shared" si="12"/>
        <v>658.40598712362055</v>
      </c>
      <c r="AG27" s="568">
        <f t="shared" si="12"/>
        <v>658.95901585648255</v>
      </c>
      <c r="AH27" s="568">
        <f t="shared" si="12"/>
        <v>659.51204458934433</v>
      </c>
      <c r="AI27" s="568">
        <f t="shared" si="12"/>
        <v>660.06507332220633</v>
      </c>
      <c r="AJ27" s="568">
        <f t="shared" si="12"/>
        <v>660.61810205506822</v>
      </c>
      <c r="AK27" s="568">
        <f t="shared" si="13"/>
        <v>661.17113078793022</v>
      </c>
      <c r="AL27" s="568">
        <f t="shared" si="13"/>
        <v>661.72415952079223</v>
      </c>
      <c r="AM27" s="568">
        <f t="shared" si="13"/>
        <v>662.27718825365412</v>
      </c>
      <c r="AN27" s="568">
        <f t="shared" si="13"/>
        <v>662.83021698651601</v>
      </c>
      <c r="AO27" s="568">
        <f t="shared" si="13"/>
        <v>663.38324571937801</v>
      </c>
      <c r="AP27" s="568">
        <f t="shared" si="13"/>
        <v>663.93627445224001</v>
      </c>
      <c r="AQ27" s="568">
        <f t="shared" si="13"/>
        <v>664.48930318510202</v>
      </c>
      <c r="AR27" s="568">
        <f t="shared" si="13"/>
        <v>665.04233191796391</v>
      </c>
      <c r="AS27" s="568">
        <f t="shared" si="13"/>
        <v>665.59536065082591</v>
      </c>
      <c r="AT27" s="568">
        <f t="shared" si="13"/>
        <v>666.1483893836878</v>
      </c>
      <c r="AU27" s="568">
        <f t="shared" si="13"/>
        <v>666.70141811654992</v>
      </c>
      <c r="AV27" s="569">
        <v>5</v>
      </c>
      <c r="BF27" s="603"/>
      <c r="BG27" s="603"/>
      <c r="BH27" s="603"/>
      <c r="BI27" s="603"/>
      <c r="BJ27" s="603"/>
      <c r="BK27" s="603"/>
    </row>
    <row r="28" spans="2:67" ht="14.4">
      <c r="B28" s="8" t="str">
        <f>Processes!D28</f>
        <v>IMPAMM</v>
      </c>
      <c r="C28" s="8" t="str">
        <f>Processes!E28</f>
        <v>Import technology - Ammonia (Liquid)</v>
      </c>
      <c r="D28" s="262"/>
      <c r="E28" s="262" t="str">
        <f t="shared" si="4"/>
        <v>AMM</v>
      </c>
      <c r="F28" s="823" t="str">
        <f t="shared" si="5"/>
        <v>MKr19</v>
      </c>
      <c r="G28" s="568">
        <f t="shared" si="10"/>
        <v>263.74750606719601</v>
      </c>
      <c r="H28" s="568">
        <f t="shared" si="10"/>
        <v>331.34750606719598</v>
      </c>
      <c r="I28" s="568">
        <f t="shared" si="10"/>
        <v>319.74750606719601</v>
      </c>
      <c r="J28" s="568">
        <f t="shared" si="10"/>
        <v>310.74750606719601</v>
      </c>
      <c r="K28" s="568">
        <f t="shared" si="10"/>
        <v>295.34750606719598</v>
      </c>
      <c r="L28" s="568">
        <f t="shared" si="10"/>
        <v>222.34750606719598</v>
      </c>
      <c r="M28" s="568">
        <f t="shared" si="10"/>
        <v>216.34750606719598</v>
      </c>
      <c r="N28" s="568">
        <f t="shared" si="10"/>
        <v>224.74750606719601</v>
      </c>
      <c r="O28" s="568">
        <f t="shared" si="10"/>
        <v>262.81778894464657</v>
      </c>
      <c r="P28" s="568">
        <f t="shared" si="10"/>
        <v>250.9895645861443</v>
      </c>
      <c r="Q28" s="568">
        <f t="shared" si="11"/>
        <v>248.02968752829321</v>
      </c>
      <c r="R28" s="568">
        <f t="shared" si="11"/>
        <v>204.06151670556642</v>
      </c>
      <c r="S28" s="568">
        <f t="shared" si="11"/>
        <v>210.87851444697449</v>
      </c>
      <c r="T28" s="568">
        <f t="shared" si="11"/>
        <v>215.52468223728516</v>
      </c>
      <c r="U28" s="568">
        <f t="shared" si="11"/>
        <v>218.92110052721543</v>
      </c>
      <c r="V28" s="568">
        <f t="shared" si="11"/>
        <v>221.39405618027183</v>
      </c>
      <c r="W28" s="568">
        <f t="shared" si="11"/>
        <v>224.12498285689009</v>
      </c>
      <c r="X28" s="568">
        <f t="shared" si="11"/>
        <v>226.80126039057933</v>
      </c>
      <c r="Y28" s="568">
        <f t="shared" si="11"/>
        <v>229.26350298465968</v>
      </c>
      <c r="Z28" s="568">
        <f t="shared" si="11"/>
        <v>231.84900675852583</v>
      </c>
      <c r="AA28" s="568">
        <f t="shared" si="12"/>
        <v>234.29538656040069</v>
      </c>
      <c r="AB28" s="568">
        <f t="shared" si="12"/>
        <v>233.68309903599501</v>
      </c>
      <c r="AC28" s="568">
        <f t="shared" si="12"/>
        <v>233.06934714299621</v>
      </c>
      <c r="AD28" s="568">
        <f t="shared" si="12"/>
        <v>232.45812932754217</v>
      </c>
      <c r="AE28" s="568">
        <f t="shared" si="12"/>
        <v>231.84537631751527</v>
      </c>
      <c r="AF28" s="568">
        <f t="shared" si="12"/>
        <v>231.23281670041797</v>
      </c>
      <c r="AG28" s="568">
        <f t="shared" si="12"/>
        <v>230.6184053259675</v>
      </c>
      <c r="AH28" s="568">
        <f t="shared" si="12"/>
        <v>230.00615910975191</v>
      </c>
      <c r="AI28" s="568">
        <f t="shared" si="12"/>
        <v>229.39245194111524</v>
      </c>
      <c r="AJ28" s="568">
        <f t="shared" si="12"/>
        <v>228.78060244774554</v>
      </c>
      <c r="AK28" s="568">
        <f t="shared" si="13"/>
        <v>228.16814920076058</v>
      </c>
      <c r="AL28" s="568">
        <f t="shared" si="13"/>
        <v>227.55569696242478</v>
      </c>
      <c r="AM28" s="568">
        <f t="shared" si="13"/>
        <v>226.94956536243927</v>
      </c>
      <c r="AN28" s="568">
        <f t="shared" si="13"/>
        <v>226.34344524736241</v>
      </c>
      <c r="AO28" s="568">
        <f t="shared" si="13"/>
        <v>225.73733663187852</v>
      </c>
      <c r="AP28" s="568">
        <f t="shared" si="13"/>
        <v>225.13123953069049</v>
      </c>
      <c r="AQ28" s="568">
        <f t="shared" si="13"/>
        <v>224.52515395852012</v>
      </c>
      <c r="AR28" s="568">
        <f t="shared" si="13"/>
        <v>223.91907993010796</v>
      </c>
      <c r="AS28" s="568">
        <f t="shared" si="13"/>
        <v>223.31301746021353</v>
      </c>
      <c r="AT28" s="568">
        <f t="shared" si="13"/>
        <v>222.70696656361508</v>
      </c>
      <c r="AU28" s="568">
        <f t="shared" si="13"/>
        <v>222.10092725510987</v>
      </c>
      <c r="AV28" s="569">
        <v>5</v>
      </c>
      <c r="BF28" s="603"/>
      <c r="BG28" s="603"/>
      <c r="BH28" s="603"/>
      <c r="BI28" s="603"/>
      <c r="BJ28" s="603"/>
      <c r="BK28" s="603"/>
    </row>
    <row r="29" spans="2:67" ht="14.4">
      <c r="B29" s="8" t="str">
        <f>Processes!D29</f>
        <v>IMPDME</v>
      </c>
      <c r="C29" s="8" t="str">
        <f>Processes!E29</f>
        <v>Import technology - Dimethyl ether</v>
      </c>
      <c r="D29" s="262"/>
      <c r="E29" s="262" t="str">
        <f t="shared" si="4"/>
        <v>DME</v>
      </c>
      <c r="F29" s="823" t="str">
        <f t="shared" si="5"/>
        <v>MKr19</v>
      </c>
      <c r="G29" s="568">
        <f t="shared" si="10"/>
        <v>185.98112833695782</v>
      </c>
      <c r="H29" s="568">
        <f t="shared" si="10"/>
        <v>244.74750606719599</v>
      </c>
      <c r="I29" s="568">
        <f t="shared" si="10"/>
        <v>261.54750606719597</v>
      </c>
      <c r="J29" s="568">
        <f t="shared" si="10"/>
        <v>250.547506067196</v>
      </c>
      <c r="K29" s="568">
        <f t="shared" si="10"/>
        <v>240.84750606719598</v>
      </c>
      <c r="L29" s="568">
        <f t="shared" si="10"/>
        <v>204.34750606719598</v>
      </c>
      <c r="M29" s="568">
        <f t="shared" si="10"/>
        <v>201.34750606719598</v>
      </c>
      <c r="N29" s="568">
        <f t="shared" si="10"/>
        <v>205.547506067196</v>
      </c>
      <c r="O29" s="568">
        <f t="shared" si="10"/>
        <v>228.84858186191951</v>
      </c>
      <c r="P29" s="568">
        <f t="shared" si="10"/>
        <v>222.93446968266835</v>
      </c>
      <c r="Q29" s="568">
        <f t="shared" si="11"/>
        <v>221.45453115374281</v>
      </c>
      <c r="R29" s="568">
        <f t="shared" si="11"/>
        <v>199.47044574237941</v>
      </c>
      <c r="S29" s="568">
        <f t="shared" si="11"/>
        <v>202.87894461308343</v>
      </c>
      <c r="T29" s="568">
        <f t="shared" si="11"/>
        <v>205.20202850823878</v>
      </c>
      <c r="U29" s="568">
        <f t="shared" si="11"/>
        <v>206.90023765320393</v>
      </c>
      <c r="V29" s="568">
        <f t="shared" si="11"/>
        <v>208.13671547973212</v>
      </c>
      <c r="W29" s="568">
        <f t="shared" si="11"/>
        <v>209.50217881804124</v>
      </c>
      <c r="X29" s="568">
        <f t="shared" si="11"/>
        <v>210.84031758488587</v>
      </c>
      <c r="Y29" s="568">
        <f t="shared" si="11"/>
        <v>212.07143888192604</v>
      </c>
      <c r="Z29" s="568">
        <f t="shared" si="11"/>
        <v>213.36419076885912</v>
      </c>
      <c r="AA29" s="568">
        <f t="shared" si="12"/>
        <v>214.58738066979654</v>
      </c>
      <c r="AB29" s="568">
        <f t="shared" si="12"/>
        <v>214.28123690759369</v>
      </c>
      <c r="AC29" s="568">
        <f t="shared" si="12"/>
        <v>213.97436096109431</v>
      </c>
      <c r="AD29" s="568">
        <f t="shared" si="12"/>
        <v>213.66875205336729</v>
      </c>
      <c r="AE29" s="568">
        <f t="shared" si="12"/>
        <v>213.36237554835384</v>
      </c>
      <c r="AF29" s="568">
        <f t="shared" si="12"/>
        <v>213.05609573980519</v>
      </c>
      <c r="AG29" s="568">
        <f t="shared" si="12"/>
        <v>212.74889005257995</v>
      </c>
      <c r="AH29" s="568">
        <f t="shared" si="12"/>
        <v>212.44276694447214</v>
      </c>
      <c r="AI29" s="568">
        <f t="shared" si="12"/>
        <v>212.13591336015384</v>
      </c>
      <c r="AJ29" s="568">
        <f t="shared" si="12"/>
        <v>211.82998861346897</v>
      </c>
      <c r="AK29" s="568">
        <f t="shared" si="13"/>
        <v>211.52376198997649</v>
      </c>
      <c r="AL29" s="568">
        <f t="shared" si="13"/>
        <v>211.2175358708086</v>
      </c>
      <c r="AM29" s="568">
        <f t="shared" si="13"/>
        <v>210.91447007081584</v>
      </c>
      <c r="AN29" s="568">
        <f t="shared" si="13"/>
        <v>210.61141001327741</v>
      </c>
      <c r="AO29" s="568">
        <f t="shared" si="13"/>
        <v>210.30835570553546</v>
      </c>
      <c r="AP29" s="568">
        <f t="shared" si="13"/>
        <v>210.00530715494145</v>
      </c>
      <c r="AQ29" s="568">
        <f t="shared" si="13"/>
        <v>209.70226436885625</v>
      </c>
      <c r="AR29" s="568">
        <f t="shared" si="13"/>
        <v>209.39922735465018</v>
      </c>
      <c r="AS29" s="568">
        <f t="shared" si="13"/>
        <v>209.09619611970297</v>
      </c>
      <c r="AT29" s="568">
        <f t="shared" si="13"/>
        <v>208.79317067140374</v>
      </c>
      <c r="AU29" s="568">
        <f t="shared" si="13"/>
        <v>208.49015101715113</v>
      </c>
      <c r="AV29" s="569">
        <v>5</v>
      </c>
      <c r="BF29" s="603"/>
      <c r="BG29" s="603"/>
      <c r="BH29" s="603"/>
      <c r="BI29" s="603"/>
      <c r="BJ29" s="603"/>
      <c r="BK29" s="603"/>
    </row>
    <row r="30" spans="2:67" ht="14.4">
      <c r="B30" s="8" t="str">
        <f>Processes!D30</f>
        <v>IMPKRB1</v>
      </c>
      <c r="C30" s="8" t="str">
        <f>Processes!E30</f>
        <v>Import technology - Bio Kerosene G1</v>
      </c>
      <c r="D30" s="262"/>
      <c r="E30" s="262" t="str">
        <f t="shared" si="4"/>
        <v>KRB1</v>
      </c>
      <c r="F30" s="823" t="str">
        <f t="shared" si="5"/>
        <v>MKr19</v>
      </c>
      <c r="G30" s="568">
        <f t="shared" si="10"/>
        <v>229.5</v>
      </c>
      <c r="H30" s="568">
        <f t="shared" si="10"/>
        <v>337.20000000000005</v>
      </c>
      <c r="I30" s="568">
        <f t="shared" si="10"/>
        <v>348.9</v>
      </c>
      <c r="J30" s="568">
        <f t="shared" si="10"/>
        <v>355.79999999999995</v>
      </c>
      <c r="K30" s="568">
        <f t="shared" si="10"/>
        <v>330.29999999999995</v>
      </c>
      <c r="L30" s="568">
        <f t="shared" si="10"/>
        <v>220.5</v>
      </c>
      <c r="M30" s="568">
        <f t="shared" si="10"/>
        <v>211.79999999999998</v>
      </c>
      <c r="N30" s="568">
        <f t="shared" si="10"/>
        <v>224.10000000000002</v>
      </c>
      <c r="O30" s="568">
        <f t="shared" si="10"/>
        <v>298.50322738417054</v>
      </c>
      <c r="P30" s="568">
        <f t="shared" si="10"/>
        <v>278.99089084641707</v>
      </c>
      <c r="Q30" s="568">
        <f t="shared" si="11"/>
        <v>274.55107525964041</v>
      </c>
      <c r="R30" s="568">
        <f t="shared" si="11"/>
        <v>208.59881902555028</v>
      </c>
      <c r="S30" s="568">
        <f t="shared" si="11"/>
        <v>218.82431563766235</v>
      </c>
      <c r="T30" s="568">
        <f t="shared" si="11"/>
        <v>225.79356732312834</v>
      </c>
      <c r="U30" s="568">
        <f t="shared" si="11"/>
        <v>230.88819475802381</v>
      </c>
      <c r="V30" s="568">
        <f t="shared" si="11"/>
        <v>234.59762823760838</v>
      </c>
      <c r="W30" s="568">
        <f t="shared" si="11"/>
        <v>238.69401825253578</v>
      </c>
      <c r="X30" s="568">
        <f t="shared" si="11"/>
        <v>242.70843455306965</v>
      </c>
      <c r="Y30" s="568">
        <f t="shared" si="11"/>
        <v>246.40179844419015</v>
      </c>
      <c r="Z30" s="568">
        <f t="shared" si="11"/>
        <v>250.28005410498935</v>
      </c>
      <c r="AA30" s="568">
        <f t="shared" si="12"/>
        <v>253.94962380780169</v>
      </c>
      <c r="AB30" s="568">
        <f t="shared" si="12"/>
        <v>253.03119252119313</v>
      </c>
      <c r="AC30" s="568">
        <f t="shared" si="12"/>
        <v>252.11056468169497</v>
      </c>
      <c r="AD30" s="568">
        <f t="shared" si="12"/>
        <v>251.19373795851385</v>
      </c>
      <c r="AE30" s="568">
        <f t="shared" si="12"/>
        <v>250.27460844347354</v>
      </c>
      <c r="AF30" s="568">
        <f t="shared" si="12"/>
        <v>249.35576901782761</v>
      </c>
      <c r="AG30" s="568">
        <f t="shared" si="12"/>
        <v>248.43415195615188</v>
      </c>
      <c r="AH30" s="568">
        <f t="shared" si="12"/>
        <v>247.51578263182847</v>
      </c>
      <c r="AI30" s="568">
        <f t="shared" si="12"/>
        <v>246.59522187887353</v>
      </c>
      <c r="AJ30" s="568">
        <f t="shared" si="12"/>
        <v>245.67744763881896</v>
      </c>
      <c r="AK30" s="568">
        <f t="shared" si="13"/>
        <v>244.75876776834153</v>
      </c>
      <c r="AL30" s="568">
        <f t="shared" si="13"/>
        <v>243.84008941083783</v>
      </c>
      <c r="AM30" s="568">
        <f t="shared" si="13"/>
        <v>242.93089201085957</v>
      </c>
      <c r="AN30" s="568">
        <f t="shared" si="13"/>
        <v>242.02171183824427</v>
      </c>
      <c r="AO30" s="568">
        <f t="shared" si="13"/>
        <v>241.11254891501844</v>
      </c>
      <c r="AP30" s="568">
        <f t="shared" si="13"/>
        <v>240.2034032632364</v>
      </c>
      <c r="AQ30" s="568">
        <f t="shared" si="13"/>
        <v>239.2942749049808</v>
      </c>
      <c r="AR30" s="568">
        <f t="shared" si="13"/>
        <v>238.38516386236259</v>
      </c>
      <c r="AS30" s="568">
        <f t="shared" si="13"/>
        <v>237.47607015752095</v>
      </c>
      <c r="AT30" s="568">
        <f t="shared" si="13"/>
        <v>236.56699381262328</v>
      </c>
      <c r="AU30" s="568">
        <f t="shared" si="13"/>
        <v>235.65793484986546</v>
      </c>
      <c r="AV30" s="569">
        <v>5</v>
      </c>
      <c r="BF30" s="603"/>
      <c r="BG30" s="603"/>
      <c r="BH30" s="603"/>
      <c r="BI30" s="603"/>
      <c r="BJ30" s="603"/>
      <c r="BK30" s="603"/>
    </row>
    <row r="31" spans="2:67" ht="14.4">
      <c r="B31" s="8" t="str">
        <f>Processes!D31</f>
        <v>IMPKRB2</v>
      </c>
      <c r="C31" s="8" t="str">
        <f>Processes!E31</f>
        <v>Import technology - Bio Kerosene G2</v>
      </c>
      <c r="D31" s="262"/>
      <c r="E31" s="262" t="str">
        <f t="shared" si="4"/>
        <v>KRB2</v>
      </c>
      <c r="F31" s="823" t="str">
        <f t="shared" si="5"/>
        <v>MKr19</v>
      </c>
      <c r="G31" s="568">
        <f t="shared" si="10"/>
        <v>252.45000000000002</v>
      </c>
      <c r="H31" s="568">
        <f t="shared" si="10"/>
        <v>400.87375303359806</v>
      </c>
      <c r="I31" s="568">
        <f t="shared" si="10"/>
        <v>412.573753033598</v>
      </c>
      <c r="J31" s="568">
        <f t="shared" si="10"/>
        <v>419.47375303359797</v>
      </c>
      <c r="K31" s="568">
        <f t="shared" si="10"/>
        <v>393.97375303359797</v>
      </c>
      <c r="L31" s="568">
        <f t="shared" si="10"/>
        <v>284.17375303359802</v>
      </c>
      <c r="M31" s="568">
        <f t="shared" si="10"/>
        <v>275.47375303359797</v>
      </c>
      <c r="N31" s="568">
        <f t="shared" si="10"/>
        <v>287.77375303359804</v>
      </c>
      <c r="O31" s="568">
        <f t="shared" si="10"/>
        <v>362.17698041776856</v>
      </c>
      <c r="P31" s="568">
        <f t="shared" si="10"/>
        <v>342.66464388001509</v>
      </c>
      <c r="Q31" s="568">
        <f t="shared" si="11"/>
        <v>338.22482829323843</v>
      </c>
      <c r="R31" s="568">
        <f t="shared" si="11"/>
        <v>272.27257205914827</v>
      </c>
      <c r="S31" s="568">
        <f t="shared" si="11"/>
        <v>282.49806867126034</v>
      </c>
      <c r="T31" s="568">
        <f t="shared" si="11"/>
        <v>289.46732035672636</v>
      </c>
      <c r="U31" s="568">
        <f t="shared" si="11"/>
        <v>294.56194779162183</v>
      </c>
      <c r="V31" s="568">
        <f t="shared" si="11"/>
        <v>298.27138127120639</v>
      </c>
      <c r="W31" s="568">
        <f t="shared" si="11"/>
        <v>302.3677712861338</v>
      </c>
      <c r="X31" s="568">
        <f t="shared" si="11"/>
        <v>306.38218758666767</v>
      </c>
      <c r="Y31" s="568">
        <f t="shared" si="11"/>
        <v>310.07555147778817</v>
      </c>
      <c r="Z31" s="568">
        <f t="shared" si="11"/>
        <v>313.95380713858736</v>
      </c>
      <c r="AA31" s="568">
        <f t="shared" si="12"/>
        <v>317.6233768413997</v>
      </c>
      <c r="AB31" s="568">
        <f t="shared" si="12"/>
        <v>316.70494555479115</v>
      </c>
      <c r="AC31" s="568">
        <f t="shared" si="12"/>
        <v>315.78431771529296</v>
      </c>
      <c r="AD31" s="568">
        <f t="shared" si="12"/>
        <v>314.86749099211187</v>
      </c>
      <c r="AE31" s="568">
        <f t="shared" si="12"/>
        <v>313.94836147707156</v>
      </c>
      <c r="AF31" s="568">
        <f t="shared" si="12"/>
        <v>313.0295220514256</v>
      </c>
      <c r="AG31" s="568">
        <f t="shared" si="12"/>
        <v>312.1079049897499</v>
      </c>
      <c r="AH31" s="568">
        <f t="shared" si="12"/>
        <v>311.18953566542649</v>
      </c>
      <c r="AI31" s="568">
        <f t="shared" si="12"/>
        <v>310.26897491247155</v>
      </c>
      <c r="AJ31" s="568">
        <f t="shared" si="12"/>
        <v>309.35120067241695</v>
      </c>
      <c r="AK31" s="568">
        <f t="shared" si="13"/>
        <v>308.43252080193952</v>
      </c>
      <c r="AL31" s="568">
        <f t="shared" si="13"/>
        <v>307.51384244443585</v>
      </c>
      <c r="AM31" s="568">
        <f t="shared" si="13"/>
        <v>306.60464504445758</v>
      </c>
      <c r="AN31" s="568">
        <f t="shared" si="13"/>
        <v>305.69546487184226</v>
      </c>
      <c r="AO31" s="568">
        <f t="shared" si="13"/>
        <v>304.78630194861643</v>
      </c>
      <c r="AP31" s="568">
        <f t="shared" si="13"/>
        <v>303.87715629683441</v>
      </c>
      <c r="AQ31" s="568">
        <f t="shared" si="13"/>
        <v>302.96802793857881</v>
      </c>
      <c r="AR31" s="568">
        <f t="shared" si="13"/>
        <v>302.05891689596058</v>
      </c>
      <c r="AS31" s="568">
        <f t="shared" si="13"/>
        <v>301.14982319111897</v>
      </c>
      <c r="AT31" s="568">
        <f t="shared" si="13"/>
        <v>300.24074684622127</v>
      </c>
      <c r="AU31" s="568">
        <f t="shared" si="13"/>
        <v>299.33168788346347</v>
      </c>
      <c r="AV31" s="569">
        <v>5</v>
      </c>
      <c r="BF31" s="612"/>
      <c r="BG31" s="603"/>
      <c r="BH31" s="603"/>
      <c r="BI31" s="603"/>
      <c r="BJ31" s="603"/>
      <c r="BK31" s="603"/>
    </row>
    <row r="32" spans="2:67" ht="14.4">
      <c r="B32" s="8" t="str">
        <f>Processes!D32</f>
        <v>IMPKRE</v>
      </c>
      <c r="C32" s="8" t="str">
        <f>Processes!E32</f>
        <v>Import technology - Electro Kerosene</v>
      </c>
      <c r="D32" s="262"/>
      <c r="E32" s="262" t="str">
        <f t="shared" si="4"/>
        <v>KRE</v>
      </c>
      <c r="F32" s="823" t="str">
        <f t="shared" si="5"/>
        <v>MKr19</v>
      </c>
      <c r="G32" s="568">
        <f t="shared" si="10"/>
        <v>504.90000000000003</v>
      </c>
      <c r="H32" s="568">
        <f t="shared" si="10"/>
        <v>801.74750606719613</v>
      </c>
      <c r="I32" s="568">
        <f t="shared" si="10"/>
        <v>825.14750606719599</v>
      </c>
      <c r="J32" s="568">
        <f t="shared" si="10"/>
        <v>838.94750606719595</v>
      </c>
      <c r="K32" s="568">
        <f t="shared" si="10"/>
        <v>787.94750606719595</v>
      </c>
      <c r="L32" s="568">
        <f t="shared" si="10"/>
        <v>568.34750606719604</v>
      </c>
      <c r="M32" s="568">
        <f t="shared" si="10"/>
        <v>550.94750606719595</v>
      </c>
      <c r="N32" s="568">
        <f t="shared" si="10"/>
        <v>575.54750606719608</v>
      </c>
      <c r="O32" s="568">
        <f t="shared" si="10"/>
        <v>724.35396083553712</v>
      </c>
      <c r="P32" s="568">
        <f t="shared" si="10"/>
        <v>685.32928776003018</v>
      </c>
      <c r="Q32" s="568">
        <f t="shared" si="11"/>
        <v>676.44965658647686</v>
      </c>
      <c r="R32" s="568">
        <f t="shared" si="11"/>
        <v>544.54514411829655</v>
      </c>
      <c r="S32" s="568">
        <f t="shared" si="11"/>
        <v>564.99613734252068</v>
      </c>
      <c r="T32" s="568">
        <f t="shared" si="11"/>
        <v>578.93464071345272</v>
      </c>
      <c r="U32" s="568">
        <f t="shared" si="11"/>
        <v>589.12389558324367</v>
      </c>
      <c r="V32" s="568">
        <f t="shared" si="11"/>
        <v>596.54276254241279</v>
      </c>
      <c r="W32" s="568">
        <f t="shared" si="11"/>
        <v>604.7355425722676</v>
      </c>
      <c r="X32" s="568">
        <f t="shared" si="11"/>
        <v>612.76437517333534</v>
      </c>
      <c r="Y32" s="568">
        <f t="shared" si="11"/>
        <v>620.15110295557633</v>
      </c>
      <c r="Z32" s="568">
        <f t="shared" si="11"/>
        <v>627.90761427717473</v>
      </c>
      <c r="AA32" s="568">
        <f t="shared" si="12"/>
        <v>635.24675368279941</v>
      </c>
      <c r="AB32" s="568">
        <f t="shared" si="12"/>
        <v>633.4098911095823</v>
      </c>
      <c r="AC32" s="568">
        <f t="shared" si="12"/>
        <v>631.56863543058591</v>
      </c>
      <c r="AD32" s="568">
        <f t="shared" si="12"/>
        <v>629.73498198422374</v>
      </c>
      <c r="AE32" s="568">
        <f t="shared" si="12"/>
        <v>627.89672295414312</v>
      </c>
      <c r="AF32" s="568">
        <f t="shared" si="12"/>
        <v>626.0590441028512</v>
      </c>
      <c r="AG32" s="568">
        <f t="shared" si="12"/>
        <v>624.2158099794998</v>
      </c>
      <c r="AH32" s="568">
        <f t="shared" si="12"/>
        <v>622.37907133085298</v>
      </c>
      <c r="AI32" s="568">
        <f t="shared" si="12"/>
        <v>620.5379498249431</v>
      </c>
      <c r="AJ32" s="568">
        <f t="shared" si="12"/>
        <v>618.7024013448339</v>
      </c>
      <c r="AK32" s="568">
        <f t="shared" si="13"/>
        <v>616.86504160387904</v>
      </c>
      <c r="AL32" s="568">
        <f t="shared" si="13"/>
        <v>615.0276848888717</v>
      </c>
      <c r="AM32" s="568">
        <f t="shared" si="13"/>
        <v>613.20929008891517</v>
      </c>
      <c r="AN32" s="568">
        <f t="shared" si="13"/>
        <v>611.39092974368452</v>
      </c>
      <c r="AO32" s="568">
        <f t="shared" si="13"/>
        <v>609.57260389723285</v>
      </c>
      <c r="AP32" s="568">
        <f t="shared" si="13"/>
        <v>607.75431259366883</v>
      </c>
      <c r="AQ32" s="568">
        <f t="shared" si="13"/>
        <v>605.93605587715763</v>
      </c>
      <c r="AR32" s="568">
        <f t="shared" si="13"/>
        <v>604.11783379192116</v>
      </c>
      <c r="AS32" s="568">
        <f t="shared" si="13"/>
        <v>602.29964638223794</v>
      </c>
      <c r="AT32" s="568">
        <f t="shared" si="13"/>
        <v>600.48149369244254</v>
      </c>
      <c r="AU32" s="568">
        <f t="shared" si="13"/>
        <v>598.66337576692695</v>
      </c>
      <c r="AV32" s="569">
        <v>5</v>
      </c>
      <c r="BF32" s="603"/>
      <c r="BG32" s="603"/>
      <c r="BH32" s="603"/>
      <c r="BI32" s="603"/>
      <c r="BJ32" s="603"/>
      <c r="BK32" s="603"/>
    </row>
    <row r="33" spans="2:108" ht="14.4">
      <c r="B33" s="8" t="str">
        <f>Processes!D33</f>
        <v>IMPSNG1</v>
      </c>
      <c r="C33" s="8" t="str">
        <f>Processes!E33</f>
        <v>Import technology - Bio Synt. Nat. Gas G1</v>
      </c>
      <c r="D33" s="262"/>
      <c r="E33" s="262" t="str">
        <f t="shared" si="4"/>
        <v>SNG1</v>
      </c>
      <c r="F33" s="823" t="str">
        <f t="shared" si="5"/>
        <v>MKr19</v>
      </c>
      <c r="G33" s="568">
        <f t="shared" si="10"/>
        <v>133.19999999999999</v>
      </c>
      <c r="H33" s="568">
        <f t="shared" si="10"/>
        <v>138.30000000000001</v>
      </c>
      <c r="I33" s="568">
        <f t="shared" si="10"/>
        <v>165.3</v>
      </c>
      <c r="J33" s="568">
        <f t="shared" si="10"/>
        <v>162.60000000000002</v>
      </c>
      <c r="K33" s="568">
        <f t="shared" si="10"/>
        <v>137.10000000000002</v>
      </c>
      <c r="L33" s="568">
        <f t="shared" si="10"/>
        <v>132</v>
      </c>
      <c r="M33" s="568">
        <f t="shared" si="10"/>
        <v>110.39999999999999</v>
      </c>
      <c r="N33" s="568">
        <f t="shared" si="10"/>
        <v>110.69999999999999</v>
      </c>
      <c r="O33" s="568">
        <f t="shared" si="10"/>
        <v>160.26655014555075</v>
      </c>
      <c r="P33" s="568">
        <f t="shared" si="10"/>
        <v>102.78303372186139</v>
      </c>
      <c r="Q33" s="568">
        <f t="shared" si="11"/>
        <v>100.19354995944677</v>
      </c>
      <c r="R33" s="568">
        <f t="shared" si="11"/>
        <v>94.575870076314601</v>
      </c>
      <c r="S33" s="568">
        <f t="shared" si="11"/>
        <v>98.287645864625688</v>
      </c>
      <c r="T33" s="568">
        <f t="shared" si="11"/>
        <v>100.1030649386264</v>
      </c>
      <c r="U33" s="568">
        <f t="shared" si="11"/>
        <v>100.70137176108622</v>
      </c>
      <c r="V33" s="568">
        <f t="shared" si="11"/>
        <v>100.518250388741</v>
      </c>
      <c r="W33" s="568">
        <f t="shared" si="11"/>
        <v>100.40291761291219</v>
      </c>
      <c r="X33" s="568">
        <f t="shared" si="11"/>
        <v>100.32884125869501</v>
      </c>
      <c r="Y33" s="568">
        <f t="shared" si="11"/>
        <v>100.26539877136038</v>
      </c>
      <c r="Z33" s="568">
        <f t="shared" si="11"/>
        <v>100.24266074406691</v>
      </c>
      <c r="AA33" s="568">
        <f t="shared" si="12"/>
        <v>100.23645783122964</v>
      </c>
      <c r="AB33" s="568">
        <f t="shared" si="12"/>
        <v>100.37471501444514</v>
      </c>
      <c r="AC33" s="568">
        <f t="shared" si="12"/>
        <v>100.51297219766064</v>
      </c>
      <c r="AD33" s="568">
        <f t="shared" si="12"/>
        <v>100.65122938087613</v>
      </c>
      <c r="AE33" s="568">
        <f t="shared" si="12"/>
        <v>100.78948656409162</v>
      </c>
      <c r="AF33" s="568">
        <f t="shared" si="12"/>
        <v>100.92774374730713</v>
      </c>
      <c r="AG33" s="568">
        <f t="shared" si="12"/>
        <v>101.06600093052263</v>
      </c>
      <c r="AH33" s="568">
        <f t="shared" si="12"/>
        <v>101.20425811373809</v>
      </c>
      <c r="AI33" s="568">
        <f t="shared" si="12"/>
        <v>101.34251529695359</v>
      </c>
      <c r="AJ33" s="568">
        <f t="shared" si="12"/>
        <v>101.48077248016905</v>
      </c>
      <c r="AK33" s="568">
        <f t="shared" si="13"/>
        <v>101.61902966338455</v>
      </c>
      <c r="AL33" s="568">
        <f t="shared" si="13"/>
        <v>101.75728684660005</v>
      </c>
      <c r="AM33" s="568">
        <f t="shared" si="13"/>
        <v>101.89554402981554</v>
      </c>
      <c r="AN33" s="568">
        <f t="shared" si="13"/>
        <v>102.03380121303101</v>
      </c>
      <c r="AO33" s="568">
        <f t="shared" si="13"/>
        <v>102.17205839624651</v>
      </c>
      <c r="AP33" s="568">
        <f t="shared" si="13"/>
        <v>102.31031557946201</v>
      </c>
      <c r="AQ33" s="568">
        <f t="shared" si="13"/>
        <v>102.44857276267751</v>
      </c>
      <c r="AR33" s="568">
        <f t="shared" si="13"/>
        <v>102.58682994589297</v>
      </c>
      <c r="AS33" s="568">
        <f t="shared" si="13"/>
        <v>102.72508712910849</v>
      </c>
      <c r="AT33" s="568">
        <f t="shared" si="13"/>
        <v>102.86334431232396</v>
      </c>
      <c r="AU33" s="568">
        <f t="shared" si="13"/>
        <v>103.00160149553948</v>
      </c>
      <c r="AV33" s="569">
        <v>5</v>
      </c>
      <c r="BF33" s="603"/>
      <c r="BG33" s="603"/>
      <c r="BH33" s="603"/>
      <c r="BI33" s="603"/>
      <c r="BJ33" s="603"/>
      <c r="BK33" s="603"/>
    </row>
    <row r="34" spans="2:108" ht="14.4">
      <c r="B34" s="8" t="str">
        <f>Processes!D34</f>
        <v>IMPSNG2</v>
      </c>
      <c r="C34" s="8" t="str">
        <f>Processes!E34</f>
        <v>Import technology - Bio Synt. Nat. Gas G2</v>
      </c>
      <c r="D34" s="262"/>
      <c r="E34" s="262" t="str">
        <f t="shared" si="4"/>
        <v>SNG2</v>
      </c>
      <c r="F34" s="823" t="str">
        <f t="shared" si="5"/>
        <v>MKr19</v>
      </c>
      <c r="G34" s="568">
        <f t="shared" si="10"/>
        <v>146.52000000000001</v>
      </c>
      <c r="H34" s="568">
        <f t="shared" si="10"/>
        <v>201.973753033598</v>
      </c>
      <c r="I34" s="568">
        <f t="shared" si="10"/>
        <v>228.973753033598</v>
      </c>
      <c r="J34" s="568">
        <f t="shared" si="10"/>
        <v>226.27375303359801</v>
      </c>
      <c r="K34" s="568">
        <f t="shared" si="10"/>
        <v>200.77375303359801</v>
      </c>
      <c r="L34" s="568">
        <f t="shared" si="10"/>
        <v>195.67375303359799</v>
      </c>
      <c r="M34" s="568">
        <f t="shared" si="10"/>
        <v>174.073753033598</v>
      </c>
      <c r="N34" s="568">
        <f t="shared" si="10"/>
        <v>174.37375303359798</v>
      </c>
      <c r="O34" s="568">
        <f t="shared" si="10"/>
        <v>223.94030317914874</v>
      </c>
      <c r="P34" s="568">
        <f t="shared" si="10"/>
        <v>166.45678675545938</v>
      </c>
      <c r="Q34" s="568">
        <f t="shared" si="11"/>
        <v>163.86730299304477</v>
      </c>
      <c r="R34" s="568">
        <f t="shared" si="11"/>
        <v>158.24962310991259</v>
      </c>
      <c r="S34" s="568">
        <f t="shared" si="11"/>
        <v>161.96139889822368</v>
      </c>
      <c r="T34" s="568">
        <f t="shared" si="11"/>
        <v>163.77681797222439</v>
      </c>
      <c r="U34" s="568">
        <f t="shared" si="11"/>
        <v>164.37512479468421</v>
      </c>
      <c r="V34" s="568">
        <f t="shared" si="11"/>
        <v>164.19200342233898</v>
      </c>
      <c r="W34" s="568">
        <f t="shared" si="11"/>
        <v>164.07667064651019</v>
      </c>
      <c r="X34" s="568">
        <f t="shared" si="11"/>
        <v>164.002594292293</v>
      </c>
      <c r="Y34" s="568">
        <f t="shared" si="11"/>
        <v>163.93915180495839</v>
      </c>
      <c r="Z34" s="568">
        <f t="shared" si="11"/>
        <v>163.9164137776649</v>
      </c>
      <c r="AA34" s="568">
        <f t="shared" si="12"/>
        <v>163.91021086482763</v>
      </c>
      <c r="AB34" s="568">
        <f t="shared" si="12"/>
        <v>164.04846804804313</v>
      </c>
      <c r="AC34" s="568">
        <f t="shared" si="12"/>
        <v>164.18672523125863</v>
      </c>
      <c r="AD34" s="568">
        <f t="shared" si="12"/>
        <v>164.32498241447414</v>
      </c>
      <c r="AE34" s="568">
        <f t="shared" si="12"/>
        <v>164.46323959768961</v>
      </c>
      <c r="AF34" s="568">
        <f t="shared" si="12"/>
        <v>164.60149678090514</v>
      </c>
      <c r="AG34" s="568">
        <f t="shared" si="12"/>
        <v>164.73975396412064</v>
      </c>
      <c r="AH34" s="568">
        <f t="shared" si="12"/>
        <v>164.87801114733608</v>
      </c>
      <c r="AI34" s="568">
        <f t="shared" si="12"/>
        <v>165.01626833055158</v>
      </c>
      <c r="AJ34" s="568">
        <f t="shared" si="12"/>
        <v>165.15452551376706</v>
      </c>
      <c r="AK34" s="568">
        <f t="shared" si="13"/>
        <v>165.29278269698256</v>
      </c>
      <c r="AL34" s="568">
        <f t="shared" si="13"/>
        <v>165.43103988019806</v>
      </c>
      <c r="AM34" s="568">
        <f t="shared" si="13"/>
        <v>165.56929706341353</v>
      </c>
      <c r="AN34" s="568">
        <f t="shared" si="13"/>
        <v>165.707554246629</v>
      </c>
      <c r="AO34" s="568">
        <f t="shared" si="13"/>
        <v>165.8458114298445</v>
      </c>
      <c r="AP34" s="568">
        <f t="shared" si="13"/>
        <v>165.98406861306</v>
      </c>
      <c r="AQ34" s="568">
        <f t="shared" si="13"/>
        <v>166.1223257962755</v>
      </c>
      <c r="AR34" s="568">
        <f t="shared" si="13"/>
        <v>166.26058297949098</v>
      </c>
      <c r="AS34" s="568">
        <f t="shared" si="13"/>
        <v>166.39884016270648</v>
      </c>
      <c r="AT34" s="568">
        <f t="shared" si="13"/>
        <v>166.53709734592195</v>
      </c>
      <c r="AU34" s="568">
        <f t="shared" si="13"/>
        <v>166.67535452913748</v>
      </c>
      <c r="AV34" s="569">
        <v>5</v>
      </c>
      <c r="BF34" s="603"/>
      <c r="BH34" s="603"/>
      <c r="BI34" s="603"/>
      <c r="BJ34" s="603"/>
      <c r="BK34" s="603"/>
    </row>
    <row r="35" spans="2:108" ht="14.4">
      <c r="B35" s="8" t="str">
        <f>Processes!D35</f>
        <v>IMPSNE</v>
      </c>
      <c r="C35" s="8" t="str">
        <f>Processes!E35</f>
        <v>Import technology - Electro Synt. Nat. Gas</v>
      </c>
      <c r="D35" s="262"/>
      <c r="E35" s="262" t="str">
        <f t="shared" si="4"/>
        <v>SNE</v>
      </c>
      <c r="F35" s="823" t="str">
        <f t="shared" si="5"/>
        <v>MKr19</v>
      </c>
      <c r="G35" s="568">
        <f t="shared" si="10"/>
        <v>293.04000000000002</v>
      </c>
      <c r="H35" s="568">
        <f t="shared" si="10"/>
        <v>403.947506067196</v>
      </c>
      <c r="I35" s="568">
        <f t="shared" si="10"/>
        <v>457.947506067196</v>
      </c>
      <c r="J35" s="568">
        <f t="shared" si="10"/>
        <v>452.54750606719603</v>
      </c>
      <c r="K35" s="568">
        <f t="shared" si="10"/>
        <v>401.54750606719603</v>
      </c>
      <c r="L35" s="568">
        <f t="shared" si="10"/>
        <v>391.34750606719598</v>
      </c>
      <c r="M35" s="568">
        <f t="shared" si="10"/>
        <v>348.14750606719599</v>
      </c>
      <c r="N35" s="568">
        <f t="shared" si="10"/>
        <v>348.74750606719596</v>
      </c>
      <c r="O35" s="568">
        <f t="shared" si="10"/>
        <v>447.88060635829748</v>
      </c>
      <c r="P35" s="568">
        <f t="shared" si="10"/>
        <v>332.91357351091875</v>
      </c>
      <c r="Q35" s="568">
        <f t="shared" si="11"/>
        <v>327.73460598608955</v>
      </c>
      <c r="R35" s="568">
        <f t="shared" si="11"/>
        <v>316.49924621982518</v>
      </c>
      <c r="S35" s="568">
        <f t="shared" si="11"/>
        <v>323.92279779644736</v>
      </c>
      <c r="T35" s="568">
        <f t="shared" si="11"/>
        <v>327.55363594444879</v>
      </c>
      <c r="U35" s="568">
        <f t="shared" si="11"/>
        <v>328.75024958936842</v>
      </c>
      <c r="V35" s="568">
        <f t="shared" si="11"/>
        <v>328.38400684467797</v>
      </c>
      <c r="W35" s="568">
        <f t="shared" si="11"/>
        <v>328.15334129302039</v>
      </c>
      <c r="X35" s="568">
        <f t="shared" si="11"/>
        <v>328.00518858458599</v>
      </c>
      <c r="Y35" s="568">
        <f t="shared" si="11"/>
        <v>327.87830360991677</v>
      </c>
      <c r="Z35" s="568">
        <f t="shared" si="11"/>
        <v>327.8328275553298</v>
      </c>
      <c r="AA35" s="568">
        <f t="shared" si="12"/>
        <v>327.82042172965527</v>
      </c>
      <c r="AB35" s="568">
        <f t="shared" si="12"/>
        <v>328.09693609608627</v>
      </c>
      <c r="AC35" s="568">
        <f t="shared" si="12"/>
        <v>328.37345046251727</v>
      </c>
      <c r="AD35" s="568">
        <f t="shared" si="12"/>
        <v>328.64996482894827</v>
      </c>
      <c r="AE35" s="568">
        <f t="shared" si="12"/>
        <v>328.92647919537922</v>
      </c>
      <c r="AF35" s="568">
        <f t="shared" si="12"/>
        <v>329.20299356181027</v>
      </c>
      <c r="AG35" s="568">
        <f t="shared" si="12"/>
        <v>329.47950792824128</v>
      </c>
      <c r="AH35" s="568">
        <f t="shared" si="12"/>
        <v>329.75602229467216</v>
      </c>
      <c r="AI35" s="568">
        <f t="shared" si="12"/>
        <v>330.03253666110317</v>
      </c>
      <c r="AJ35" s="568">
        <f t="shared" si="12"/>
        <v>330.30905102753411</v>
      </c>
      <c r="AK35" s="568">
        <f t="shared" si="13"/>
        <v>330.58556539396511</v>
      </c>
      <c r="AL35" s="568">
        <f t="shared" si="13"/>
        <v>330.86207976039611</v>
      </c>
      <c r="AM35" s="568">
        <f t="shared" si="13"/>
        <v>331.13859412682706</v>
      </c>
      <c r="AN35" s="568">
        <f t="shared" si="13"/>
        <v>331.415108493258</v>
      </c>
      <c r="AO35" s="568">
        <f t="shared" si="13"/>
        <v>331.69162285968901</v>
      </c>
      <c r="AP35" s="568">
        <f t="shared" si="13"/>
        <v>331.96813722612001</v>
      </c>
      <c r="AQ35" s="568">
        <f t="shared" si="13"/>
        <v>332.24465159255101</v>
      </c>
      <c r="AR35" s="568">
        <f t="shared" si="13"/>
        <v>332.52116595898195</v>
      </c>
      <c r="AS35" s="568">
        <f t="shared" si="13"/>
        <v>332.79768032541295</v>
      </c>
      <c r="AT35" s="568">
        <f t="shared" si="13"/>
        <v>333.0741946918439</v>
      </c>
      <c r="AU35" s="568">
        <f t="shared" si="13"/>
        <v>333.35070905827496</v>
      </c>
      <c r="AV35" s="569">
        <v>5</v>
      </c>
      <c r="BF35" s="603"/>
      <c r="BH35" s="603"/>
      <c r="BI35" s="603"/>
      <c r="BJ35" s="603"/>
      <c r="BK35" s="603"/>
    </row>
    <row r="36" spans="2:108" s="7" customFormat="1" ht="14.4">
      <c r="B36" s="8" t="str">
        <f>Processes!D36</f>
        <v>IMPDSB1</v>
      </c>
      <c r="C36" s="8" t="str">
        <f>Processes!E36</f>
        <v>Import technology - Biodiesel G1</v>
      </c>
      <c r="D36" s="262"/>
      <c r="E36" s="262" t="str">
        <f t="shared" si="4"/>
        <v>DSB1</v>
      </c>
      <c r="F36" s="823" t="str">
        <f t="shared" si="5"/>
        <v>MKr19</v>
      </c>
      <c r="G36" s="568">
        <f t="shared" ref="G36:P49" si="14">IFERROR(INDEX($G$121:$AU$176,MATCH($E36,$E$121:$E$176,0),MATCH(G$5,$G$120:$AU$120,0)),0)</f>
        <v>169.073753033598</v>
      </c>
      <c r="H36" s="568">
        <f t="shared" si="14"/>
        <v>181.073753033598</v>
      </c>
      <c r="I36" s="568">
        <f t="shared" si="14"/>
        <v>197.87375303359798</v>
      </c>
      <c r="J36" s="568">
        <f t="shared" si="14"/>
        <v>186.87375303359801</v>
      </c>
      <c r="K36" s="568">
        <f t="shared" si="14"/>
        <v>177.17375303359799</v>
      </c>
      <c r="L36" s="568">
        <f t="shared" si="14"/>
        <v>140.67375303359799</v>
      </c>
      <c r="M36" s="568">
        <f t="shared" si="14"/>
        <v>137.67375303359799</v>
      </c>
      <c r="N36" s="568">
        <f t="shared" si="14"/>
        <v>141.87375303359801</v>
      </c>
      <c r="O36" s="568">
        <f t="shared" si="14"/>
        <v>165.17482882832152</v>
      </c>
      <c r="P36" s="568">
        <f t="shared" si="14"/>
        <v>159.26071664907036</v>
      </c>
      <c r="Q36" s="568">
        <f t="shared" ref="Q36:Z49" si="15">IFERROR(INDEX($G$121:$AU$176,MATCH($E36,$E$121:$E$176,0),MATCH(Q$5,$G$120:$AU$120,0)),0)</f>
        <v>157.78077812014482</v>
      </c>
      <c r="R36" s="568">
        <f t="shared" si="15"/>
        <v>135.79669270878142</v>
      </c>
      <c r="S36" s="568">
        <f t="shared" si="15"/>
        <v>139.20519157948544</v>
      </c>
      <c r="T36" s="568">
        <f t="shared" si="15"/>
        <v>141.52827547464079</v>
      </c>
      <c r="U36" s="568">
        <f t="shared" si="15"/>
        <v>143.22648461960594</v>
      </c>
      <c r="V36" s="568">
        <f t="shared" si="15"/>
        <v>144.46296244613413</v>
      </c>
      <c r="W36" s="568">
        <f t="shared" si="15"/>
        <v>145.82842578444325</v>
      </c>
      <c r="X36" s="568">
        <f t="shared" si="15"/>
        <v>147.16656455128788</v>
      </c>
      <c r="Y36" s="568">
        <f t="shared" si="15"/>
        <v>148.39768584832805</v>
      </c>
      <c r="Z36" s="568">
        <f t="shared" si="15"/>
        <v>149.69043773526113</v>
      </c>
      <c r="AA36" s="568">
        <f t="shared" ref="AA36:AJ49" si="16">IFERROR(INDEX($G$121:$AU$176,MATCH($E36,$E$121:$E$176,0),MATCH(AA$5,$G$120:$AU$120,0)),0)</f>
        <v>150.91362763619856</v>
      </c>
      <c r="AB36" s="568">
        <f t="shared" si="16"/>
        <v>150.6074838739957</v>
      </c>
      <c r="AC36" s="568">
        <f t="shared" si="16"/>
        <v>150.30060792749632</v>
      </c>
      <c r="AD36" s="568">
        <f t="shared" si="16"/>
        <v>149.9949990197693</v>
      </c>
      <c r="AE36" s="568">
        <f t="shared" si="16"/>
        <v>149.68862251475585</v>
      </c>
      <c r="AF36" s="568">
        <f t="shared" si="16"/>
        <v>149.3823427062072</v>
      </c>
      <c r="AG36" s="568">
        <f t="shared" si="16"/>
        <v>149.07513701898196</v>
      </c>
      <c r="AH36" s="568">
        <f t="shared" si="16"/>
        <v>148.76901391087415</v>
      </c>
      <c r="AI36" s="568">
        <f t="shared" si="16"/>
        <v>148.46216032655585</v>
      </c>
      <c r="AJ36" s="568">
        <f t="shared" si="16"/>
        <v>148.15623557987098</v>
      </c>
      <c r="AK36" s="568">
        <f t="shared" ref="AK36:AU49" si="17">IFERROR(INDEX($G$121:$AU$176,MATCH($E36,$E$121:$E$176,0),MATCH(AK$5,$G$120:$AU$120,0)),0)</f>
        <v>147.8500089563785</v>
      </c>
      <c r="AL36" s="568">
        <f t="shared" si="17"/>
        <v>147.54378283721061</v>
      </c>
      <c r="AM36" s="568">
        <f t="shared" si="17"/>
        <v>147.24071703721785</v>
      </c>
      <c r="AN36" s="568">
        <f t="shared" si="17"/>
        <v>146.93765697967942</v>
      </c>
      <c r="AO36" s="568">
        <f t="shared" si="17"/>
        <v>146.63460267193747</v>
      </c>
      <c r="AP36" s="568">
        <f t="shared" si="17"/>
        <v>146.33155412134346</v>
      </c>
      <c r="AQ36" s="568">
        <f t="shared" si="17"/>
        <v>146.02851133525826</v>
      </c>
      <c r="AR36" s="568">
        <f t="shared" si="17"/>
        <v>145.72547432105219</v>
      </c>
      <c r="AS36" s="568">
        <f t="shared" si="17"/>
        <v>145.42244308610498</v>
      </c>
      <c r="AT36" s="568">
        <f t="shared" si="17"/>
        <v>145.11941763780575</v>
      </c>
      <c r="AU36" s="568">
        <f t="shared" si="17"/>
        <v>144.81639798355314</v>
      </c>
      <c r="AV36" s="569">
        <v>5</v>
      </c>
      <c r="BF36" s="603"/>
      <c r="BH36" s="603"/>
      <c r="BI36" s="603"/>
      <c r="BJ36" s="603"/>
      <c r="BK36" s="603"/>
      <c r="BL36" s="569"/>
      <c r="BM36" s="569"/>
      <c r="BN36" s="569"/>
      <c r="BO36" s="569"/>
      <c r="BP36" s="569"/>
      <c r="BQ36" s="569"/>
      <c r="BR36" s="569"/>
      <c r="BS36" s="569"/>
      <c r="BT36" s="569"/>
      <c r="BU36" s="569"/>
      <c r="BV36" s="569"/>
      <c r="BW36" s="569"/>
      <c r="BX36" s="569"/>
      <c r="BY36" s="569"/>
      <c r="BZ36" s="569"/>
      <c r="CA36" s="569"/>
      <c r="CB36" s="569"/>
      <c r="CC36" s="569"/>
      <c r="CD36" s="569"/>
      <c r="CE36" s="569"/>
      <c r="CF36" s="569"/>
      <c r="CG36" s="569"/>
      <c r="CH36" s="569"/>
      <c r="CI36" s="569"/>
      <c r="CJ36" s="569"/>
      <c r="CK36" s="569"/>
      <c r="CL36" s="569"/>
      <c r="CM36" s="569"/>
      <c r="CN36" s="569"/>
      <c r="CO36" s="569"/>
      <c r="CP36" s="569"/>
      <c r="CQ36" s="569"/>
      <c r="CR36" s="569"/>
      <c r="CS36" s="569"/>
      <c r="CT36" s="569"/>
      <c r="CU36" s="569"/>
      <c r="CV36" s="569"/>
      <c r="CW36" s="569"/>
      <c r="CX36" s="569"/>
      <c r="CY36" s="569"/>
      <c r="CZ36" s="569"/>
      <c r="DA36" s="569"/>
      <c r="DB36" s="569"/>
      <c r="DC36" s="569"/>
      <c r="DD36" s="569"/>
    </row>
    <row r="37" spans="2:108" s="7" customFormat="1" ht="14.4">
      <c r="B37" s="8" t="str">
        <f>Processes!D37</f>
        <v>IMPDSB2</v>
      </c>
      <c r="C37" s="8" t="str">
        <f>Processes!E37</f>
        <v>Import technology - Biodiesel G2</v>
      </c>
      <c r="D37" s="262"/>
      <c r="E37" s="262" t="str">
        <f t="shared" si="4"/>
        <v>DSB2</v>
      </c>
      <c r="F37" s="823" t="str">
        <f t="shared" si="5"/>
        <v>MKr19</v>
      </c>
      <c r="G37" s="568">
        <f t="shared" si="14"/>
        <v>185.98112833695782</v>
      </c>
      <c r="H37" s="568">
        <f t="shared" si="14"/>
        <v>244.74750606719599</v>
      </c>
      <c r="I37" s="568">
        <f t="shared" si="14"/>
        <v>261.54750606719597</v>
      </c>
      <c r="J37" s="568">
        <f t="shared" si="14"/>
        <v>250.547506067196</v>
      </c>
      <c r="K37" s="568">
        <f t="shared" si="14"/>
        <v>240.84750606719598</v>
      </c>
      <c r="L37" s="568">
        <f t="shared" si="14"/>
        <v>204.34750606719598</v>
      </c>
      <c r="M37" s="568">
        <f t="shared" si="14"/>
        <v>201.34750606719598</v>
      </c>
      <c r="N37" s="568">
        <f t="shared" si="14"/>
        <v>205.547506067196</v>
      </c>
      <c r="O37" s="568">
        <f t="shared" si="14"/>
        <v>228.84858186191951</v>
      </c>
      <c r="P37" s="568">
        <f t="shared" si="14"/>
        <v>222.93446968266835</v>
      </c>
      <c r="Q37" s="568">
        <f t="shared" si="15"/>
        <v>221.45453115374281</v>
      </c>
      <c r="R37" s="568">
        <f t="shared" si="15"/>
        <v>199.47044574237941</v>
      </c>
      <c r="S37" s="568">
        <f t="shared" si="15"/>
        <v>202.87894461308343</v>
      </c>
      <c r="T37" s="568">
        <f t="shared" si="15"/>
        <v>205.20202850823878</v>
      </c>
      <c r="U37" s="568">
        <f t="shared" si="15"/>
        <v>206.90023765320393</v>
      </c>
      <c r="V37" s="568">
        <f t="shared" si="15"/>
        <v>208.13671547973212</v>
      </c>
      <c r="W37" s="568">
        <f t="shared" si="15"/>
        <v>209.50217881804124</v>
      </c>
      <c r="X37" s="568">
        <f t="shared" si="15"/>
        <v>210.84031758488587</v>
      </c>
      <c r="Y37" s="568">
        <f t="shared" si="15"/>
        <v>212.07143888192604</v>
      </c>
      <c r="Z37" s="568">
        <f t="shared" si="15"/>
        <v>213.36419076885912</v>
      </c>
      <c r="AA37" s="568">
        <f t="shared" si="16"/>
        <v>214.58738066979654</v>
      </c>
      <c r="AB37" s="568">
        <f t="shared" si="16"/>
        <v>214.28123690759369</v>
      </c>
      <c r="AC37" s="568">
        <f t="shared" si="16"/>
        <v>213.97436096109431</v>
      </c>
      <c r="AD37" s="568">
        <f t="shared" si="16"/>
        <v>213.66875205336729</v>
      </c>
      <c r="AE37" s="568">
        <f t="shared" si="16"/>
        <v>213.36237554835384</v>
      </c>
      <c r="AF37" s="568">
        <f t="shared" si="16"/>
        <v>213.05609573980519</v>
      </c>
      <c r="AG37" s="568">
        <f t="shared" si="16"/>
        <v>212.74889005257995</v>
      </c>
      <c r="AH37" s="568">
        <f t="shared" si="16"/>
        <v>212.44276694447214</v>
      </c>
      <c r="AI37" s="568">
        <f t="shared" si="16"/>
        <v>212.13591336015384</v>
      </c>
      <c r="AJ37" s="568">
        <f t="shared" si="16"/>
        <v>211.82998861346897</v>
      </c>
      <c r="AK37" s="568">
        <f t="shared" si="17"/>
        <v>211.52376198997649</v>
      </c>
      <c r="AL37" s="568">
        <f t="shared" si="17"/>
        <v>211.2175358708086</v>
      </c>
      <c r="AM37" s="568">
        <f t="shared" si="17"/>
        <v>210.91447007081584</v>
      </c>
      <c r="AN37" s="568">
        <f t="shared" si="17"/>
        <v>210.61141001327741</v>
      </c>
      <c r="AO37" s="568">
        <f t="shared" si="17"/>
        <v>210.30835570553546</v>
      </c>
      <c r="AP37" s="568">
        <f t="shared" si="17"/>
        <v>210.00530715494145</v>
      </c>
      <c r="AQ37" s="568">
        <f t="shared" si="17"/>
        <v>209.70226436885625</v>
      </c>
      <c r="AR37" s="568">
        <f t="shared" si="17"/>
        <v>209.39922735465018</v>
      </c>
      <c r="AS37" s="568">
        <f t="shared" si="17"/>
        <v>209.09619611970297</v>
      </c>
      <c r="AT37" s="568">
        <f t="shared" si="17"/>
        <v>208.79317067140374</v>
      </c>
      <c r="AU37" s="568">
        <f t="shared" si="17"/>
        <v>208.49015101715113</v>
      </c>
      <c r="AV37" s="569">
        <v>5</v>
      </c>
      <c r="BF37" s="603"/>
      <c r="BG37" s="603"/>
      <c r="BH37" s="603"/>
      <c r="BI37" s="603"/>
      <c r="BJ37" s="603"/>
      <c r="BK37" s="603"/>
      <c r="BL37" s="569"/>
      <c r="BM37" s="569"/>
      <c r="BN37" s="569"/>
      <c r="BO37" s="569"/>
      <c r="BP37" s="569"/>
      <c r="BQ37" s="569"/>
      <c r="BR37" s="569"/>
      <c r="BS37" s="569"/>
      <c r="BT37" s="569"/>
      <c r="BU37" s="569"/>
      <c r="BV37" s="569"/>
      <c r="BW37" s="569"/>
      <c r="BX37" s="569"/>
      <c r="BY37" s="569"/>
      <c r="BZ37" s="569"/>
      <c r="CA37" s="569"/>
      <c r="CB37" s="569"/>
      <c r="CC37" s="569"/>
      <c r="CD37" s="569"/>
      <c r="CE37" s="569"/>
      <c r="CF37" s="569"/>
      <c r="CG37" s="569"/>
      <c r="CH37" s="569"/>
      <c r="CI37" s="569"/>
      <c r="CJ37" s="569"/>
      <c r="CK37" s="569"/>
      <c r="CL37" s="569"/>
      <c r="CM37" s="569"/>
      <c r="CN37" s="569"/>
      <c r="CO37" s="569"/>
      <c r="CP37" s="569"/>
      <c r="CQ37" s="569"/>
      <c r="CR37" s="569"/>
      <c r="CS37" s="569"/>
      <c r="CT37" s="569"/>
      <c r="CU37" s="569"/>
      <c r="CV37" s="569"/>
      <c r="CW37" s="569"/>
      <c r="CX37" s="569"/>
      <c r="CY37" s="569"/>
      <c r="CZ37" s="569"/>
      <c r="DA37" s="569"/>
      <c r="DB37" s="569"/>
      <c r="DC37" s="569"/>
      <c r="DD37" s="569"/>
    </row>
    <row r="38" spans="2:108" s="7" customFormat="1" ht="14.4">
      <c r="B38" s="8" t="str">
        <f>Processes!D38</f>
        <v>IMPDSE</v>
      </c>
      <c r="C38" s="8" t="str">
        <f>Processes!E38</f>
        <v>Import technology - Electro Diesel</v>
      </c>
      <c r="D38" s="262"/>
      <c r="E38" s="262" t="str">
        <f t="shared" si="4"/>
        <v>DSE</v>
      </c>
      <c r="F38" s="823" t="str">
        <f t="shared" si="5"/>
        <v>MKr19</v>
      </c>
      <c r="G38" s="568">
        <f t="shared" si="14"/>
        <v>371.96225667391565</v>
      </c>
      <c r="H38" s="568">
        <f t="shared" si="14"/>
        <v>489.49501213439197</v>
      </c>
      <c r="I38" s="568">
        <f t="shared" si="14"/>
        <v>523.09501213439194</v>
      </c>
      <c r="J38" s="568">
        <f t="shared" si="14"/>
        <v>501.09501213439199</v>
      </c>
      <c r="K38" s="568">
        <f t="shared" si="14"/>
        <v>481.69501213439196</v>
      </c>
      <c r="L38" s="568">
        <f t="shared" si="14"/>
        <v>408.69501213439196</v>
      </c>
      <c r="M38" s="568">
        <f t="shared" si="14"/>
        <v>402.69501213439196</v>
      </c>
      <c r="N38" s="568">
        <f t="shared" si="14"/>
        <v>411.09501213439199</v>
      </c>
      <c r="O38" s="568">
        <f t="shared" si="14"/>
        <v>457.69716372383903</v>
      </c>
      <c r="P38" s="568">
        <f t="shared" si="14"/>
        <v>445.8689393653367</v>
      </c>
      <c r="Q38" s="568">
        <f t="shared" si="15"/>
        <v>442.90906230748561</v>
      </c>
      <c r="R38" s="568">
        <f t="shared" si="15"/>
        <v>398.94089148475882</v>
      </c>
      <c r="S38" s="568">
        <f t="shared" si="15"/>
        <v>405.75788922616687</v>
      </c>
      <c r="T38" s="568">
        <f t="shared" si="15"/>
        <v>410.40405701647757</v>
      </c>
      <c r="U38" s="568">
        <f t="shared" si="15"/>
        <v>413.80047530640786</v>
      </c>
      <c r="V38" s="568">
        <f t="shared" si="15"/>
        <v>416.27343095946424</v>
      </c>
      <c r="W38" s="568">
        <f t="shared" si="15"/>
        <v>419.00435763608249</v>
      </c>
      <c r="X38" s="568">
        <f t="shared" si="15"/>
        <v>421.68063516977173</v>
      </c>
      <c r="Y38" s="568">
        <f t="shared" si="15"/>
        <v>424.14287776385208</v>
      </c>
      <c r="Z38" s="568">
        <f t="shared" si="15"/>
        <v>426.72838153771823</v>
      </c>
      <c r="AA38" s="568">
        <f t="shared" si="16"/>
        <v>429.17476133959309</v>
      </c>
      <c r="AB38" s="568">
        <f t="shared" si="16"/>
        <v>428.56247381518739</v>
      </c>
      <c r="AC38" s="568">
        <f t="shared" si="16"/>
        <v>427.94872192218861</v>
      </c>
      <c r="AD38" s="568">
        <f t="shared" si="16"/>
        <v>427.33750410673457</v>
      </c>
      <c r="AE38" s="568">
        <f t="shared" si="16"/>
        <v>426.72475109670768</v>
      </c>
      <c r="AF38" s="568">
        <f t="shared" si="16"/>
        <v>426.11219147961037</v>
      </c>
      <c r="AG38" s="568">
        <f t="shared" si="16"/>
        <v>425.4977801051599</v>
      </c>
      <c r="AH38" s="568">
        <f t="shared" si="16"/>
        <v>424.88553388894428</v>
      </c>
      <c r="AI38" s="568">
        <f t="shared" si="16"/>
        <v>424.27182672030767</v>
      </c>
      <c r="AJ38" s="568">
        <f t="shared" si="16"/>
        <v>423.65997722693794</v>
      </c>
      <c r="AK38" s="568">
        <f t="shared" si="17"/>
        <v>423.04752397995298</v>
      </c>
      <c r="AL38" s="568">
        <f t="shared" si="17"/>
        <v>422.43507174161721</v>
      </c>
      <c r="AM38" s="568">
        <f t="shared" si="17"/>
        <v>421.82894014163168</v>
      </c>
      <c r="AN38" s="568">
        <f t="shared" si="17"/>
        <v>421.22282002655481</v>
      </c>
      <c r="AO38" s="568">
        <f t="shared" si="17"/>
        <v>420.61671141107092</v>
      </c>
      <c r="AP38" s="568">
        <f t="shared" si="17"/>
        <v>420.0106143098829</v>
      </c>
      <c r="AQ38" s="568">
        <f t="shared" si="17"/>
        <v>419.4045287377125</v>
      </c>
      <c r="AR38" s="568">
        <f t="shared" si="17"/>
        <v>418.79845470930036</v>
      </c>
      <c r="AS38" s="568">
        <f t="shared" si="17"/>
        <v>418.19239223940593</v>
      </c>
      <c r="AT38" s="568">
        <f t="shared" si="17"/>
        <v>417.58634134280749</v>
      </c>
      <c r="AU38" s="568">
        <f t="shared" si="17"/>
        <v>416.98030203430227</v>
      </c>
      <c r="AV38" s="569">
        <v>5</v>
      </c>
      <c r="BF38" s="603"/>
      <c r="BG38" s="603"/>
      <c r="BH38" s="603"/>
      <c r="BI38" s="603"/>
      <c r="BJ38" s="603"/>
      <c r="BK38" s="603"/>
    </row>
    <row r="39" spans="2:108" s="7" customFormat="1" ht="14.4">
      <c r="B39" s="8" t="str">
        <f>Processes!D39</f>
        <v>IMPGSB1</v>
      </c>
      <c r="C39" s="8" t="str">
        <f>Processes!E39</f>
        <v>Import technology - Bioethanol G1</v>
      </c>
      <c r="D39" s="262"/>
      <c r="E39" s="262" t="str">
        <f t="shared" si="4"/>
        <v>GSB1</v>
      </c>
      <c r="F39" s="823" t="str">
        <f t="shared" si="5"/>
        <v>MKr19</v>
      </c>
      <c r="G39" s="568">
        <f t="shared" si="14"/>
        <v>191.9869989234187</v>
      </c>
      <c r="H39" s="568">
        <f t="shared" si="14"/>
        <v>222.08699892341872</v>
      </c>
      <c r="I39" s="568">
        <f t="shared" si="14"/>
        <v>235.88699892341867</v>
      </c>
      <c r="J39" s="568">
        <f t="shared" si="14"/>
        <v>221.18699892341868</v>
      </c>
      <c r="K39" s="568">
        <f t="shared" si="14"/>
        <v>213.9869989234187</v>
      </c>
      <c r="L39" s="568">
        <f t="shared" si="14"/>
        <v>177.3869989234187</v>
      </c>
      <c r="M39" s="568">
        <f t="shared" si="14"/>
        <v>174.4869989234187</v>
      </c>
      <c r="N39" s="568">
        <f t="shared" si="14"/>
        <v>178.58699892341872</v>
      </c>
      <c r="O39" s="568">
        <f t="shared" si="14"/>
        <v>201.58807471814222</v>
      </c>
      <c r="P39" s="568">
        <f t="shared" si="14"/>
        <v>196.93396253889108</v>
      </c>
      <c r="Q39" s="568">
        <f t="shared" si="15"/>
        <v>195.45402400996551</v>
      </c>
      <c r="R39" s="568">
        <f t="shared" si="15"/>
        <v>173.46993859860214</v>
      </c>
      <c r="S39" s="568">
        <f t="shared" si="15"/>
        <v>176.87843746930616</v>
      </c>
      <c r="T39" s="568">
        <f t="shared" si="15"/>
        <v>179.20152136446148</v>
      </c>
      <c r="U39" s="568">
        <f t="shared" si="15"/>
        <v>180.89973050942663</v>
      </c>
      <c r="V39" s="568">
        <f t="shared" si="15"/>
        <v>182.13620833595482</v>
      </c>
      <c r="W39" s="568">
        <f t="shared" si="15"/>
        <v>183.50167167426395</v>
      </c>
      <c r="X39" s="568">
        <f t="shared" si="15"/>
        <v>184.83981044110857</v>
      </c>
      <c r="Y39" s="568">
        <f t="shared" si="15"/>
        <v>186.07093173814874</v>
      </c>
      <c r="Z39" s="568">
        <f t="shared" si="15"/>
        <v>187.36368362508182</v>
      </c>
      <c r="AA39" s="568">
        <f t="shared" si="16"/>
        <v>188.58687352601925</v>
      </c>
      <c r="AB39" s="568">
        <f t="shared" si="16"/>
        <v>188.2807297638164</v>
      </c>
      <c r="AC39" s="568">
        <f t="shared" si="16"/>
        <v>187.97385381731704</v>
      </c>
      <c r="AD39" s="568">
        <f t="shared" si="16"/>
        <v>187.66824490958999</v>
      </c>
      <c r="AE39" s="568">
        <f t="shared" si="16"/>
        <v>187.36186840457654</v>
      </c>
      <c r="AF39" s="568">
        <f t="shared" si="16"/>
        <v>187.05558859602792</v>
      </c>
      <c r="AG39" s="568">
        <f t="shared" si="16"/>
        <v>186.74838290880265</v>
      </c>
      <c r="AH39" s="568">
        <f t="shared" si="16"/>
        <v>186.44225980069484</v>
      </c>
      <c r="AI39" s="568">
        <f t="shared" si="16"/>
        <v>186.13540621637654</v>
      </c>
      <c r="AJ39" s="568">
        <f t="shared" si="16"/>
        <v>185.8294814696917</v>
      </c>
      <c r="AK39" s="568">
        <f t="shared" si="17"/>
        <v>185.52325484619922</v>
      </c>
      <c r="AL39" s="568">
        <f t="shared" si="17"/>
        <v>185.21702872703131</v>
      </c>
      <c r="AM39" s="568">
        <f t="shared" si="17"/>
        <v>184.91396292703854</v>
      </c>
      <c r="AN39" s="568">
        <f t="shared" si="17"/>
        <v>184.61090286950014</v>
      </c>
      <c r="AO39" s="568">
        <f t="shared" si="17"/>
        <v>184.30784856175819</v>
      </c>
      <c r="AP39" s="568">
        <f t="shared" si="17"/>
        <v>184.00480001116415</v>
      </c>
      <c r="AQ39" s="568">
        <f t="shared" si="17"/>
        <v>183.70175722507895</v>
      </c>
      <c r="AR39" s="568">
        <f t="shared" si="17"/>
        <v>183.39872021087291</v>
      </c>
      <c r="AS39" s="568">
        <f t="shared" si="17"/>
        <v>183.09568897592567</v>
      </c>
      <c r="AT39" s="568">
        <f t="shared" si="17"/>
        <v>182.79266352762647</v>
      </c>
      <c r="AU39" s="568">
        <f t="shared" si="17"/>
        <v>182.48964387337384</v>
      </c>
      <c r="AV39" s="569">
        <v>5</v>
      </c>
      <c r="BF39" s="603"/>
      <c r="BG39" s="603"/>
      <c r="BH39" s="603"/>
      <c r="BI39" s="603"/>
      <c r="BJ39" s="603"/>
      <c r="BK39" s="603"/>
    </row>
    <row r="40" spans="2:108" s="7" customFormat="1" ht="14.4">
      <c r="B40" s="8" t="str">
        <f>Processes!D40</f>
        <v>IMPGSB2</v>
      </c>
      <c r="C40" s="8" t="str">
        <f>Processes!E40</f>
        <v>Import technology - Bioethanol G2</v>
      </c>
      <c r="D40" s="262"/>
      <c r="E40" s="262" t="str">
        <f t="shared" si="4"/>
        <v>GSB2</v>
      </c>
      <c r="F40" s="823" t="str">
        <f t="shared" si="5"/>
        <v>MKr19</v>
      </c>
      <c r="G40" s="568">
        <f t="shared" si="14"/>
        <v>211.18569881576059</v>
      </c>
      <c r="H40" s="568">
        <f t="shared" si="14"/>
        <v>321.2739978468374</v>
      </c>
      <c r="I40" s="568">
        <f t="shared" si="14"/>
        <v>335.07399784683736</v>
      </c>
      <c r="J40" s="568">
        <f t="shared" si="14"/>
        <v>320.37399784683737</v>
      </c>
      <c r="K40" s="568">
        <f t="shared" si="14"/>
        <v>313.17399784683738</v>
      </c>
      <c r="L40" s="568">
        <f t="shared" si="14"/>
        <v>276.57399784683741</v>
      </c>
      <c r="M40" s="568">
        <f t="shared" si="14"/>
        <v>273.67399784683738</v>
      </c>
      <c r="N40" s="568">
        <f t="shared" si="14"/>
        <v>277.7739978468374</v>
      </c>
      <c r="O40" s="568">
        <f t="shared" si="14"/>
        <v>300.77507364156094</v>
      </c>
      <c r="P40" s="568">
        <f t="shared" si="14"/>
        <v>296.12096146230977</v>
      </c>
      <c r="Q40" s="568">
        <f t="shared" si="15"/>
        <v>294.64102293338419</v>
      </c>
      <c r="R40" s="568">
        <f t="shared" si="15"/>
        <v>272.65693752202083</v>
      </c>
      <c r="S40" s="568">
        <f t="shared" si="15"/>
        <v>276.06543639272485</v>
      </c>
      <c r="T40" s="568">
        <f t="shared" si="15"/>
        <v>278.38852028788017</v>
      </c>
      <c r="U40" s="568">
        <f t="shared" si="15"/>
        <v>280.08672943284535</v>
      </c>
      <c r="V40" s="568">
        <f t="shared" si="15"/>
        <v>281.32320725937353</v>
      </c>
      <c r="W40" s="568">
        <f t="shared" si="15"/>
        <v>282.68867059768263</v>
      </c>
      <c r="X40" s="568">
        <f t="shared" si="15"/>
        <v>284.02680936452725</v>
      </c>
      <c r="Y40" s="568">
        <f t="shared" si="15"/>
        <v>285.25793066156746</v>
      </c>
      <c r="Z40" s="568">
        <f t="shared" si="15"/>
        <v>286.5506825485005</v>
      </c>
      <c r="AA40" s="568">
        <f t="shared" si="16"/>
        <v>287.77387244943793</v>
      </c>
      <c r="AB40" s="568">
        <f t="shared" si="16"/>
        <v>287.46772868723508</v>
      </c>
      <c r="AC40" s="568">
        <f t="shared" si="16"/>
        <v>287.16085274073572</v>
      </c>
      <c r="AD40" s="568">
        <f t="shared" si="16"/>
        <v>286.85524383300867</v>
      </c>
      <c r="AE40" s="568">
        <f t="shared" si="16"/>
        <v>286.54886732799525</v>
      </c>
      <c r="AF40" s="568">
        <f t="shared" si="16"/>
        <v>286.2425875194466</v>
      </c>
      <c r="AG40" s="568">
        <f t="shared" si="16"/>
        <v>285.93538183222137</v>
      </c>
      <c r="AH40" s="568">
        <f t="shared" si="16"/>
        <v>285.62925872411353</v>
      </c>
      <c r="AI40" s="568">
        <f t="shared" si="16"/>
        <v>285.32240513979525</v>
      </c>
      <c r="AJ40" s="568">
        <f t="shared" si="16"/>
        <v>285.01648039311038</v>
      </c>
      <c r="AK40" s="568">
        <f t="shared" si="17"/>
        <v>284.71025376961791</v>
      </c>
      <c r="AL40" s="568">
        <f t="shared" si="17"/>
        <v>284.40402765045002</v>
      </c>
      <c r="AM40" s="568">
        <f t="shared" si="17"/>
        <v>284.10096185045722</v>
      </c>
      <c r="AN40" s="568">
        <f t="shared" si="17"/>
        <v>283.79790179291882</v>
      </c>
      <c r="AO40" s="568">
        <f t="shared" si="17"/>
        <v>283.49484748517688</v>
      </c>
      <c r="AP40" s="568">
        <f t="shared" si="17"/>
        <v>283.19179893458283</v>
      </c>
      <c r="AQ40" s="568">
        <f t="shared" si="17"/>
        <v>282.88875614849763</v>
      </c>
      <c r="AR40" s="568">
        <f t="shared" si="17"/>
        <v>282.58571913429159</v>
      </c>
      <c r="AS40" s="568">
        <f t="shared" si="17"/>
        <v>282.28268789934435</v>
      </c>
      <c r="AT40" s="568">
        <f t="shared" si="17"/>
        <v>281.97966245104516</v>
      </c>
      <c r="AU40" s="568">
        <f t="shared" si="17"/>
        <v>281.67664279679252</v>
      </c>
      <c r="AV40" s="569">
        <v>5</v>
      </c>
      <c r="BF40" s="603"/>
      <c r="BG40" s="603"/>
      <c r="BH40" s="603"/>
      <c r="BI40" s="603"/>
      <c r="BJ40" s="603"/>
      <c r="BK40" s="603"/>
    </row>
    <row r="41" spans="2:108" s="7" customFormat="1" ht="14.4">
      <c r="B41" s="8" t="str">
        <f>Processes!D41</f>
        <v>IMPGSE</v>
      </c>
      <c r="C41" s="8" t="str">
        <f>Processes!E41</f>
        <v>Import technology - Electro Gasoline</v>
      </c>
      <c r="D41" s="262"/>
      <c r="E41" s="262" t="str">
        <f t="shared" si="4"/>
        <v>GSE</v>
      </c>
      <c r="F41" s="823" t="str">
        <f t="shared" si="5"/>
        <v>MKr19</v>
      </c>
      <c r="G41" s="568">
        <f t="shared" si="14"/>
        <v>422.37139763152118</v>
      </c>
      <c r="H41" s="568">
        <f t="shared" si="14"/>
        <v>642.54799569367481</v>
      </c>
      <c r="I41" s="568">
        <f t="shared" si="14"/>
        <v>670.14799569367472</v>
      </c>
      <c r="J41" s="568">
        <f t="shared" si="14"/>
        <v>640.74799569367474</v>
      </c>
      <c r="K41" s="568">
        <f t="shared" si="14"/>
        <v>626.34799569367476</v>
      </c>
      <c r="L41" s="568">
        <f t="shared" si="14"/>
        <v>553.14799569367483</v>
      </c>
      <c r="M41" s="568">
        <f t="shared" si="14"/>
        <v>547.34799569367476</v>
      </c>
      <c r="N41" s="568">
        <f t="shared" si="14"/>
        <v>555.54799569367481</v>
      </c>
      <c r="O41" s="568">
        <f t="shared" si="14"/>
        <v>601.55014728312187</v>
      </c>
      <c r="P41" s="568">
        <f t="shared" si="14"/>
        <v>592.24192292461953</v>
      </c>
      <c r="Q41" s="568">
        <f t="shared" si="15"/>
        <v>589.28204586676839</v>
      </c>
      <c r="R41" s="568">
        <f t="shared" si="15"/>
        <v>545.31387504404165</v>
      </c>
      <c r="S41" s="568">
        <f t="shared" si="15"/>
        <v>552.1308727854497</v>
      </c>
      <c r="T41" s="568">
        <f t="shared" si="15"/>
        <v>556.77704057576034</v>
      </c>
      <c r="U41" s="568">
        <f t="shared" si="15"/>
        <v>560.17345886569069</v>
      </c>
      <c r="V41" s="568">
        <f t="shared" si="15"/>
        <v>562.64641451874706</v>
      </c>
      <c r="W41" s="568">
        <f t="shared" si="15"/>
        <v>565.37734119536526</v>
      </c>
      <c r="X41" s="568">
        <f t="shared" si="15"/>
        <v>568.05361872905451</v>
      </c>
      <c r="Y41" s="568">
        <f t="shared" si="15"/>
        <v>570.51586132313491</v>
      </c>
      <c r="Z41" s="568">
        <f t="shared" si="15"/>
        <v>573.10136509700101</v>
      </c>
      <c r="AA41" s="568">
        <f t="shared" si="16"/>
        <v>575.54774489887586</v>
      </c>
      <c r="AB41" s="568">
        <f t="shared" si="16"/>
        <v>574.93545737447016</v>
      </c>
      <c r="AC41" s="568">
        <f t="shared" si="16"/>
        <v>574.32170548147144</v>
      </c>
      <c r="AD41" s="568">
        <f t="shared" si="16"/>
        <v>573.71048766601734</v>
      </c>
      <c r="AE41" s="568">
        <f t="shared" si="16"/>
        <v>573.09773465599051</v>
      </c>
      <c r="AF41" s="568">
        <f t="shared" si="16"/>
        <v>572.4851750388932</v>
      </c>
      <c r="AG41" s="568">
        <f t="shared" si="16"/>
        <v>571.87076366444273</v>
      </c>
      <c r="AH41" s="568">
        <f t="shared" si="16"/>
        <v>571.25851744822705</v>
      </c>
      <c r="AI41" s="568">
        <f t="shared" si="16"/>
        <v>570.6448102795905</v>
      </c>
      <c r="AJ41" s="568">
        <f t="shared" si="16"/>
        <v>570.03296078622077</v>
      </c>
      <c r="AK41" s="568">
        <f t="shared" si="17"/>
        <v>569.42050753923581</v>
      </c>
      <c r="AL41" s="568">
        <f t="shared" si="17"/>
        <v>568.80805530090004</v>
      </c>
      <c r="AM41" s="568">
        <f t="shared" si="17"/>
        <v>568.20192370091445</v>
      </c>
      <c r="AN41" s="568">
        <f t="shared" si="17"/>
        <v>567.59580358583764</v>
      </c>
      <c r="AO41" s="568">
        <f t="shared" si="17"/>
        <v>566.98969497035375</v>
      </c>
      <c r="AP41" s="568">
        <f t="shared" si="17"/>
        <v>566.38359786916567</v>
      </c>
      <c r="AQ41" s="568">
        <f t="shared" si="17"/>
        <v>565.77751229699527</v>
      </c>
      <c r="AR41" s="568">
        <f t="shared" si="17"/>
        <v>565.17143826858319</v>
      </c>
      <c r="AS41" s="568">
        <f t="shared" si="17"/>
        <v>564.56537579868871</v>
      </c>
      <c r="AT41" s="568">
        <f t="shared" si="17"/>
        <v>563.95932490209032</v>
      </c>
      <c r="AU41" s="568">
        <f t="shared" si="17"/>
        <v>563.35328559358504</v>
      </c>
      <c r="AV41" s="569">
        <v>5</v>
      </c>
      <c r="BF41" s="603"/>
      <c r="BG41" s="603"/>
      <c r="BH41" s="603"/>
      <c r="BI41" s="603"/>
      <c r="BJ41" s="603"/>
      <c r="BK41" s="603"/>
    </row>
    <row r="42" spans="2:108" ht="14.4">
      <c r="B42" s="8" t="str">
        <f>Processes!D42</f>
        <v>IMPMOB1</v>
      </c>
      <c r="C42" s="8" t="str">
        <f>Processes!E42</f>
        <v>Import technology - Bio Methanol G1</v>
      </c>
      <c r="D42" s="262"/>
      <c r="E42" s="262" t="str">
        <f t="shared" si="4"/>
        <v>MOB1</v>
      </c>
      <c r="F42" s="823" t="str">
        <f t="shared" si="5"/>
        <v>MKr14</v>
      </c>
      <c r="G42" s="568">
        <f t="shared" si="14"/>
        <v>207.6</v>
      </c>
      <c r="H42" s="568">
        <f t="shared" si="14"/>
        <v>207.6</v>
      </c>
      <c r="I42" s="568">
        <f t="shared" si="14"/>
        <v>207.6</v>
      </c>
      <c r="J42" s="568">
        <f t="shared" si="14"/>
        <v>207.6</v>
      </c>
      <c r="K42" s="568">
        <f t="shared" si="14"/>
        <v>207.6</v>
      </c>
      <c r="L42" s="568">
        <f t="shared" si="14"/>
        <v>207.6</v>
      </c>
      <c r="M42" s="568">
        <f t="shared" si="14"/>
        <v>207.6</v>
      </c>
      <c r="N42" s="568">
        <f t="shared" si="14"/>
        <v>207.6</v>
      </c>
      <c r="O42" s="568">
        <f t="shared" si="14"/>
        <v>207.6</v>
      </c>
      <c r="P42" s="568">
        <f t="shared" si="14"/>
        <v>207.6</v>
      </c>
      <c r="Q42" s="568">
        <f t="shared" si="15"/>
        <v>207.6</v>
      </c>
      <c r="R42" s="568">
        <f t="shared" si="15"/>
        <v>207.6</v>
      </c>
      <c r="S42" s="568">
        <f t="shared" si="15"/>
        <v>207.6</v>
      </c>
      <c r="T42" s="568">
        <f t="shared" si="15"/>
        <v>207.6</v>
      </c>
      <c r="U42" s="568">
        <f t="shared" si="15"/>
        <v>207.6</v>
      </c>
      <c r="V42" s="568">
        <f t="shared" si="15"/>
        <v>207.6</v>
      </c>
      <c r="W42" s="568">
        <f t="shared" si="15"/>
        <v>207.6</v>
      </c>
      <c r="X42" s="568">
        <f t="shared" si="15"/>
        <v>207.6</v>
      </c>
      <c r="Y42" s="568">
        <f t="shared" si="15"/>
        <v>207.6</v>
      </c>
      <c r="Z42" s="568">
        <f t="shared" si="15"/>
        <v>207.6</v>
      </c>
      <c r="AA42" s="568">
        <f t="shared" si="16"/>
        <v>207.6</v>
      </c>
      <c r="AB42" s="568">
        <f t="shared" si="16"/>
        <v>207.6</v>
      </c>
      <c r="AC42" s="568">
        <f t="shared" si="16"/>
        <v>207.6</v>
      </c>
      <c r="AD42" s="568">
        <f t="shared" si="16"/>
        <v>207.6</v>
      </c>
      <c r="AE42" s="568">
        <f t="shared" si="16"/>
        <v>207.6</v>
      </c>
      <c r="AF42" s="568">
        <f t="shared" si="16"/>
        <v>207.6</v>
      </c>
      <c r="AG42" s="568">
        <f t="shared" si="16"/>
        <v>207.6</v>
      </c>
      <c r="AH42" s="568">
        <f t="shared" si="16"/>
        <v>207.6</v>
      </c>
      <c r="AI42" s="568">
        <f t="shared" si="16"/>
        <v>207.6</v>
      </c>
      <c r="AJ42" s="568">
        <f t="shared" si="16"/>
        <v>207.6</v>
      </c>
      <c r="AK42" s="568">
        <f t="shared" si="17"/>
        <v>207.6</v>
      </c>
      <c r="AL42" s="568">
        <f t="shared" si="17"/>
        <v>207.6</v>
      </c>
      <c r="AM42" s="568">
        <f t="shared" si="17"/>
        <v>207.6</v>
      </c>
      <c r="AN42" s="568">
        <f t="shared" si="17"/>
        <v>207.6</v>
      </c>
      <c r="AO42" s="568">
        <f t="shared" si="17"/>
        <v>207.6</v>
      </c>
      <c r="AP42" s="568">
        <f t="shared" si="17"/>
        <v>207.6</v>
      </c>
      <c r="AQ42" s="568">
        <f t="shared" si="17"/>
        <v>207.6</v>
      </c>
      <c r="AR42" s="568">
        <f t="shared" si="17"/>
        <v>207.6</v>
      </c>
      <c r="AS42" s="568">
        <f t="shared" si="17"/>
        <v>207.6</v>
      </c>
      <c r="AT42" s="568">
        <f t="shared" si="17"/>
        <v>207.6</v>
      </c>
      <c r="AU42" s="568">
        <f t="shared" si="17"/>
        <v>207.6</v>
      </c>
      <c r="AV42" s="569">
        <v>5</v>
      </c>
      <c r="BF42" s="603"/>
      <c r="BG42" s="603"/>
      <c r="BH42" s="603"/>
      <c r="BI42" s="603"/>
      <c r="BJ42" s="603"/>
      <c r="BK42" s="603"/>
    </row>
    <row r="43" spans="2:108" ht="14.4">
      <c r="B43" s="8" t="str">
        <f>Processes!D43</f>
        <v>IMPMOB2</v>
      </c>
      <c r="C43" s="8" t="str">
        <f>Processes!E43</f>
        <v>Import technology - Bio Methanol G2</v>
      </c>
      <c r="D43" s="262"/>
      <c r="E43" s="262" t="str">
        <f t="shared" si="4"/>
        <v>MOB2</v>
      </c>
      <c r="F43" s="823" t="str">
        <f t="shared" si="5"/>
        <v>MKr14</v>
      </c>
      <c r="G43" s="568">
        <f t="shared" si="14"/>
        <v>207.6</v>
      </c>
      <c r="H43" s="568">
        <f t="shared" si="14"/>
        <v>207.6</v>
      </c>
      <c r="I43" s="568">
        <f t="shared" si="14"/>
        <v>207.6</v>
      </c>
      <c r="J43" s="568">
        <f t="shared" si="14"/>
        <v>207.6</v>
      </c>
      <c r="K43" s="568">
        <f t="shared" si="14"/>
        <v>207.6</v>
      </c>
      <c r="L43" s="568">
        <f t="shared" si="14"/>
        <v>207.6</v>
      </c>
      <c r="M43" s="568">
        <f t="shared" si="14"/>
        <v>207.6</v>
      </c>
      <c r="N43" s="568">
        <f t="shared" si="14"/>
        <v>207.6</v>
      </c>
      <c r="O43" s="568">
        <f t="shared" si="14"/>
        <v>207.6</v>
      </c>
      <c r="P43" s="568">
        <f t="shared" si="14"/>
        <v>207.6</v>
      </c>
      <c r="Q43" s="568">
        <f t="shared" si="15"/>
        <v>207.6</v>
      </c>
      <c r="R43" s="568">
        <f t="shared" si="15"/>
        <v>207.6</v>
      </c>
      <c r="S43" s="568">
        <f t="shared" si="15"/>
        <v>207.6</v>
      </c>
      <c r="T43" s="568">
        <f t="shared" si="15"/>
        <v>207.6</v>
      </c>
      <c r="U43" s="568">
        <f t="shared" si="15"/>
        <v>207.6</v>
      </c>
      <c r="V43" s="568">
        <f t="shared" si="15"/>
        <v>207.6</v>
      </c>
      <c r="W43" s="568">
        <f t="shared" si="15"/>
        <v>207.6</v>
      </c>
      <c r="X43" s="568">
        <f t="shared" si="15"/>
        <v>207.6</v>
      </c>
      <c r="Y43" s="568">
        <f t="shared" si="15"/>
        <v>207.6</v>
      </c>
      <c r="Z43" s="568">
        <f t="shared" si="15"/>
        <v>207.6</v>
      </c>
      <c r="AA43" s="568">
        <f t="shared" si="16"/>
        <v>207.6</v>
      </c>
      <c r="AB43" s="568">
        <f t="shared" si="16"/>
        <v>207.6</v>
      </c>
      <c r="AC43" s="568">
        <f t="shared" si="16"/>
        <v>207.6</v>
      </c>
      <c r="AD43" s="568">
        <f t="shared" si="16"/>
        <v>207.6</v>
      </c>
      <c r="AE43" s="568">
        <f t="shared" si="16"/>
        <v>207.6</v>
      </c>
      <c r="AF43" s="568">
        <f t="shared" si="16"/>
        <v>207.6</v>
      </c>
      <c r="AG43" s="568">
        <f t="shared" si="16"/>
        <v>207.6</v>
      </c>
      <c r="AH43" s="568">
        <f t="shared" si="16"/>
        <v>207.6</v>
      </c>
      <c r="AI43" s="568">
        <f t="shared" si="16"/>
        <v>207.6</v>
      </c>
      <c r="AJ43" s="568">
        <f t="shared" si="16"/>
        <v>207.6</v>
      </c>
      <c r="AK43" s="568">
        <f t="shared" si="17"/>
        <v>207.6</v>
      </c>
      <c r="AL43" s="568">
        <f t="shared" si="17"/>
        <v>207.6</v>
      </c>
      <c r="AM43" s="568">
        <f t="shared" si="17"/>
        <v>207.6</v>
      </c>
      <c r="AN43" s="568">
        <f t="shared" si="17"/>
        <v>207.6</v>
      </c>
      <c r="AO43" s="568">
        <f t="shared" si="17"/>
        <v>207.6</v>
      </c>
      <c r="AP43" s="568">
        <f t="shared" si="17"/>
        <v>207.6</v>
      </c>
      <c r="AQ43" s="568">
        <f t="shared" si="17"/>
        <v>207.6</v>
      </c>
      <c r="AR43" s="568">
        <f t="shared" si="17"/>
        <v>207.6</v>
      </c>
      <c r="AS43" s="568">
        <f t="shared" si="17"/>
        <v>207.6</v>
      </c>
      <c r="AT43" s="568">
        <f t="shared" si="17"/>
        <v>207.6</v>
      </c>
      <c r="AU43" s="568">
        <f t="shared" si="17"/>
        <v>207.6</v>
      </c>
      <c r="AV43" s="569">
        <v>5</v>
      </c>
      <c r="BF43" s="603"/>
      <c r="BG43" s="603"/>
      <c r="BH43" s="603"/>
      <c r="BI43" s="603"/>
      <c r="BJ43" s="603"/>
      <c r="BK43" s="603"/>
    </row>
    <row r="44" spans="2:108" ht="14.4">
      <c r="B44" s="8" t="str">
        <f>Processes!D44</f>
        <v>IMPMOE</v>
      </c>
      <c r="C44" s="8" t="str">
        <f>Processes!E44</f>
        <v>Import technology - Electro Methanol</v>
      </c>
      <c r="D44" s="262"/>
      <c r="E44" s="262" t="str">
        <f t="shared" si="4"/>
        <v>MOE</v>
      </c>
      <c r="F44" s="823" t="str">
        <f t="shared" si="5"/>
        <v>MKr14</v>
      </c>
      <c r="G44" s="568">
        <f t="shared" si="14"/>
        <v>415.2</v>
      </c>
      <c r="H44" s="568">
        <f t="shared" si="14"/>
        <v>415.2</v>
      </c>
      <c r="I44" s="568">
        <f t="shared" si="14"/>
        <v>415.2</v>
      </c>
      <c r="J44" s="568">
        <f t="shared" si="14"/>
        <v>415.2</v>
      </c>
      <c r="K44" s="568">
        <f t="shared" si="14"/>
        <v>415.2</v>
      </c>
      <c r="L44" s="568">
        <f t="shared" si="14"/>
        <v>415.2</v>
      </c>
      <c r="M44" s="568">
        <f t="shared" si="14"/>
        <v>415.2</v>
      </c>
      <c r="N44" s="568">
        <f t="shared" si="14"/>
        <v>415.2</v>
      </c>
      <c r="O44" s="568">
        <f t="shared" si="14"/>
        <v>415.2</v>
      </c>
      <c r="P44" s="568">
        <f t="shared" si="14"/>
        <v>415.2</v>
      </c>
      <c r="Q44" s="568">
        <f t="shared" si="15"/>
        <v>415.2</v>
      </c>
      <c r="R44" s="568">
        <f t="shared" si="15"/>
        <v>415.2</v>
      </c>
      <c r="S44" s="568">
        <f t="shared" si="15"/>
        <v>415.2</v>
      </c>
      <c r="T44" s="568">
        <f t="shared" si="15"/>
        <v>415.2</v>
      </c>
      <c r="U44" s="568">
        <f t="shared" si="15"/>
        <v>415.2</v>
      </c>
      <c r="V44" s="568">
        <f t="shared" si="15"/>
        <v>415.2</v>
      </c>
      <c r="W44" s="568">
        <f t="shared" si="15"/>
        <v>415.2</v>
      </c>
      <c r="X44" s="568">
        <f t="shared" si="15"/>
        <v>415.2</v>
      </c>
      <c r="Y44" s="568">
        <f t="shared" si="15"/>
        <v>415.2</v>
      </c>
      <c r="Z44" s="568">
        <f t="shared" si="15"/>
        <v>415.2</v>
      </c>
      <c r="AA44" s="568">
        <f t="shared" si="16"/>
        <v>415.2</v>
      </c>
      <c r="AB44" s="568">
        <f t="shared" si="16"/>
        <v>415.2</v>
      </c>
      <c r="AC44" s="568">
        <f t="shared" si="16"/>
        <v>415.2</v>
      </c>
      <c r="AD44" s="568">
        <f t="shared" si="16"/>
        <v>415.2</v>
      </c>
      <c r="AE44" s="568">
        <f t="shared" si="16"/>
        <v>415.2</v>
      </c>
      <c r="AF44" s="568">
        <f t="shared" si="16"/>
        <v>415.2</v>
      </c>
      <c r="AG44" s="568">
        <f t="shared" si="16"/>
        <v>415.2</v>
      </c>
      <c r="AH44" s="568">
        <f t="shared" si="16"/>
        <v>415.2</v>
      </c>
      <c r="AI44" s="568">
        <f t="shared" si="16"/>
        <v>415.2</v>
      </c>
      <c r="AJ44" s="568">
        <f t="shared" si="16"/>
        <v>415.2</v>
      </c>
      <c r="AK44" s="568">
        <f t="shared" si="17"/>
        <v>415.2</v>
      </c>
      <c r="AL44" s="568">
        <f t="shared" si="17"/>
        <v>415.2</v>
      </c>
      <c r="AM44" s="568">
        <f t="shared" si="17"/>
        <v>415.2</v>
      </c>
      <c r="AN44" s="568">
        <f t="shared" si="17"/>
        <v>415.2</v>
      </c>
      <c r="AO44" s="568">
        <f t="shared" si="17"/>
        <v>415.2</v>
      </c>
      <c r="AP44" s="568">
        <f t="shared" si="17"/>
        <v>415.2</v>
      </c>
      <c r="AQ44" s="568">
        <f t="shared" si="17"/>
        <v>415.2</v>
      </c>
      <c r="AR44" s="568">
        <f t="shared" si="17"/>
        <v>415.2</v>
      </c>
      <c r="AS44" s="568">
        <f t="shared" si="17"/>
        <v>415.2</v>
      </c>
      <c r="AT44" s="568">
        <f t="shared" si="17"/>
        <v>415.2</v>
      </c>
      <c r="AU44" s="568">
        <f t="shared" si="17"/>
        <v>415.2</v>
      </c>
      <c r="AV44" s="569">
        <v>5</v>
      </c>
      <c r="BF44" s="603"/>
      <c r="BG44" s="603"/>
      <c r="BH44" s="603"/>
      <c r="BI44" s="603"/>
      <c r="BJ44" s="603"/>
      <c r="BK44" s="603"/>
    </row>
    <row r="45" spans="2:108" ht="14.4">
      <c r="B45" s="8" t="str">
        <f>Processes!D45</f>
        <v>IMPWST</v>
      </c>
      <c r="C45" s="8" t="str">
        <f>Processes!E45</f>
        <v>Import technology - Waste</v>
      </c>
      <c r="D45" s="262"/>
      <c r="E45" s="262" t="str">
        <f t="shared" si="4"/>
        <v>WST</v>
      </c>
      <c r="F45" s="823" t="str">
        <f t="shared" si="5"/>
        <v>MKr14</v>
      </c>
      <c r="G45" s="568">
        <f t="shared" si="14"/>
        <v>0.1</v>
      </c>
      <c r="H45" s="568">
        <f t="shared" si="14"/>
        <v>0.1</v>
      </c>
      <c r="I45" s="568">
        <f t="shared" si="14"/>
        <v>0.1</v>
      </c>
      <c r="J45" s="568">
        <f t="shared" si="14"/>
        <v>0.1</v>
      </c>
      <c r="K45" s="568">
        <f t="shared" si="14"/>
        <v>0.1</v>
      </c>
      <c r="L45" s="568">
        <f t="shared" si="14"/>
        <v>0.1</v>
      </c>
      <c r="M45" s="568">
        <f t="shared" si="14"/>
        <v>0.1</v>
      </c>
      <c r="N45" s="568">
        <f t="shared" si="14"/>
        <v>0.1</v>
      </c>
      <c r="O45" s="568">
        <f t="shared" si="14"/>
        <v>0.1</v>
      </c>
      <c r="P45" s="568">
        <f t="shared" si="14"/>
        <v>0.1</v>
      </c>
      <c r="Q45" s="568">
        <f t="shared" si="15"/>
        <v>0.1</v>
      </c>
      <c r="R45" s="568">
        <f t="shared" si="15"/>
        <v>0.1</v>
      </c>
      <c r="S45" s="568">
        <f t="shared" si="15"/>
        <v>0.1</v>
      </c>
      <c r="T45" s="568">
        <f t="shared" si="15"/>
        <v>0.1</v>
      </c>
      <c r="U45" s="568">
        <f t="shared" si="15"/>
        <v>0.1</v>
      </c>
      <c r="V45" s="568">
        <f t="shared" si="15"/>
        <v>0.1</v>
      </c>
      <c r="W45" s="568">
        <f t="shared" si="15"/>
        <v>0.1</v>
      </c>
      <c r="X45" s="568">
        <f t="shared" si="15"/>
        <v>0.1</v>
      </c>
      <c r="Y45" s="568">
        <f t="shared" si="15"/>
        <v>0.1</v>
      </c>
      <c r="Z45" s="568">
        <f t="shared" si="15"/>
        <v>0.1</v>
      </c>
      <c r="AA45" s="568">
        <f t="shared" si="16"/>
        <v>0.1</v>
      </c>
      <c r="AB45" s="568">
        <f t="shared" si="16"/>
        <v>0.1</v>
      </c>
      <c r="AC45" s="568">
        <f t="shared" si="16"/>
        <v>0.1</v>
      </c>
      <c r="AD45" s="568">
        <f t="shared" si="16"/>
        <v>0.1</v>
      </c>
      <c r="AE45" s="568">
        <f t="shared" si="16"/>
        <v>0.1</v>
      </c>
      <c r="AF45" s="568">
        <f t="shared" si="16"/>
        <v>0.1</v>
      </c>
      <c r="AG45" s="568">
        <f t="shared" si="16"/>
        <v>0.1</v>
      </c>
      <c r="AH45" s="568">
        <f t="shared" si="16"/>
        <v>0.1</v>
      </c>
      <c r="AI45" s="568">
        <f t="shared" si="16"/>
        <v>0.1</v>
      </c>
      <c r="AJ45" s="568">
        <f t="shared" si="16"/>
        <v>0.1</v>
      </c>
      <c r="AK45" s="568">
        <f t="shared" si="17"/>
        <v>0.1</v>
      </c>
      <c r="AL45" s="568">
        <f t="shared" si="17"/>
        <v>0.1</v>
      </c>
      <c r="AM45" s="568">
        <f t="shared" si="17"/>
        <v>0.1</v>
      </c>
      <c r="AN45" s="568">
        <f t="shared" si="17"/>
        <v>0.1</v>
      </c>
      <c r="AO45" s="568">
        <f t="shared" si="17"/>
        <v>0.1</v>
      </c>
      <c r="AP45" s="568">
        <f t="shared" si="17"/>
        <v>0.1</v>
      </c>
      <c r="AQ45" s="568">
        <f t="shared" si="17"/>
        <v>0.1</v>
      </c>
      <c r="AR45" s="568">
        <f t="shared" si="17"/>
        <v>0.1</v>
      </c>
      <c r="AS45" s="568">
        <f t="shared" si="17"/>
        <v>0.1</v>
      </c>
      <c r="AT45" s="568">
        <f t="shared" si="17"/>
        <v>0.1</v>
      </c>
      <c r="AU45" s="568">
        <f t="shared" si="17"/>
        <v>0.1</v>
      </c>
      <c r="AV45" s="569">
        <v>5</v>
      </c>
      <c r="AW45" s="695">
        <v>0</v>
      </c>
      <c r="AX45" s="695">
        <v>0</v>
      </c>
      <c r="AY45" s="695">
        <v>0</v>
      </c>
      <c r="AZ45" s="695">
        <v>0</v>
      </c>
      <c r="BA45" s="695">
        <v>0</v>
      </c>
      <c r="BB45" s="695">
        <v>0</v>
      </c>
      <c r="BC45" s="695">
        <v>0</v>
      </c>
      <c r="BD45" s="695">
        <v>0</v>
      </c>
      <c r="BE45" s="695">
        <v>5</v>
      </c>
    </row>
    <row r="46" spans="2:108" ht="14.4">
      <c r="B46" s="8" t="str">
        <f>Processes!D46</f>
        <v>IMPSTR</v>
      </c>
      <c r="C46" s="8" t="str">
        <f>Processes!E46</f>
        <v>Import technology - Straw</v>
      </c>
      <c r="D46" s="262"/>
      <c r="E46" s="262" t="str">
        <f t="shared" si="4"/>
        <v>STR</v>
      </c>
      <c r="F46" s="823" t="str">
        <f t="shared" si="5"/>
        <v>MKr19</v>
      </c>
      <c r="G46" s="568">
        <f t="shared" si="14"/>
        <v>41.5</v>
      </c>
      <c r="H46" s="568">
        <f t="shared" si="14"/>
        <v>41.5</v>
      </c>
      <c r="I46" s="568">
        <f t="shared" si="14"/>
        <v>41.5</v>
      </c>
      <c r="J46" s="568">
        <f t="shared" si="14"/>
        <v>41.2</v>
      </c>
      <c r="K46" s="568">
        <f t="shared" si="14"/>
        <v>40.799999999999997</v>
      </c>
      <c r="L46" s="568">
        <f t="shared" si="14"/>
        <v>40.5</v>
      </c>
      <c r="M46" s="568">
        <f t="shared" si="14"/>
        <v>40.9</v>
      </c>
      <c r="N46" s="568">
        <f t="shared" si="14"/>
        <v>41.4</v>
      </c>
      <c r="O46" s="568">
        <f t="shared" si="14"/>
        <v>41.634898055339931</v>
      </c>
      <c r="P46" s="568">
        <f t="shared" si="14"/>
        <v>41.634898055339931</v>
      </c>
      <c r="Q46" s="568">
        <f t="shared" si="15"/>
        <v>41.962449107096752</v>
      </c>
      <c r="R46" s="568">
        <f t="shared" si="15"/>
        <v>42.37591413450582</v>
      </c>
      <c r="S46" s="568">
        <f t="shared" si="15"/>
        <v>42.791201303703261</v>
      </c>
      <c r="T46" s="568">
        <f t="shared" si="15"/>
        <v>43.208184541451871</v>
      </c>
      <c r="U46" s="568">
        <f t="shared" si="15"/>
        <v>43.626739530646304</v>
      </c>
      <c r="V46" s="568">
        <f t="shared" si="15"/>
        <v>44.046743692103149</v>
      </c>
      <c r="W46" s="568">
        <f t="shared" si="15"/>
        <v>44.303492323512977</v>
      </c>
      <c r="X46" s="568">
        <f t="shared" si="15"/>
        <v>44.56044844066794</v>
      </c>
      <c r="Y46" s="568">
        <f t="shared" si="15"/>
        <v>44.817607952103295</v>
      </c>
      <c r="Z46" s="568">
        <f t="shared" si="15"/>
        <v>45.074966809344929</v>
      </c>
      <c r="AA46" s="568">
        <f t="shared" si="16"/>
        <v>45.332521006394593</v>
      </c>
      <c r="AB46" s="568">
        <f t="shared" si="16"/>
        <v>45.549544275390517</v>
      </c>
      <c r="AC46" s="568">
        <f t="shared" si="16"/>
        <v>45.766845997017583</v>
      </c>
      <c r="AD46" s="568">
        <f t="shared" si="16"/>
        <v>45.93621057509371</v>
      </c>
      <c r="AE46" s="568">
        <f t="shared" si="16"/>
        <v>46.091987325464736</v>
      </c>
      <c r="AF46" s="568">
        <f t="shared" si="16"/>
        <v>46.247727566987081</v>
      </c>
      <c r="AG46" s="568">
        <f t="shared" si="16"/>
        <v>46.390503884981669</v>
      </c>
      <c r="AH46" s="568">
        <f t="shared" si="16"/>
        <v>46.533237561648519</v>
      </c>
      <c r="AI46" s="568">
        <f t="shared" si="16"/>
        <v>46.675927978934773</v>
      </c>
      <c r="AJ46" s="568">
        <f t="shared" si="16"/>
        <v>46.818574524689666</v>
      </c>
      <c r="AK46" s="568">
        <f t="shared" si="17"/>
        <v>46.961176592602918</v>
      </c>
      <c r="AL46" s="568">
        <f t="shared" si="17"/>
        <v>46.961176592602918</v>
      </c>
      <c r="AM46" s="568">
        <f t="shared" si="17"/>
        <v>46.961176592602918</v>
      </c>
      <c r="AN46" s="568">
        <f t="shared" si="17"/>
        <v>46.961176592602918</v>
      </c>
      <c r="AO46" s="568">
        <f t="shared" si="17"/>
        <v>46.961176592602918</v>
      </c>
      <c r="AP46" s="568">
        <f t="shared" si="17"/>
        <v>46.961176592602918</v>
      </c>
      <c r="AQ46" s="568">
        <f t="shared" si="17"/>
        <v>46.961176592602918</v>
      </c>
      <c r="AR46" s="568">
        <f t="shared" si="17"/>
        <v>46.961176592602918</v>
      </c>
      <c r="AS46" s="568">
        <f t="shared" si="17"/>
        <v>46.961176592602918</v>
      </c>
      <c r="AT46" s="568">
        <f t="shared" si="17"/>
        <v>46.961176592602918</v>
      </c>
      <c r="AU46" s="568">
        <f t="shared" si="17"/>
        <v>46.961176592602918</v>
      </c>
      <c r="AV46" s="569">
        <v>5</v>
      </c>
      <c r="AW46" s="695">
        <v>0</v>
      </c>
      <c r="AX46" s="695">
        <v>0</v>
      </c>
      <c r="AY46" s="695">
        <v>0</v>
      </c>
      <c r="AZ46" s="695">
        <v>0</v>
      </c>
      <c r="BA46" s="695">
        <v>0</v>
      </c>
      <c r="BB46" s="695">
        <v>0</v>
      </c>
      <c r="BC46" s="695">
        <v>0</v>
      </c>
      <c r="BD46" s="695">
        <v>0</v>
      </c>
      <c r="BE46" s="695">
        <v>5</v>
      </c>
    </row>
    <row r="47" spans="2:108" ht="14.4">
      <c r="B47" s="8" t="str">
        <f>Processes!D47</f>
        <v>IMPGRS</v>
      </c>
      <c r="C47" s="8" t="str">
        <f>Processes!E47</f>
        <v>Import technology - Grass</v>
      </c>
      <c r="D47" s="262"/>
      <c r="E47" s="262" t="str">
        <f t="shared" si="4"/>
        <v>GRS</v>
      </c>
      <c r="F47" s="823" t="str">
        <f t="shared" si="5"/>
        <v>MKr14</v>
      </c>
      <c r="G47" s="568">
        <f t="shared" si="14"/>
        <v>41.5</v>
      </c>
      <c r="H47" s="568">
        <f t="shared" si="14"/>
        <v>41.5</v>
      </c>
      <c r="I47" s="568">
        <f t="shared" si="14"/>
        <v>41.5</v>
      </c>
      <c r="J47" s="568">
        <f t="shared" si="14"/>
        <v>41.2</v>
      </c>
      <c r="K47" s="568">
        <f t="shared" si="14"/>
        <v>40.799999999999997</v>
      </c>
      <c r="L47" s="568">
        <f t="shared" si="14"/>
        <v>40.5</v>
      </c>
      <c r="M47" s="568">
        <f t="shared" si="14"/>
        <v>40.9</v>
      </c>
      <c r="N47" s="568">
        <f t="shared" si="14"/>
        <v>41.4</v>
      </c>
      <c r="O47" s="568">
        <f t="shared" si="14"/>
        <v>41.634898055339931</v>
      </c>
      <c r="P47" s="568">
        <f t="shared" si="14"/>
        <v>41.634898055339931</v>
      </c>
      <c r="Q47" s="568">
        <f t="shared" si="15"/>
        <v>41.962449107096752</v>
      </c>
      <c r="R47" s="568">
        <f t="shared" si="15"/>
        <v>42.37591413450582</v>
      </c>
      <c r="S47" s="568">
        <f t="shared" si="15"/>
        <v>42.791201303703261</v>
      </c>
      <c r="T47" s="568">
        <f t="shared" si="15"/>
        <v>43.208184541451871</v>
      </c>
      <c r="U47" s="568">
        <f t="shared" si="15"/>
        <v>43.626739530646304</v>
      </c>
      <c r="V47" s="568">
        <f t="shared" si="15"/>
        <v>44.046743692103149</v>
      </c>
      <c r="W47" s="568">
        <f t="shared" si="15"/>
        <v>44.303492323512977</v>
      </c>
      <c r="X47" s="568">
        <f t="shared" si="15"/>
        <v>44.56044844066794</v>
      </c>
      <c r="Y47" s="568">
        <f t="shared" si="15"/>
        <v>44.817607952103295</v>
      </c>
      <c r="Z47" s="568">
        <f t="shared" si="15"/>
        <v>45.074966809344929</v>
      </c>
      <c r="AA47" s="568">
        <f t="shared" si="16"/>
        <v>45.332521006394593</v>
      </c>
      <c r="AB47" s="568">
        <f t="shared" si="16"/>
        <v>45.549544275390517</v>
      </c>
      <c r="AC47" s="568">
        <f t="shared" si="16"/>
        <v>45.766845997017583</v>
      </c>
      <c r="AD47" s="568">
        <f t="shared" si="16"/>
        <v>45.93621057509371</v>
      </c>
      <c r="AE47" s="568">
        <f t="shared" si="16"/>
        <v>46.091987325464736</v>
      </c>
      <c r="AF47" s="568">
        <f t="shared" si="16"/>
        <v>46.247727566987081</v>
      </c>
      <c r="AG47" s="568">
        <f t="shared" si="16"/>
        <v>46.390503884981669</v>
      </c>
      <c r="AH47" s="568">
        <f t="shared" si="16"/>
        <v>46.533237561648519</v>
      </c>
      <c r="AI47" s="568">
        <f t="shared" si="16"/>
        <v>46.675927978934773</v>
      </c>
      <c r="AJ47" s="568">
        <f t="shared" si="16"/>
        <v>46.818574524689666</v>
      </c>
      <c r="AK47" s="568">
        <f t="shared" si="17"/>
        <v>46.961176592602918</v>
      </c>
      <c r="AL47" s="568">
        <f t="shared" si="17"/>
        <v>46.961176592602918</v>
      </c>
      <c r="AM47" s="568">
        <f t="shared" si="17"/>
        <v>46.961176592602918</v>
      </c>
      <c r="AN47" s="568">
        <f t="shared" si="17"/>
        <v>46.961176592602918</v>
      </c>
      <c r="AO47" s="568">
        <f t="shared" si="17"/>
        <v>46.961176592602918</v>
      </c>
      <c r="AP47" s="568">
        <f t="shared" si="17"/>
        <v>46.961176592602918</v>
      </c>
      <c r="AQ47" s="568">
        <f t="shared" si="17"/>
        <v>46.961176592602918</v>
      </c>
      <c r="AR47" s="568">
        <f t="shared" si="17"/>
        <v>46.961176592602918</v>
      </c>
      <c r="AS47" s="568">
        <f t="shared" si="17"/>
        <v>46.961176592602918</v>
      </c>
      <c r="AT47" s="568">
        <f t="shared" si="17"/>
        <v>46.961176592602918</v>
      </c>
      <c r="AU47" s="568">
        <f t="shared" si="17"/>
        <v>46.961176592602918</v>
      </c>
      <c r="AV47" s="569">
        <v>5</v>
      </c>
      <c r="AW47" s="695">
        <v>0</v>
      </c>
      <c r="AX47" s="695">
        <v>0</v>
      </c>
      <c r="AY47" s="695">
        <v>0</v>
      </c>
      <c r="AZ47" s="695">
        <v>0</v>
      </c>
      <c r="BA47" s="695">
        <v>0</v>
      </c>
      <c r="BB47" s="695">
        <v>0</v>
      </c>
      <c r="BC47" s="695">
        <v>0</v>
      </c>
      <c r="BD47" s="695">
        <v>0</v>
      </c>
      <c r="BE47" s="695">
        <v>5</v>
      </c>
    </row>
    <row r="48" spans="2:108" ht="14.4">
      <c r="B48" s="8" t="str">
        <f>Processes!D48</f>
        <v>IMPWPE</v>
      </c>
      <c r="C48" s="8" t="str">
        <f>Processes!E48</f>
        <v>Import technology - Wood pellets</v>
      </c>
      <c r="D48" s="262"/>
      <c r="E48" s="262" t="str">
        <f t="shared" si="4"/>
        <v>WPE</v>
      </c>
      <c r="F48" s="823" t="str">
        <f t="shared" si="5"/>
        <v>MKr19</v>
      </c>
      <c r="G48" s="568">
        <f t="shared" si="14"/>
        <v>73.7</v>
      </c>
      <c r="H48" s="568">
        <f t="shared" si="14"/>
        <v>73.7</v>
      </c>
      <c r="I48" s="568">
        <f t="shared" si="14"/>
        <v>73.7</v>
      </c>
      <c r="J48" s="568">
        <f t="shared" si="14"/>
        <v>72.7</v>
      </c>
      <c r="K48" s="568">
        <f t="shared" si="14"/>
        <v>71.8</v>
      </c>
      <c r="L48" s="568">
        <f t="shared" si="14"/>
        <v>70.8</v>
      </c>
      <c r="M48" s="568">
        <f t="shared" si="14"/>
        <v>71.2</v>
      </c>
      <c r="N48" s="568">
        <f t="shared" si="14"/>
        <v>71.599999999999994</v>
      </c>
      <c r="O48" s="568">
        <f t="shared" si="14"/>
        <v>69.494890781791952</v>
      </c>
      <c r="P48" s="568">
        <f t="shared" si="14"/>
        <v>69.433019142282461</v>
      </c>
      <c r="Q48" s="568">
        <f t="shared" si="15"/>
        <v>59.910194122791161</v>
      </c>
      <c r="R48" s="568">
        <f t="shared" si="15"/>
        <v>62.854344413402906</v>
      </c>
      <c r="S48" s="568">
        <f t="shared" si="15"/>
        <v>63.172513966646889</v>
      </c>
      <c r="T48" s="568">
        <f t="shared" si="15"/>
        <v>62.478874618815077</v>
      </c>
      <c r="U48" s="568">
        <f t="shared" si="15"/>
        <v>62.142339464339834</v>
      </c>
      <c r="V48" s="568">
        <f t="shared" si="15"/>
        <v>61.840436911371611</v>
      </c>
      <c r="W48" s="568">
        <f t="shared" si="15"/>
        <v>61.559038676176264</v>
      </c>
      <c r="X48" s="568">
        <f t="shared" si="15"/>
        <v>61.304552221855602</v>
      </c>
      <c r="Y48" s="568">
        <f t="shared" si="15"/>
        <v>61.075127920444082</v>
      </c>
      <c r="Z48" s="568">
        <f t="shared" si="15"/>
        <v>60.879811326662022</v>
      </c>
      <c r="AA48" s="568">
        <f t="shared" si="16"/>
        <v>60.705878120268423</v>
      </c>
      <c r="AB48" s="568">
        <f t="shared" si="16"/>
        <v>60.70433047636952</v>
      </c>
      <c r="AC48" s="568">
        <f t="shared" si="16"/>
        <v>60.702548817291905</v>
      </c>
      <c r="AD48" s="568">
        <f t="shared" si="16"/>
        <v>60.700536499539886</v>
      </c>
      <c r="AE48" s="568">
        <f t="shared" si="16"/>
        <v>60.698296822060883</v>
      </c>
      <c r="AF48" s="568">
        <f t="shared" si="16"/>
        <v>60.695833026853684</v>
      </c>
      <c r="AG48" s="568">
        <f t="shared" si="16"/>
        <v>60.689945389690699</v>
      </c>
      <c r="AH48" s="568">
        <f t="shared" si="16"/>
        <v>60.683892039969457</v>
      </c>
      <c r="AI48" s="568">
        <f t="shared" si="16"/>
        <v>60.677675969854107</v>
      </c>
      <c r="AJ48" s="568">
        <f t="shared" si="16"/>
        <v>60.671300113152753</v>
      </c>
      <c r="AK48" s="568">
        <f t="shared" si="17"/>
        <v>60.664767346129707</v>
      </c>
      <c r="AL48" s="568">
        <f t="shared" si="17"/>
        <v>60.675957923099851</v>
      </c>
      <c r="AM48" s="568">
        <f t="shared" si="17"/>
        <v>60.68702193291076</v>
      </c>
      <c r="AN48" s="568">
        <f t="shared" si="17"/>
        <v>60.697960969252613</v>
      </c>
      <c r="AO48" s="568">
        <f t="shared" si="17"/>
        <v>60.70877659234629</v>
      </c>
      <c r="AP48" s="568">
        <f t="shared" si="17"/>
        <v>60.719470329291362</v>
      </c>
      <c r="AQ48" s="568">
        <f t="shared" si="17"/>
        <v>60.774302670903623</v>
      </c>
      <c r="AR48" s="568">
        <f t="shared" si="17"/>
        <v>60.828784329157571</v>
      </c>
      <c r="AS48" s="568">
        <f t="shared" si="17"/>
        <v>60.882916997101603</v>
      </c>
      <c r="AT48" s="568">
        <f t="shared" si="17"/>
        <v>60.936702331670006</v>
      </c>
      <c r="AU48" s="568">
        <f t="shared" si="17"/>
        <v>60.990141954059872</v>
      </c>
      <c r="AV48" s="569">
        <v>5</v>
      </c>
      <c r="AW48" s="695"/>
      <c r="AX48" s="695"/>
      <c r="AY48" s="695"/>
      <c r="AZ48" s="695"/>
      <c r="BA48" s="695"/>
      <c r="BB48" s="695"/>
      <c r="BC48" s="695"/>
      <c r="BD48" s="695"/>
      <c r="BE48" s="695"/>
    </row>
    <row r="49" spans="2:57" ht="14.4">
      <c r="B49" s="8" t="str">
        <f>Processes!D49</f>
        <v>IMPWCH</v>
      </c>
      <c r="C49" s="8" t="str">
        <f>Processes!E49</f>
        <v>Import technology - Wood chips and wood waste</v>
      </c>
      <c r="D49" s="262"/>
      <c r="E49" s="262" t="str">
        <f t="shared" si="4"/>
        <v>WCH</v>
      </c>
      <c r="F49" s="823" t="str">
        <f t="shared" si="5"/>
        <v>MKr19</v>
      </c>
      <c r="G49" s="568">
        <f t="shared" si="14"/>
        <v>46</v>
      </c>
      <c r="H49" s="568">
        <f t="shared" si="14"/>
        <v>46</v>
      </c>
      <c r="I49" s="568">
        <f t="shared" si="14"/>
        <v>46</v>
      </c>
      <c r="J49" s="568">
        <f t="shared" si="14"/>
        <v>45.7</v>
      </c>
      <c r="K49" s="568">
        <f t="shared" si="14"/>
        <v>45.3</v>
      </c>
      <c r="L49" s="568">
        <f t="shared" si="14"/>
        <v>44.9</v>
      </c>
      <c r="M49" s="568">
        <f t="shared" si="14"/>
        <v>45.4</v>
      </c>
      <c r="N49" s="568">
        <f t="shared" si="14"/>
        <v>45.9</v>
      </c>
      <c r="O49" s="568">
        <f t="shared" si="14"/>
        <v>45.179472202489855</v>
      </c>
      <c r="P49" s="568">
        <f t="shared" si="14"/>
        <v>45.117600562980392</v>
      </c>
      <c r="Q49" s="568">
        <f t="shared" si="15"/>
        <v>45.248389703133633</v>
      </c>
      <c r="R49" s="568">
        <f t="shared" si="15"/>
        <v>45.190250127598674</v>
      </c>
      <c r="S49" s="568">
        <f t="shared" si="15"/>
        <v>45.392121473736516</v>
      </c>
      <c r="T49" s="568">
        <f t="shared" si="15"/>
        <v>45.644433925671841</v>
      </c>
      <c r="U49" s="568">
        <f t="shared" si="15"/>
        <v>45.923015098100862</v>
      </c>
      <c r="V49" s="568">
        <f t="shared" si="15"/>
        <v>46.207001444406053</v>
      </c>
      <c r="W49" s="568">
        <f t="shared" si="15"/>
        <v>46.419730980267232</v>
      </c>
      <c r="X49" s="568">
        <f t="shared" si="15"/>
        <v>46.631059323825987</v>
      </c>
      <c r="Y49" s="568">
        <f t="shared" si="15"/>
        <v>46.839924523073165</v>
      </c>
      <c r="Z49" s="568">
        <f t="shared" si="15"/>
        <v>47.054043906757286</v>
      </c>
      <c r="AA49" s="568">
        <f t="shared" si="16"/>
        <v>47.263106384197172</v>
      </c>
      <c r="AB49" s="568">
        <f t="shared" si="16"/>
        <v>47.363169268373781</v>
      </c>
      <c r="AC49" s="568">
        <f t="shared" si="16"/>
        <v>47.463048827686151</v>
      </c>
      <c r="AD49" s="568">
        <f t="shared" si="16"/>
        <v>47.562746231205452</v>
      </c>
      <c r="AE49" s="568">
        <f t="shared" si="16"/>
        <v>47.662262629564232</v>
      </c>
      <c r="AF49" s="568">
        <f t="shared" si="16"/>
        <v>47.761599155151828</v>
      </c>
      <c r="AG49" s="568">
        <f t="shared" si="16"/>
        <v>47.861557709026719</v>
      </c>
      <c r="AH49" s="568">
        <f t="shared" si="16"/>
        <v>47.961224086497161</v>
      </c>
      <c r="AI49" s="568">
        <f t="shared" si="16"/>
        <v>48.06060022028862</v>
      </c>
      <c r="AJ49" s="568">
        <f t="shared" si="16"/>
        <v>48.159688016832391</v>
      </c>
      <c r="AK49" s="568">
        <f t="shared" si="17"/>
        <v>48.258489356547372</v>
      </c>
      <c r="AL49" s="568">
        <f t="shared" si="17"/>
        <v>48.37762671431922</v>
      </c>
      <c r="AM49" s="568">
        <f t="shared" si="17"/>
        <v>48.496315696545963</v>
      </c>
      <c r="AN49" s="568">
        <f t="shared" si="17"/>
        <v>48.614559135690349</v>
      </c>
      <c r="AO49" s="568">
        <f t="shared" si="17"/>
        <v>48.73235982855357</v>
      </c>
      <c r="AP49" s="568">
        <f t="shared" si="17"/>
        <v>48.849720536660548</v>
      </c>
      <c r="AQ49" s="568">
        <f t="shared" si="17"/>
        <v>49.024574818868821</v>
      </c>
      <c r="AR49" s="568">
        <f t="shared" si="17"/>
        <v>49.198719487894593</v>
      </c>
      <c r="AS49" s="568">
        <f t="shared" si="17"/>
        <v>49.372158440659689</v>
      </c>
      <c r="AT49" s="568">
        <f t="shared" si="17"/>
        <v>49.544895527221009</v>
      </c>
      <c r="AU49" s="568">
        <f t="shared" si="17"/>
        <v>49.716934551280723</v>
      </c>
      <c r="AV49" s="569">
        <v>5</v>
      </c>
      <c r="AW49" s="695"/>
      <c r="AX49" s="695"/>
      <c r="AY49" s="695"/>
      <c r="AZ49" s="695"/>
      <c r="BA49" s="695"/>
      <c r="BB49" s="695"/>
      <c r="BC49" s="695"/>
      <c r="BD49" s="695"/>
      <c r="BE49" s="695"/>
    </row>
    <row r="50" spans="2:57" ht="14.4">
      <c r="B50" s="8" t="str">
        <f>Processes!D50</f>
        <v>IMPFIW</v>
      </c>
      <c r="C50" s="8" t="str">
        <f>Processes!E50</f>
        <v>Import technology - Firewood</v>
      </c>
      <c r="D50" s="262"/>
      <c r="E50" s="262" t="str">
        <f t="shared" si="4"/>
        <v>FIW</v>
      </c>
      <c r="F50" s="823" t="str">
        <f t="shared" si="5"/>
        <v>MKr14</v>
      </c>
      <c r="G50" s="568">
        <f>G49</f>
        <v>46</v>
      </c>
      <c r="H50" s="568">
        <f t="shared" ref="H50:AU50" si="18">H49</f>
        <v>46</v>
      </c>
      <c r="I50" s="568">
        <f t="shared" si="18"/>
        <v>46</v>
      </c>
      <c r="J50" s="568">
        <f t="shared" si="18"/>
        <v>45.7</v>
      </c>
      <c r="K50" s="568">
        <f t="shared" si="18"/>
        <v>45.3</v>
      </c>
      <c r="L50" s="568">
        <f t="shared" si="18"/>
        <v>44.9</v>
      </c>
      <c r="M50" s="568">
        <f t="shared" si="18"/>
        <v>45.4</v>
      </c>
      <c r="N50" s="568">
        <f t="shared" si="18"/>
        <v>45.9</v>
      </c>
      <c r="O50" s="568">
        <f t="shared" si="18"/>
        <v>45.179472202489855</v>
      </c>
      <c r="P50" s="568">
        <f t="shared" si="18"/>
        <v>45.117600562980392</v>
      </c>
      <c r="Q50" s="568">
        <f t="shared" si="18"/>
        <v>45.248389703133633</v>
      </c>
      <c r="R50" s="568">
        <f t="shared" si="18"/>
        <v>45.190250127598674</v>
      </c>
      <c r="S50" s="568">
        <f t="shared" si="18"/>
        <v>45.392121473736516</v>
      </c>
      <c r="T50" s="568">
        <f t="shared" si="18"/>
        <v>45.644433925671841</v>
      </c>
      <c r="U50" s="568">
        <f t="shared" si="18"/>
        <v>45.923015098100862</v>
      </c>
      <c r="V50" s="568">
        <f t="shared" si="18"/>
        <v>46.207001444406053</v>
      </c>
      <c r="W50" s="568">
        <f t="shared" si="18"/>
        <v>46.419730980267232</v>
      </c>
      <c r="X50" s="568">
        <f t="shared" si="18"/>
        <v>46.631059323825987</v>
      </c>
      <c r="Y50" s="568">
        <f t="shared" si="18"/>
        <v>46.839924523073165</v>
      </c>
      <c r="Z50" s="568">
        <f t="shared" si="18"/>
        <v>47.054043906757286</v>
      </c>
      <c r="AA50" s="568">
        <f t="shared" si="18"/>
        <v>47.263106384197172</v>
      </c>
      <c r="AB50" s="568">
        <f t="shared" si="18"/>
        <v>47.363169268373781</v>
      </c>
      <c r="AC50" s="568">
        <f t="shared" si="18"/>
        <v>47.463048827686151</v>
      </c>
      <c r="AD50" s="568">
        <f t="shared" si="18"/>
        <v>47.562746231205452</v>
      </c>
      <c r="AE50" s="568">
        <f t="shared" si="18"/>
        <v>47.662262629564232</v>
      </c>
      <c r="AF50" s="568">
        <f t="shared" si="18"/>
        <v>47.761599155151828</v>
      </c>
      <c r="AG50" s="568">
        <f t="shared" si="18"/>
        <v>47.861557709026719</v>
      </c>
      <c r="AH50" s="568">
        <f t="shared" si="18"/>
        <v>47.961224086497161</v>
      </c>
      <c r="AI50" s="568">
        <f t="shared" si="18"/>
        <v>48.06060022028862</v>
      </c>
      <c r="AJ50" s="568">
        <f t="shared" si="18"/>
        <v>48.159688016832391</v>
      </c>
      <c r="AK50" s="568">
        <f t="shared" si="18"/>
        <v>48.258489356547372</v>
      </c>
      <c r="AL50" s="568">
        <f t="shared" si="18"/>
        <v>48.37762671431922</v>
      </c>
      <c r="AM50" s="568">
        <f t="shared" si="18"/>
        <v>48.496315696545963</v>
      </c>
      <c r="AN50" s="568">
        <f t="shared" si="18"/>
        <v>48.614559135690349</v>
      </c>
      <c r="AO50" s="568">
        <f t="shared" si="18"/>
        <v>48.73235982855357</v>
      </c>
      <c r="AP50" s="568">
        <f t="shared" si="18"/>
        <v>48.849720536660548</v>
      </c>
      <c r="AQ50" s="568">
        <f t="shared" si="18"/>
        <v>49.024574818868821</v>
      </c>
      <c r="AR50" s="568">
        <f t="shared" si="18"/>
        <v>49.198719487894593</v>
      </c>
      <c r="AS50" s="568">
        <f t="shared" si="18"/>
        <v>49.372158440659689</v>
      </c>
      <c r="AT50" s="568">
        <f t="shared" si="18"/>
        <v>49.544895527221009</v>
      </c>
      <c r="AU50" s="568">
        <f t="shared" si="18"/>
        <v>49.716934551280723</v>
      </c>
      <c r="AV50" s="569">
        <v>5</v>
      </c>
      <c r="AW50" s="695"/>
      <c r="AX50" s="695"/>
      <c r="AY50" s="695"/>
      <c r="AZ50" s="695"/>
      <c r="BA50" s="695"/>
      <c r="BB50" s="695"/>
      <c r="BC50" s="695"/>
      <c r="BD50" s="695"/>
      <c r="BE50" s="695"/>
    </row>
    <row r="51" spans="2:57" ht="14.4">
      <c r="B51" s="8" t="str">
        <f>Processes!D51</f>
        <v>IMPCRN</v>
      </c>
      <c r="C51" s="8" t="str">
        <f>Processes!E51</f>
        <v>Import technology - Corn</v>
      </c>
      <c r="D51" s="262"/>
      <c r="E51" s="262" t="str">
        <f t="shared" si="4"/>
        <v>CRN</v>
      </c>
      <c r="F51" s="823" t="str">
        <f t="shared" si="5"/>
        <v>MKr14</v>
      </c>
      <c r="G51" s="568">
        <f t="shared" ref="G51:P54" si="19">IFERROR(INDEX($G$121:$AU$176,MATCH($E51,$E$121:$E$176,0),MATCH(G$5,$G$120:$AU$120,0)),0)</f>
        <v>72.400000000000006</v>
      </c>
      <c r="H51" s="568">
        <f t="shared" si="19"/>
        <v>72.400000000000006</v>
      </c>
      <c r="I51" s="568">
        <f t="shared" si="19"/>
        <v>72.400000000000006</v>
      </c>
      <c r="J51" s="568">
        <f t="shared" si="19"/>
        <v>72.400000000000006</v>
      </c>
      <c r="K51" s="568">
        <f t="shared" si="19"/>
        <v>72.400000000000006</v>
      </c>
      <c r="L51" s="568">
        <f t="shared" si="19"/>
        <v>72.400000000000006</v>
      </c>
      <c r="M51" s="568">
        <f t="shared" si="19"/>
        <v>72.400000000000006</v>
      </c>
      <c r="N51" s="568">
        <f t="shared" si="19"/>
        <v>72.400000000000006</v>
      </c>
      <c r="O51" s="568">
        <f t="shared" si="19"/>
        <v>72.400000000000006</v>
      </c>
      <c r="P51" s="568">
        <f t="shared" si="19"/>
        <v>72.400000000000006</v>
      </c>
      <c r="Q51" s="568">
        <f t="shared" ref="Q51:Z54" si="20">IFERROR(INDEX($G$121:$AU$176,MATCH($E51,$E$121:$E$176,0),MATCH(Q$5,$G$120:$AU$120,0)),0)</f>
        <v>72.400000000000006</v>
      </c>
      <c r="R51" s="568">
        <f t="shared" si="20"/>
        <v>72.400000000000006</v>
      </c>
      <c r="S51" s="568">
        <f t="shared" si="20"/>
        <v>72.400000000000006</v>
      </c>
      <c r="T51" s="568">
        <f t="shared" si="20"/>
        <v>72.400000000000006</v>
      </c>
      <c r="U51" s="568">
        <f t="shared" si="20"/>
        <v>72.400000000000006</v>
      </c>
      <c r="V51" s="568">
        <f t="shared" si="20"/>
        <v>72.400000000000006</v>
      </c>
      <c r="W51" s="568">
        <f t="shared" si="20"/>
        <v>72.400000000000006</v>
      </c>
      <c r="X51" s="568">
        <f t="shared" si="20"/>
        <v>72.400000000000006</v>
      </c>
      <c r="Y51" s="568">
        <f t="shared" si="20"/>
        <v>72.400000000000006</v>
      </c>
      <c r="Z51" s="568">
        <f t="shared" si="20"/>
        <v>72.400000000000006</v>
      </c>
      <c r="AA51" s="568">
        <f t="shared" ref="AA51:AJ54" si="21">IFERROR(INDEX($G$121:$AU$176,MATCH($E51,$E$121:$E$176,0),MATCH(AA$5,$G$120:$AU$120,0)),0)</f>
        <v>72.400000000000006</v>
      </c>
      <c r="AB51" s="568">
        <f t="shared" si="21"/>
        <v>72.400000000000006</v>
      </c>
      <c r="AC51" s="568">
        <f t="shared" si="21"/>
        <v>72.400000000000006</v>
      </c>
      <c r="AD51" s="568">
        <f t="shared" si="21"/>
        <v>72.400000000000006</v>
      </c>
      <c r="AE51" s="568">
        <f t="shared" si="21"/>
        <v>72.400000000000006</v>
      </c>
      <c r="AF51" s="568">
        <f t="shared" si="21"/>
        <v>72.400000000000006</v>
      </c>
      <c r="AG51" s="568">
        <f t="shared" si="21"/>
        <v>72.400000000000006</v>
      </c>
      <c r="AH51" s="568">
        <f t="shared" si="21"/>
        <v>72.400000000000006</v>
      </c>
      <c r="AI51" s="568">
        <f t="shared" si="21"/>
        <v>72.400000000000006</v>
      </c>
      <c r="AJ51" s="568">
        <f t="shared" si="21"/>
        <v>72.400000000000006</v>
      </c>
      <c r="AK51" s="568">
        <f t="shared" ref="AK51:AU54" si="22">IFERROR(INDEX($G$121:$AU$176,MATCH($E51,$E$121:$E$176,0),MATCH(AK$5,$G$120:$AU$120,0)),0)</f>
        <v>72.400000000000006</v>
      </c>
      <c r="AL51" s="568">
        <f t="shared" si="22"/>
        <v>72.400000000000006</v>
      </c>
      <c r="AM51" s="568">
        <f t="shared" si="22"/>
        <v>72.400000000000006</v>
      </c>
      <c r="AN51" s="568">
        <f t="shared" si="22"/>
        <v>72.400000000000006</v>
      </c>
      <c r="AO51" s="568">
        <f t="shared" si="22"/>
        <v>72.400000000000006</v>
      </c>
      <c r="AP51" s="568">
        <f t="shared" si="22"/>
        <v>72.400000000000006</v>
      </c>
      <c r="AQ51" s="568">
        <f t="shared" si="22"/>
        <v>72.400000000000006</v>
      </c>
      <c r="AR51" s="568">
        <f t="shared" si="22"/>
        <v>72.400000000000006</v>
      </c>
      <c r="AS51" s="568">
        <f t="shared" si="22"/>
        <v>72.400000000000006</v>
      </c>
      <c r="AT51" s="568">
        <f t="shared" si="22"/>
        <v>72.400000000000006</v>
      </c>
      <c r="AU51" s="568">
        <f t="shared" si="22"/>
        <v>72.400000000000006</v>
      </c>
      <c r="AV51" s="569">
        <v>5</v>
      </c>
      <c r="AW51" s="695">
        <v>0</v>
      </c>
      <c r="AX51" s="695">
        <v>0</v>
      </c>
      <c r="AY51" s="695">
        <v>0</v>
      </c>
      <c r="AZ51" s="695">
        <v>0</v>
      </c>
      <c r="BA51" s="695">
        <v>0</v>
      </c>
      <c r="BB51" s="695">
        <v>0</v>
      </c>
      <c r="BC51" s="695">
        <v>0</v>
      </c>
      <c r="BD51" s="695">
        <v>0</v>
      </c>
      <c r="BE51" s="695">
        <v>5</v>
      </c>
    </row>
    <row r="52" spans="2:57" ht="14.4">
      <c r="B52" s="8" t="str">
        <f>Processes!D52</f>
        <v>IMPRPS</v>
      </c>
      <c r="C52" s="8" t="str">
        <f>Processes!E52</f>
        <v>Import technology - Rapeseed</v>
      </c>
      <c r="D52" s="262"/>
      <c r="E52" s="262" t="str">
        <f t="shared" si="4"/>
        <v>RPS</v>
      </c>
      <c r="F52" s="823" t="str">
        <f t="shared" si="5"/>
        <v>MKr14</v>
      </c>
      <c r="G52" s="568">
        <f t="shared" si="19"/>
        <v>101.7</v>
      </c>
      <c r="H52" s="568">
        <f t="shared" si="19"/>
        <v>101.7</v>
      </c>
      <c r="I52" s="568">
        <f t="shared" si="19"/>
        <v>101.7</v>
      </c>
      <c r="J52" s="568">
        <f t="shared" si="19"/>
        <v>101.7</v>
      </c>
      <c r="K52" s="568">
        <f t="shared" si="19"/>
        <v>101.7</v>
      </c>
      <c r="L52" s="568">
        <f t="shared" si="19"/>
        <v>101.7</v>
      </c>
      <c r="M52" s="568">
        <f t="shared" si="19"/>
        <v>101.7</v>
      </c>
      <c r="N52" s="568">
        <f t="shared" si="19"/>
        <v>101.7</v>
      </c>
      <c r="O52" s="568">
        <f t="shared" si="19"/>
        <v>101.7</v>
      </c>
      <c r="P52" s="568">
        <f t="shared" si="19"/>
        <v>101.7</v>
      </c>
      <c r="Q52" s="568">
        <f t="shared" si="20"/>
        <v>101.7</v>
      </c>
      <c r="R52" s="568">
        <f t="shared" si="20"/>
        <v>101.7</v>
      </c>
      <c r="S52" s="568">
        <f t="shared" si="20"/>
        <v>101.7</v>
      </c>
      <c r="T52" s="568">
        <f t="shared" si="20"/>
        <v>101.7</v>
      </c>
      <c r="U52" s="568">
        <f t="shared" si="20"/>
        <v>101.7</v>
      </c>
      <c r="V52" s="568">
        <f t="shared" si="20"/>
        <v>101.7</v>
      </c>
      <c r="W52" s="568">
        <f t="shared" si="20"/>
        <v>101.7</v>
      </c>
      <c r="X52" s="568">
        <f t="shared" si="20"/>
        <v>101.7</v>
      </c>
      <c r="Y52" s="568">
        <f t="shared" si="20"/>
        <v>101.7</v>
      </c>
      <c r="Z52" s="568">
        <f t="shared" si="20"/>
        <v>101.7</v>
      </c>
      <c r="AA52" s="568">
        <f t="shared" si="21"/>
        <v>101.7</v>
      </c>
      <c r="AB52" s="568">
        <f t="shared" si="21"/>
        <v>101.7</v>
      </c>
      <c r="AC52" s="568">
        <f t="shared" si="21"/>
        <v>101.7</v>
      </c>
      <c r="AD52" s="568">
        <f t="shared" si="21"/>
        <v>101.7</v>
      </c>
      <c r="AE52" s="568">
        <f t="shared" si="21"/>
        <v>101.7</v>
      </c>
      <c r="AF52" s="568">
        <f t="shared" si="21"/>
        <v>101.7</v>
      </c>
      <c r="AG52" s="568">
        <f t="shared" si="21"/>
        <v>101.7</v>
      </c>
      <c r="AH52" s="568">
        <f t="shared" si="21"/>
        <v>101.7</v>
      </c>
      <c r="AI52" s="568">
        <f t="shared" si="21"/>
        <v>101.7</v>
      </c>
      <c r="AJ52" s="568">
        <f t="shared" si="21"/>
        <v>101.7</v>
      </c>
      <c r="AK52" s="568">
        <f t="shared" si="22"/>
        <v>101.7</v>
      </c>
      <c r="AL52" s="568">
        <f t="shared" si="22"/>
        <v>101.7</v>
      </c>
      <c r="AM52" s="568">
        <f t="shared" si="22"/>
        <v>101.7</v>
      </c>
      <c r="AN52" s="568">
        <f t="shared" si="22"/>
        <v>101.7</v>
      </c>
      <c r="AO52" s="568">
        <f t="shared" si="22"/>
        <v>101.7</v>
      </c>
      <c r="AP52" s="568">
        <f t="shared" si="22"/>
        <v>101.7</v>
      </c>
      <c r="AQ52" s="568">
        <f t="shared" si="22"/>
        <v>101.7</v>
      </c>
      <c r="AR52" s="568">
        <f t="shared" si="22"/>
        <v>101.7</v>
      </c>
      <c r="AS52" s="568">
        <f t="shared" si="22"/>
        <v>101.7</v>
      </c>
      <c r="AT52" s="568">
        <f t="shared" si="22"/>
        <v>101.7</v>
      </c>
      <c r="AU52" s="568">
        <f t="shared" si="22"/>
        <v>101.7</v>
      </c>
      <c r="AV52" s="569">
        <v>5</v>
      </c>
      <c r="AW52" s="695">
        <v>0</v>
      </c>
      <c r="AX52" s="695">
        <v>0</v>
      </c>
      <c r="AY52" s="695">
        <v>0</v>
      </c>
      <c r="AZ52" s="695">
        <v>0</v>
      </c>
      <c r="BA52" s="695">
        <v>0</v>
      </c>
      <c r="BB52" s="695">
        <v>0</v>
      </c>
      <c r="BC52" s="695">
        <v>0</v>
      </c>
      <c r="BD52" s="695">
        <v>0</v>
      </c>
      <c r="BE52" s="695">
        <v>5</v>
      </c>
    </row>
    <row r="53" spans="2:57" ht="14.4">
      <c r="B53" s="8" t="str">
        <f>Processes!D53</f>
        <v>IMPSGB</v>
      </c>
      <c r="C53" s="8" t="str">
        <f>Processes!E53</f>
        <v>Import technology - Sugar Beet</v>
      </c>
      <c r="D53" s="1"/>
      <c r="E53" s="262" t="str">
        <f>IF(LEN(B53)=6,RIGHT(B53,3),RIGHT(B53,4))</f>
        <v>SGB</v>
      </c>
      <c r="F53" s="823" t="str">
        <f t="shared" si="5"/>
        <v>MKr14</v>
      </c>
      <c r="G53" s="568">
        <f t="shared" si="19"/>
        <v>10.6</v>
      </c>
      <c r="H53" s="568">
        <f t="shared" si="19"/>
        <v>10.6</v>
      </c>
      <c r="I53" s="568">
        <f t="shared" si="19"/>
        <v>10.6</v>
      </c>
      <c r="J53" s="568">
        <f t="shared" si="19"/>
        <v>10.6</v>
      </c>
      <c r="K53" s="568">
        <f t="shared" si="19"/>
        <v>10.6</v>
      </c>
      <c r="L53" s="568">
        <f t="shared" si="19"/>
        <v>10.6</v>
      </c>
      <c r="M53" s="568">
        <f t="shared" si="19"/>
        <v>10.6</v>
      </c>
      <c r="N53" s="568">
        <f t="shared" si="19"/>
        <v>10.6</v>
      </c>
      <c r="O53" s="568">
        <f t="shared" si="19"/>
        <v>10.6</v>
      </c>
      <c r="P53" s="568">
        <f t="shared" si="19"/>
        <v>10.6</v>
      </c>
      <c r="Q53" s="568">
        <f t="shared" si="20"/>
        <v>10.6</v>
      </c>
      <c r="R53" s="568">
        <f t="shared" si="20"/>
        <v>10.6</v>
      </c>
      <c r="S53" s="568">
        <f t="shared" si="20"/>
        <v>10.6</v>
      </c>
      <c r="T53" s="568">
        <f t="shared" si="20"/>
        <v>10.6</v>
      </c>
      <c r="U53" s="568">
        <f t="shared" si="20"/>
        <v>10.6</v>
      </c>
      <c r="V53" s="568">
        <f t="shared" si="20"/>
        <v>10.6</v>
      </c>
      <c r="W53" s="568">
        <f t="shared" si="20"/>
        <v>10.6</v>
      </c>
      <c r="X53" s="568">
        <f t="shared" si="20"/>
        <v>10.6</v>
      </c>
      <c r="Y53" s="568">
        <f t="shared" si="20"/>
        <v>10.6</v>
      </c>
      <c r="Z53" s="568">
        <f t="shared" si="20"/>
        <v>10.6</v>
      </c>
      <c r="AA53" s="568">
        <f t="shared" si="21"/>
        <v>10.6</v>
      </c>
      <c r="AB53" s="568">
        <f t="shared" si="21"/>
        <v>10.6</v>
      </c>
      <c r="AC53" s="568">
        <f t="shared" si="21"/>
        <v>10.6</v>
      </c>
      <c r="AD53" s="568">
        <f t="shared" si="21"/>
        <v>10.6</v>
      </c>
      <c r="AE53" s="568">
        <f t="shared" si="21"/>
        <v>10.6</v>
      </c>
      <c r="AF53" s="568">
        <f t="shared" si="21"/>
        <v>10.6</v>
      </c>
      <c r="AG53" s="568">
        <f t="shared" si="21"/>
        <v>10.6</v>
      </c>
      <c r="AH53" s="568">
        <f t="shared" si="21"/>
        <v>10.6</v>
      </c>
      <c r="AI53" s="568">
        <f t="shared" si="21"/>
        <v>10.6</v>
      </c>
      <c r="AJ53" s="568">
        <f t="shared" si="21"/>
        <v>10.6</v>
      </c>
      <c r="AK53" s="568">
        <f t="shared" si="22"/>
        <v>10.6</v>
      </c>
      <c r="AL53" s="568">
        <f t="shared" si="22"/>
        <v>10.6</v>
      </c>
      <c r="AM53" s="568">
        <f t="shared" si="22"/>
        <v>10.6</v>
      </c>
      <c r="AN53" s="568">
        <f t="shared" si="22"/>
        <v>10.6</v>
      </c>
      <c r="AO53" s="568">
        <f t="shared" si="22"/>
        <v>10.6</v>
      </c>
      <c r="AP53" s="568">
        <f t="shared" si="22"/>
        <v>10.6</v>
      </c>
      <c r="AQ53" s="568">
        <f t="shared" si="22"/>
        <v>10.6</v>
      </c>
      <c r="AR53" s="568">
        <f t="shared" si="22"/>
        <v>10.6</v>
      </c>
      <c r="AS53" s="568">
        <f t="shared" si="22"/>
        <v>10.6</v>
      </c>
      <c r="AT53" s="568">
        <f t="shared" si="22"/>
        <v>10.6</v>
      </c>
      <c r="AU53" s="568">
        <f t="shared" si="22"/>
        <v>10.6</v>
      </c>
      <c r="AV53" s="569">
        <v>5</v>
      </c>
      <c r="AW53" s="695">
        <v>0</v>
      </c>
      <c r="AX53" s="695">
        <v>0</v>
      </c>
      <c r="AY53" s="695">
        <v>0</v>
      </c>
      <c r="AZ53" s="695">
        <v>0</v>
      </c>
      <c r="BA53" s="695">
        <v>0</v>
      </c>
      <c r="BB53" s="695">
        <v>0</v>
      </c>
      <c r="BC53" s="695">
        <v>0</v>
      </c>
      <c r="BD53" s="695">
        <v>0</v>
      </c>
      <c r="BE53" s="695">
        <v>5</v>
      </c>
    </row>
    <row r="54" spans="2:57" ht="14.4">
      <c r="B54" s="648" t="str">
        <f>Processes!D54</f>
        <v>IMPDLI</v>
      </c>
      <c r="C54" s="648" t="str">
        <f>Processes!E54</f>
        <v>Import technology - Deep Litter</v>
      </c>
      <c r="D54" s="614"/>
      <c r="E54" s="649" t="str">
        <f t="shared" ref="E54:E74" si="23">IF(LEN(B54)=6,RIGHT(B54,3),RIGHT(B54,4))</f>
        <v>DLI</v>
      </c>
      <c r="F54" s="823" t="str">
        <f t="shared" si="5"/>
        <v>MKr14</v>
      </c>
      <c r="G54" s="650">
        <f t="shared" si="19"/>
        <v>0.01</v>
      </c>
      <c r="H54" s="650">
        <f t="shared" si="19"/>
        <v>0.01</v>
      </c>
      <c r="I54" s="650">
        <f t="shared" si="19"/>
        <v>0.01</v>
      </c>
      <c r="J54" s="650">
        <f t="shared" si="19"/>
        <v>0.01</v>
      </c>
      <c r="K54" s="650">
        <f t="shared" si="19"/>
        <v>0.01</v>
      </c>
      <c r="L54" s="650">
        <f t="shared" si="19"/>
        <v>0.01</v>
      </c>
      <c r="M54" s="650">
        <f t="shared" si="19"/>
        <v>0.01</v>
      </c>
      <c r="N54" s="650">
        <f t="shared" si="19"/>
        <v>0.01</v>
      </c>
      <c r="O54" s="650">
        <f t="shared" si="19"/>
        <v>0.01</v>
      </c>
      <c r="P54" s="650">
        <f t="shared" si="19"/>
        <v>0.01</v>
      </c>
      <c r="Q54" s="650">
        <f t="shared" si="20"/>
        <v>0.01</v>
      </c>
      <c r="R54" s="650">
        <f t="shared" si="20"/>
        <v>0.01</v>
      </c>
      <c r="S54" s="650">
        <f t="shared" si="20"/>
        <v>0.01</v>
      </c>
      <c r="T54" s="650">
        <f t="shared" si="20"/>
        <v>0.01</v>
      </c>
      <c r="U54" s="650">
        <f t="shared" si="20"/>
        <v>0.01</v>
      </c>
      <c r="V54" s="650">
        <f t="shared" si="20"/>
        <v>0.01</v>
      </c>
      <c r="W54" s="650">
        <f t="shared" si="20"/>
        <v>0.01</v>
      </c>
      <c r="X54" s="650">
        <f t="shared" si="20"/>
        <v>0.01</v>
      </c>
      <c r="Y54" s="650">
        <f t="shared" si="20"/>
        <v>0.01</v>
      </c>
      <c r="Z54" s="650">
        <f t="shared" si="20"/>
        <v>0.01</v>
      </c>
      <c r="AA54" s="650">
        <f t="shared" si="21"/>
        <v>0.01</v>
      </c>
      <c r="AB54" s="650">
        <f t="shared" si="21"/>
        <v>0.01</v>
      </c>
      <c r="AC54" s="650">
        <f t="shared" si="21"/>
        <v>0.01</v>
      </c>
      <c r="AD54" s="650">
        <f t="shared" si="21"/>
        <v>0.01</v>
      </c>
      <c r="AE54" s="650">
        <f t="shared" si="21"/>
        <v>0.01</v>
      </c>
      <c r="AF54" s="650">
        <f t="shared" si="21"/>
        <v>0.01</v>
      </c>
      <c r="AG54" s="650">
        <f t="shared" si="21"/>
        <v>0.01</v>
      </c>
      <c r="AH54" s="650">
        <f t="shared" si="21"/>
        <v>0.01</v>
      </c>
      <c r="AI54" s="650">
        <f t="shared" si="21"/>
        <v>0.01</v>
      </c>
      <c r="AJ54" s="650">
        <f t="shared" si="21"/>
        <v>0.01</v>
      </c>
      <c r="AK54" s="650">
        <f t="shared" si="22"/>
        <v>0.01</v>
      </c>
      <c r="AL54" s="650">
        <f t="shared" si="22"/>
        <v>0.01</v>
      </c>
      <c r="AM54" s="650">
        <f t="shared" si="22"/>
        <v>0.01</v>
      </c>
      <c r="AN54" s="650">
        <f t="shared" si="22"/>
        <v>0.01</v>
      </c>
      <c r="AO54" s="650">
        <f t="shared" si="22"/>
        <v>0.01</v>
      </c>
      <c r="AP54" s="650">
        <f t="shared" si="22"/>
        <v>0.01</v>
      </c>
      <c r="AQ54" s="650">
        <f t="shared" si="22"/>
        <v>0.01</v>
      </c>
      <c r="AR54" s="650">
        <f t="shared" si="22"/>
        <v>0.01</v>
      </c>
      <c r="AS54" s="650">
        <f t="shared" si="22"/>
        <v>0.01</v>
      </c>
      <c r="AT54" s="650">
        <f t="shared" si="22"/>
        <v>0.01</v>
      </c>
      <c r="AU54" s="650">
        <f t="shared" si="22"/>
        <v>0.01</v>
      </c>
      <c r="AV54" s="569">
        <v>5</v>
      </c>
      <c r="AW54" s="695">
        <v>0</v>
      </c>
      <c r="AX54" s="695">
        <v>0</v>
      </c>
      <c r="AY54" s="695">
        <v>0</v>
      </c>
      <c r="AZ54" s="695">
        <v>0</v>
      </c>
      <c r="BA54" s="695">
        <v>0</v>
      </c>
      <c r="BB54" s="695">
        <v>0</v>
      </c>
      <c r="BC54" s="695">
        <v>0</v>
      </c>
      <c r="BD54" s="695">
        <v>0</v>
      </c>
      <c r="BE54" s="695">
        <v>5</v>
      </c>
    </row>
    <row r="55" spans="2:57" ht="14.4">
      <c r="B55" s="8" t="str">
        <f>Processes!D55</f>
        <v>IMPMNR</v>
      </c>
      <c r="C55" s="8" t="str">
        <f>Processes!E55</f>
        <v>Import technology - Manure (Gylle)</v>
      </c>
      <c r="E55" s="262" t="str">
        <f t="shared" si="23"/>
        <v>MNR</v>
      </c>
      <c r="F55" s="823" t="str">
        <f t="shared" si="5"/>
        <v>MKr14</v>
      </c>
      <c r="G55" s="656">
        <f t="shared" ref="G55:P64" si="24">IFERROR(INDEX($G$121:$AU$176,MATCH($E55,$E$121:$E$176,0),MATCH(G$5,$G$120:$AU$120,0)),0)*$E$187</f>
        <v>9.4999999999999998E-3</v>
      </c>
      <c r="H55" s="656">
        <f t="shared" si="24"/>
        <v>9.4999999999999998E-3</v>
      </c>
      <c r="I55" s="656">
        <f t="shared" si="24"/>
        <v>9.4999999999999998E-3</v>
      </c>
      <c r="J55" s="656">
        <f t="shared" si="24"/>
        <v>9.4999999999999998E-3</v>
      </c>
      <c r="K55" s="656">
        <f t="shared" si="24"/>
        <v>9.4999999999999998E-3</v>
      </c>
      <c r="L55" s="656">
        <f t="shared" si="24"/>
        <v>9.4999999999999998E-3</v>
      </c>
      <c r="M55" s="656">
        <f t="shared" si="24"/>
        <v>9.4999999999999998E-3</v>
      </c>
      <c r="N55" s="656">
        <f t="shared" si="24"/>
        <v>9.4999999999999998E-3</v>
      </c>
      <c r="O55" s="656">
        <f t="shared" si="24"/>
        <v>9.4999999999999998E-3</v>
      </c>
      <c r="P55" s="656">
        <f t="shared" si="24"/>
        <v>9.4999999999999998E-3</v>
      </c>
      <c r="Q55" s="656">
        <f t="shared" ref="Q55:Z64" si="25">IFERROR(INDEX($G$121:$AU$176,MATCH($E55,$E$121:$E$176,0),MATCH(Q$5,$G$120:$AU$120,0)),0)*$E$187</f>
        <v>9.4999999999999998E-3</v>
      </c>
      <c r="R55" s="656">
        <f t="shared" si="25"/>
        <v>9.4999999999999998E-3</v>
      </c>
      <c r="S55" s="656">
        <f t="shared" si="25"/>
        <v>9.4999999999999998E-3</v>
      </c>
      <c r="T55" s="656">
        <f t="shared" si="25"/>
        <v>9.4999999999999998E-3</v>
      </c>
      <c r="U55" s="656">
        <f t="shared" si="25"/>
        <v>9.4999999999999998E-3</v>
      </c>
      <c r="V55" s="656">
        <f t="shared" si="25"/>
        <v>9.4999999999999998E-3</v>
      </c>
      <c r="W55" s="656">
        <f t="shared" si="25"/>
        <v>9.4999999999999998E-3</v>
      </c>
      <c r="X55" s="656">
        <f t="shared" si="25"/>
        <v>9.4999999999999998E-3</v>
      </c>
      <c r="Y55" s="656">
        <f t="shared" si="25"/>
        <v>9.4999999999999998E-3</v>
      </c>
      <c r="Z55" s="656">
        <f t="shared" si="25"/>
        <v>9.4999999999999998E-3</v>
      </c>
      <c r="AA55" s="656">
        <f t="shared" ref="AA55:AJ64" si="26">IFERROR(INDEX($G$121:$AU$176,MATCH($E55,$E$121:$E$176,0),MATCH(AA$5,$G$120:$AU$120,0)),0)*$E$187</f>
        <v>9.4999999999999998E-3</v>
      </c>
      <c r="AB55" s="656">
        <f t="shared" si="26"/>
        <v>9.4999999999999998E-3</v>
      </c>
      <c r="AC55" s="656">
        <f t="shared" si="26"/>
        <v>9.4999999999999998E-3</v>
      </c>
      <c r="AD55" s="656">
        <f t="shared" si="26"/>
        <v>9.4999999999999998E-3</v>
      </c>
      <c r="AE55" s="656">
        <f t="shared" si="26"/>
        <v>9.4999999999999998E-3</v>
      </c>
      <c r="AF55" s="656">
        <f t="shared" si="26"/>
        <v>9.4999999999999998E-3</v>
      </c>
      <c r="AG55" s="656">
        <f t="shared" si="26"/>
        <v>9.4999999999999998E-3</v>
      </c>
      <c r="AH55" s="656">
        <f t="shared" si="26"/>
        <v>9.4999999999999998E-3</v>
      </c>
      <c r="AI55" s="656">
        <f t="shared" si="26"/>
        <v>9.4999999999999998E-3</v>
      </c>
      <c r="AJ55" s="656">
        <f t="shared" si="26"/>
        <v>9.4999999999999998E-3</v>
      </c>
      <c r="AK55" s="656">
        <f t="shared" ref="AK55:AU64" si="27">IFERROR(INDEX($G$121:$AU$176,MATCH($E55,$E$121:$E$176,0),MATCH(AK$5,$G$120:$AU$120,0)),0)*$E$187</f>
        <v>9.4999999999999998E-3</v>
      </c>
      <c r="AL55" s="656">
        <f t="shared" si="27"/>
        <v>9.4999999999999998E-3</v>
      </c>
      <c r="AM55" s="656">
        <f t="shared" si="27"/>
        <v>9.4999999999999998E-3</v>
      </c>
      <c r="AN55" s="656">
        <f t="shared" si="27"/>
        <v>9.4999999999999998E-3</v>
      </c>
      <c r="AO55" s="656">
        <f t="shared" si="27"/>
        <v>9.4999999999999998E-3</v>
      </c>
      <c r="AP55" s="656">
        <f t="shared" si="27"/>
        <v>9.4999999999999998E-3</v>
      </c>
      <c r="AQ55" s="656">
        <f t="shared" si="27"/>
        <v>9.4999999999999998E-3</v>
      </c>
      <c r="AR55" s="656">
        <f t="shared" si="27"/>
        <v>9.4999999999999998E-3</v>
      </c>
      <c r="AS55" s="656">
        <f t="shared" si="27"/>
        <v>9.4999999999999998E-3</v>
      </c>
      <c r="AT55" s="656">
        <f t="shared" si="27"/>
        <v>9.4999999999999998E-3</v>
      </c>
      <c r="AU55" s="656">
        <f t="shared" si="27"/>
        <v>9.4999999999999998E-3</v>
      </c>
      <c r="AV55" s="569">
        <v>5</v>
      </c>
      <c r="AW55" s="695"/>
      <c r="AX55" s="695"/>
      <c r="AY55" s="695"/>
      <c r="AZ55" s="695"/>
      <c r="BA55" s="695"/>
      <c r="BB55" s="695"/>
      <c r="BC55" s="695"/>
      <c r="BD55" s="695"/>
      <c r="BE55" s="695"/>
    </row>
    <row r="56" spans="2:57" ht="14.4">
      <c r="B56" s="8" t="str">
        <f>Processes!D56</f>
        <v>MINWST</v>
      </c>
      <c r="C56" s="8" t="str">
        <f>Processes!E56</f>
        <v>Mining technology - Waste</v>
      </c>
      <c r="E56" s="262" t="str">
        <f t="shared" si="23"/>
        <v>WST</v>
      </c>
      <c r="F56" s="823" t="str">
        <f t="shared" si="5"/>
        <v>MKr14</v>
      </c>
      <c r="G56" s="568">
        <f t="shared" si="24"/>
        <v>9.5000000000000001E-2</v>
      </c>
      <c r="H56" s="568">
        <f t="shared" si="24"/>
        <v>9.5000000000000001E-2</v>
      </c>
      <c r="I56" s="568">
        <f t="shared" si="24"/>
        <v>9.5000000000000001E-2</v>
      </c>
      <c r="J56" s="568">
        <f t="shared" si="24"/>
        <v>9.5000000000000001E-2</v>
      </c>
      <c r="K56" s="568">
        <f t="shared" si="24"/>
        <v>9.5000000000000001E-2</v>
      </c>
      <c r="L56" s="568">
        <f t="shared" si="24"/>
        <v>9.5000000000000001E-2</v>
      </c>
      <c r="M56" s="568">
        <f t="shared" si="24"/>
        <v>9.5000000000000001E-2</v>
      </c>
      <c r="N56" s="568">
        <f t="shared" si="24"/>
        <v>9.5000000000000001E-2</v>
      </c>
      <c r="O56" s="568">
        <f t="shared" si="24"/>
        <v>9.5000000000000001E-2</v>
      </c>
      <c r="P56" s="568">
        <f t="shared" si="24"/>
        <v>9.5000000000000001E-2</v>
      </c>
      <c r="Q56" s="568">
        <f t="shared" si="25"/>
        <v>9.5000000000000001E-2</v>
      </c>
      <c r="R56" s="568">
        <f t="shared" si="25"/>
        <v>9.5000000000000001E-2</v>
      </c>
      <c r="S56" s="568">
        <f t="shared" si="25"/>
        <v>9.5000000000000001E-2</v>
      </c>
      <c r="T56" s="568">
        <f t="shared" si="25"/>
        <v>9.5000000000000001E-2</v>
      </c>
      <c r="U56" s="568">
        <f t="shared" si="25"/>
        <v>9.5000000000000001E-2</v>
      </c>
      <c r="V56" s="568">
        <f t="shared" si="25"/>
        <v>9.5000000000000001E-2</v>
      </c>
      <c r="W56" s="568">
        <f t="shared" si="25"/>
        <v>9.5000000000000001E-2</v>
      </c>
      <c r="X56" s="568">
        <f t="shared" si="25"/>
        <v>9.5000000000000001E-2</v>
      </c>
      <c r="Y56" s="568">
        <f t="shared" si="25"/>
        <v>9.5000000000000001E-2</v>
      </c>
      <c r="Z56" s="568">
        <f t="shared" si="25"/>
        <v>9.5000000000000001E-2</v>
      </c>
      <c r="AA56" s="568">
        <f t="shared" si="26"/>
        <v>9.5000000000000001E-2</v>
      </c>
      <c r="AB56" s="568">
        <f t="shared" si="26"/>
        <v>9.5000000000000001E-2</v>
      </c>
      <c r="AC56" s="568">
        <f t="shared" si="26"/>
        <v>9.5000000000000001E-2</v>
      </c>
      <c r="AD56" s="568">
        <f t="shared" si="26"/>
        <v>9.5000000000000001E-2</v>
      </c>
      <c r="AE56" s="568">
        <f t="shared" si="26"/>
        <v>9.5000000000000001E-2</v>
      </c>
      <c r="AF56" s="568">
        <f t="shared" si="26"/>
        <v>9.5000000000000001E-2</v>
      </c>
      <c r="AG56" s="568">
        <f t="shared" si="26"/>
        <v>9.5000000000000001E-2</v>
      </c>
      <c r="AH56" s="568">
        <f t="shared" si="26"/>
        <v>9.5000000000000001E-2</v>
      </c>
      <c r="AI56" s="568">
        <f t="shared" si="26"/>
        <v>9.5000000000000001E-2</v>
      </c>
      <c r="AJ56" s="568">
        <f t="shared" si="26"/>
        <v>9.5000000000000001E-2</v>
      </c>
      <c r="AK56" s="568">
        <f t="shared" si="27"/>
        <v>9.5000000000000001E-2</v>
      </c>
      <c r="AL56" s="568">
        <f t="shared" si="27"/>
        <v>9.5000000000000001E-2</v>
      </c>
      <c r="AM56" s="568">
        <f t="shared" si="27"/>
        <v>9.5000000000000001E-2</v>
      </c>
      <c r="AN56" s="568">
        <f t="shared" si="27"/>
        <v>9.5000000000000001E-2</v>
      </c>
      <c r="AO56" s="568">
        <f t="shared" si="27"/>
        <v>9.5000000000000001E-2</v>
      </c>
      <c r="AP56" s="568">
        <f t="shared" si="27"/>
        <v>9.5000000000000001E-2</v>
      </c>
      <c r="AQ56" s="568">
        <f t="shared" si="27"/>
        <v>9.5000000000000001E-2</v>
      </c>
      <c r="AR56" s="568">
        <f t="shared" si="27"/>
        <v>9.5000000000000001E-2</v>
      </c>
      <c r="AS56" s="568">
        <f t="shared" si="27"/>
        <v>9.5000000000000001E-2</v>
      </c>
      <c r="AT56" s="568">
        <f t="shared" si="27"/>
        <v>9.5000000000000001E-2</v>
      </c>
      <c r="AU56" s="568">
        <f t="shared" si="27"/>
        <v>9.5000000000000001E-2</v>
      </c>
      <c r="AV56" s="569">
        <v>5</v>
      </c>
      <c r="AW56" s="695"/>
      <c r="AX56" s="695"/>
      <c r="AY56" s="695"/>
      <c r="AZ56" s="695"/>
      <c r="BA56" s="695"/>
      <c r="BB56" s="695"/>
      <c r="BC56" s="695"/>
      <c r="BD56" s="695"/>
      <c r="BE56" s="695"/>
    </row>
    <row r="57" spans="2:57" ht="14.4">
      <c r="B57" s="8" t="str">
        <f>Processes!D57</f>
        <v>MINSTR</v>
      </c>
      <c r="C57" s="8" t="str">
        <f>Processes!E57</f>
        <v>Mining technology - Straw</v>
      </c>
      <c r="E57" s="262" t="str">
        <f t="shared" si="23"/>
        <v>STR</v>
      </c>
      <c r="F57" s="823" t="str">
        <f t="shared" si="5"/>
        <v>MKr19</v>
      </c>
      <c r="G57" s="568">
        <f t="shared" si="24"/>
        <v>39.424999999999997</v>
      </c>
      <c r="H57" s="568">
        <f t="shared" si="24"/>
        <v>39.424999999999997</v>
      </c>
      <c r="I57" s="568">
        <f t="shared" si="24"/>
        <v>39.424999999999997</v>
      </c>
      <c r="J57" s="568">
        <f t="shared" si="24"/>
        <v>39.14</v>
      </c>
      <c r="K57" s="568">
        <f t="shared" si="24"/>
        <v>38.76</v>
      </c>
      <c r="L57" s="568">
        <f t="shared" si="24"/>
        <v>38.475000000000001</v>
      </c>
      <c r="M57" s="568">
        <f t="shared" si="24"/>
        <v>38.854999999999997</v>
      </c>
      <c r="N57" s="568">
        <f t="shared" si="24"/>
        <v>39.33</v>
      </c>
      <c r="O57" s="568">
        <f t="shared" si="24"/>
        <v>39.553153152572932</v>
      </c>
      <c r="P57" s="568">
        <f t="shared" si="24"/>
        <v>39.553153152572932</v>
      </c>
      <c r="Q57" s="568">
        <f t="shared" si="25"/>
        <v>39.864326651741912</v>
      </c>
      <c r="R57" s="568">
        <f t="shared" si="25"/>
        <v>40.257118427780526</v>
      </c>
      <c r="S57" s="568">
        <f t="shared" si="25"/>
        <v>40.651641238518096</v>
      </c>
      <c r="T57" s="568">
        <f t="shared" si="25"/>
        <v>41.047775314379273</v>
      </c>
      <c r="U57" s="568">
        <f t="shared" si="25"/>
        <v>41.44540255411399</v>
      </c>
      <c r="V57" s="568">
        <f t="shared" si="25"/>
        <v>41.844406507497993</v>
      </c>
      <c r="W57" s="568">
        <f t="shared" si="25"/>
        <v>42.088317707337325</v>
      </c>
      <c r="X57" s="568">
        <f t="shared" si="25"/>
        <v>42.332426018634543</v>
      </c>
      <c r="Y57" s="568">
        <f t="shared" si="25"/>
        <v>42.576727554498127</v>
      </c>
      <c r="Z57" s="568">
        <f t="shared" si="25"/>
        <v>42.821218468877682</v>
      </c>
      <c r="AA57" s="568">
        <f t="shared" si="26"/>
        <v>43.065894956074864</v>
      </c>
      <c r="AB57" s="568">
        <f t="shared" si="26"/>
        <v>43.272067061620987</v>
      </c>
      <c r="AC57" s="568">
        <f t="shared" si="26"/>
        <v>43.478503697166701</v>
      </c>
      <c r="AD57" s="568">
        <f t="shared" si="26"/>
        <v>43.63940004633902</v>
      </c>
      <c r="AE57" s="568">
        <f t="shared" si="26"/>
        <v>43.787387959191499</v>
      </c>
      <c r="AF57" s="568">
        <f t="shared" si="26"/>
        <v>43.935341188637722</v>
      </c>
      <c r="AG57" s="568">
        <f t="shared" si="26"/>
        <v>44.070978690732581</v>
      </c>
      <c r="AH57" s="568">
        <f t="shared" si="26"/>
        <v>44.206575683566093</v>
      </c>
      <c r="AI57" s="568">
        <f t="shared" si="26"/>
        <v>44.342131579988035</v>
      </c>
      <c r="AJ57" s="568">
        <f t="shared" si="26"/>
        <v>44.477645798455178</v>
      </c>
      <c r="AK57" s="568">
        <f t="shared" si="27"/>
        <v>44.61311776297277</v>
      </c>
      <c r="AL57" s="568">
        <f t="shared" si="27"/>
        <v>44.61311776297277</v>
      </c>
      <c r="AM57" s="568">
        <f t="shared" si="27"/>
        <v>44.61311776297277</v>
      </c>
      <c r="AN57" s="568">
        <f t="shared" si="27"/>
        <v>44.61311776297277</v>
      </c>
      <c r="AO57" s="568">
        <f t="shared" si="27"/>
        <v>44.61311776297277</v>
      </c>
      <c r="AP57" s="568">
        <f t="shared" si="27"/>
        <v>44.61311776297277</v>
      </c>
      <c r="AQ57" s="568">
        <f t="shared" si="27"/>
        <v>44.61311776297277</v>
      </c>
      <c r="AR57" s="568">
        <f t="shared" si="27"/>
        <v>44.61311776297277</v>
      </c>
      <c r="AS57" s="568">
        <f t="shared" si="27"/>
        <v>44.61311776297277</v>
      </c>
      <c r="AT57" s="568">
        <f t="shared" si="27"/>
        <v>44.61311776297277</v>
      </c>
      <c r="AU57" s="568">
        <f t="shared" si="27"/>
        <v>44.61311776297277</v>
      </c>
      <c r="AV57" s="569">
        <v>5</v>
      </c>
      <c r="AW57" s="695"/>
      <c r="AX57" s="695"/>
      <c r="AY57" s="695"/>
      <c r="AZ57" s="695"/>
      <c r="BA57" s="695"/>
      <c r="BB57" s="695"/>
      <c r="BC57" s="695"/>
      <c r="BD57" s="695"/>
      <c r="BE57" s="695"/>
    </row>
    <row r="58" spans="2:57" ht="14.4">
      <c r="B58" s="8" t="str">
        <f>Processes!D58</f>
        <v>MINGRS</v>
      </c>
      <c r="C58" s="8" t="str">
        <f>Processes!E58</f>
        <v>Mining technology - Grass</v>
      </c>
      <c r="D58" s="262"/>
      <c r="E58" s="262" t="str">
        <f t="shared" si="23"/>
        <v>GRS</v>
      </c>
      <c r="F58" s="823" t="str">
        <f t="shared" si="5"/>
        <v>MKr14</v>
      </c>
      <c r="G58" s="568">
        <f t="shared" si="24"/>
        <v>39.424999999999997</v>
      </c>
      <c r="H58" s="568">
        <f t="shared" si="24"/>
        <v>39.424999999999997</v>
      </c>
      <c r="I58" s="568">
        <f t="shared" si="24"/>
        <v>39.424999999999997</v>
      </c>
      <c r="J58" s="568">
        <f t="shared" si="24"/>
        <v>39.14</v>
      </c>
      <c r="K58" s="568">
        <f t="shared" si="24"/>
        <v>38.76</v>
      </c>
      <c r="L58" s="568">
        <f t="shared" si="24"/>
        <v>38.475000000000001</v>
      </c>
      <c r="M58" s="568">
        <f t="shared" si="24"/>
        <v>38.854999999999997</v>
      </c>
      <c r="N58" s="568">
        <f t="shared" si="24"/>
        <v>39.33</v>
      </c>
      <c r="O58" s="568">
        <f t="shared" si="24"/>
        <v>39.553153152572932</v>
      </c>
      <c r="P58" s="568">
        <f t="shared" si="24"/>
        <v>39.553153152572932</v>
      </c>
      <c r="Q58" s="568">
        <f t="shared" si="25"/>
        <v>39.864326651741912</v>
      </c>
      <c r="R58" s="568">
        <f t="shared" si="25"/>
        <v>40.257118427780526</v>
      </c>
      <c r="S58" s="568">
        <f t="shared" si="25"/>
        <v>40.651641238518096</v>
      </c>
      <c r="T58" s="568">
        <f t="shared" si="25"/>
        <v>41.047775314379273</v>
      </c>
      <c r="U58" s="568">
        <f t="shared" si="25"/>
        <v>41.44540255411399</v>
      </c>
      <c r="V58" s="568">
        <f t="shared" si="25"/>
        <v>41.844406507497993</v>
      </c>
      <c r="W58" s="568">
        <f t="shared" si="25"/>
        <v>42.088317707337325</v>
      </c>
      <c r="X58" s="568">
        <f t="shared" si="25"/>
        <v>42.332426018634543</v>
      </c>
      <c r="Y58" s="568">
        <f t="shared" si="25"/>
        <v>42.576727554498127</v>
      </c>
      <c r="Z58" s="568">
        <f t="shared" si="25"/>
        <v>42.821218468877682</v>
      </c>
      <c r="AA58" s="568">
        <f t="shared" si="26"/>
        <v>43.065894956074864</v>
      </c>
      <c r="AB58" s="568">
        <f t="shared" si="26"/>
        <v>43.272067061620987</v>
      </c>
      <c r="AC58" s="568">
        <f t="shared" si="26"/>
        <v>43.478503697166701</v>
      </c>
      <c r="AD58" s="568">
        <f t="shared" si="26"/>
        <v>43.63940004633902</v>
      </c>
      <c r="AE58" s="568">
        <f t="shared" si="26"/>
        <v>43.787387959191499</v>
      </c>
      <c r="AF58" s="568">
        <f t="shared" si="26"/>
        <v>43.935341188637722</v>
      </c>
      <c r="AG58" s="568">
        <f t="shared" si="26"/>
        <v>44.070978690732581</v>
      </c>
      <c r="AH58" s="568">
        <f t="shared" si="26"/>
        <v>44.206575683566093</v>
      </c>
      <c r="AI58" s="568">
        <f t="shared" si="26"/>
        <v>44.342131579988035</v>
      </c>
      <c r="AJ58" s="568">
        <f t="shared" si="26"/>
        <v>44.477645798455178</v>
      </c>
      <c r="AK58" s="568">
        <f t="shared" si="27"/>
        <v>44.61311776297277</v>
      </c>
      <c r="AL58" s="568">
        <f t="shared" si="27"/>
        <v>44.61311776297277</v>
      </c>
      <c r="AM58" s="568">
        <f t="shared" si="27"/>
        <v>44.61311776297277</v>
      </c>
      <c r="AN58" s="568">
        <f t="shared" si="27"/>
        <v>44.61311776297277</v>
      </c>
      <c r="AO58" s="568">
        <f t="shared" si="27"/>
        <v>44.61311776297277</v>
      </c>
      <c r="AP58" s="568">
        <f t="shared" si="27"/>
        <v>44.61311776297277</v>
      </c>
      <c r="AQ58" s="568">
        <f t="shared" si="27"/>
        <v>44.61311776297277</v>
      </c>
      <c r="AR58" s="568">
        <f t="shared" si="27"/>
        <v>44.61311776297277</v>
      </c>
      <c r="AS58" s="568">
        <f t="shared" si="27"/>
        <v>44.61311776297277</v>
      </c>
      <c r="AT58" s="568">
        <f t="shared" si="27"/>
        <v>44.61311776297277</v>
      </c>
      <c r="AU58" s="568">
        <f t="shared" si="27"/>
        <v>44.61311776297277</v>
      </c>
      <c r="AV58" s="569">
        <v>5</v>
      </c>
      <c r="AW58" s="695"/>
      <c r="AX58" s="695"/>
      <c r="AY58" s="695"/>
      <c r="AZ58" s="695"/>
      <c r="BA58" s="695"/>
      <c r="BB58" s="695"/>
      <c r="BC58" s="695"/>
      <c r="BD58" s="695"/>
      <c r="BE58" s="695"/>
    </row>
    <row r="59" spans="2:57" ht="14.4">
      <c r="B59" s="8" t="str">
        <f>Processes!D59</f>
        <v>MINWPE</v>
      </c>
      <c r="C59" s="8" t="str">
        <f>Processes!E59</f>
        <v>Mining technology - Wood pellets</v>
      </c>
      <c r="D59" s="262"/>
      <c r="E59" s="262" t="str">
        <f t="shared" si="23"/>
        <v>WPE</v>
      </c>
      <c r="F59" s="823" t="str">
        <f t="shared" si="5"/>
        <v>MKr19</v>
      </c>
      <c r="G59" s="568">
        <f t="shared" si="24"/>
        <v>70.015000000000001</v>
      </c>
      <c r="H59" s="568">
        <f t="shared" si="24"/>
        <v>70.015000000000001</v>
      </c>
      <c r="I59" s="568">
        <f t="shared" si="24"/>
        <v>70.015000000000001</v>
      </c>
      <c r="J59" s="568">
        <f t="shared" si="24"/>
        <v>69.064999999999998</v>
      </c>
      <c r="K59" s="568">
        <f t="shared" si="24"/>
        <v>68.209999999999994</v>
      </c>
      <c r="L59" s="568">
        <f t="shared" si="24"/>
        <v>67.259999999999991</v>
      </c>
      <c r="M59" s="568">
        <f t="shared" si="24"/>
        <v>67.64</v>
      </c>
      <c r="N59" s="568">
        <f t="shared" si="24"/>
        <v>68.02</v>
      </c>
      <c r="O59" s="568">
        <f t="shared" si="24"/>
        <v>66.020146242702353</v>
      </c>
      <c r="P59" s="568">
        <f t="shared" si="24"/>
        <v>65.96136818516834</v>
      </c>
      <c r="Q59" s="568">
        <f t="shared" si="25"/>
        <v>56.914684416651603</v>
      </c>
      <c r="R59" s="568">
        <f t="shared" si="25"/>
        <v>59.711627192732756</v>
      </c>
      <c r="S59" s="568">
        <f t="shared" si="25"/>
        <v>60.013888268314545</v>
      </c>
      <c r="T59" s="568">
        <f t="shared" si="25"/>
        <v>59.354930887874318</v>
      </c>
      <c r="U59" s="568">
        <f t="shared" si="25"/>
        <v>59.035222491122838</v>
      </c>
      <c r="V59" s="568">
        <f t="shared" si="25"/>
        <v>58.74841506580303</v>
      </c>
      <c r="W59" s="568">
        <f t="shared" si="25"/>
        <v>58.481086742367445</v>
      </c>
      <c r="X59" s="568">
        <f t="shared" si="25"/>
        <v>58.239324610762822</v>
      </c>
      <c r="Y59" s="568">
        <f t="shared" si="25"/>
        <v>58.021371524421873</v>
      </c>
      <c r="Z59" s="568">
        <f t="shared" si="25"/>
        <v>57.835820760328922</v>
      </c>
      <c r="AA59" s="568">
        <f t="shared" si="26"/>
        <v>57.670584214255001</v>
      </c>
      <c r="AB59" s="568">
        <f t="shared" si="26"/>
        <v>57.669113952551044</v>
      </c>
      <c r="AC59" s="568">
        <f t="shared" si="26"/>
        <v>57.667421376427306</v>
      </c>
      <c r="AD59" s="568">
        <f t="shared" si="26"/>
        <v>57.665509674562891</v>
      </c>
      <c r="AE59" s="568">
        <f t="shared" si="26"/>
        <v>57.663381980957837</v>
      </c>
      <c r="AF59" s="568">
        <f t="shared" si="26"/>
        <v>57.661041375510997</v>
      </c>
      <c r="AG59" s="568">
        <f t="shared" si="26"/>
        <v>57.65544812020616</v>
      </c>
      <c r="AH59" s="568">
        <f t="shared" si="26"/>
        <v>57.649697437970978</v>
      </c>
      <c r="AI59" s="568">
        <f t="shared" si="26"/>
        <v>57.643792171361397</v>
      </c>
      <c r="AJ59" s="568">
        <f t="shared" si="26"/>
        <v>57.637735107495111</v>
      </c>
      <c r="AK59" s="568">
        <f t="shared" si="27"/>
        <v>57.631528978823219</v>
      </c>
      <c r="AL59" s="568">
        <f t="shared" si="27"/>
        <v>57.642160026944858</v>
      </c>
      <c r="AM59" s="568">
        <f t="shared" si="27"/>
        <v>57.652670836265216</v>
      </c>
      <c r="AN59" s="568">
        <f t="shared" si="27"/>
        <v>57.663062920789976</v>
      </c>
      <c r="AO59" s="568">
        <f t="shared" si="27"/>
        <v>57.67333776272897</v>
      </c>
      <c r="AP59" s="568">
        <f t="shared" si="27"/>
        <v>57.683496812826789</v>
      </c>
      <c r="AQ59" s="568">
        <f t="shared" si="27"/>
        <v>57.735587537358441</v>
      </c>
      <c r="AR59" s="568">
        <f t="shared" si="27"/>
        <v>57.78734511269969</v>
      </c>
      <c r="AS59" s="568">
        <f t="shared" si="27"/>
        <v>57.838771147246518</v>
      </c>
      <c r="AT59" s="568">
        <f t="shared" si="27"/>
        <v>57.889867215086504</v>
      </c>
      <c r="AU59" s="568">
        <f t="shared" si="27"/>
        <v>57.940634856356873</v>
      </c>
      <c r="AV59" s="569">
        <v>5</v>
      </c>
      <c r="AW59" s="695"/>
      <c r="AX59" s="695"/>
      <c r="AY59" s="695"/>
      <c r="AZ59" s="695"/>
      <c r="BA59" s="695"/>
      <c r="BB59" s="695"/>
      <c r="BC59" s="695"/>
      <c r="BD59" s="695"/>
      <c r="BE59" s="695"/>
    </row>
    <row r="60" spans="2:57" ht="14.4">
      <c r="B60" s="8" t="str">
        <f>Processes!D60</f>
        <v>MINWCH</v>
      </c>
      <c r="C60" s="8" t="str">
        <f>Processes!E60</f>
        <v>Mining technology - Wood chips and wood waste</v>
      </c>
      <c r="D60" s="262"/>
      <c r="E60" s="262" t="str">
        <f t="shared" si="23"/>
        <v>WCH</v>
      </c>
      <c r="F60" s="823" t="str">
        <f t="shared" si="5"/>
        <v>MKr19</v>
      </c>
      <c r="G60" s="568">
        <f t="shared" si="24"/>
        <v>43.699999999999996</v>
      </c>
      <c r="H60" s="568">
        <f t="shared" si="24"/>
        <v>43.699999999999996</v>
      </c>
      <c r="I60" s="568">
        <f t="shared" si="24"/>
        <v>43.699999999999996</v>
      </c>
      <c r="J60" s="568">
        <f t="shared" si="24"/>
        <v>43.414999999999999</v>
      </c>
      <c r="K60" s="568">
        <f t="shared" si="24"/>
        <v>43.034999999999997</v>
      </c>
      <c r="L60" s="568">
        <f t="shared" si="24"/>
        <v>42.654999999999994</v>
      </c>
      <c r="M60" s="568">
        <f t="shared" si="24"/>
        <v>43.129999999999995</v>
      </c>
      <c r="N60" s="568">
        <f t="shared" si="24"/>
        <v>43.604999999999997</v>
      </c>
      <c r="O60" s="568">
        <f t="shared" si="24"/>
        <v>42.920498592365362</v>
      </c>
      <c r="P60" s="568">
        <f t="shared" si="24"/>
        <v>42.86172053483137</v>
      </c>
      <c r="Q60" s="568">
        <f t="shared" si="25"/>
        <v>42.985970217976949</v>
      </c>
      <c r="R60" s="568">
        <f t="shared" si="25"/>
        <v>42.930737621218739</v>
      </c>
      <c r="S60" s="568">
        <f t="shared" si="25"/>
        <v>43.122515400049686</v>
      </c>
      <c r="T60" s="568">
        <f t="shared" si="25"/>
        <v>43.362212229388248</v>
      </c>
      <c r="U60" s="568">
        <f t="shared" si="25"/>
        <v>43.62686434319582</v>
      </c>
      <c r="V60" s="568">
        <f t="shared" si="25"/>
        <v>43.896651372185751</v>
      </c>
      <c r="W60" s="568">
        <f t="shared" si="25"/>
        <v>44.09874443125387</v>
      </c>
      <c r="X60" s="568">
        <f t="shared" si="25"/>
        <v>44.299506357634684</v>
      </c>
      <c r="Y60" s="568">
        <f t="shared" si="25"/>
        <v>44.497928296919504</v>
      </c>
      <c r="Z60" s="568">
        <f t="shared" si="25"/>
        <v>44.701341711419417</v>
      </c>
      <c r="AA60" s="568">
        <f t="shared" si="26"/>
        <v>44.899951064987313</v>
      </c>
      <c r="AB60" s="568">
        <f t="shared" si="26"/>
        <v>44.995010804955093</v>
      </c>
      <c r="AC60" s="568">
        <f t="shared" si="26"/>
        <v>45.089896386301845</v>
      </c>
      <c r="AD60" s="568">
        <f t="shared" si="26"/>
        <v>45.184608919645179</v>
      </c>
      <c r="AE60" s="568">
        <f t="shared" si="26"/>
        <v>45.279149498086021</v>
      </c>
      <c r="AF60" s="568">
        <f t="shared" si="26"/>
        <v>45.373519197394238</v>
      </c>
      <c r="AG60" s="568">
        <f t="shared" si="26"/>
        <v>45.468479823575379</v>
      </c>
      <c r="AH60" s="568">
        <f t="shared" si="26"/>
        <v>45.5631628821723</v>
      </c>
      <c r="AI60" s="568">
        <f t="shared" si="26"/>
        <v>45.657570209274184</v>
      </c>
      <c r="AJ60" s="568">
        <f t="shared" si="26"/>
        <v>45.75170361599077</v>
      </c>
      <c r="AK60" s="568">
        <f t="shared" si="27"/>
        <v>45.845564888719998</v>
      </c>
      <c r="AL60" s="568">
        <f t="shared" si="27"/>
        <v>45.958745378603254</v>
      </c>
      <c r="AM60" s="568">
        <f t="shared" si="27"/>
        <v>46.071499911718661</v>
      </c>
      <c r="AN60" s="568">
        <f t="shared" si="27"/>
        <v>46.183831178905827</v>
      </c>
      <c r="AO60" s="568">
        <f t="shared" si="27"/>
        <v>46.295741837125888</v>
      </c>
      <c r="AP60" s="568">
        <f t="shared" si="27"/>
        <v>46.407234509827518</v>
      </c>
      <c r="AQ60" s="568">
        <f t="shared" si="27"/>
        <v>46.573346077925379</v>
      </c>
      <c r="AR60" s="568">
        <f t="shared" si="27"/>
        <v>46.738783513499861</v>
      </c>
      <c r="AS60" s="568">
        <f t="shared" si="27"/>
        <v>46.903550518626702</v>
      </c>
      <c r="AT60" s="568">
        <f t="shared" si="27"/>
        <v>47.067650750859954</v>
      </c>
      <c r="AU60" s="568">
        <f t="shared" si="27"/>
        <v>47.231087823716685</v>
      </c>
      <c r="AV60" s="569">
        <v>5</v>
      </c>
    </row>
    <row r="61" spans="2:57" ht="14.4">
      <c r="B61" s="8" t="str">
        <f>Processes!D61</f>
        <v>MINFIW</v>
      </c>
      <c r="C61" s="8" t="str">
        <f>Processes!E61</f>
        <v>Mining technology - Firewood</v>
      </c>
      <c r="D61" s="262"/>
      <c r="E61" s="262" t="str">
        <f t="shared" si="23"/>
        <v>FIW</v>
      </c>
      <c r="F61" s="823" t="str">
        <f t="shared" si="5"/>
        <v>MKr14</v>
      </c>
      <c r="G61" s="568">
        <f t="shared" si="24"/>
        <v>10.924999999999999</v>
      </c>
      <c r="H61" s="568">
        <f t="shared" si="24"/>
        <v>10.924999999999999</v>
      </c>
      <c r="I61" s="568">
        <f t="shared" si="24"/>
        <v>10.924999999999999</v>
      </c>
      <c r="J61" s="568">
        <f t="shared" si="24"/>
        <v>10.85375</v>
      </c>
      <c r="K61" s="568">
        <f t="shared" si="24"/>
        <v>10.758749999999999</v>
      </c>
      <c r="L61" s="568">
        <f t="shared" si="24"/>
        <v>10.663749999999999</v>
      </c>
      <c r="M61" s="568">
        <f t="shared" si="24"/>
        <v>10.782499999999999</v>
      </c>
      <c r="N61" s="568">
        <f t="shared" si="24"/>
        <v>10.901249999999999</v>
      </c>
      <c r="O61" s="568">
        <f t="shared" si="24"/>
        <v>10.730124648091341</v>
      </c>
      <c r="P61" s="568">
        <f t="shared" si="24"/>
        <v>10.715430133707843</v>
      </c>
      <c r="Q61" s="568">
        <f t="shared" si="25"/>
        <v>10.746492554494237</v>
      </c>
      <c r="R61" s="568">
        <f t="shared" si="25"/>
        <v>10.732684405304685</v>
      </c>
      <c r="S61" s="568">
        <f t="shared" si="25"/>
        <v>10.780628850012421</v>
      </c>
      <c r="T61" s="568">
        <f t="shared" si="25"/>
        <v>10.840553057347062</v>
      </c>
      <c r="U61" s="568">
        <f t="shared" si="25"/>
        <v>10.906716085798955</v>
      </c>
      <c r="V61" s="568">
        <f t="shared" si="25"/>
        <v>10.974162843046438</v>
      </c>
      <c r="W61" s="568">
        <f t="shared" si="25"/>
        <v>11.024686107813467</v>
      </c>
      <c r="X61" s="568">
        <f t="shared" si="25"/>
        <v>11.074876589408671</v>
      </c>
      <c r="Y61" s="568">
        <f t="shared" si="25"/>
        <v>11.124482074229876</v>
      </c>
      <c r="Z61" s="568">
        <f t="shared" si="25"/>
        <v>11.175335427854854</v>
      </c>
      <c r="AA61" s="568">
        <f t="shared" si="26"/>
        <v>11.224987766246828</v>
      </c>
      <c r="AB61" s="568">
        <f t="shared" si="26"/>
        <v>11.248752701238773</v>
      </c>
      <c r="AC61" s="568">
        <f t="shared" si="26"/>
        <v>11.272474096575461</v>
      </c>
      <c r="AD61" s="568">
        <f t="shared" si="26"/>
        <v>11.296152229911295</v>
      </c>
      <c r="AE61" s="568">
        <f t="shared" si="26"/>
        <v>11.319787374521505</v>
      </c>
      <c r="AF61" s="568">
        <f t="shared" si="26"/>
        <v>11.343379799348559</v>
      </c>
      <c r="AG61" s="568">
        <f t="shared" si="26"/>
        <v>11.367119955893845</v>
      </c>
      <c r="AH61" s="568">
        <f t="shared" si="26"/>
        <v>11.390790720543075</v>
      </c>
      <c r="AI61" s="568">
        <f t="shared" si="26"/>
        <v>11.414392552318546</v>
      </c>
      <c r="AJ61" s="568">
        <f t="shared" si="26"/>
        <v>11.437925903997693</v>
      </c>
      <c r="AK61" s="568">
        <f t="shared" si="27"/>
        <v>11.46139122218</v>
      </c>
      <c r="AL61" s="568">
        <f t="shared" si="27"/>
        <v>11.489686344650814</v>
      </c>
      <c r="AM61" s="568">
        <f t="shared" si="27"/>
        <v>11.517874977929665</v>
      </c>
      <c r="AN61" s="568">
        <f t="shared" si="27"/>
        <v>11.545957794726457</v>
      </c>
      <c r="AO61" s="568">
        <f t="shared" si="27"/>
        <v>11.573935459281472</v>
      </c>
      <c r="AP61" s="568">
        <f t="shared" si="27"/>
        <v>11.601808627456879</v>
      </c>
      <c r="AQ61" s="568">
        <f t="shared" si="27"/>
        <v>11.643336519481345</v>
      </c>
      <c r="AR61" s="568">
        <f t="shared" si="27"/>
        <v>11.684695878374965</v>
      </c>
      <c r="AS61" s="568">
        <f t="shared" si="27"/>
        <v>11.725887629656675</v>
      </c>
      <c r="AT61" s="568">
        <f t="shared" si="27"/>
        <v>11.766912687714989</v>
      </c>
      <c r="AU61" s="568">
        <f t="shared" si="27"/>
        <v>11.807771955929171</v>
      </c>
      <c r="AV61" s="569">
        <v>5</v>
      </c>
    </row>
    <row r="62" spans="2:57" ht="14.4">
      <c r="B62" s="8" t="str">
        <f>Processes!D62</f>
        <v>MINCRN</v>
      </c>
      <c r="C62" s="8" t="str">
        <f>Processes!E62</f>
        <v>Mining technology - Corn</v>
      </c>
      <c r="D62" s="262"/>
      <c r="E62" s="262" t="str">
        <f t="shared" si="23"/>
        <v>CRN</v>
      </c>
      <c r="F62" s="823" t="str">
        <f t="shared" si="5"/>
        <v>MKr14</v>
      </c>
      <c r="G62" s="568">
        <f t="shared" si="24"/>
        <v>68.78</v>
      </c>
      <c r="H62" s="568">
        <f t="shared" si="24"/>
        <v>68.78</v>
      </c>
      <c r="I62" s="568">
        <f t="shared" si="24"/>
        <v>68.78</v>
      </c>
      <c r="J62" s="568">
        <f t="shared" si="24"/>
        <v>68.78</v>
      </c>
      <c r="K62" s="568">
        <f t="shared" si="24"/>
        <v>68.78</v>
      </c>
      <c r="L62" s="568">
        <f t="shared" si="24"/>
        <v>68.78</v>
      </c>
      <c r="M62" s="568">
        <f t="shared" si="24"/>
        <v>68.78</v>
      </c>
      <c r="N62" s="568">
        <f t="shared" si="24"/>
        <v>68.78</v>
      </c>
      <c r="O62" s="568">
        <f t="shared" si="24"/>
        <v>68.78</v>
      </c>
      <c r="P62" s="568">
        <f t="shared" si="24"/>
        <v>68.78</v>
      </c>
      <c r="Q62" s="568">
        <f t="shared" si="25"/>
        <v>68.78</v>
      </c>
      <c r="R62" s="568">
        <f t="shared" si="25"/>
        <v>68.78</v>
      </c>
      <c r="S62" s="568">
        <f t="shared" si="25"/>
        <v>68.78</v>
      </c>
      <c r="T62" s="568">
        <f t="shared" si="25"/>
        <v>68.78</v>
      </c>
      <c r="U62" s="568">
        <f t="shared" si="25"/>
        <v>68.78</v>
      </c>
      <c r="V62" s="568">
        <f t="shared" si="25"/>
        <v>68.78</v>
      </c>
      <c r="W62" s="568">
        <f t="shared" si="25"/>
        <v>68.78</v>
      </c>
      <c r="X62" s="568">
        <f t="shared" si="25"/>
        <v>68.78</v>
      </c>
      <c r="Y62" s="568">
        <f t="shared" si="25"/>
        <v>68.78</v>
      </c>
      <c r="Z62" s="568">
        <f t="shared" si="25"/>
        <v>68.78</v>
      </c>
      <c r="AA62" s="568">
        <f t="shared" si="26"/>
        <v>68.78</v>
      </c>
      <c r="AB62" s="568">
        <f t="shared" si="26"/>
        <v>68.78</v>
      </c>
      <c r="AC62" s="568">
        <f t="shared" si="26"/>
        <v>68.78</v>
      </c>
      <c r="AD62" s="568">
        <f t="shared" si="26"/>
        <v>68.78</v>
      </c>
      <c r="AE62" s="568">
        <f t="shared" si="26"/>
        <v>68.78</v>
      </c>
      <c r="AF62" s="568">
        <f t="shared" si="26"/>
        <v>68.78</v>
      </c>
      <c r="AG62" s="568">
        <f t="shared" si="26"/>
        <v>68.78</v>
      </c>
      <c r="AH62" s="568">
        <f t="shared" si="26"/>
        <v>68.78</v>
      </c>
      <c r="AI62" s="568">
        <f t="shared" si="26"/>
        <v>68.78</v>
      </c>
      <c r="AJ62" s="568">
        <f t="shared" si="26"/>
        <v>68.78</v>
      </c>
      <c r="AK62" s="568">
        <f t="shared" si="27"/>
        <v>68.78</v>
      </c>
      <c r="AL62" s="568">
        <f t="shared" si="27"/>
        <v>68.78</v>
      </c>
      <c r="AM62" s="568">
        <f t="shared" si="27"/>
        <v>68.78</v>
      </c>
      <c r="AN62" s="568">
        <f t="shared" si="27"/>
        <v>68.78</v>
      </c>
      <c r="AO62" s="568">
        <f t="shared" si="27"/>
        <v>68.78</v>
      </c>
      <c r="AP62" s="568">
        <f t="shared" si="27"/>
        <v>68.78</v>
      </c>
      <c r="AQ62" s="568">
        <f t="shared" si="27"/>
        <v>68.78</v>
      </c>
      <c r="AR62" s="568">
        <f t="shared" si="27"/>
        <v>68.78</v>
      </c>
      <c r="AS62" s="568">
        <f t="shared" si="27"/>
        <v>68.78</v>
      </c>
      <c r="AT62" s="568">
        <f t="shared" si="27"/>
        <v>68.78</v>
      </c>
      <c r="AU62" s="568">
        <f t="shared" si="27"/>
        <v>68.78</v>
      </c>
      <c r="AV62" s="569">
        <v>5</v>
      </c>
    </row>
    <row r="63" spans="2:57" ht="14.4">
      <c r="B63" s="8" t="str">
        <f>Processes!D63</f>
        <v>MINRPS</v>
      </c>
      <c r="C63" s="8" t="str">
        <f>Processes!E63</f>
        <v>Mining technology - Rapeseed</v>
      </c>
      <c r="D63" s="262"/>
      <c r="E63" s="262" t="str">
        <f t="shared" si="23"/>
        <v>RPS</v>
      </c>
      <c r="F63" s="823" t="str">
        <f t="shared" si="5"/>
        <v>MKr14</v>
      </c>
      <c r="G63" s="568">
        <f t="shared" si="24"/>
        <v>96.614999999999995</v>
      </c>
      <c r="H63" s="568">
        <f t="shared" si="24"/>
        <v>96.614999999999995</v>
      </c>
      <c r="I63" s="568">
        <f t="shared" si="24"/>
        <v>96.614999999999995</v>
      </c>
      <c r="J63" s="568">
        <f t="shared" si="24"/>
        <v>96.614999999999995</v>
      </c>
      <c r="K63" s="568">
        <f t="shared" si="24"/>
        <v>96.614999999999995</v>
      </c>
      <c r="L63" s="568">
        <f t="shared" si="24"/>
        <v>96.614999999999995</v>
      </c>
      <c r="M63" s="568">
        <f t="shared" si="24"/>
        <v>96.614999999999995</v>
      </c>
      <c r="N63" s="568">
        <f t="shared" si="24"/>
        <v>96.614999999999995</v>
      </c>
      <c r="O63" s="568">
        <f t="shared" si="24"/>
        <v>96.614999999999995</v>
      </c>
      <c r="P63" s="568">
        <f t="shared" si="24"/>
        <v>96.614999999999995</v>
      </c>
      <c r="Q63" s="568">
        <f t="shared" si="25"/>
        <v>96.614999999999995</v>
      </c>
      <c r="R63" s="568">
        <f t="shared" si="25"/>
        <v>96.614999999999995</v>
      </c>
      <c r="S63" s="568">
        <f t="shared" si="25"/>
        <v>96.614999999999995</v>
      </c>
      <c r="T63" s="568">
        <f t="shared" si="25"/>
        <v>96.614999999999995</v>
      </c>
      <c r="U63" s="568">
        <f t="shared" si="25"/>
        <v>96.614999999999995</v>
      </c>
      <c r="V63" s="568">
        <f t="shared" si="25"/>
        <v>96.614999999999995</v>
      </c>
      <c r="W63" s="568">
        <f t="shared" si="25"/>
        <v>96.614999999999995</v>
      </c>
      <c r="X63" s="568">
        <f t="shared" si="25"/>
        <v>96.614999999999995</v>
      </c>
      <c r="Y63" s="568">
        <f t="shared" si="25"/>
        <v>96.614999999999995</v>
      </c>
      <c r="Z63" s="568">
        <f t="shared" si="25"/>
        <v>96.614999999999995</v>
      </c>
      <c r="AA63" s="568">
        <f t="shared" si="26"/>
        <v>96.614999999999995</v>
      </c>
      <c r="AB63" s="568">
        <f t="shared" si="26"/>
        <v>96.614999999999995</v>
      </c>
      <c r="AC63" s="568">
        <f t="shared" si="26"/>
        <v>96.614999999999995</v>
      </c>
      <c r="AD63" s="568">
        <f t="shared" si="26"/>
        <v>96.614999999999995</v>
      </c>
      <c r="AE63" s="568">
        <f t="shared" si="26"/>
        <v>96.614999999999995</v>
      </c>
      <c r="AF63" s="568">
        <f t="shared" si="26"/>
        <v>96.614999999999995</v>
      </c>
      <c r="AG63" s="568">
        <f t="shared" si="26"/>
        <v>96.614999999999995</v>
      </c>
      <c r="AH63" s="568">
        <f t="shared" si="26"/>
        <v>96.614999999999995</v>
      </c>
      <c r="AI63" s="568">
        <f t="shared" si="26"/>
        <v>96.614999999999995</v>
      </c>
      <c r="AJ63" s="568">
        <f t="shared" si="26"/>
        <v>96.614999999999995</v>
      </c>
      <c r="AK63" s="568">
        <f t="shared" si="27"/>
        <v>96.614999999999995</v>
      </c>
      <c r="AL63" s="568">
        <f t="shared" si="27"/>
        <v>96.614999999999995</v>
      </c>
      <c r="AM63" s="568">
        <f t="shared" si="27"/>
        <v>96.614999999999995</v>
      </c>
      <c r="AN63" s="568">
        <f t="shared" si="27"/>
        <v>96.614999999999995</v>
      </c>
      <c r="AO63" s="568">
        <f t="shared" si="27"/>
        <v>96.614999999999995</v>
      </c>
      <c r="AP63" s="568">
        <f t="shared" si="27"/>
        <v>96.614999999999995</v>
      </c>
      <c r="AQ63" s="568">
        <f t="shared" si="27"/>
        <v>96.614999999999995</v>
      </c>
      <c r="AR63" s="568">
        <f t="shared" si="27"/>
        <v>96.614999999999995</v>
      </c>
      <c r="AS63" s="568">
        <f t="shared" si="27"/>
        <v>96.614999999999995</v>
      </c>
      <c r="AT63" s="568">
        <f t="shared" si="27"/>
        <v>96.614999999999995</v>
      </c>
      <c r="AU63" s="568">
        <f t="shared" si="27"/>
        <v>96.614999999999995</v>
      </c>
      <c r="AV63" s="569">
        <v>5</v>
      </c>
    </row>
    <row r="64" spans="2:57" ht="14.4">
      <c r="B64" s="8" t="str">
        <f>Processes!D64</f>
        <v>MINSGB</v>
      </c>
      <c r="C64" s="8" t="str">
        <f>Processes!E64</f>
        <v>Mining technology - Sugar Beet</v>
      </c>
      <c r="D64" s="262"/>
      <c r="E64" s="262" t="str">
        <f t="shared" si="23"/>
        <v>SGB</v>
      </c>
      <c r="F64" s="823" t="str">
        <f t="shared" si="5"/>
        <v>MKr14</v>
      </c>
      <c r="G64" s="568">
        <f t="shared" si="24"/>
        <v>10.069999999999999</v>
      </c>
      <c r="H64" s="568">
        <f t="shared" si="24"/>
        <v>10.069999999999999</v>
      </c>
      <c r="I64" s="568">
        <f t="shared" si="24"/>
        <v>10.069999999999999</v>
      </c>
      <c r="J64" s="568">
        <f t="shared" si="24"/>
        <v>10.069999999999999</v>
      </c>
      <c r="K64" s="568">
        <f t="shared" si="24"/>
        <v>10.069999999999999</v>
      </c>
      <c r="L64" s="568">
        <f t="shared" si="24"/>
        <v>10.069999999999999</v>
      </c>
      <c r="M64" s="568">
        <f t="shared" si="24"/>
        <v>10.069999999999999</v>
      </c>
      <c r="N64" s="568">
        <f t="shared" si="24"/>
        <v>10.069999999999999</v>
      </c>
      <c r="O64" s="568">
        <f t="shared" si="24"/>
        <v>10.069999999999999</v>
      </c>
      <c r="P64" s="568">
        <f t="shared" si="24"/>
        <v>10.069999999999999</v>
      </c>
      <c r="Q64" s="568">
        <f t="shared" si="25"/>
        <v>10.069999999999999</v>
      </c>
      <c r="R64" s="568">
        <f t="shared" si="25"/>
        <v>10.069999999999999</v>
      </c>
      <c r="S64" s="568">
        <f t="shared" si="25"/>
        <v>10.069999999999999</v>
      </c>
      <c r="T64" s="568">
        <f t="shared" si="25"/>
        <v>10.069999999999999</v>
      </c>
      <c r="U64" s="568">
        <f t="shared" si="25"/>
        <v>10.069999999999999</v>
      </c>
      <c r="V64" s="568">
        <f t="shared" si="25"/>
        <v>10.069999999999999</v>
      </c>
      <c r="W64" s="568">
        <f t="shared" si="25"/>
        <v>10.069999999999999</v>
      </c>
      <c r="X64" s="568">
        <f t="shared" si="25"/>
        <v>10.069999999999999</v>
      </c>
      <c r="Y64" s="568">
        <f t="shared" si="25"/>
        <v>10.069999999999999</v>
      </c>
      <c r="Z64" s="568">
        <f t="shared" si="25"/>
        <v>10.069999999999999</v>
      </c>
      <c r="AA64" s="568">
        <f t="shared" si="26"/>
        <v>10.069999999999999</v>
      </c>
      <c r="AB64" s="568">
        <f t="shared" si="26"/>
        <v>10.069999999999999</v>
      </c>
      <c r="AC64" s="568">
        <f t="shared" si="26"/>
        <v>10.069999999999999</v>
      </c>
      <c r="AD64" s="568">
        <f t="shared" si="26"/>
        <v>10.069999999999999</v>
      </c>
      <c r="AE64" s="568">
        <f t="shared" si="26"/>
        <v>10.069999999999999</v>
      </c>
      <c r="AF64" s="568">
        <f t="shared" si="26"/>
        <v>10.069999999999999</v>
      </c>
      <c r="AG64" s="568">
        <f t="shared" si="26"/>
        <v>10.069999999999999</v>
      </c>
      <c r="AH64" s="568">
        <f t="shared" si="26"/>
        <v>10.069999999999999</v>
      </c>
      <c r="AI64" s="568">
        <f t="shared" si="26"/>
        <v>10.069999999999999</v>
      </c>
      <c r="AJ64" s="568">
        <f t="shared" si="26"/>
        <v>10.069999999999999</v>
      </c>
      <c r="AK64" s="568">
        <f t="shared" si="27"/>
        <v>10.069999999999999</v>
      </c>
      <c r="AL64" s="568">
        <f t="shared" si="27"/>
        <v>10.069999999999999</v>
      </c>
      <c r="AM64" s="568">
        <f t="shared" si="27"/>
        <v>10.069999999999999</v>
      </c>
      <c r="AN64" s="568">
        <f t="shared" si="27"/>
        <v>10.069999999999999</v>
      </c>
      <c r="AO64" s="568">
        <f t="shared" si="27"/>
        <v>10.069999999999999</v>
      </c>
      <c r="AP64" s="568">
        <f t="shared" si="27"/>
        <v>10.069999999999999</v>
      </c>
      <c r="AQ64" s="568">
        <f t="shared" si="27"/>
        <v>10.069999999999999</v>
      </c>
      <c r="AR64" s="568">
        <f t="shared" si="27"/>
        <v>10.069999999999999</v>
      </c>
      <c r="AS64" s="568">
        <f t="shared" si="27"/>
        <v>10.069999999999999</v>
      </c>
      <c r="AT64" s="568">
        <f t="shared" si="27"/>
        <v>10.069999999999999</v>
      </c>
      <c r="AU64" s="568">
        <f t="shared" si="27"/>
        <v>10.069999999999999</v>
      </c>
      <c r="AV64" s="569">
        <v>5</v>
      </c>
    </row>
    <row r="65" spans="2:59" ht="14.4">
      <c r="B65" s="8" t="str">
        <f>Processes!D65</f>
        <v>MINDLI</v>
      </c>
      <c r="C65" s="8" t="str">
        <f>Processes!E65</f>
        <v>Mining technology - Deep Litter</v>
      </c>
      <c r="D65" s="262"/>
      <c r="E65" s="262" t="str">
        <f t="shared" si="23"/>
        <v>DLI</v>
      </c>
      <c r="F65" s="823" t="str">
        <f t="shared" si="5"/>
        <v>MKr14</v>
      </c>
      <c r="G65" s="568">
        <f t="shared" ref="G65:P74" si="28">IFERROR(INDEX($G$121:$AU$176,MATCH($E65,$E$121:$E$176,0),MATCH(G$5,$G$120:$AU$120,0)),0)*$E$187</f>
        <v>9.4999999999999998E-3</v>
      </c>
      <c r="H65" s="568">
        <f t="shared" si="28"/>
        <v>9.4999999999999998E-3</v>
      </c>
      <c r="I65" s="568">
        <f t="shared" si="28"/>
        <v>9.4999999999999998E-3</v>
      </c>
      <c r="J65" s="568">
        <f t="shared" si="28"/>
        <v>9.4999999999999998E-3</v>
      </c>
      <c r="K65" s="568">
        <f t="shared" si="28"/>
        <v>9.4999999999999998E-3</v>
      </c>
      <c r="L65" s="568">
        <f t="shared" si="28"/>
        <v>9.4999999999999998E-3</v>
      </c>
      <c r="M65" s="568">
        <f t="shared" si="28"/>
        <v>9.4999999999999998E-3</v>
      </c>
      <c r="N65" s="568">
        <f t="shared" si="28"/>
        <v>9.4999999999999998E-3</v>
      </c>
      <c r="O65" s="568">
        <f t="shared" si="28"/>
        <v>9.4999999999999998E-3</v>
      </c>
      <c r="P65" s="568">
        <f t="shared" si="28"/>
        <v>9.4999999999999998E-3</v>
      </c>
      <c r="Q65" s="568">
        <f t="shared" ref="Q65:Z74" si="29">IFERROR(INDEX($G$121:$AU$176,MATCH($E65,$E$121:$E$176,0),MATCH(Q$5,$G$120:$AU$120,0)),0)*$E$187</f>
        <v>9.4999999999999998E-3</v>
      </c>
      <c r="R65" s="568">
        <f t="shared" si="29"/>
        <v>9.4999999999999998E-3</v>
      </c>
      <c r="S65" s="568">
        <f t="shared" si="29"/>
        <v>9.4999999999999998E-3</v>
      </c>
      <c r="T65" s="568">
        <f t="shared" si="29"/>
        <v>9.4999999999999998E-3</v>
      </c>
      <c r="U65" s="568">
        <f t="shared" si="29"/>
        <v>9.4999999999999998E-3</v>
      </c>
      <c r="V65" s="568">
        <f t="shared" si="29"/>
        <v>9.4999999999999998E-3</v>
      </c>
      <c r="W65" s="568">
        <f t="shared" si="29"/>
        <v>9.4999999999999998E-3</v>
      </c>
      <c r="X65" s="568">
        <f t="shared" si="29"/>
        <v>9.4999999999999998E-3</v>
      </c>
      <c r="Y65" s="568">
        <f t="shared" si="29"/>
        <v>9.4999999999999998E-3</v>
      </c>
      <c r="Z65" s="568">
        <f t="shared" si="29"/>
        <v>9.4999999999999998E-3</v>
      </c>
      <c r="AA65" s="568">
        <f t="shared" ref="AA65:AJ74" si="30">IFERROR(INDEX($G$121:$AU$176,MATCH($E65,$E$121:$E$176,0),MATCH(AA$5,$G$120:$AU$120,0)),0)*$E$187</f>
        <v>9.4999999999999998E-3</v>
      </c>
      <c r="AB65" s="568">
        <f t="shared" si="30"/>
        <v>9.4999999999999998E-3</v>
      </c>
      <c r="AC65" s="568">
        <f t="shared" si="30"/>
        <v>9.4999999999999998E-3</v>
      </c>
      <c r="AD65" s="568">
        <f t="shared" si="30"/>
        <v>9.4999999999999998E-3</v>
      </c>
      <c r="AE65" s="568">
        <f t="shared" si="30"/>
        <v>9.4999999999999998E-3</v>
      </c>
      <c r="AF65" s="568">
        <f t="shared" si="30"/>
        <v>9.4999999999999998E-3</v>
      </c>
      <c r="AG65" s="568">
        <f t="shared" si="30"/>
        <v>9.4999999999999998E-3</v>
      </c>
      <c r="AH65" s="568">
        <f t="shared" si="30"/>
        <v>9.4999999999999998E-3</v>
      </c>
      <c r="AI65" s="568">
        <f t="shared" si="30"/>
        <v>9.4999999999999998E-3</v>
      </c>
      <c r="AJ65" s="568">
        <f t="shared" si="30"/>
        <v>9.4999999999999998E-3</v>
      </c>
      <c r="AK65" s="568">
        <f t="shared" ref="AK65:AU74" si="31">IFERROR(INDEX($G$121:$AU$176,MATCH($E65,$E$121:$E$176,0),MATCH(AK$5,$G$120:$AU$120,0)),0)*$E$187</f>
        <v>9.4999999999999998E-3</v>
      </c>
      <c r="AL65" s="568">
        <f t="shared" si="31"/>
        <v>9.4999999999999998E-3</v>
      </c>
      <c r="AM65" s="568">
        <f t="shared" si="31"/>
        <v>9.4999999999999998E-3</v>
      </c>
      <c r="AN65" s="568">
        <f t="shared" si="31"/>
        <v>9.4999999999999998E-3</v>
      </c>
      <c r="AO65" s="568">
        <f t="shared" si="31"/>
        <v>9.4999999999999998E-3</v>
      </c>
      <c r="AP65" s="568">
        <f t="shared" si="31"/>
        <v>9.4999999999999998E-3</v>
      </c>
      <c r="AQ65" s="568">
        <f t="shared" si="31"/>
        <v>9.4999999999999998E-3</v>
      </c>
      <c r="AR65" s="568">
        <f t="shared" si="31"/>
        <v>9.4999999999999998E-3</v>
      </c>
      <c r="AS65" s="568">
        <f t="shared" si="31"/>
        <v>9.4999999999999998E-3</v>
      </c>
      <c r="AT65" s="568">
        <f t="shared" si="31"/>
        <v>9.4999999999999998E-3</v>
      </c>
      <c r="AU65" s="568">
        <f t="shared" si="31"/>
        <v>9.4999999999999998E-3</v>
      </c>
      <c r="AV65" s="569">
        <v>5</v>
      </c>
    </row>
    <row r="66" spans="2:59" ht="14.4">
      <c r="B66" s="8" t="str">
        <f>Processes!D66</f>
        <v>MINMNR</v>
      </c>
      <c r="C66" s="8" t="str">
        <f>Processes!E66</f>
        <v>Mining technology - Manure (Gylle)</v>
      </c>
      <c r="D66" s="262"/>
      <c r="E66" s="262" t="str">
        <f t="shared" si="23"/>
        <v>MNR</v>
      </c>
      <c r="F66" s="823" t="str">
        <f t="shared" si="5"/>
        <v>MKr14</v>
      </c>
      <c r="G66" s="568">
        <f t="shared" si="28"/>
        <v>9.4999999999999998E-3</v>
      </c>
      <c r="H66" s="568">
        <f t="shared" si="28"/>
        <v>9.4999999999999998E-3</v>
      </c>
      <c r="I66" s="568">
        <f t="shared" si="28"/>
        <v>9.4999999999999998E-3</v>
      </c>
      <c r="J66" s="568">
        <f t="shared" si="28"/>
        <v>9.4999999999999998E-3</v>
      </c>
      <c r="K66" s="568">
        <f t="shared" si="28"/>
        <v>9.4999999999999998E-3</v>
      </c>
      <c r="L66" s="568">
        <f t="shared" si="28"/>
        <v>9.4999999999999998E-3</v>
      </c>
      <c r="M66" s="568">
        <f t="shared" si="28"/>
        <v>9.4999999999999998E-3</v>
      </c>
      <c r="N66" s="568">
        <f t="shared" si="28"/>
        <v>9.4999999999999998E-3</v>
      </c>
      <c r="O66" s="568">
        <f t="shared" si="28"/>
        <v>9.4999999999999998E-3</v>
      </c>
      <c r="P66" s="568">
        <f t="shared" si="28"/>
        <v>9.4999999999999998E-3</v>
      </c>
      <c r="Q66" s="568">
        <f t="shared" si="29"/>
        <v>9.4999999999999998E-3</v>
      </c>
      <c r="R66" s="568">
        <f t="shared" si="29"/>
        <v>9.4999999999999998E-3</v>
      </c>
      <c r="S66" s="568">
        <f t="shared" si="29"/>
        <v>9.4999999999999998E-3</v>
      </c>
      <c r="T66" s="568">
        <f t="shared" si="29"/>
        <v>9.4999999999999998E-3</v>
      </c>
      <c r="U66" s="568">
        <f t="shared" si="29"/>
        <v>9.4999999999999998E-3</v>
      </c>
      <c r="V66" s="568">
        <f t="shared" si="29"/>
        <v>9.4999999999999998E-3</v>
      </c>
      <c r="W66" s="568">
        <f t="shared" si="29"/>
        <v>9.4999999999999998E-3</v>
      </c>
      <c r="X66" s="568">
        <f t="shared" si="29"/>
        <v>9.4999999999999998E-3</v>
      </c>
      <c r="Y66" s="568">
        <f t="shared" si="29"/>
        <v>9.4999999999999998E-3</v>
      </c>
      <c r="Z66" s="568">
        <f t="shared" si="29"/>
        <v>9.4999999999999998E-3</v>
      </c>
      <c r="AA66" s="568">
        <f t="shared" si="30"/>
        <v>9.4999999999999998E-3</v>
      </c>
      <c r="AB66" s="568">
        <f t="shared" si="30"/>
        <v>9.4999999999999998E-3</v>
      </c>
      <c r="AC66" s="568">
        <f t="shared" si="30"/>
        <v>9.4999999999999998E-3</v>
      </c>
      <c r="AD66" s="568">
        <f t="shared" si="30"/>
        <v>9.4999999999999998E-3</v>
      </c>
      <c r="AE66" s="568">
        <f t="shared" si="30"/>
        <v>9.4999999999999998E-3</v>
      </c>
      <c r="AF66" s="568">
        <f t="shared" si="30"/>
        <v>9.4999999999999998E-3</v>
      </c>
      <c r="AG66" s="568">
        <f t="shared" si="30"/>
        <v>9.4999999999999998E-3</v>
      </c>
      <c r="AH66" s="568">
        <f t="shared" si="30"/>
        <v>9.4999999999999998E-3</v>
      </c>
      <c r="AI66" s="568">
        <f t="shared" si="30"/>
        <v>9.4999999999999998E-3</v>
      </c>
      <c r="AJ66" s="568">
        <f t="shared" si="30"/>
        <v>9.4999999999999998E-3</v>
      </c>
      <c r="AK66" s="568">
        <f t="shared" si="31"/>
        <v>9.4999999999999998E-3</v>
      </c>
      <c r="AL66" s="568">
        <f t="shared" si="31"/>
        <v>9.4999999999999998E-3</v>
      </c>
      <c r="AM66" s="568">
        <f t="shared" si="31"/>
        <v>9.4999999999999998E-3</v>
      </c>
      <c r="AN66" s="568">
        <f t="shared" si="31"/>
        <v>9.4999999999999998E-3</v>
      </c>
      <c r="AO66" s="568">
        <f t="shared" si="31"/>
        <v>9.4999999999999998E-3</v>
      </c>
      <c r="AP66" s="568">
        <f t="shared" si="31"/>
        <v>9.4999999999999998E-3</v>
      </c>
      <c r="AQ66" s="568">
        <f t="shared" si="31"/>
        <v>9.4999999999999998E-3</v>
      </c>
      <c r="AR66" s="568">
        <f t="shared" si="31"/>
        <v>9.4999999999999998E-3</v>
      </c>
      <c r="AS66" s="568">
        <f t="shared" si="31"/>
        <v>9.4999999999999998E-3</v>
      </c>
      <c r="AT66" s="568">
        <f t="shared" si="31"/>
        <v>9.4999999999999998E-3</v>
      </c>
      <c r="AU66" s="568">
        <f t="shared" si="31"/>
        <v>9.4999999999999998E-3</v>
      </c>
      <c r="AV66" s="569">
        <v>5</v>
      </c>
      <c r="AW66" s="1"/>
      <c r="AX66" s="1"/>
      <c r="AY66" s="1"/>
      <c r="AZ66" s="1"/>
      <c r="BA66" s="1"/>
      <c r="BB66" s="1"/>
      <c r="BC66" s="1"/>
      <c r="BD66" s="1"/>
      <c r="BE66" s="1"/>
    </row>
    <row r="67" spans="2:59" ht="14.4">
      <c r="B67" s="8" t="str">
        <f>Processes!D67</f>
        <v>MINNGA</v>
      </c>
      <c r="C67" s="8" t="str">
        <f>Processes!E67</f>
        <v>Mining technology - Mining Natural Gas</v>
      </c>
      <c r="D67" s="262"/>
      <c r="E67" s="571" t="s">
        <v>785</v>
      </c>
      <c r="F67" s="823" t="str">
        <f t="shared" si="5"/>
        <v>MKr19</v>
      </c>
      <c r="G67" s="568">
        <f t="shared" si="28"/>
        <v>42.18</v>
      </c>
      <c r="H67" s="568">
        <f t="shared" si="28"/>
        <v>43.795000000000002</v>
      </c>
      <c r="I67" s="568">
        <f t="shared" si="28"/>
        <v>52.344999999999999</v>
      </c>
      <c r="J67" s="568">
        <f t="shared" si="28"/>
        <v>51.49</v>
      </c>
      <c r="K67" s="568">
        <f t="shared" si="28"/>
        <v>43.414999999999999</v>
      </c>
      <c r="L67" s="568">
        <f t="shared" si="28"/>
        <v>41.8</v>
      </c>
      <c r="M67" s="568">
        <f t="shared" si="28"/>
        <v>34.959999999999994</v>
      </c>
      <c r="N67" s="568">
        <f t="shared" si="28"/>
        <v>35.055</v>
      </c>
      <c r="O67" s="568">
        <f t="shared" si="28"/>
        <v>50.751074212757736</v>
      </c>
      <c r="P67" s="568">
        <f t="shared" si="28"/>
        <v>32.54796067858944</v>
      </c>
      <c r="Q67" s="568">
        <f t="shared" si="29"/>
        <v>31.727957487158143</v>
      </c>
      <c r="R67" s="568">
        <f t="shared" si="29"/>
        <v>29.949025524166288</v>
      </c>
      <c r="S67" s="568">
        <f t="shared" si="29"/>
        <v>31.124421190464801</v>
      </c>
      <c r="T67" s="568">
        <f t="shared" si="29"/>
        <v>31.69930389723169</v>
      </c>
      <c r="U67" s="568">
        <f t="shared" si="29"/>
        <v>31.888767724343968</v>
      </c>
      <c r="V67" s="568">
        <f t="shared" si="29"/>
        <v>31.830779289767982</v>
      </c>
      <c r="W67" s="568">
        <f t="shared" si="29"/>
        <v>31.794257244088858</v>
      </c>
      <c r="X67" s="568">
        <f t="shared" si="29"/>
        <v>31.770799731920086</v>
      </c>
      <c r="Y67" s="568">
        <f t="shared" si="29"/>
        <v>31.750709610930787</v>
      </c>
      <c r="Z67" s="568">
        <f t="shared" si="29"/>
        <v>31.743509235621186</v>
      </c>
      <c r="AA67" s="568">
        <f t="shared" si="30"/>
        <v>31.741544979889387</v>
      </c>
      <c r="AB67" s="568">
        <f t="shared" si="30"/>
        <v>31.785326421240963</v>
      </c>
      <c r="AC67" s="568">
        <f t="shared" si="30"/>
        <v>31.829107862592537</v>
      </c>
      <c r="AD67" s="568">
        <f t="shared" si="30"/>
        <v>31.872889303944106</v>
      </c>
      <c r="AE67" s="568">
        <f t="shared" si="30"/>
        <v>31.916670745295676</v>
      </c>
      <c r="AF67" s="568">
        <f t="shared" si="30"/>
        <v>31.960452186647256</v>
      </c>
      <c r="AG67" s="568">
        <f t="shared" si="30"/>
        <v>32.004233627998829</v>
      </c>
      <c r="AH67" s="568">
        <f t="shared" si="30"/>
        <v>32.048015069350392</v>
      </c>
      <c r="AI67" s="568">
        <f t="shared" si="30"/>
        <v>32.091796510701968</v>
      </c>
      <c r="AJ67" s="568">
        <f t="shared" si="30"/>
        <v>32.135577952053531</v>
      </c>
      <c r="AK67" s="568">
        <f t="shared" si="31"/>
        <v>32.179359393405107</v>
      </c>
      <c r="AL67" s="568">
        <f t="shared" si="31"/>
        <v>32.223140834756684</v>
      </c>
      <c r="AM67" s="568">
        <f t="shared" si="31"/>
        <v>32.266922276108254</v>
      </c>
      <c r="AN67" s="568">
        <f t="shared" si="31"/>
        <v>32.310703717459816</v>
      </c>
      <c r="AO67" s="568">
        <f t="shared" si="31"/>
        <v>32.354485158811393</v>
      </c>
      <c r="AP67" s="568">
        <f t="shared" si="31"/>
        <v>32.39826660016297</v>
      </c>
      <c r="AQ67" s="568">
        <f t="shared" si="31"/>
        <v>32.442048041514546</v>
      </c>
      <c r="AR67" s="568">
        <f t="shared" si="31"/>
        <v>32.485829482866109</v>
      </c>
      <c r="AS67" s="568">
        <f t="shared" si="31"/>
        <v>32.529610924217685</v>
      </c>
      <c r="AT67" s="568">
        <f t="shared" si="31"/>
        <v>32.573392365569248</v>
      </c>
      <c r="AU67" s="568">
        <f t="shared" si="31"/>
        <v>32.617173806920832</v>
      </c>
      <c r="AV67" s="569">
        <v>5</v>
      </c>
      <c r="AW67" s="694"/>
      <c r="AX67" s="694"/>
      <c r="AY67" s="694"/>
      <c r="AZ67" s="694"/>
      <c r="BA67" s="694"/>
      <c r="BB67" s="694"/>
      <c r="BC67" s="694"/>
      <c r="BD67" s="694"/>
      <c r="BE67" s="1"/>
      <c r="BG67" s="603"/>
    </row>
    <row r="68" spans="2:59" ht="14.4">
      <c r="B68" s="8" t="str">
        <f>Processes!D68</f>
        <v>MINCRD</v>
      </c>
      <c r="C68" s="8" t="str">
        <f>Processes!E68</f>
        <v>Mining technology - Mining Crude Oil</v>
      </c>
      <c r="D68" s="262"/>
      <c r="E68" s="571" t="s">
        <v>784</v>
      </c>
      <c r="F68" s="823" t="str">
        <f t="shared" si="5"/>
        <v>MKr19</v>
      </c>
      <c r="G68" s="568">
        <f t="shared" si="28"/>
        <v>72.39</v>
      </c>
      <c r="H68" s="568">
        <f t="shared" si="28"/>
        <v>100.79499999999999</v>
      </c>
      <c r="I68" s="568">
        <f t="shared" si="28"/>
        <v>107.255</v>
      </c>
      <c r="J68" s="568">
        <f t="shared" si="28"/>
        <v>95.284999999999997</v>
      </c>
      <c r="K68" s="568">
        <f t="shared" si="28"/>
        <v>92.434999999999988</v>
      </c>
      <c r="L68" s="568">
        <f t="shared" si="28"/>
        <v>59.564999999999998</v>
      </c>
      <c r="M68" s="568">
        <f t="shared" si="28"/>
        <v>56.904999999999994</v>
      </c>
      <c r="N68" s="568">
        <f t="shared" si="28"/>
        <v>60.704999999999998</v>
      </c>
      <c r="O68" s="568">
        <f t="shared" si="28"/>
        <v>74.663266513337106</v>
      </c>
      <c r="P68" s="568">
        <f t="shared" si="28"/>
        <v>69.03441780821916</v>
      </c>
      <c r="Q68" s="568">
        <f t="shared" si="29"/>
        <v>67.631970550230122</v>
      </c>
      <c r="R68" s="568">
        <f t="shared" si="29"/>
        <v>46.72206120455769</v>
      </c>
      <c r="S68" s="568">
        <f t="shared" si="29"/>
        <v>49.952257260471079</v>
      </c>
      <c r="T68" s="568">
        <f t="shared" si="29"/>
        <v>52.145468152516102</v>
      </c>
      <c r="U68" s="568">
        <f t="shared" si="29"/>
        <v>53.739968659338345</v>
      </c>
      <c r="V68" s="568">
        <f t="shared" si="29"/>
        <v>54.897107604482805</v>
      </c>
      <c r="W68" s="568">
        <f t="shared" si="29"/>
        <v>56.188956663113622</v>
      </c>
      <c r="X68" s="568">
        <f t="shared" si="29"/>
        <v>57.454144637525566</v>
      </c>
      <c r="Y68" s="568">
        <f t="shared" si="29"/>
        <v>58.618015544439388</v>
      </c>
      <c r="Z68" s="568">
        <f t="shared" si="29"/>
        <v>59.840122211312412</v>
      </c>
      <c r="AA68" s="568">
        <f t="shared" si="30"/>
        <v>60.99866547075451</v>
      </c>
      <c r="AB68" s="568">
        <f t="shared" si="30"/>
        <v>60.706456294846689</v>
      </c>
      <c r="AC68" s="568">
        <f t="shared" si="30"/>
        <v>60.414247118938881</v>
      </c>
      <c r="AD68" s="568">
        <f t="shared" si="30"/>
        <v>60.122037943031081</v>
      </c>
      <c r="AE68" s="568">
        <f t="shared" si="30"/>
        <v>59.829828767123267</v>
      </c>
      <c r="AF68" s="568">
        <f t="shared" si="30"/>
        <v>59.537619591215467</v>
      </c>
      <c r="AG68" s="568">
        <f t="shared" si="30"/>
        <v>59.24541041530766</v>
      </c>
      <c r="AH68" s="568">
        <f t="shared" si="30"/>
        <v>58.95320123939986</v>
      </c>
      <c r="AI68" s="568">
        <f t="shared" si="30"/>
        <v>58.66099206349206</v>
      </c>
      <c r="AJ68" s="568">
        <f t="shared" si="30"/>
        <v>58.368782887584253</v>
      </c>
      <c r="AK68" s="568">
        <f t="shared" si="31"/>
        <v>58.076573711676446</v>
      </c>
      <c r="AL68" s="568">
        <f t="shared" si="31"/>
        <v>57.784364535768646</v>
      </c>
      <c r="AM68" s="568">
        <f t="shared" si="31"/>
        <v>57.492155359860831</v>
      </c>
      <c r="AN68" s="568">
        <f t="shared" si="31"/>
        <v>57.199946183953024</v>
      </c>
      <c r="AO68" s="568">
        <f t="shared" si="31"/>
        <v>56.907737008045224</v>
      </c>
      <c r="AP68" s="568">
        <f t="shared" si="31"/>
        <v>56.615527832137417</v>
      </c>
      <c r="AQ68" s="568">
        <f t="shared" si="31"/>
        <v>56.32331865622961</v>
      </c>
      <c r="AR68" s="568">
        <f t="shared" si="31"/>
        <v>56.031109480321803</v>
      </c>
      <c r="AS68" s="568">
        <f t="shared" si="31"/>
        <v>55.738900304414003</v>
      </c>
      <c r="AT68" s="568">
        <f t="shared" si="31"/>
        <v>55.446691128506195</v>
      </c>
      <c r="AU68" s="568">
        <f t="shared" si="31"/>
        <v>55.154481952598395</v>
      </c>
      <c r="AV68" s="569">
        <v>5</v>
      </c>
      <c r="AW68" s="694"/>
      <c r="AX68" s="694"/>
      <c r="AY68" s="694"/>
      <c r="AZ68" s="694"/>
      <c r="BA68" s="694"/>
      <c r="BB68" s="694"/>
      <c r="BC68" s="694"/>
      <c r="BD68" s="694"/>
      <c r="BE68" s="1"/>
      <c r="BG68" s="603"/>
    </row>
    <row r="69" spans="2:59" ht="14.4">
      <c r="B69" s="8" t="str">
        <f>Processes!D69</f>
        <v>MINWIN</v>
      </c>
      <c r="C69" s="8" t="str">
        <f>Processes!E69</f>
        <v>Mining technology - Wind</v>
      </c>
      <c r="D69" s="262"/>
      <c r="E69" s="262" t="str">
        <f t="shared" si="23"/>
        <v>WIN</v>
      </c>
      <c r="F69" s="823" t="str">
        <f t="shared" si="5"/>
        <v>MKr19</v>
      </c>
      <c r="G69" s="568">
        <f t="shared" si="28"/>
        <v>0</v>
      </c>
      <c r="H69" s="568">
        <f t="shared" si="28"/>
        <v>0</v>
      </c>
      <c r="I69" s="568">
        <f t="shared" si="28"/>
        <v>0</v>
      </c>
      <c r="J69" s="568">
        <f t="shared" si="28"/>
        <v>0</v>
      </c>
      <c r="K69" s="568">
        <f t="shared" si="28"/>
        <v>0</v>
      </c>
      <c r="L69" s="568">
        <f t="shared" si="28"/>
        <v>0</v>
      </c>
      <c r="M69" s="568">
        <f t="shared" si="28"/>
        <v>0</v>
      </c>
      <c r="N69" s="568">
        <f t="shared" si="28"/>
        <v>0</v>
      </c>
      <c r="O69" s="568">
        <f t="shared" si="28"/>
        <v>0</v>
      </c>
      <c r="P69" s="568">
        <f t="shared" si="28"/>
        <v>0</v>
      </c>
      <c r="Q69" s="568">
        <f t="shared" si="29"/>
        <v>0</v>
      </c>
      <c r="R69" s="568">
        <f t="shared" si="29"/>
        <v>0</v>
      </c>
      <c r="S69" s="568">
        <f t="shared" si="29"/>
        <v>0</v>
      </c>
      <c r="T69" s="568">
        <f t="shared" si="29"/>
        <v>0</v>
      </c>
      <c r="U69" s="568">
        <f t="shared" si="29"/>
        <v>0</v>
      </c>
      <c r="V69" s="568">
        <f t="shared" si="29"/>
        <v>0</v>
      </c>
      <c r="W69" s="568">
        <f t="shared" si="29"/>
        <v>0</v>
      </c>
      <c r="X69" s="568">
        <f t="shared" si="29"/>
        <v>0</v>
      </c>
      <c r="Y69" s="568">
        <f t="shared" si="29"/>
        <v>0</v>
      </c>
      <c r="Z69" s="568">
        <f t="shared" si="29"/>
        <v>0</v>
      </c>
      <c r="AA69" s="568">
        <f t="shared" si="30"/>
        <v>0</v>
      </c>
      <c r="AB69" s="568">
        <f t="shared" si="30"/>
        <v>0</v>
      </c>
      <c r="AC69" s="568">
        <f t="shared" si="30"/>
        <v>0</v>
      </c>
      <c r="AD69" s="568">
        <f t="shared" si="30"/>
        <v>0</v>
      </c>
      <c r="AE69" s="568">
        <f t="shared" si="30"/>
        <v>0</v>
      </c>
      <c r="AF69" s="568">
        <f t="shared" si="30"/>
        <v>0</v>
      </c>
      <c r="AG69" s="568">
        <f t="shared" si="30"/>
        <v>0</v>
      </c>
      <c r="AH69" s="568">
        <f t="shared" si="30"/>
        <v>0</v>
      </c>
      <c r="AI69" s="568">
        <f t="shared" si="30"/>
        <v>0</v>
      </c>
      <c r="AJ69" s="568">
        <f t="shared" si="30"/>
        <v>0</v>
      </c>
      <c r="AK69" s="568">
        <f t="shared" si="31"/>
        <v>0</v>
      </c>
      <c r="AL69" s="568">
        <f t="shared" si="31"/>
        <v>0</v>
      </c>
      <c r="AM69" s="568">
        <f t="shared" si="31"/>
        <v>0</v>
      </c>
      <c r="AN69" s="568">
        <f t="shared" si="31"/>
        <v>0</v>
      </c>
      <c r="AO69" s="568">
        <f t="shared" si="31"/>
        <v>0</v>
      </c>
      <c r="AP69" s="568">
        <f t="shared" si="31"/>
        <v>0</v>
      </c>
      <c r="AQ69" s="568">
        <f t="shared" si="31"/>
        <v>0</v>
      </c>
      <c r="AR69" s="568">
        <f t="shared" si="31"/>
        <v>0</v>
      </c>
      <c r="AS69" s="568">
        <f t="shared" si="31"/>
        <v>0</v>
      </c>
      <c r="AT69" s="568">
        <f t="shared" si="31"/>
        <v>0</v>
      </c>
      <c r="AU69" s="568">
        <f t="shared" si="31"/>
        <v>0</v>
      </c>
      <c r="AV69" s="569">
        <v>5</v>
      </c>
      <c r="AW69" s="1"/>
      <c r="AX69" s="1"/>
      <c r="AY69" s="1"/>
      <c r="AZ69" s="1"/>
      <c r="BA69" s="1"/>
      <c r="BB69" s="1"/>
      <c r="BC69" s="1"/>
      <c r="BD69" s="1"/>
      <c r="BE69" s="1"/>
    </row>
    <row r="70" spans="2:59" ht="14.4">
      <c r="B70" s="8" t="str">
        <f>Processes!D70</f>
        <v>MINHYD</v>
      </c>
      <c r="C70" s="8" t="str">
        <f>Processes!E70</f>
        <v>Mining technology - Hydro</v>
      </c>
      <c r="D70" s="262"/>
      <c r="E70" s="262" t="str">
        <f t="shared" si="23"/>
        <v>HYD</v>
      </c>
      <c r="F70" s="823" t="str">
        <f t="shared" ref="F70:F73" si="32">IFERROR(VLOOKUP(E70,$E$121:$F$173,2,FALSE),"MKr19")</f>
        <v>MKr19</v>
      </c>
      <c r="G70" s="568">
        <f t="shared" si="28"/>
        <v>0</v>
      </c>
      <c r="H70" s="568">
        <f t="shared" si="28"/>
        <v>0</v>
      </c>
      <c r="I70" s="568">
        <f t="shared" si="28"/>
        <v>0</v>
      </c>
      <c r="J70" s="568">
        <f t="shared" si="28"/>
        <v>0</v>
      </c>
      <c r="K70" s="568">
        <f t="shared" si="28"/>
        <v>0</v>
      </c>
      <c r="L70" s="568">
        <f t="shared" si="28"/>
        <v>0</v>
      </c>
      <c r="M70" s="568">
        <f t="shared" si="28"/>
        <v>0</v>
      </c>
      <c r="N70" s="568">
        <f t="shared" si="28"/>
        <v>0</v>
      </c>
      <c r="O70" s="568">
        <f t="shared" si="28"/>
        <v>0</v>
      </c>
      <c r="P70" s="568">
        <f t="shared" si="28"/>
        <v>0</v>
      </c>
      <c r="Q70" s="568">
        <f t="shared" si="29"/>
        <v>0</v>
      </c>
      <c r="R70" s="568">
        <f t="shared" si="29"/>
        <v>0</v>
      </c>
      <c r="S70" s="568">
        <f t="shared" si="29"/>
        <v>0</v>
      </c>
      <c r="T70" s="568">
        <f t="shared" si="29"/>
        <v>0</v>
      </c>
      <c r="U70" s="568">
        <f t="shared" si="29"/>
        <v>0</v>
      </c>
      <c r="V70" s="568">
        <f t="shared" si="29"/>
        <v>0</v>
      </c>
      <c r="W70" s="568">
        <f t="shared" si="29"/>
        <v>0</v>
      </c>
      <c r="X70" s="568">
        <f t="shared" si="29"/>
        <v>0</v>
      </c>
      <c r="Y70" s="568">
        <f t="shared" si="29"/>
        <v>0</v>
      </c>
      <c r="Z70" s="568">
        <f t="shared" si="29"/>
        <v>0</v>
      </c>
      <c r="AA70" s="568">
        <f t="shared" si="30"/>
        <v>0</v>
      </c>
      <c r="AB70" s="568">
        <f t="shared" si="30"/>
        <v>0</v>
      </c>
      <c r="AC70" s="568">
        <f t="shared" si="30"/>
        <v>0</v>
      </c>
      <c r="AD70" s="568">
        <f t="shared" si="30"/>
        <v>0</v>
      </c>
      <c r="AE70" s="568">
        <f t="shared" si="30"/>
        <v>0</v>
      </c>
      <c r="AF70" s="568">
        <f t="shared" si="30"/>
        <v>0</v>
      </c>
      <c r="AG70" s="568">
        <f t="shared" si="30"/>
        <v>0</v>
      </c>
      <c r="AH70" s="568">
        <f t="shared" si="30"/>
        <v>0</v>
      </c>
      <c r="AI70" s="568">
        <f t="shared" si="30"/>
        <v>0</v>
      </c>
      <c r="AJ70" s="568">
        <f t="shared" si="30"/>
        <v>0</v>
      </c>
      <c r="AK70" s="568">
        <f t="shared" si="31"/>
        <v>0</v>
      </c>
      <c r="AL70" s="568">
        <f t="shared" si="31"/>
        <v>0</v>
      </c>
      <c r="AM70" s="568">
        <f t="shared" si="31"/>
        <v>0</v>
      </c>
      <c r="AN70" s="568">
        <f t="shared" si="31"/>
        <v>0</v>
      </c>
      <c r="AO70" s="568">
        <f t="shared" si="31"/>
        <v>0</v>
      </c>
      <c r="AP70" s="568">
        <f t="shared" si="31"/>
        <v>0</v>
      </c>
      <c r="AQ70" s="568">
        <f t="shared" si="31"/>
        <v>0</v>
      </c>
      <c r="AR70" s="568">
        <f t="shared" si="31"/>
        <v>0</v>
      </c>
      <c r="AS70" s="568">
        <f t="shared" si="31"/>
        <v>0</v>
      </c>
      <c r="AT70" s="568">
        <f t="shared" si="31"/>
        <v>0</v>
      </c>
      <c r="AU70" s="568">
        <f t="shared" si="31"/>
        <v>0</v>
      </c>
      <c r="AV70" s="569">
        <v>5</v>
      </c>
    </row>
    <row r="71" spans="2:59" ht="14.4">
      <c r="B71" s="8" t="str">
        <f>Processes!D71</f>
        <v>MINSOL</v>
      </c>
      <c r="C71" s="8" t="str">
        <f>Processes!E71</f>
        <v>Mining technology - Solar</v>
      </c>
      <c r="D71" s="262"/>
      <c r="E71" s="262" t="str">
        <f t="shared" si="23"/>
        <v>SOL</v>
      </c>
      <c r="F71" s="823" t="str">
        <f t="shared" si="32"/>
        <v>MKr19</v>
      </c>
      <c r="G71" s="568">
        <f t="shared" si="28"/>
        <v>0</v>
      </c>
      <c r="H71" s="568">
        <f t="shared" si="28"/>
        <v>0</v>
      </c>
      <c r="I71" s="568">
        <f t="shared" si="28"/>
        <v>0</v>
      </c>
      <c r="J71" s="568">
        <f t="shared" si="28"/>
        <v>0</v>
      </c>
      <c r="K71" s="568">
        <f t="shared" si="28"/>
        <v>0</v>
      </c>
      <c r="L71" s="568">
        <f t="shared" si="28"/>
        <v>0</v>
      </c>
      <c r="M71" s="568">
        <f t="shared" si="28"/>
        <v>0</v>
      </c>
      <c r="N71" s="568">
        <f t="shared" si="28"/>
        <v>0</v>
      </c>
      <c r="O71" s="568">
        <f t="shared" si="28"/>
        <v>0</v>
      </c>
      <c r="P71" s="568">
        <f t="shared" si="28"/>
        <v>0</v>
      </c>
      <c r="Q71" s="568">
        <f t="shared" si="29"/>
        <v>0</v>
      </c>
      <c r="R71" s="568">
        <f t="shared" si="29"/>
        <v>0</v>
      </c>
      <c r="S71" s="568">
        <f t="shared" si="29"/>
        <v>0</v>
      </c>
      <c r="T71" s="568">
        <f t="shared" si="29"/>
        <v>0</v>
      </c>
      <c r="U71" s="568">
        <f t="shared" si="29"/>
        <v>0</v>
      </c>
      <c r="V71" s="568">
        <f t="shared" si="29"/>
        <v>0</v>
      </c>
      <c r="W71" s="568">
        <f t="shared" si="29"/>
        <v>0</v>
      </c>
      <c r="X71" s="568">
        <f t="shared" si="29"/>
        <v>0</v>
      </c>
      <c r="Y71" s="568">
        <f t="shared" si="29"/>
        <v>0</v>
      </c>
      <c r="Z71" s="568">
        <f t="shared" si="29"/>
        <v>0</v>
      </c>
      <c r="AA71" s="568">
        <f t="shared" si="30"/>
        <v>0</v>
      </c>
      <c r="AB71" s="568">
        <f t="shared" si="30"/>
        <v>0</v>
      </c>
      <c r="AC71" s="568">
        <f t="shared" si="30"/>
        <v>0</v>
      </c>
      <c r="AD71" s="568">
        <f t="shared" si="30"/>
        <v>0</v>
      </c>
      <c r="AE71" s="568">
        <f t="shared" si="30"/>
        <v>0</v>
      </c>
      <c r="AF71" s="568">
        <f t="shared" si="30"/>
        <v>0</v>
      </c>
      <c r="AG71" s="568">
        <f t="shared" si="30"/>
        <v>0</v>
      </c>
      <c r="AH71" s="568">
        <f t="shared" si="30"/>
        <v>0</v>
      </c>
      <c r="AI71" s="568">
        <f t="shared" si="30"/>
        <v>0</v>
      </c>
      <c r="AJ71" s="568">
        <f t="shared" si="30"/>
        <v>0</v>
      </c>
      <c r="AK71" s="568">
        <f t="shared" si="31"/>
        <v>0</v>
      </c>
      <c r="AL71" s="568">
        <f t="shared" si="31"/>
        <v>0</v>
      </c>
      <c r="AM71" s="568">
        <f t="shared" si="31"/>
        <v>0</v>
      </c>
      <c r="AN71" s="568">
        <f t="shared" si="31"/>
        <v>0</v>
      </c>
      <c r="AO71" s="568">
        <f t="shared" si="31"/>
        <v>0</v>
      </c>
      <c r="AP71" s="568">
        <f t="shared" si="31"/>
        <v>0</v>
      </c>
      <c r="AQ71" s="568">
        <f t="shared" si="31"/>
        <v>0</v>
      </c>
      <c r="AR71" s="568">
        <f t="shared" si="31"/>
        <v>0</v>
      </c>
      <c r="AS71" s="568">
        <f t="shared" si="31"/>
        <v>0</v>
      </c>
      <c r="AT71" s="568">
        <f t="shared" si="31"/>
        <v>0</v>
      </c>
      <c r="AU71" s="568">
        <f t="shared" si="31"/>
        <v>0</v>
      </c>
      <c r="AV71" s="569">
        <v>5</v>
      </c>
    </row>
    <row r="72" spans="2:59" ht="14.4">
      <c r="B72" s="8" t="str">
        <f>Processes!D72</f>
        <v>MINGEO</v>
      </c>
      <c r="C72" s="8" t="str">
        <f>Processes!E72</f>
        <v>Mining technology - Geothermal</v>
      </c>
      <c r="D72" s="262"/>
      <c r="E72" s="262" t="str">
        <f t="shared" si="23"/>
        <v>GEO</v>
      </c>
      <c r="F72" s="823" t="str">
        <f t="shared" si="32"/>
        <v>MKr19</v>
      </c>
      <c r="G72" s="568">
        <f t="shared" si="28"/>
        <v>0</v>
      </c>
      <c r="H72" s="568">
        <f t="shared" si="28"/>
        <v>0</v>
      </c>
      <c r="I72" s="568">
        <f t="shared" si="28"/>
        <v>0</v>
      </c>
      <c r="J72" s="568">
        <f t="shared" si="28"/>
        <v>0</v>
      </c>
      <c r="K72" s="568">
        <f t="shared" si="28"/>
        <v>0</v>
      </c>
      <c r="L72" s="568">
        <f t="shared" si="28"/>
        <v>0</v>
      </c>
      <c r="M72" s="568">
        <f t="shared" si="28"/>
        <v>0</v>
      </c>
      <c r="N72" s="568">
        <f t="shared" si="28"/>
        <v>0</v>
      </c>
      <c r="O72" s="568">
        <f t="shared" si="28"/>
        <v>0</v>
      </c>
      <c r="P72" s="568">
        <f t="shared" si="28"/>
        <v>0</v>
      </c>
      <c r="Q72" s="568">
        <f t="shared" si="29"/>
        <v>0</v>
      </c>
      <c r="R72" s="568">
        <f t="shared" si="29"/>
        <v>0</v>
      </c>
      <c r="S72" s="568">
        <f t="shared" si="29"/>
        <v>0</v>
      </c>
      <c r="T72" s="568">
        <f t="shared" si="29"/>
        <v>0</v>
      </c>
      <c r="U72" s="568">
        <f t="shared" si="29"/>
        <v>0</v>
      </c>
      <c r="V72" s="568">
        <f t="shared" si="29"/>
        <v>0</v>
      </c>
      <c r="W72" s="568">
        <f t="shared" si="29"/>
        <v>0</v>
      </c>
      <c r="X72" s="568">
        <f t="shared" si="29"/>
        <v>0</v>
      </c>
      <c r="Y72" s="568">
        <f t="shared" si="29"/>
        <v>0</v>
      </c>
      <c r="Z72" s="568">
        <f t="shared" si="29"/>
        <v>0</v>
      </c>
      <c r="AA72" s="568">
        <f t="shared" si="30"/>
        <v>0</v>
      </c>
      <c r="AB72" s="568">
        <f t="shared" si="30"/>
        <v>0</v>
      </c>
      <c r="AC72" s="568">
        <f t="shared" si="30"/>
        <v>0</v>
      </c>
      <c r="AD72" s="568">
        <f t="shared" si="30"/>
        <v>0</v>
      </c>
      <c r="AE72" s="568">
        <f t="shared" si="30"/>
        <v>0</v>
      </c>
      <c r="AF72" s="568">
        <f t="shared" si="30"/>
        <v>0</v>
      </c>
      <c r="AG72" s="568">
        <f t="shared" si="30"/>
        <v>0</v>
      </c>
      <c r="AH72" s="568">
        <f t="shared" si="30"/>
        <v>0</v>
      </c>
      <c r="AI72" s="568">
        <f t="shared" si="30"/>
        <v>0</v>
      </c>
      <c r="AJ72" s="568">
        <f t="shared" si="30"/>
        <v>0</v>
      </c>
      <c r="AK72" s="568">
        <f t="shared" si="31"/>
        <v>0</v>
      </c>
      <c r="AL72" s="568">
        <f t="shared" si="31"/>
        <v>0</v>
      </c>
      <c r="AM72" s="568">
        <f t="shared" si="31"/>
        <v>0</v>
      </c>
      <c r="AN72" s="568">
        <f t="shared" si="31"/>
        <v>0</v>
      </c>
      <c r="AO72" s="568">
        <f t="shared" si="31"/>
        <v>0</v>
      </c>
      <c r="AP72" s="568">
        <f t="shared" si="31"/>
        <v>0</v>
      </c>
      <c r="AQ72" s="568">
        <f t="shared" si="31"/>
        <v>0</v>
      </c>
      <c r="AR72" s="568">
        <f t="shared" si="31"/>
        <v>0</v>
      </c>
      <c r="AS72" s="568">
        <f t="shared" si="31"/>
        <v>0</v>
      </c>
      <c r="AT72" s="568">
        <f t="shared" si="31"/>
        <v>0</v>
      </c>
      <c r="AU72" s="568">
        <f t="shared" si="31"/>
        <v>0</v>
      </c>
      <c r="AV72" s="569">
        <v>5</v>
      </c>
    </row>
    <row r="73" spans="2:59" ht="14.4">
      <c r="B73" s="8" t="str">
        <f>Processes!D73</f>
        <v>MINWAV</v>
      </c>
      <c r="C73" s="8" t="str">
        <f>Processes!E73</f>
        <v>Mining technology - Wave</v>
      </c>
      <c r="D73" s="262"/>
      <c r="E73" s="262" t="str">
        <f t="shared" si="23"/>
        <v>WAV</v>
      </c>
      <c r="F73" s="823" t="str">
        <f t="shared" si="32"/>
        <v>MKr19</v>
      </c>
      <c r="G73" s="568">
        <f t="shared" si="28"/>
        <v>0</v>
      </c>
      <c r="H73" s="568">
        <f t="shared" si="28"/>
        <v>0</v>
      </c>
      <c r="I73" s="568">
        <f t="shared" si="28"/>
        <v>0</v>
      </c>
      <c r="J73" s="568">
        <f t="shared" si="28"/>
        <v>0</v>
      </c>
      <c r="K73" s="568">
        <f t="shared" si="28"/>
        <v>0</v>
      </c>
      <c r="L73" s="568">
        <f t="shared" si="28"/>
        <v>0</v>
      </c>
      <c r="M73" s="568">
        <f t="shared" si="28"/>
        <v>0</v>
      </c>
      <c r="N73" s="568">
        <f t="shared" si="28"/>
        <v>0</v>
      </c>
      <c r="O73" s="568">
        <f t="shared" si="28"/>
        <v>0</v>
      </c>
      <c r="P73" s="568">
        <f t="shared" si="28"/>
        <v>0</v>
      </c>
      <c r="Q73" s="568">
        <f t="shared" si="29"/>
        <v>0</v>
      </c>
      <c r="R73" s="568">
        <f t="shared" si="29"/>
        <v>0</v>
      </c>
      <c r="S73" s="568">
        <f t="shared" si="29"/>
        <v>0</v>
      </c>
      <c r="T73" s="568">
        <f t="shared" si="29"/>
        <v>0</v>
      </c>
      <c r="U73" s="568">
        <f t="shared" si="29"/>
        <v>0</v>
      </c>
      <c r="V73" s="568">
        <f t="shared" si="29"/>
        <v>0</v>
      </c>
      <c r="W73" s="568">
        <f t="shared" si="29"/>
        <v>0</v>
      </c>
      <c r="X73" s="568">
        <f t="shared" si="29"/>
        <v>0</v>
      </c>
      <c r="Y73" s="568">
        <f t="shared" si="29"/>
        <v>0</v>
      </c>
      <c r="Z73" s="568">
        <f t="shared" si="29"/>
        <v>0</v>
      </c>
      <c r="AA73" s="568">
        <f t="shared" si="30"/>
        <v>0</v>
      </c>
      <c r="AB73" s="568">
        <f t="shared" si="30"/>
        <v>0</v>
      </c>
      <c r="AC73" s="568">
        <f t="shared" si="30"/>
        <v>0</v>
      </c>
      <c r="AD73" s="568">
        <f t="shared" si="30"/>
        <v>0</v>
      </c>
      <c r="AE73" s="568">
        <f t="shared" si="30"/>
        <v>0</v>
      </c>
      <c r="AF73" s="568">
        <f t="shared" si="30"/>
        <v>0</v>
      </c>
      <c r="AG73" s="568">
        <f t="shared" si="30"/>
        <v>0</v>
      </c>
      <c r="AH73" s="568">
        <f t="shared" si="30"/>
        <v>0</v>
      </c>
      <c r="AI73" s="568">
        <f t="shared" si="30"/>
        <v>0</v>
      </c>
      <c r="AJ73" s="568">
        <f t="shared" si="30"/>
        <v>0</v>
      </c>
      <c r="AK73" s="568">
        <f t="shared" si="31"/>
        <v>0</v>
      </c>
      <c r="AL73" s="568">
        <f t="shared" si="31"/>
        <v>0</v>
      </c>
      <c r="AM73" s="568">
        <f t="shared" si="31"/>
        <v>0</v>
      </c>
      <c r="AN73" s="568">
        <f t="shared" si="31"/>
        <v>0</v>
      </c>
      <c r="AO73" s="568">
        <f t="shared" si="31"/>
        <v>0</v>
      </c>
      <c r="AP73" s="568">
        <f t="shared" si="31"/>
        <v>0</v>
      </c>
      <c r="AQ73" s="568">
        <f t="shared" si="31"/>
        <v>0</v>
      </c>
      <c r="AR73" s="568">
        <f t="shared" si="31"/>
        <v>0</v>
      </c>
      <c r="AS73" s="568">
        <f t="shared" si="31"/>
        <v>0</v>
      </c>
      <c r="AT73" s="568">
        <f t="shared" si="31"/>
        <v>0</v>
      </c>
      <c r="AU73" s="568">
        <f t="shared" si="31"/>
        <v>0</v>
      </c>
      <c r="AV73" s="569">
        <v>5</v>
      </c>
    </row>
    <row r="74" spans="2:59" ht="14.4">
      <c r="B74" s="648" t="str">
        <f>Processes!D74</f>
        <v>MINMOV</v>
      </c>
      <c r="C74" s="648" t="str">
        <f>Processes!E74</f>
        <v>Mining technology - Movement - Dummy commodity for bike and walk</v>
      </c>
      <c r="D74" s="649"/>
      <c r="E74" s="649" t="str">
        <f t="shared" si="23"/>
        <v>MOV</v>
      </c>
      <c r="F74" s="823" t="str">
        <f>IFERROR(VLOOKUP(E74,$E$121:$F$173,2,FALSE),"MKr19")</f>
        <v>MKr19</v>
      </c>
      <c r="G74" s="650">
        <f t="shared" si="28"/>
        <v>0</v>
      </c>
      <c r="H74" s="650">
        <f t="shared" si="28"/>
        <v>0</v>
      </c>
      <c r="I74" s="650">
        <f t="shared" si="28"/>
        <v>0</v>
      </c>
      <c r="J74" s="650">
        <f t="shared" si="28"/>
        <v>0</v>
      </c>
      <c r="K74" s="650">
        <f t="shared" si="28"/>
        <v>0</v>
      </c>
      <c r="L74" s="650">
        <f t="shared" si="28"/>
        <v>0</v>
      </c>
      <c r="M74" s="650">
        <f t="shared" si="28"/>
        <v>0</v>
      </c>
      <c r="N74" s="650">
        <f t="shared" si="28"/>
        <v>0</v>
      </c>
      <c r="O74" s="650">
        <f t="shared" si="28"/>
        <v>0</v>
      </c>
      <c r="P74" s="650">
        <f t="shared" si="28"/>
        <v>0</v>
      </c>
      <c r="Q74" s="650">
        <f t="shared" si="29"/>
        <v>0</v>
      </c>
      <c r="R74" s="650">
        <f t="shared" si="29"/>
        <v>0</v>
      </c>
      <c r="S74" s="650">
        <f t="shared" si="29"/>
        <v>0</v>
      </c>
      <c r="T74" s="650">
        <f t="shared" si="29"/>
        <v>0</v>
      </c>
      <c r="U74" s="650">
        <f t="shared" si="29"/>
        <v>0</v>
      </c>
      <c r="V74" s="650">
        <f t="shared" si="29"/>
        <v>0</v>
      </c>
      <c r="W74" s="650">
        <f t="shared" si="29"/>
        <v>0</v>
      </c>
      <c r="X74" s="650">
        <f t="shared" si="29"/>
        <v>0</v>
      </c>
      <c r="Y74" s="650">
        <f t="shared" si="29"/>
        <v>0</v>
      </c>
      <c r="Z74" s="650">
        <f t="shared" si="29"/>
        <v>0</v>
      </c>
      <c r="AA74" s="650">
        <f t="shared" si="30"/>
        <v>0</v>
      </c>
      <c r="AB74" s="650">
        <f t="shared" si="30"/>
        <v>0</v>
      </c>
      <c r="AC74" s="650">
        <f t="shared" si="30"/>
        <v>0</v>
      </c>
      <c r="AD74" s="650">
        <f t="shared" si="30"/>
        <v>0</v>
      </c>
      <c r="AE74" s="650">
        <f t="shared" si="30"/>
        <v>0</v>
      </c>
      <c r="AF74" s="650">
        <f t="shared" si="30"/>
        <v>0</v>
      </c>
      <c r="AG74" s="650">
        <f t="shared" si="30"/>
        <v>0</v>
      </c>
      <c r="AH74" s="650">
        <f t="shared" si="30"/>
        <v>0</v>
      </c>
      <c r="AI74" s="650">
        <f t="shared" si="30"/>
        <v>0</v>
      </c>
      <c r="AJ74" s="650">
        <f t="shared" si="30"/>
        <v>0</v>
      </c>
      <c r="AK74" s="650">
        <f t="shared" si="31"/>
        <v>0</v>
      </c>
      <c r="AL74" s="650">
        <f t="shared" si="31"/>
        <v>0</v>
      </c>
      <c r="AM74" s="650">
        <f t="shared" si="31"/>
        <v>0</v>
      </c>
      <c r="AN74" s="650">
        <f t="shared" si="31"/>
        <v>0</v>
      </c>
      <c r="AO74" s="650">
        <f t="shared" si="31"/>
        <v>0</v>
      </c>
      <c r="AP74" s="650">
        <f t="shared" si="31"/>
        <v>0</v>
      </c>
      <c r="AQ74" s="650">
        <f t="shared" si="31"/>
        <v>0</v>
      </c>
      <c r="AR74" s="650">
        <f t="shared" si="31"/>
        <v>0</v>
      </c>
      <c r="AS74" s="650">
        <f t="shared" si="31"/>
        <v>0</v>
      </c>
      <c r="AT74" s="650">
        <f t="shared" si="31"/>
        <v>0</v>
      </c>
      <c r="AU74" s="650">
        <f t="shared" si="31"/>
        <v>0</v>
      </c>
      <c r="AV74" s="569">
        <v>5</v>
      </c>
    </row>
    <row r="75" spans="2:59" ht="14.4">
      <c r="B75" s="8" t="str">
        <f>Processes!D75</f>
        <v>EXPCOA</v>
      </c>
      <c r="C75" s="8" t="str">
        <f>Processes!E75</f>
        <v>Export technology - Coal</v>
      </c>
      <c r="D75" s="262" t="str">
        <f>IF(LEN(B75)=6,RIGHT(B75,3),RIGHT(B75,4))</f>
        <v>COA</v>
      </c>
      <c r="E75" s="569"/>
      <c r="F75" s="823" t="str">
        <f>IFERROR(VLOOKUP(D75,$E$121:$F$173,2,FALSE),"MKr19")</f>
        <v>MKr19</v>
      </c>
      <c r="G75" s="568">
        <f t="shared" ref="G75:V84" si="33">IFERROR(INDEX($G$121:$AU$176,MATCH($D75,$E$121:$E$176,0),MATCH(G$5,$G$120:$AU$120,0)),0)*$E$192</f>
        <v>21.945</v>
      </c>
      <c r="H75" s="568">
        <f t="shared" si="33"/>
        <v>26.314999999999998</v>
      </c>
      <c r="I75" s="568">
        <f t="shared" si="33"/>
        <v>22.704999999999998</v>
      </c>
      <c r="J75" s="568">
        <f t="shared" si="33"/>
        <v>19.285</v>
      </c>
      <c r="K75" s="568">
        <f t="shared" si="33"/>
        <v>16.34</v>
      </c>
      <c r="L75" s="568">
        <f t="shared" si="33"/>
        <v>14.914999999999999</v>
      </c>
      <c r="M75" s="568">
        <f t="shared" si="33"/>
        <v>11.589999999999998</v>
      </c>
      <c r="N75" s="568">
        <f t="shared" si="33"/>
        <v>11.114999999999998</v>
      </c>
      <c r="O75" s="568">
        <f t="shared" si="33"/>
        <v>21.78900632162258</v>
      </c>
      <c r="P75" s="568">
        <f t="shared" si="33"/>
        <v>14.756127705880644</v>
      </c>
      <c r="Q75" s="568">
        <f t="shared" si="33"/>
        <v>12.283074295108483</v>
      </c>
      <c r="R75" s="568">
        <f t="shared" si="33"/>
        <v>12.507756006608648</v>
      </c>
      <c r="S75" s="568">
        <f t="shared" si="33"/>
        <v>12.989799807358731</v>
      </c>
      <c r="T75" s="568">
        <f t="shared" si="33"/>
        <v>13.465230349692069</v>
      </c>
      <c r="U75" s="568">
        <f t="shared" si="33"/>
        <v>13.915030684931427</v>
      </c>
      <c r="V75" s="568">
        <f t="shared" si="33"/>
        <v>13.851853886698651</v>
      </c>
      <c r="W75" s="568">
        <f t="shared" ref="H75:AU81" si="34">IFERROR(INDEX($G$121:$AU$176,MATCH($D75,$E$121:$E$176,0),MATCH(W$5,$G$120:$AU$120,0)),0)*$E$192</f>
        <v>13.80507556918923</v>
      </c>
      <c r="X75" s="568">
        <f t="shared" si="34"/>
        <v>13.753369063433919</v>
      </c>
      <c r="Y75" s="568">
        <f t="shared" si="34"/>
        <v>13.692531115779898</v>
      </c>
      <c r="Z75" s="568">
        <f t="shared" si="34"/>
        <v>13.626765425212151</v>
      </c>
      <c r="AA75" s="568">
        <f t="shared" si="34"/>
        <v>13.553177994478832</v>
      </c>
      <c r="AB75" s="568">
        <f t="shared" si="34"/>
        <v>13.519158410926833</v>
      </c>
      <c r="AC75" s="568">
        <f t="shared" si="34"/>
        <v>13.485285401041429</v>
      </c>
      <c r="AD75" s="568">
        <f t="shared" si="34"/>
        <v>13.451158746657704</v>
      </c>
      <c r="AE75" s="568">
        <f t="shared" si="34"/>
        <v>13.417185755155389</v>
      </c>
      <c r="AF75" s="568">
        <f t="shared" si="34"/>
        <v>13.383193406292561</v>
      </c>
      <c r="AG75" s="568">
        <f t="shared" si="34"/>
        <v>13.349386406163774</v>
      </c>
      <c r="AH75" s="568">
        <f t="shared" si="34"/>
        <v>13.315362687933581</v>
      </c>
      <c r="AI75" s="568">
        <f t="shared" si="34"/>
        <v>13.281485201433636</v>
      </c>
      <c r="AJ75" s="568">
        <f t="shared" si="34"/>
        <v>13.247421773855388</v>
      </c>
      <c r="AK75" s="568">
        <f t="shared" si="34"/>
        <v>13.213418778043801</v>
      </c>
      <c r="AL75" s="568">
        <f t="shared" si="34"/>
        <v>13.179415681273062</v>
      </c>
      <c r="AM75" s="568">
        <f t="shared" si="34"/>
        <v>13.144779930167507</v>
      </c>
      <c r="AN75" s="568">
        <f t="shared" si="34"/>
        <v>13.110143029498113</v>
      </c>
      <c r="AO75" s="568">
        <f t="shared" si="34"/>
        <v>13.075504977795086</v>
      </c>
      <c r="AP75" s="568">
        <f t="shared" si="34"/>
        <v>13.040865773586766</v>
      </c>
      <c r="AQ75" s="568">
        <f t="shared" si="34"/>
        <v>13.006225415399589</v>
      </c>
      <c r="AR75" s="568">
        <f t="shared" si="34"/>
        <v>12.971583901758121</v>
      </c>
      <c r="AS75" s="568">
        <f t="shared" si="34"/>
        <v>12.936941231185042</v>
      </c>
      <c r="AT75" s="568">
        <f t="shared" si="34"/>
        <v>12.902297402201137</v>
      </c>
      <c r="AU75" s="568">
        <f t="shared" si="34"/>
        <v>12.867652413325308</v>
      </c>
      <c r="AV75" s="569">
        <v>5</v>
      </c>
    </row>
    <row r="76" spans="2:59" ht="14.4">
      <c r="B76" s="8" t="str">
        <f>Processes!D76</f>
        <v>EXPNGA</v>
      </c>
      <c r="C76" s="8" t="str">
        <f>Processes!E76</f>
        <v>Export technology - Natural Gas</v>
      </c>
      <c r="D76" s="262" t="str">
        <f>IF(LEN(B76)=6,RIGHT(B76,3),RIGHT(B76,4))</f>
        <v>NGA</v>
      </c>
      <c r="E76" s="569"/>
      <c r="F76" s="823" t="str">
        <f t="shared" ref="F76:F111" si="35">IFERROR(VLOOKUP(D76,$E$121:$F$173,2,FALSE),"MKr19")</f>
        <v>MKr19</v>
      </c>
      <c r="G76" s="568">
        <f t="shared" si="33"/>
        <v>42.18</v>
      </c>
      <c r="H76" s="568">
        <f t="shared" si="34"/>
        <v>43.795000000000002</v>
      </c>
      <c r="I76" s="568">
        <f t="shared" si="34"/>
        <v>52.344999999999999</v>
      </c>
      <c r="J76" s="568">
        <f t="shared" si="34"/>
        <v>51.49</v>
      </c>
      <c r="K76" s="568">
        <f t="shared" si="34"/>
        <v>43.414999999999999</v>
      </c>
      <c r="L76" s="568">
        <f t="shared" si="34"/>
        <v>41.8</v>
      </c>
      <c r="M76" s="568">
        <f t="shared" si="34"/>
        <v>34.959999999999994</v>
      </c>
      <c r="N76" s="568">
        <f t="shared" si="34"/>
        <v>35.055</v>
      </c>
      <c r="O76" s="568">
        <f t="shared" si="34"/>
        <v>50.751074212757736</v>
      </c>
      <c r="P76" s="568">
        <f t="shared" si="34"/>
        <v>32.54796067858944</v>
      </c>
      <c r="Q76" s="568">
        <f t="shared" si="34"/>
        <v>31.727957487158143</v>
      </c>
      <c r="R76" s="568">
        <f t="shared" si="34"/>
        <v>29.949025524166288</v>
      </c>
      <c r="S76" s="568">
        <f t="shared" si="34"/>
        <v>31.124421190464801</v>
      </c>
      <c r="T76" s="568">
        <f t="shared" si="34"/>
        <v>31.69930389723169</v>
      </c>
      <c r="U76" s="568">
        <f t="shared" si="34"/>
        <v>31.888767724343968</v>
      </c>
      <c r="V76" s="568">
        <f t="shared" si="34"/>
        <v>31.830779289767982</v>
      </c>
      <c r="W76" s="568">
        <f t="shared" si="34"/>
        <v>31.794257244088858</v>
      </c>
      <c r="X76" s="568">
        <f t="shared" si="34"/>
        <v>31.770799731920086</v>
      </c>
      <c r="Y76" s="568">
        <f t="shared" si="34"/>
        <v>31.750709610930787</v>
      </c>
      <c r="Z76" s="568">
        <f t="shared" si="34"/>
        <v>31.743509235621186</v>
      </c>
      <c r="AA76" s="568">
        <f t="shared" si="34"/>
        <v>31.741544979889387</v>
      </c>
      <c r="AB76" s="568">
        <f t="shared" si="34"/>
        <v>31.785326421240963</v>
      </c>
      <c r="AC76" s="568">
        <f t="shared" si="34"/>
        <v>31.829107862592537</v>
      </c>
      <c r="AD76" s="568">
        <f t="shared" si="34"/>
        <v>31.872889303944106</v>
      </c>
      <c r="AE76" s="568">
        <f t="shared" si="34"/>
        <v>31.916670745295676</v>
      </c>
      <c r="AF76" s="568">
        <f t="shared" si="34"/>
        <v>31.960452186647256</v>
      </c>
      <c r="AG76" s="568">
        <f t="shared" si="34"/>
        <v>32.004233627998829</v>
      </c>
      <c r="AH76" s="568">
        <f t="shared" si="34"/>
        <v>32.048015069350392</v>
      </c>
      <c r="AI76" s="568">
        <f t="shared" si="34"/>
        <v>32.091796510701968</v>
      </c>
      <c r="AJ76" s="568">
        <f t="shared" si="34"/>
        <v>32.135577952053531</v>
      </c>
      <c r="AK76" s="568">
        <f t="shared" si="34"/>
        <v>32.179359393405107</v>
      </c>
      <c r="AL76" s="568">
        <f t="shared" si="34"/>
        <v>32.223140834756684</v>
      </c>
      <c r="AM76" s="568">
        <f t="shared" si="34"/>
        <v>32.266922276108254</v>
      </c>
      <c r="AN76" s="568">
        <f t="shared" si="34"/>
        <v>32.310703717459816</v>
      </c>
      <c r="AO76" s="568">
        <f t="shared" si="34"/>
        <v>32.354485158811393</v>
      </c>
      <c r="AP76" s="568">
        <f t="shared" si="34"/>
        <v>32.39826660016297</v>
      </c>
      <c r="AQ76" s="568">
        <f t="shared" si="34"/>
        <v>32.442048041514546</v>
      </c>
      <c r="AR76" s="568">
        <f t="shared" si="34"/>
        <v>32.485829482866109</v>
      </c>
      <c r="AS76" s="568">
        <f t="shared" si="34"/>
        <v>32.529610924217685</v>
      </c>
      <c r="AT76" s="568">
        <f t="shared" si="34"/>
        <v>32.573392365569248</v>
      </c>
      <c r="AU76" s="568">
        <f t="shared" si="34"/>
        <v>32.617173806920832</v>
      </c>
      <c r="AV76" s="569">
        <v>5</v>
      </c>
    </row>
    <row r="77" spans="2:59" ht="14.4">
      <c r="B77" s="8" t="str">
        <f>Processes!D77</f>
        <v>EXPCRD</v>
      </c>
      <c r="C77" s="8" t="str">
        <f>Processes!E77</f>
        <v>Export technology - Crude Oil</v>
      </c>
      <c r="D77" s="262" t="str">
        <f t="shared" ref="D77:D111" si="36">IF(LEN(B77)=6,RIGHT(B77,3),RIGHT(B77,4))</f>
        <v>CRD</v>
      </c>
      <c r="E77" s="570"/>
      <c r="F77" s="823" t="str">
        <f t="shared" si="35"/>
        <v>MKr19</v>
      </c>
      <c r="G77" s="568">
        <f t="shared" si="33"/>
        <v>72.39</v>
      </c>
      <c r="H77" s="568">
        <f t="shared" si="34"/>
        <v>100.79499999999999</v>
      </c>
      <c r="I77" s="568">
        <f t="shared" si="34"/>
        <v>107.255</v>
      </c>
      <c r="J77" s="568">
        <f t="shared" si="34"/>
        <v>95.284999999999997</v>
      </c>
      <c r="K77" s="568">
        <f t="shared" si="34"/>
        <v>92.434999999999988</v>
      </c>
      <c r="L77" s="568">
        <f t="shared" si="34"/>
        <v>59.564999999999998</v>
      </c>
      <c r="M77" s="568">
        <f t="shared" si="34"/>
        <v>56.904999999999994</v>
      </c>
      <c r="N77" s="568">
        <f t="shared" si="34"/>
        <v>60.704999999999998</v>
      </c>
      <c r="O77" s="568">
        <f t="shared" si="34"/>
        <v>74.663266513337106</v>
      </c>
      <c r="P77" s="568">
        <f t="shared" si="34"/>
        <v>69.03441780821916</v>
      </c>
      <c r="Q77" s="568">
        <f t="shared" si="34"/>
        <v>67.631970550230122</v>
      </c>
      <c r="R77" s="568">
        <f t="shared" si="34"/>
        <v>46.72206120455769</v>
      </c>
      <c r="S77" s="568">
        <f t="shared" si="34"/>
        <v>49.952257260471079</v>
      </c>
      <c r="T77" s="568">
        <f t="shared" si="34"/>
        <v>52.145468152516102</v>
      </c>
      <c r="U77" s="568">
        <f t="shared" si="34"/>
        <v>53.739968659338345</v>
      </c>
      <c r="V77" s="568">
        <f t="shared" si="34"/>
        <v>54.897107604482805</v>
      </c>
      <c r="W77" s="568">
        <f t="shared" si="34"/>
        <v>56.188956663113622</v>
      </c>
      <c r="X77" s="568">
        <f t="shared" si="34"/>
        <v>57.454144637525566</v>
      </c>
      <c r="Y77" s="568">
        <f t="shared" si="34"/>
        <v>58.618015544439388</v>
      </c>
      <c r="Z77" s="568">
        <f t="shared" si="34"/>
        <v>59.840122211312412</v>
      </c>
      <c r="AA77" s="568">
        <f t="shared" si="34"/>
        <v>60.99866547075451</v>
      </c>
      <c r="AB77" s="568">
        <f t="shared" si="34"/>
        <v>60.706456294846689</v>
      </c>
      <c r="AC77" s="568">
        <f t="shared" si="34"/>
        <v>60.414247118938881</v>
      </c>
      <c r="AD77" s="568">
        <f t="shared" si="34"/>
        <v>60.122037943031081</v>
      </c>
      <c r="AE77" s="568">
        <f t="shared" si="34"/>
        <v>59.829828767123267</v>
      </c>
      <c r="AF77" s="568">
        <f t="shared" si="34"/>
        <v>59.537619591215467</v>
      </c>
      <c r="AG77" s="568">
        <f t="shared" si="34"/>
        <v>59.24541041530766</v>
      </c>
      <c r="AH77" s="568">
        <f t="shared" si="34"/>
        <v>58.95320123939986</v>
      </c>
      <c r="AI77" s="568">
        <f t="shared" si="34"/>
        <v>58.66099206349206</v>
      </c>
      <c r="AJ77" s="568">
        <f t="shared" si="34"/>
        <v>58.368782887584253</v>
      </c>
      <c r="AK77" s="568">
        <f t="shared" si="34"/>
        <v>58.076573711676446</v>
      </c>
      <c r="AL77" s="568">
        <f t="shared" si="34"/>
        <v>57.784364535768646</v>
      </c>
      <c r="AM77" s="568">
        <f t="shared" si="34"/>
        <v>57.492155359860831</v>
      </c>
      <c r="AN77" s="568">
        <f t="shared" si="34"/>
        <v>57.199946183953024</v>
      </c>
      <c r="AO77" s="568">
        <f t="shared" si="34"/>
        <v>56.907737008045224</v>
      </c>
      <c r="AP77" s="568">
        <f t="shared" si="34"/>
        <v>56.615527832137417</v>
      </c>
      <c r="AQ77" s="568">
        <f t="shared" si="34"/>
        <v>56.32331865622961</v>
      </c>
      <c r="AR77" s="568">
        <f t="shared" si="34"/>
        <v>56.031109480321803</v>
      </c>
      <c r="AS77" s="568">
        <f t="shared" si="34"/>
        <v>55.738900304414003</v>
      </c>
      <c r="AT77" s="568">
        <f t="shared" si="34"/>
        <v>55.446691128506195</v>
      </c>
      <c r="AU77" s="568">
        <f t="shared" si="34"/>
        <v>55.154481952598395</v>
      </c>
      <c r="AV77" s="569">
        <v>5</v>
      </c>
      <c r="AW77" s="693">
        <v>152.35535110000001</v>
      </c>
      <c r="AX77" s="693">
        <v>178.85193390000001</v>
      </c>
      <c r="AY77" s="693">
        <v>136.46922304</v>
      </c>
      <c r="AZ77" s="693">
        <v>160.20300096</v>
      </c>
      <c r="BA77" s="693">
        <v>116.62428437999999</v>
      </c>
      <c r="BB77" s="693">
        <v>136.90676862000001</v>
      </c>
      <c r="BC77" s="693">
        <v>295.51345714000001</v>
      </c>
      <c r="BD77" s="693">
        <v>346.90710186000001</v>
      </c>
      <c r="BE77" s="569">
        <v>4</v>
      </c>
    </row>
    <row r="78" spans="2:59" ht="14.4">
      <c r="B78" s="8" t="str">
        <f>Processes!D78</f>
        <v>EXPLPG</v>
      </c>
      <c r="C78" s="8" t="str">
        <f>Processes!E78</f>
        <v>Export technology - Liquid petrol gas</v>
      </c>
      <c r="D78" s="262" t="str">
        <f t="shared" si="36"/>
        <v>LPG</v>
      </c>
      <c r="E78" s="570"/>
      <c r="F78" s="823" t="str">
        <f t="shared" si="35"/>
        <v>MKr14</v>
      </c>
      <c r="G78" s="568">
        <f t="shared" si="33"/>
        <v>84.36</v>
      </c>
      <c r="H78" s="568">
        <f t="shared" si="34"/>
        <v>87.59</v>
      </c>
      <c r="I78" s="568">
        <f t="shared" si="34"/>
        <v>104.69</v>
      </c>
      <c r="J78" s="568">
        <f t="shared" si="34"/>
        <v>102.98</v>
      </c>
      <c r="K78" s="568">
        <f t="shared" si="34"/>
        <v>86.83</v>
      </c>
      <c r="L78" s="568">
        <f t="shared" si="34"/>
        <v>83.6</v>
      </c>
      <c r="M78" s="568">
        <f t="shared" si="34"/>
        <v>69.919999999999987</v>
      </c>
      <c r="N78" s="568">
        <f t="shared" si="34"/>
        <v>70.11</v>
      </c>
      <c r="O78" s="568">
        <f t="shared" si="34"/>
        <v>101.50214842551547</v>
      </c>
      <c r="P78" s="568">
        <f t="shared" si="34"/>
        <v>65.095921357178881</v>
      </c>
      <c r="Q78" s="568">
        <f t="shared" si="34"/>
        <v>63.455914974316286</v>
      </c>
      <c r="R78" s="568">
        <f t="shared" si="34"/>
        <v>59.898051048332576</v>
      </c>
      <c r="S78" s="568">
        <f t="shared" si="34"/>
        <v>62.248842380929602</v>
      </c>
      <c r="T78" s="568">
        <f t="shared" si="34"/>
        <v>63.398607794463381</v>
      </c>
      <c r="U78" s="568">
        <f t="shared" si="34"/>
        <v>63.777535448687935</v>
      </c>
      <c r="V78" s="568">
        <f t="shared" si="34"/>
        <v>63.661558579535964</v>
      </c>
      <c r="W78" s="568">
        <f t="shared" si="34"/>
        <v>63.588514488177715</v>
      </c>
      <c r="X78" s="568">
        <f t="shared" si="34"/>
        <v>63.541599463840171</v>
      </c>
      <c r="Y78" s="568">
        <f t="shared" si="34"/>
        <v>63.501419221861575</v>
      </c>
      <c r="Z78" s="568">
        <f t="shared" si="34"/>
        <v>63.487018471242372</v>
      </c>
      <c r="AA78" s="568">
        <f t="shared" si="34"/>
        <v>63.483089959778773</v>
      </c>
      <c r="AB78" s="568">
        <f t="shared" si="34"/>
        <v>63.570652842481927</v>
      </c>
      <c r="AC78" s="568">
        <f t="shared" si="34"/>
        <v>63.658215725185073</v>
      </c>
      <c r="AD78" s="568">
        <f t="shared" si="34"/>
        <v>63.745778607888212</v>
      </c>
      <c r="AE78" s="568">
        <f t="shared" si="34"/>
        <v>63.833341490591351</v>
      </c>
      <c r="AF78" s="568">
        <f t="shared" si="34"/>
        <v>63.920904373294512</v>
      </c>
      <c r="AG78" s="568">
        <f t="shared" si="34"/>
        <v>64.008467255997658</v>
      </c>
      <c r="AH78" s="568">
        <f t="shared" si="34"/>
        <v>64.096030138700783</v>
      </c>
      <c r="AI78" s="568">
        <f t="shared" si="34"/>
        <v>64.183593021403937</v>
      </c>
      <c r="AJ78" s="568">
        <f t="shared" si="34"/>
        <v>64.271155904107061</v>
      </c>
      <c r="AK78" s="568">
        <f t="shared" si="34"/>
        <v>64.358718786810215</v>
      </c>
      <c r="AL78" s="568">
        <f t="shared" si="34"/>
        <v>64.446281669513368</v>
      </c>
      <c r="AM78" s="568">
        <f t="shared" si="34"/>
        <v>64.533844552216507</v>
      </c>
      <c r="AN78" s="568">
        <f t="shared" si="34"/>
        <v>64.621407434919632</v>
      </c>
      <c r="AO78" s="568">
        <f t="shared" si="34"/>
        <v>64.708970317622786</v>
      </c>
      <c r="AP78" s="568">
        <f t="shared" si="34"/>
        <v>64.796533200325939</v>
      </c>
      <c r="AQ78" s="568">
        <f t="shared" si="34"/>
        <v>64.884096083029092</v>
      </c>
      <c r="AR78" s="568">
        <f t="shared" si="34"/>
        <v>64.971658965732217</v>
      </c>
      <c r="AS78" s="568">
        <f t="shared" si="34"/>
        <v>65.059221848435371</v>
      </c>
      <c r="AT78" s="568">
        <f t="shared" si="34"/>
        <v>65.146784731138496</v>
      </c>
      <c r="AU78" s="568">
        <f t="shared" si="34"/>
        <v>65.234347613841663</v>
      </c>
      <c r="AV78" s="569">
        <v>5</v>
      </c>
      <c r="AW78" s="693">
        <v>2.6706284400000002</v>
      </c>
      <c r="AX78" s="693">
        <v>3.1350855600000003</v>
      </c>
      <c r="AY78" s="693">
        <v>2.01944232</v>
      </c>
      <c r="AZ78" s="693">
        <v>2.3706496800000001</v>
      </c>
      <c r="BA78" s="693">
        <v>2.9353998400000001</v>
      </c>
      <c r="BB78" s="693">
        <v>3.4459041600000004</v>
      </c>
      <c r="BC78" s="693">
        <v>3.2610687999999999</v>
      </c>
      <c r="BD78" s="693">
        <v>3.8282112000000001</v>
      </c>
      <c r="BE78" s="695">
        <v>4</v>
      </c>
    </row>
    <row r="79" spans="2:59" ht="14.4">
      <c r="B79" s="8" t="str">
        <f>Processes!D79</f>
        <v>EXPLVN</v>
      </c>
      <c r="C79" s="8" t="str">
        <f>Processes!E79</f>
        <v>Export technology - Naphtha (Petroleoum)</v>
      </c>
      <c r="D79" s="262" t="str">
        <f t="shared" si="36"/>
        <v>LVN</v>
      </c>
      <c r="E79" s="570"/>
      <c r="F79" s="823" t="str">
        <f t="shared" si="35"/>
        <v>MKr14</v>
      </c>
      <c r="G79" s="568">
        <f t="shared" si="33"/>
        <v>84.36</v>
      </c>
      <c r="H79" s="568">
        <f t="shared" si="34"/>
        <v>87.59</v>
      </c>
      <c r="I79" s="568">
        <f t="shared" si="34"/>
        <v>104.69</v>
      </c>
      <c r="J79" s="568">
        <f t="shared" si="34"/>
        <v>102.98</v>
      </c>
      <c r="K79" s="568">
        <f t="shared" si="34"/>
        <v>86.83</v>
      </c>
      <c r="L79" s="568">
        <f t="shared" si="34"/>
        <v>83.6</v>
      </c>
      <c r="M79" s="568">
        <f t="shared" si="34"/>
        <v>69.919999999999987</v>
      </c>
      <c r="N79" s="568">
        <f t="shared" si="34"/>
        <v>70.11</v>
      </c>
      <c r="O79" s="568">
        <f t="shared" si="34"/>
        <v>101.50214842551547</v>
      </c>
      <c r="P79" s="568">
        <f t="shared" si="34"/>
        <v>65.095921357178881</v>
      </c>
      <c r="Q79" s="568">
        <f t="shared" si="34"/>
        <v>63.455914974316286</v>
      </c>
      <c r="R79" s="568">
        <f t="shared" si="34"/>
        <v>59.898051048332576</v>
      </c>
      <c r="S79" s="568">
        <f t="shared" si="34"/>
        <v>62.248842380929602</v>
      </c>
      <c r="T79" s="568">
        <f t="shared" si="34"/>
        <v>63.398607794463381</v>
      </c>
      <c r="U79" s="568">
        <f t="shared" si="34"/>
        <v>63.777535448687935</v>
      </c>
      <c r="V79" s="568">
        <f t="shared" si="34"/>
        <v>63.661558579535964</v>
      </c>
      <c r="W79" s="568">
        <f t="shared" si="34"/>
        <v>63.588514488177715</v>
      </c>
      <c r="X79" s="568">
        <f t="shared" si="34"/>
        <v>63.541599463840171</v>
      </c>
      <c r="Y79" s="568">
        <f t="shared" si="34"/>
        <v>63.501419221861575</v>
      </c>
      <c r="Z79" s="568">
        <f t="shared" si="34"/>
        <v>63.487018471242372</v>
      </c>
      <c r="AA79" s="568">
        <f t="shared" si="34"/>
        <v>63.483089959778773</v>
      </c>
      <c r="AB79" s="568">
        <f t="shared" si="34"/>
        <v>63.570652842481927</v>
      </c>
      <c r="AC79" s="568">
        <f t="shared" si="34"/>
        <v>63.658215725185073</v>
      </c>
      <c r="AD79" s="568">
        <f t="shared" si="34"/>
        <v>63.745778607888212</v>
      </c>
      <c r="AE79" s="568">
        <f t="shared" si="34"/>
        <v>63.833341490591351</v>
      </c>
      <c r="AF79" s="568">
        <f t="shared" si="34"/>
        <v>63.920904373294512</v>
      </c>
      <c r="AG79" s="568">
        <f t="shared" si="34"/>
        <v>64.008467255997658</v>
      </c>
      <c r="AH79" s="568">
        <f t="shared" si="34"/>
        <v>64.096030138700783</v>
      </c>
      <c r="AI79" s="568">
        <f t="shared" si="34"/>
        <v>64.183593021403937</v>
      </c>
      <c r="AJ79" s="568">
        <f t="shared" si="34"/>
        <v>64.271155904107061</v>
      </c>
      <c r="AK79" s="568">
        <f t="shared" si="34"/>
        <v>64.358718786810215</v>
      </c>
      <c r="AL79" s="568">
        <f t="shared" si="34"/>
        <v>64.446281669513368</v>
      </c>
      <c r="AM79" s="568">
        <f t="shared" si="34"/>
        <v>64.533844552216507</v>
      </c>
      <c r="AN79" s="568">
        <f t="shared" si="34"/>
        <v>64.621407434919632</v>
      </c>
      <c r="AO79" s="568">
        <f t="shared" si="34"/>
        <v>64.708970317622786</v>
      </c>
      <c r="AP79" s="568">
        <f t="shared" si="34"/>
        <v>64.796533200325939</v>
      </c>
      <c r="AQ79" s="568">
        <f t="shared" si="34"/>
        <v>64.884096083029092</v>
      </c>
      <c r="AR79" s="568">
        <f t="shared" si="34"/>
        <v>64.971658965732217</v>
      </c>
      <c r="AS79" s="568">
        <f t="shared" si="34"/>
        <v>65.059221848435371</v>
      </c>
      <c r="AT79" s="568">
        <f t="shared" si="34"/>
        <v>65.146784731138496</v>
      </c>
      <c r="AU79" s="568">
        <f t="shared" si="34"/>
        <v>65.234347613841663</v>
      </c>
      <c r="AV79" s="569">
        <v>5</v>
      </c>
      <c r="AW79" s="693">
        <v>3.98635954</v>
      </c>
      <c r="AX79" s="693">
        <v>4.6796394599999998</v>
      </c>
      <c r="AY79" s="693">
        <v>4.2145572599999994</v>
      </c>
      <c r="AZ79" s="693">
        <v>4.9475237399999994</v>
      </c>
      <c r="BA79" s="693">
        <v>9.5519368</v>
      </c>
      <c r="BB79" s="693">
        <v>11.213143199999999</v>
      </c>
      <c r="BC79" s="693">
        <v>9.5519368</v>
      </c>
      <c r="BD79" s="693">
        <v>11.213143199999999</v>
      </c>
      <c r="BE79" s="695">
        <v>4</v>
      </c>
    </row>
    <row r="80" spans="2:59" ht="14.4">
      <c r="B80" s="8" t="str">
        <f>Processes!D80</f>
        <v>EXPGSL</v>
      </c>
      <c r="C80" s="8" t="str">
        <f>Processes!E80</f>
        <v>Export technology - Gasoline</v>
      </c>
      <c r="D80" s="262" t="str">
        <f t="shared" si="36"/>
        <v>GSL</v>
      </c>
      <c r="E80" s="570"/>
      <c r="F80" s="823" t="str">
        <f t="shared" si="35"/>
        <v>MKr19</v>
      </c>
      <c r="G80" s="568">
        <f t="shared" si="33"/>
        <v>88.16</v>
      </c>
      <c r="H80" s="568">
        <f t="shared" si="34"/>
        <v>116.755</v>
      </c>
      <c r="I80" s="568">
        <f t="shared" si="34"/>
        <v>129.86499999999998</v>
      </c>
      <c r="J80" s="568">
        <f t="shared" si="34"/>
        <v>115.89999999999999</v>
      </c>
      <c r="K80" s="568">
        <f t="shared" si="34"/>
        <v>109.05999999999999</v>
      </c>
      <c r="L80" s="568">
        <f t="shared" si="34"/>
        <v>74.290000000000006</v>
      </c>
      <c r="M80" s="568">
        <f t="shared" si="34"/>
        <v>71.534999999999997</v>
      </c>
      <c r="N80" s="568">
        <f t="shared" si="34"/>
        <v>75.430000000000007</v>
      </c>
      <c r="O80" s="568">
        <f t="shared" si="34"/>
        <v>97.281022004987349</v>
      </c>
      <c r="P80" s="568">
        <f t="shared" si="34"/>
        <v>92.859615434698739</v>
      </c>
      <c r="Q80" s="568">
        <f t="shared" si="34"/>
        <v>91.453673832219465</v>
      </c>
      <c r="R80" s="568">
        <f t="shared" si="34"/>
        <v>70.56879269142425</v>
      </c>
      <c r="S80" s="568">
        <f t="shared" si="34"/>
        <v>73.806866618593077</v>
      </c>
      <c r="T80" s="568">
        <f t="shared" si="34"/>
        <v>76.013796318990643</v>
      </c>
      <c r="U80" s="568">
        <f t="shared" si="34"/>
        <v>77.627095006707535</v>
      </c>
      <c r="V80" s="568">
        <f t="shared" si="34"/>
        <v>78.80174894190931</v>
      </c>
      <c r="W80" s="568">
        <f t="shared" si="34"/>
        <v>80.09893911330299</v>
      </c>
      <c r="X80" s="568">
        <f t="shared" si="34"/>
        <v>81.370170941805384</v>
      </c>
      <c r="Y80" s="568">
        <f t="shared" si="34"/>
        <v>82.539736173993532</v>
      </c>
      <c r="Z80" s="568">
        <f t="shared" si="34"/>
        <v>83.767850466579958</v>
      </c>
      <c r="AA80" s="568">
        <f t="shared" si="34"/>
        <v>84.929880872470534</v>
      </c>
      <c r="AB80" s="568">
        <f t="shared" si="34"/>
        <v>84.639044298377826</v>
      </c>
      <c r="AC80" s="568">
        <f t="shared" si="34"/>
        <v>84.347512149203396</v>
      </c>
      <c r="AD80" s="568">
        <f t="shared" si="34"/>
        <v>84.057183686862714</v>
      </c>
      <c r="AE80" s="568">
        <f t="shared" si="34"/>
        <v>83.766126007099942</v>
      </c>
      <c r="AF80" s="568">
        <f t="shared" si="34"/>
        <v>83.475160188978734</v>
      </c>
      <c r="AG80" s="568">
        <f t="shared" si="34"/>
        <v>83.183314786114749</v>
      </c>
      <c r="AH80" s="568">
        <f t="shared" si="34"/>
        <v>82.892497833412349</v>
      </c>
      <c r="AI80" s="568">
        <f t="shared" si="34"/>
        <v>82.600986928309936</v>
      </c>
      <c r="AJ80" s="568">
        <f t="shared" si="34"/>
        <v>82.310358418959339</v>
      </c>
      <c r="AK80" s="568">
        <f t="shared" si="34"/>
        <v>82.019443126641477</v>
      </c>
      <c r="AL80" s="568">
        <f t="shared" si="34"/>
        <v>81.728528313431966</v>
      </c>
      <c r="AM80" s="568">
        <f t="shared" si="34"/>
        <v>81.44061580343886</v>
      </c>
      <c r="AN80" s="568">
        <f t="shared" si="34"/>
        <v>81.152708748777343</v>
      </c>
      <c r="AO80" s="568">
        <f t="shared" si="34"/>
        <v>80.864807156422501</v>
      </c>
      <c r="AP80" s="568">
        <f t="shared" si="34"/>
        <v>80.576911033358186</v>
      </c>
      <c r="AQ80" s="568">
        <f t="shared" si="34"/>
        <v>80.289020386577249</v>
      </c>
      <c r="AR80" s="568">
        <f t="shared" si="34"/>
        <v>80.001135223081477</v>
      </c>
      <c r="AS80" s="568">
        <f t="shared" si="34"/>
        <v>79.713255549881637</v>
      </c>
      <c r="AT80" s="568">
        <f t="shared" si="34"/>
        <v>79.425381373997368</v>
      </c>
      <c r="AU80" s="568">
        <f t="shared" si="34"/>
        <v>79.137512702457386</v>
      </c>
      <c r="AV80" s="569">
        <v>5</v>
      </c>
      <c r="AW80" s="693">
        <v>15.690051220000001</v>
      </c>
      <c r="AX80" s="693">
        <v>18.418755780000001</v>
      </c>
      <c r="AY80" s="693">
        <v>15.24725108</v>
      </c>
      <c r="AZ80" s="693">
        <v>17.89894692</v>
      </c>
      <c r="BA80" s="693">
        <v>19.508200259999999</v>
      </c>
      <c r="BB80" s="693">
        <v>22.90093074</v>
      </c>
      <c r="BC80" s="693">
        <v>22.457645280000001</v>
      </c>
      <c r="BD80" s="693">
        <v>26.363322720000003</v>
      </c>
      <c r="BE80" s="695">
        <v>4</v>
      </c>
    </row>
    <row r="81" spans="2:57" ht="14.4">
      <c r="B81" s="8" t="str">
        <f>Processes!D81</f>
        <v>EXPKER</v>
      </c>
      <c r="C81" s="8" t="str">
        <f>Processes!E81</f>
        <v>Export technology - Kerosene</v>
      </c>
      <c r="D81" s="262" t="str">
        <f t="shared" si="36"/>
        <v>KER</v>
      </c>
      <c r="E81" s="570"/>
      <c r="F81" s="823" t="str">
        <f t="shared" si="35"/>
        <v>MKr19</v>
      </c>
      <c r="G81" s="568">
        <f t="shared" si="33"/>
        <v>72.674999999999997</v>
      </c>
      <c r="H81" s="568">
        <f t="shared" si="34"/>
        <v>106.78</v>
      </c>
      <c r="I81" s="568">
        <f t="shared" si="34"/>
        <v>110.48499999999999</v>
      </c>
      <c r="J81" s="568">
        <f t="shared" si="34"/>
        <v>112.66999999999999</v>
      </c>
      <c r="K81" s="568">
        <f t="shared" si="34"/>
        <v>104.59499999999998</v>
      </c>
      <c r="L81" s="568">
        <f t="shared" si="34"/>
        <v>69.825000000000003</v>
      </c>
      <c r="M81" s="568">
        <f t="shared" si="34"/>
        <v>67.069999999999993</v>
      </c>
      <c r="N81" s="568">
        <f t="shared" si="34"/>
        <v>70.965000000000003</v>
      </c>
      <c r="O81" s="568">
        <f t="shared" si="34"/>
        <v>94.52602200498734</v>
      </c>
      <c r="P81" s="568">
        <f t="shared" si="34"/>
        <v>88.34711543469875</v>
      </c>
      <c r="Q81" s="568">
        <f t="shared" si="34"/>
        <v>86.941173832219462</v>
      </c>
      <c r="R81" s="568">
        <f t="shared" si="34"/>
        <v>66.056292691424247</v>
      </c>
      <c r="S81" s="568">
        <f t="shared" si="34"/>
        <v>69.294366618593074</v>
      </c>
      <c r="T81" s="568">
        <f t="shared" si="34"/>
        <v>71.50129631899064</v>
      </c>
      <c r="U81" s="568">
        <f t="shared" si="34"/>
        <v>73.114595006707532</v>
      </c>
      <c r="V81" s="568">
        <f t="shared" si="34"/>
        <v>74.289248941909307</v>
      </c>
      <c r="W81" s="568">
        <f t="shared" si="34"/>
        <v>75.586439113303001</v>
      </c>
      <c r="X81" s="568">
        <f t="shared" si="34"/>
        <v>76.857670941805381</v>
      </c>
      <c r="Y81" s="568">
        <f t="shared" si="34"/>
        <v>78.027236173993543</v>
      </c>
      <c r="Z81" s="568">
        <f t="shared" si="34"/>
        <v>79.255350466579955</v>
      </c>
      <c r="AA81" s="568">
        <f t="shared" si="34"/>
        <v>80.417380872470531</v>
      </c>
      <c r="AB81" s="568">
        <f t="shared" si="34"/>
        <v>80.126544298377823</v>
      </c>
      <c r="AC81" s="568">
        <f t="shared" si="34"/>
        <v>79.835012149203408</v>
      </c>
      <c r="AD81" s="568">
        <f t="shared" si="34"/>
        <v>79.544683686862726</v>
      </c>
      <c r="AE81" s="568">
        <f t="shared" si="34"/>
        <v>79.253626007099939</v>
      </c>
      <c r="AF81" s="568">
        <f t="shared" si="34"/>
        <v>78.962660188978745</v>
      </c>
      <c r="AG81" s="568">
        <f t="shared" si="34"/>
        <v>78.670814786114747</v>
      </c>
      <c r="AH81" s="568">
        <f t="shared" si="34"/>
        <v>78.379997833412347</v>
      </c>
      <c r="AI81" s="568">
        <f t="shared" si="34"/>
        <v>78.088486928309948</v>
      </c>
      <c r="AJ81" s="568">
        <f t="shared" si="34"/>
        <v>77.797858418959336</v>
      </c>
      <c r="AK81" s="568">
        <f t="shared" si="34"/>
        <v>77.506943126641474</v>
      </c>
      <c r="AL81" s="568">
        <f t="shared" ref="H81:AU84" si="37">IFERROR(INDEX($G$121:$AU$176,MATCH($D81,$E$121:$E$176,0),MATCH(AL$5,$G$120:$AU$120,0)),0)*$E$192</f>
        <v>77.216028313431977</v>
      </c>
      <c r="AM81" s="568">
        <f t="shared" si="37"/>
        <v>76.928115803438857</v>
      </c>
      <c r="AN81" s="568">
        <f t="shared" si="37"/>
        <v>76.640208748777354</v>
      </c>
      <c r="AO81" s="568">
        <f t="shared" si="37"/>
        <v>76.352307156422498</v>
      </c>
      <c r="AP81" s="568">
        <f t="shared" si="37"/>
        <v>76.064411033358184</v>
      </c>
      <c r="AQ81" s="568">
        <f t="shared" si="37"/>
        <v>75.776520386577246</v>
      </c>
      <c r="AR81" s="568">
        <f t="shared" si="37"/>
        <v>75.488635223081488</v>
      </c>
      <c r="AS81" s="568">
        <f t="shared" si="37"/>
        <v>75.200755549881634</v>
      </c>
      <c r="AT81" s="568">
        <f t="shared" si="37"/>
        <v>74.912881373997365</v>
      </c>
      <c r="AU81" s="568">
        <f t="shared" si="37"/>
        <v>74.625012702457397</v>
      </c>
      <c r="AV81" s="569">
        <v>5</v>
      </c>
      <c r="AW81" s="693">
        <v>9.4550515999999991</v>
      </c>
      <c r="AX81" s="693">
        <v>11.0994084</v>
      </c>
      <c r="AY81" s="693">
        <v>7.8445718200000005</v>
      </c>
      <c r="AZ81" s="693">
        <v>9.2088451800000009</v>
      </c>
      <c r="BA81" s="693">
        <v>5.8138125799999996</v>
      </c>
      <c r="BB81" s="693">
        <v>6.8249104200000001</v>
      </c>
      <c r="BC81" s="693">
        <v>7.8445718200000005</v>
      </c>
      <c r="BD81" s="693">
        <v>9.2088451800000009</v>
      </c>
      <c r="BE81" s="695">
        <v>4</v>
      </c>
    </row>
    <row r="82" spans="2:57" ht="14.4">
      <c r="B82" s="8" t="str">
        <f>Processes!D82</f>
        <v>EXPDSL</v>
      </c>
      <c r="C82" s="8" t="str">
        <f>Processes!E82</f>
        <v>Export technology - Diesel</v>
      </c>
      <c r="D82" s="262" t="str">
        <f t="shared" si="36"/>
        <v>DSL</v>
      </c>
      <c r="E82" s="570"/>
      <c r="F82" s="823" t="str">
        <f t="shared" si="35"/>
        <v>MKr19</v>
      </c>
      <c r="G82" s="568">
        <f t="shared" si="33"/>
        <v>100.13</v>
      </c>
      <c r="H82" s="568">
        <f t="shared" si="37"/>
        <v>111.53</v>
      </c>
      <c r="I82" s="568">
        <f t="shared" si="37"/>
        <v>127.48999999999998</v>
      </c>
      <c r="J82" s="568">
        <f t="shared" si="37"/>
        <v>117.03999999999999</v>
      </c>
      <c r="K82" s="568">
        <f t="shared" si="37"/>
        <v>107.82499999999999</v>
      </c>
      <c r="L82" s="568">
        <f t="shared" si="37"/>
        <v>73.149999999999991</v>
      </c>
      <c r="M82" s="568">
        <f t="shared" si="37"/>
        <v>70.3</v>
      </c>
      <c r="N82" s="568">
        <f t="shared" si="37"/>
        <v>74.290000000000006</v>
      </c>
      <c r="O82" s="568">
        <f t="shared" si="37"/>
        <v>96.426022004987345</v>
      </c>
      <c r="P82" s="568">
        <f t="shared" si="37"/>
        <v>90.807615434698747</v>
      </c>
      <c r="Q82" s="568">
        <f t="shared" si="37"/>
        <v>89.401673832219473</v>
      </c>
      <c r="R82" s="568">
        <f t="shared" si="37"/>
        <v>68.516792691424257</v>
      </c>
      <c r="S82" s="568">
        <f t="shared" si="37"/>
        <v>71.754866618593084</v>
      </c>
      <c r="T82" s="568">
        <f t="shared" si="37"/>
        <v>73.96179631899065</v>
      </c>
      <c r="U82" s="568">
        <f t="shared" si="37"/>
        <v>75.575095006707542</v>
      </c>
      <c r="V82" s="568">
        <f t="shared" si="37"/>
        <v>76.749748941909317</v>
      </c>
      <c r="W82" s="568">
        <f t="shared" si="37"/>
        <v>78.046939113302997</v>
      </c>
      <c r="X82" s="568">
        <f t="shared" si="37"/>
        <v>79.318170941805391</v>
      </c>
      <c r="Y82" s="568">
        <f t="shared" si="37"/>
        <v>80.48773617399354</v>
      </c>
      <c r="Z82" s="568">
        <f t="shared" si="37"/>
        <v>81.715850466579965</v>
      </c>
      <c r="AA82" s="568">
        <f t="shared" si="37"/>
        <v>82.877880872470527</v>
      </c>
      <c r="AB82" s="568">
        <f t="shared" si="37"/>
        <v>82.587044298377819</v>
      </c>
      <c r="AC82" s="568">
        <f t="shared" si="37"/>
        <v>82.295512149203404</v>
      </c>
      <c r="AD82" s="568">
        <f t="shared" si="37"/>
        <v>82.005183686862722</v>
      </c>
      <c r="AE82" s="568">
        <f t="shared" si="37"/>
        <v>81.714126007099949</v>
      </c>
      <c r="AF82" s="568">
        <f t="shared" si="37"/>
        <v>81.423160188978741</v>
      </c>
      <c r="AG82" s="568">
        <f t="shared" si="37"/>
        <v>81.131314786114757</v>
      </c>
      <c r="AH82" s="568">
        <f t="shared" si="37"/>
        <v>80.840497833412343</v>
      </c>
      <c r="AI82" s="568">
        <f t="shared" si="37"/>
        <v>80.548986928309944</v>
      </c>
      <c r="AJ82" s="568">
        <f t="shared" si="37"/>
        <v>80.258358418959332</v>
      </c>
      <c r="AK82" s="568">
        <f t="shared" si="37"/>
        <v>79.967443126641484</v>
      </c>
      <c r="AL82" s="568">
        <f t="shared" si="37"/>
        <v>79.676528313431973</v>
      </c>
      <c r="AM82" s="568">
        <f t="shared" si="37"/>
        <v>79.388615803438867</v>
      </c>
      <c r="AN82" s="568">
        <f t="shared" si="37"/>
        <v>79.10070874877735</v>
      </c>
      <c r="AO82" s="568">
        <f t="shared" si="37"/>
        <v>78.812807156422508</v>
      </c>
      <c r="AP82" s="568">
        <f t="shared" si="37"/>
        <v>78.524911033358194</v>
      </c>
      <c r="AQ82" s="568">
        <f t="shared" si="37"/>
        <v>78.237020386577257</v>
      </c>
      <c r="AR82" s="568">
        <f t="shared" si="37"/>
        <v>77.949135223081484</v>
      </c>
      <c r="AS82" s="568">
        <f t="shared" si="37"/>
        <v>77.661255549881631</v>
      </c>
      <c r="AT82" s="568">
        <f t="shared" si="37"/>
        <v>77.373381373997375</v>
      </c>
      <c r="AU82" s="568">
        <f t="shared" si="37"/>
        <v>77.085512702457393</v>
      </c>
      <c r="AV82" s="569">
        <v>5</v>
      </c>
      <c r="AW82" s="693">
        <v>26.72664722</v>
      </c>
      <c r="AX82" s="693">
        <v>31.374759779999998</v>
      </c>
      <c r="AY82" s="693">
        <v>30.306363080000001</v>
      </c>
      <c r="AZ82" s="693">
        <v>35.577034920000003</v>
      </c>
      <c r="BA82" s="693">
        <v>33.01168886</v>
      </c>
      <c r="BB82" s="693">
        <v>38.752852140000002</v>
      </c>
      <c r="BC82" s="693">
        <v>40.952693240000002</v>
      </c>
      <c r="BD82" s="693">
        <v>48.074900759999998</v>
      </c>
      <c r="BE82" s="695">
        <v>4</v>
      </c>
    </row>
    <row r="83" spans="2:57" ht="14.4">
      <c r="B83" s="8" t="str">
        <f>Processes!D83</f>
        <v>EXPHFO</v>
      </c>
      <c r="C83" s="8" t="str">
        <f>Processes!E83</f>
        <v>Export technology - Heavy Fuel Oil</v>
      </c>
      <c r="D83" s="262" t="str">
        <f t="shared" si="36"/>
        <v>HFO</v>
      </c>
      <c r="E83" s="570"/>
      <c r="F83" s="823" t="str">
        <f t="shared" si="35"/>
        <v>MKr19</v>
      </c>
      <c r="G83" s="568">
        <f t="shared" si="33"/>
        <v>64.790000000000006</v>
      </c>
      <c r="H83" s="568">
        <f t="shared" si="37"/>
        <v>96.899999999999991</v>
      </c>
      <c r="I83" s="568">
        <f t="shared" si="37"/>
        <v>91.39</v>
      </c>
      <c r="J83" s="568">
        <f t="shared" si="37"/>
        <v>87.114999999999995</v>
      </c>
      <c r="K83" s="568">
        <f t="shared" si="37"/>
        <v>79.8</v>
      </c>
      <c r="L83" s="568">
        <f t="shared" si="37"/>
        <v>45.125</v>
      </c>
      <c r="M83" s="568">
        <f t="shared" si="37"/>
        <v>42.274999999999999</v>
      </c>
      <c r="N83" s="568">
        <f t="shared" si="37"/>
        <v>46.265000000000001</v>
      </c>
      <c r="O83" s="568">
        <f t="shared" si="37"/>
        <v>64.34838436678902</v>
      </c>
      <c r="P83" s="568">
        <f t="shared" si="37"/>
        <v>58.729977796500442</v>
      </c>
      <c r="Q83" s="568">
        <f t="shared" si="37"/>
        <v>57.324036194021168</v>
      </c>
      <c r="R83" s="568">
        <f t="shared" si="37"/>
        <v>36.43915505322596</v>
      </c>
      <c r="S83" s="568">
        <f t="shared" si="37"/>
        <v>39.677228980394787</v>
      </c>
      <c r="T83" s="568">
        <f t="shared" si="37"/>
        <v>41.884158680792353</v>
      </c>
      <c r="U83" s="568">
        <f t="shared" si="37"/>
        <v>43.497457368509231</v>
      </c>
      <c r="V83" s="568">
        <f t="shared" si="37"/>
        <v>44.672111303711013</v>
      </c>
      <c r="W83" s="568">
        <f t="shared" si="37"/>
        <v>45.969301475104693</v>
      </c>
      <c r="X83" s="568">
        <f t="shared" si="37"/>
        <v>47.240533303607087</v>
      </c>
      <c r="Y83" s="568">
        <f t="shared" si="37"/>
        <v>48.410098535795242</v>
      </c>
      <c r="Z83" s="568">
        <f t="shared" si="37"/>
        <v>49.638212828381661</v>
      </c>
      <c r="AA83" s="568">
        <f t="shared" si="37"/>
        <v>50.80024323427223</v>
      </c>
      <c r="AB83" s="568">
        <f t="shared" si="37"/>
        <v>50.509406660179529</v>
      </c>
      <c r="AC83" s="568">
        <f t="shared" si="37"/>
        <v>50.2178745110051</v>
      </c>
      <c r="AD83" s="568">
        <f t="shared" si="37"/>
        <v>49.927546048664425</v>
      </c>
      <c r="AE83" s="568">
        <f t="shared" si="37"/>
        <v>49.636488368901652</v>
      </c>
      <c r="AF83" s="568">
        <f t="shared" si="37"/>
        <v>49.345522550780437</v>
      </c>
      <c r="AG83" s="568">
        <f t="shared" si="37"/>
        <v>49.05367714791646</v>
      </c>
      <c r="AH83" s="568">
        <f t="shared" si="37"/>
        <v>48.762860195214053</v>
      </c>
      <c r="AI83" s="568">
        <f t="shared" si="37"/>
        <v>48.47134929011164</v>
      </c>
      <c r="AJ83" s="568">
        <f t="shared" si="37"/>
        <v>48.180720780761035</v>
      </c>
      <c r="AK83" s="568">
        <f t="shared" si="37"/>
        <v>47.88980548844318</v>
      </c>
      <c r="AL83" s="568">
        <f t="shared" si="37"/>
        <v>47.598890675233669</v>
      </c>
      <c r="AM83" s="568">
        <f t="shared" si="37"/>
        <v>47.310978165240549</v>
      </c>
      <c r="AN83" s="568">
        <f t="shared" si="37"/>
        <v>47.023071110579053</v>
      </c>
      <c r="AO83" s="568">
        <f t="shared" si="37"/>
        <v>46.735169518224204</v>
      </c>
      <c r="AP83" s="568">
        <f t="shared" si="37"/>
        <v>46.447273395159883</v>
      </c>
      <c r="AQ83" s="568">
        <f t="shared" si="37"/>
        <v>46.15938274837896</v>
      </c>
      <c r="AR83" s="568">
        <f t="shared" si="37"/>
        <v>45.871497584883187</v>
      </c>
      <c r="AS83" s="568">
        <f t="shared" si="37"/>
        <v>45.583617911683326</v>
      </c>
      <c r="AT83" s="568">
        <f t="shared" si="37"/>
        <v>45.295743735799064</v>
      </c>
      <c r="AU83" s="568">
        <f t="shared" si="37"/>
        <v>45.007875064259089</v>
      </c>
      <c r="AV83" s="569">
        <v>5</v>
      </c>
      <c r="AW83" s="693">
        <v>50.57098826</v>
      </c>
      <c r="AX83" s="693">
        <v>59.365942740000001</v>
      </c>
      <c r="AY83" s="693">
        <v>44.739215440000002</v>
      </c>
      <c r="AZ83" s="693">
        <v>52.519948560000003</v>
      </c>
      <c r="BA83" s="693">
        <v>60.019435180000002</v>
      </c>
      <c r="BB83" s="693">
        <v>70.457597820000004</v>
      </c>
      <c r="BC83" s="693">
        <v>78.265236740000006</v>
      </c>
      <c r="BD83" s="693">
        <v>91.876582260000006</v>
      </c>
      <c r="BE83" s="695">
        <v>4</v>
      </c>
    </row>
    <row r="84" spans="2:57" ht="14.4">
      <c r="B84" s="8" t="str">
        <f>Processes!D84</f>
        <v>EXPMGO</v>
      </c>
      <c r="C84" s="8" t="str">
        <f>Processes!E84</f>
        <v>Export technology - Marine Gas Oil</v>
      </c>
      <c r="D84" s="262" t="str">
        <f t="shared" si="36"/>
        <v>MGO</v>
      </c>
      <c r="E84" s="570"/>
      <c r="F84" s="823" t="str">
        <f t="shared" si="35"/>
        <v>MKr19</v>
      </c>
      <c r="G84" s="568">
        <f t="shared" si="33"/>
        <v>64.790000000000006</v>
      </c>
      <c r="H84" s="568">
        <f t="shared" si="37"/>
        <v>96.899999999999991</v>
      </c>
      <c r="I84" s="568">
        <f t="shared" si="37"/>
        <v>91.39</v>
      </c>
      <c r="J84" s="568">
        <f t="shared" si="37"/>
        <v>87.114999999999995</v>
      </c>
      <c r="K84" s="568">
        <f t="shared" si="37"/>
        <v>79.8</v>
      </c>
      <c r="L84" s="568">
        <f t="shared" si="37"/>
        <v>45.125</v>
      </c>
      <c r="M84" s="568">
        <f t="shared" si="37"/>
        <v>42.274999999999999</v>
      </c>
      <c r="N84" s="568">
        <f t="shared" si="37"/>
        <v>46.265000000000001</v>
      </c>
      <c r="O84" s="568">
        <f t="shared" si="37"/>
        <v>64.34838436678902</v>
      </c>
      <c r="P84" s="568">
        <f t="shared" si="37"/>
        <v>58.729977796500442</v>
      </c>
      <c r="Q84" s="568">
        <f t="shared" si="37"/>
        <v>57.324036194021168</v>
      </c>
      <c r="R84" s="568">
        <f t="shared" si="37"/>
        <v>36.43915505322596</v>
      </c>
      <c r="S84" s="568">
        <f t="shared" si="37"/>
        <v>39.677228980394787</v>
      </c>
      <c r="T84" s="568">
        <f t="shared" si="37"/>
        <v>41.884158680792353</v>
      </c>
      <c r="U84" s="568">
        <f t="shared" si="37"/>
        <v>43.497457368509231</v>
      </c>
      <c r="V84" s="568">
        <f t="shared" si="37"/>
        <v>44.672111303711013</v>
      </c>
      <c r="W84" s="568">
        <f t="shared" si="37"/>
        <v>45.969301475104693</v>
      </c>
      <c r="X84" s="568">
        <f t="shared" si="37"/>
        <v>47.240533303607087</v>
      </c>
      <c r="Y84" s="568">
        <f t="shared" si="37"/>
        <v>48.410098535795242</v>
      </c>
      <c r="Z84" s="568">
        <f t="shared" si="37"/>
        <v>49.638212828381661</v>
      </c>
      <c r="AA84" s="568">
        <f t="shared" si="37"/>
        <v>50.80024323427223</v>
      </c>
      <c r="AB84" s="568">
        <f t="shared" si="37"/>
        <v>50.509406660179529</v>
      </c>
      <c r="AC84" s="568">
        <f t="shared" si="37"/>
        <v>50.2178745110051</v>
      </c>
      <c r="AD84" s="568">
        <f t="shared" si="37"/>
        <v>49.927546048664425</v>
      </c>
      <c r="AE84" s="568">
        <f t="shared" si="37"/>
        <v>49.636488368901652</v>
      </c>
      <c r="AF84" s="568">
        <f t="shared" si="37"/>
        <v>49.345522550780437</v>
      </c>
      <c r="AG84" s="568">
        <f t="shared" si="37"/>
        <v>49.05367714791646</v>
      </c>
      <c r="AH84" s="568">
        <f t="shared" si="37"/>
        <v>48.762860195214053</v>
      </c>
      <c r="AI84" s="568">
        <f t="shared" si="37"/>
        <v>48.47134929011164</v>
      </c>
      <c r="AJ84" s="568">
        <f t="shared" si="37"/>
        <v>48.180720780761035</v>
      </c>
      <c r="AK84" s="568">
        <f t="shared" si="37"/>
        <v>47.88980548844318</v>
      </c>
      <c r="AL84" s="568">
        <f t="shared" si="37"/>
        <v>47.598890675233669</v>
      </c>
      <c r="AM84" s="568">
        <f t="shared" si="37"/>
        <v>47.310978165240549</v>
      </c>
      <c r="AN84" s="568">
        <f t="shared" si="37"/>
        <v>47.023071110579053</v>
      </c>
      <c r="AO84" s="568">
        <f t="shared" si="37"/>
        <v>46.735169518224204</v>
      </c>
      <c r="AP84" s="568">
        <f t="shared" si="37"/>
        <v>46.447273395159883</v>
      </c>
      <c r="AQ84" s="568">
        <f t="shared" si="37"/>
        <v>46.15938274837896</v>
      </c>
      <c r="AR84" s="568">
        <f t="shared" si="37"/>
        <v>45.871497584883187</v>
      </c>
      <c r="AS84" s="568">
        <f t="shared" si="37"/>
        <v>45.583617911683326</v>
      </c>
      <c r="AT84" s="568">
        <f t="shared" si="37"/>
        <v>45.295743735799064</v>
      </c>
      <c r="AU84" s="568">
        <f t="shared" si="37"/>
        <v>45.007875064259089</v>
      </c>
      <c r="AV84" s="569">
        <v>5</v>
      </c>
    </row>
    <row r="85" spans="2:57" ht="14.4">
      <c r="B85" s="8" t="str">
        <f>Processes!D85</f>
        <v>EXPAGSL</v>
      </c>
      <c r="C85" s="8" t="str">
        <f>Processes!E85</f>
        <v>Export technology - Aviation gasoline</v>
      </c>
      <c r="D85" s="262" t="str">
        <f t="shared" si="36"/>
        <v>AGSL</v>
      </c>
      <c r="E85" s="570"/>
      <c r="F85" s="823" t="str">
        <f t="shared" si="35"/>
        <v>MKr19</v>
      </c>
      <c r="G85" s="568">
        <f>G81</f>
        <v>72.674999999999997</v>
      </c>
      <c r="H85" s="568">
        <f t="shared" ref="H85:AU85" si="38">H81</f>
        <v>106.78</v>
      </c>
      <c r="I85" s="568">
        <f t="shared" si="38"/>
        <v>110.48499999999999</v>
      </c>
      <c r="J85" s="568">
        <f t="shared" si="38"/>
        <v>112.66999999999999</v>
      </c>
      <c r="K85" s="568">
        <f t="shared" si="38"/>
        <v>104.59499999999998</v>
      </c>
      <c r="L85" s="568">
        <f t="shared" si="38"/>
        <v>69.825000000000003</v>
      </c>
      <c r="M85" s="568">
        <f t="shared" si="38"/>
        <v>67.069999999999993</v>
      </c>
      <c r="N85" s="568">
        <f t="shared" si="38"/>
        <v>70.965000000000003</v>
      </c>
      <c r="O85" s="568">
        <f t="shared" si="38"/>
        <v>94.52602200498734</v>
      </c>
      <c r="P85" s="568">
        <f t="shared" si="38"/>
        <v>88.34711543469875</v>
      </c>
      <c r="Q85" s="568">
        <f t="shared" si="38"/>
        <v>86.941173832219462</v>
      </c>
      <c r="R85" s="568">
        <f t="shared" si="38"/>
        <v>66.056292691424247</v>
      </c>
      <c r="S85" s="568">
        <f t="shared" si="38"/>
        <v>69.294366618593074</v>
      </c>
      <c r="T85" s="568">
        <f t="shared" si="38"/>
        <v>71.50129631899064</v>
      </c>
      <c r="U85" s="568">
        <f t="shared" si="38"/>
        <v>73.114595006707532</v>
      </c>
      <c r="V85" s="568">
        <f t="shared" si="38"/>
        <v>74.289248941909307</v>
      </c>
      <c r="W85" s="568">
        <f t="shared" si="38"/>
        <v>75.586439113303001</v>
      </c>
      <c r="X85" s="568">
        <f t="shared" si="38"/>
        <v>76.857670941805381</v>
      </c>
      <c r="Y85" s="568">
        <f t="shared" si="38"/>
        <v>78.027236173993543</v>
      </c>
      <c r="Z85" s="568">
        <f t="shared" si="38"/>
        <v>79.255350466579955</v>
      </c>
      <c r="AA85" s="568">
        <f t="shared" si="38"/>
        <v>80.417380872470531</v>
      </c>
      <c r="AB85" s="568">
        <f t="shared" si="38"/>
        <v>80.126544298377823</v>
      </c>
      <c r="AC85" s="568">
        <f t="shared" si="38"/>
        <v>79.835012149203408</v>
      </c>
      <c r="AD85" s="568">
        <f t="shared" si="38"/>
        <v>79.544683686862726</v>
      </c>
      <c r="AE85" s="568">
        <f t="shared" si="38"/>
        <v>79.253626007099939</v>
      </c>
      <c r="AF85" s="568">
        <f t="shared" si="38"/>
        <v>78.962660188978745</v>
      </c>
      <c r="AG85" s="568">
        <f t="shared" si="38"/>
        <v>78.670814786114747</v>
      </c>
      <c r="AH85" s="568">
        <f t="shared" si="38"/>
        <v>78.379997833412347</v>
      </c>
      <c r="AI85" s="568">
        <f t="shared" si="38"/>
        <v>78.088486928309948</v>
      </c>
      <c r="AJ85" s="568">
        <f t="shared" si="38"/>
        <v>77.797858418959336</v>
      </c>
      <c r="AK85" s="568">
        <f t="shared" si="38"/>
        <v>77.506943126641474</v>
      </c>
      <c r="AL85" s="568">
        <f t="shared" si="38"/>
        <v>77.216028313431977</v>
      </c>
      <c r="AM85" s="568">
        <f t="shared" si="38"/>
        <v>76.928115803438857</v>
      </c>
      <c r="AN85" s="568">
        <f t="shared" si="38"/>
        <v>76.640208748777354</v>
      </c>
      <c r="AO85" s="568">
        <f t="shared" si="38"/>
        <v>76.352307156422498</v>
      </c>
      <c r="AP85" s="568">
        <f t="shared" si="38"/>
        <v>76.064411033358184</v>
      </c>
      <c r="AQ85" s="568">
        <f t="shared" si="38"/>
        <v>75.776520386577246</v>
      </c>
      <c r="AR85" s="568">
        <f t="shared" si="38"/>
        <v>75.488635223081488</v>
      </c>
      <c r="AS85" s="568">
        <f t="shared" si="38"/>
        <v>75.200755549881634</v>
      </c>
      <c r="AT85" s="568">
        <f t="shared" si="38"/>
        <v>74.912881373997365</v>
      </c>
      <c r="AU85" s="568">
        <f t="shared" si="38"/>
        <v>74.625012702457397</v>
      </c>
      <c r="AV85" s="569">
        <v>5</v>
      </c>
    </row>
    <row r="86" spans="2:57" ht="14.4">
      <c r="B86" s="8" t="str">
        <f>Processes!D86</f>
        <v>EXPBGA</v>
      </c>
      <c r="C86" s="8" t="str">
        <f>Processes!E86</f>
        <v>Export technology - Biogas</v>
      </c>
      <c r="D86" s="262" t="str">
        <f t="shared" si="36"/>
        <v>BGA</v>
      </c>
      <c r="E86" s="570"/>
      <c r="F86" s="823" t="str">
        <f t="shared" si="35"/>
        <v>MKr19</v>
      </c>
      <c r="G86" s="568">
        <f>G76</f>
        <v>42.18</v>
      </c>
      <c r="H86" s="568">
        <f t="shared" ref="H86:AU86" si="39">H76</f>
        <v>43.795000000000002</v>
      </c>
      <c r="I86" s="568">
        <f t="shared" si="39"/>
        <v>52.344999999999999</v>
      </c>
      <c r="J86" s="568">
        <f t="shared" si="39"/>
        <v>51.49</v>
      </c>
      <c r="K86" s="568">
        <f t="shared" si="39"/>
        <v>43.414999999999999</v>
      </c>
      <c r="L86" s="568">
        <f t="shared" si="39"/>
        <v>41.8</v>
      </c>
      <c r="M86" s="568">
        <f t="shared" si="39"/>
        <v>34.959999999999994</v>
      </c>
      <c r="N86" s="568">
        <f t="shared" si="39"/>
        <v>35.055</v>
      </c>
      <c r="O86" s="568">
        <f t="shared" si="39"/>
        <v>50.751074212757736</v>
      </c>
      <c r="P86" s="568">
        <f t="shared" si="39"/>
        <v>32.54796067858944</v>
      </c>
      <c r="Q86" s="568">
        <f t="shared" si="39"/>
        <v>31.727957487158143</v>
      </c>
      <c r="R86" s="568">
        <f t="shared" si="39"/>
        <v>29.949025524166288</v>
      </c>
      <c r="S86" s="568">
        <f t="shared" si="39"/>
        <v>31.124421190464801</v>
      </c>
      <c r="T86" s="568">
        <f t="shared" si="39"/>
        <v>31.69930389723169</v>
      </c>
      <c r="U86" s="568">
        <f t="shared" si="39"/>
        <v>31.888767724343968</v>
      </c>
      <c r="V86" s="568">
        <f t="shared" si="39"/>
        <v>31.830779289767982</v>
      </c>
      <c r="W86" s="568">
        <f t="shared" si="39"/>
        <v>31.794257244088858</v>
      </c>
      <c r="X86" s="568">
        <f t="shared" si="39"/>
        <v>31.770799731920086</v>
      </c>
      <c r="Y86" s="568">
        <f t="shared" si="39"/>
        <v>31.750709610930787</v>
      </c>
      <c r="Z86" s="568">
        <f t="shared" si="39"/>
        <v>31.743509235621186</v>
      </c>
      <c r="AA86" s="568">
        <f t="shared" si="39"/>
        <v>31.741544979889387</v>
      </c>
      <c r="AB86" s="568">
        <f t="shared" si="39"/>
        <v>31.785326421240963</v>
      </c>
      <c r="AC86" s="568">
        <f t="shared" si="39"/>
        <v>31.829107862592537</v>
      </c>
      <c r="AD86" s="568">
        <f t="shared" si="39"/>
        <v>31.872889303944106</v>
      </c>
      <c r="AE86" s="568">
        <f t="shared" si="39"/>
        <v>31.916670745295676</v>
      </c>
      <c r="AF86" s="568">
        <f t="shared" si="39"/>
        <v>31.960452186647256</v>
      </c>
      <c r="AG86" s="568">
        <f t="shared" si="39"/>
        <v>32.004233627998829</v>
      </c>
      <c r="AH86" s="568">
        <f t="shared" si="39"/>
        <v>32.048015069350392</v>
      </c>
      <c r="AI86" s="568">
        <f t="shared" si="39"/>
        <v>32.091796510701968</v>
      </c>
      <c r="AJ86" s="568">
        <f t="shared" si="39"/>
        <v>32.135577952053531</v>
      </c>
      <c r="AK86" s="568">
        <f t="shared" si="39"/>
        <v>32.179359393405107</v>
      </c>
      <c r="AL86" s="568">
        <f t="shared" si="39"/>
        <v>32.223140834756684</v>
      </c>
      <c r="AM86" s="568">
        <f t="shared" si="39"/>
        <v>32.266922276108254</v>
      </c>
      <c r="AN86" s="568">
        <f t="shared" si="39"/>
        <v>32.310703717459816</v>
      </c>
      <c r="AO86" s="568">
        <f t="shared" si="39"/>
        <v>32.354485158811393</v>
      </c>
      <c r="AP86" s="568">
        <f t="shared" si="39"/>
        <v>32.39826660016297</v>
      </c>
      <c r="AQ86" s="568">
        <f t="shared" si="39"/>
        <v>32.442048041514546</v>
      </c>
      <c r="AR86" s="568">
        <f t="shared" si="39"/>
        <v>32.485829482866109</v>
      </c>
      <c r="AS86" s="568">
        <f t="shared" si="39"/>
        <v>32.529610924217685</v>
      </c>
      <c r="AT86" s="568">
        <f t="shared" si="39"/>
        <v>32.573392365569248</v>
      </c>
      <c r="AU86" s="568">
        <f t="shared" si="39"/>
        <v>32.617173806920832</v>
      </c>
      <c r="AV86" s="569">
        <v>5</v>
      </c>
    </row>
    <row r="87" spans="2:57" ht="14.4">
      <c r="B87" s="8" t="str">
        <f>Processes!D87</f>
        <v>EXPHFB</v>
      </c>
      <c r="C87" s="8" t="str">
        <f>Processes!E87</f>
        <v>Export technology - Heavy Fuel Bio Oil</v>
      </c>
      <c r="D87" s="262" t="str">
        <f t="shared" si="36"/>
        <v>HFB</v>
      </c>
      <c r="E87" s="570"/>
      <c r="F87" s="823" t="str">
        <f t="shared" si="35"/>
        <v>MKr19</v>
      </c>
      <c r="G87" s="568">
        <f>G83</f>
        <v>64.790000000000006</v>
      </c>
      <c r="H87" s="568">
        <f t="shared" ref="H87:AU87" si="40">H83</f>
        <v>96.899999999999991</v>
      </c>
      <c r="I87" s="568">
        <f t="shared" si="40"/>
        <v>91.39</v>
      </c>
      <c r="J87" s="568">
        <f t="shared" si="40"/>
        <v>87.114999999999995</v>
      </c>
      <c r="K87" s="568">
        <f t="shared" si="40"/>
        <v>79.8</v>
      </c>
      <c r="L87" s="568">
        <f t="shared" si="40"/>
        <v>45.125</v>
      </c>
      <c r="M87" s="568">
        <f t="shared" si="40"/>
        <v>42.274999999999999</v>
      </c>
      <c r="N87" s="568">
        <f t="shared" si="40"/>
        <v>46.265000000000001</v>
      </c>
      <c r="O87" s="568">
        <f t="shared" si="40"/>
        <v>64.34838436678902</v>
      </c>
      <c r="P87" s="568">
        <f t="shared" si="40"/>
        <v>58.729977796500442</v>
      </c>
      <c r="Q87" s="568">
        <f t="shared" si="40"/>
        <v>57.324036194021168</v>
      </c>
      <c r="R87" s="568">
        <f t="shared" si="40"/>
        <v>36.43915505322596</v>
      </c>
      <c r="S87" s="568">
        <f t="shared" si="40"/>
        <v>39.677228980394787</v>
      </c>
      <c r="T87" s="568">
        <f t="shared" si="40"/>
        <v>41.884158680792353</v>
      </c>
      <c r="U87" s="568">
        <f t="shared" si="40"/>
        <v>43.497457368509231</v>
      </c>
      <c r="V87" s="568">
        <f t="shared" si="40"/>
        <v>44.672111303711013</v>
      </c>
      <c r="W87" s="568">
        <f t="shared" si="40"/>
        <v>45.969301475104693</v>
      </c>
      <c r="X87" s="568">
        <f t="shared" si="40"/>
        <v>47.240533303607087</v>
      </c>
      <c r="Y87" s="568">
        <f t="shared" si="40"/>
        <v>48.410098535795242</v>
      </c>
      <c r="Z87" s="568">
        <f t="shared" si="40"/>
        <v>49.638212828381661</v>
      </c>
      <c r="AA87" s="568">
        <f t="shared" si="40"/>
        <v>50.80024323427223</v>
      </c>
      <c r="AB87" s="568">
        <f t="shared" si="40"/>
        <v>50.509406660179529</v>
      </c>
      <c r="AC87" s="568">
        <f t="shared" si="40"/>
        <v>50.2178745110051</v>
      </c>
      <c r="AD87" s="568">
        <f t="shared" si="40"/>
        <v>49.927546048664425</v>
      </c>
      <c r="AE87" s="568">
        <f t="shared" si="40"/>
        <v>49.636488368901652</v>
      </c>
      <c r="AF87" s="568">
        <f t="shared" si="40"/>
        <v>49.345522550780437</v>
      </c>
      <c r="AG87" s="568">
        <f t="shared" si="40"/>
        <v>49.05367714791646</v>
      </c>
      <c r="AH87" s="568">
        <f t="shared" si="40"/>
        <v>48.762860195214053</v>
      </c>
      <c r="AI87" s="568">
        <f t="shared" si="40"/>
        <v>48.47134929011164</v>
      </c>
      <c r="AJ87" s="568">
        <f t="shared" si="40"/>
        <v>48.180720780761035</v>
      </c>
      <c r="AK87" s="568">
        <f t="shared" si="40"/>
        <v>47.88980548844318</v>
      </c>
      <c r="AL87" s="568">
        <f t="shared" si="40"/>
        <v>47.598890675233669</v>
      </c>
      <c r="AM87" s="568">
        <f t="shared" si="40"/>
        <v>47.310978165240549</v>
      </c>
      <c r="AN87" s="568">
        <f t="shared" si="40"/>
        <v>47.023071110579053</v>
      </c>
      <c r="AO87" s="568">
        <f t="shared" si="40"/>
        <v>46.735169518224204</v>
      </c>
      <c r="AP87" s="568">
        <f t="shared" si="40"/>
        <v>46.447273395159883</v>
      </c>
      <c r="AQ87" s="568">
        <f t="shared" si="40"/>
        <v>46.15938274837896</v>
      </c>
      <c r="AR87" s="568">
        <f t="shared" si="40"/>
        <v>45.871497584883187</v>
      </c>
      <c r="AS87" s="568">
        <f t="shared" si="40"/>
        <v>45.583617911683326</v>
      </c>
      <c r="AT87" s="568">
        <f t="shared" si="40"/>
        <v>45.295743735799064</v>
      </c>
      <c r="AU87" s="568">
        <f t="shared" si="40"/>
        <v>45.007875064259089</v>
      </c>
      <c r="AV87" s="569">
        <v>5</v>
      </c>
    </row>
    <row r="88" spans="2:57" ht="14.4">
      <c r="B88" s="8" t="str">
        <f>Processes!D88</f>
        <v>EXPDDGS</v>
      </c>
      <c r="C88" s="8" t="str">
        <f>Processes!E88</f>
        <v>Export technology - Ethanol</v>
      </c>
      <c r="D88" s="262" t="str">
        <f t="shared" si="36"/>
        <v>DDGS</v>
      </c>
      <c r="E88" s="570"/>
      <c r="F88" s="823" t="str">
        <f t="shared" si="35"/>
        <v>MKr14</v>
      </c>
      <c r="G88" s="568">
        <f>IFERROR(INDEX($G$121:$AU$176,MATCH($D88,$E$121:$E$176,0),MATCH(G$5,$G$120:$AU$120,0)),0)*$E$192</f>
        <v>9.5</v>
      </c>
      <c r="H88" s="568">
        <f t="shared" ref="H88:AU88" si="41">IFERROR(INDEX($G$121:$AU$176,MATCH($D88,$E$121:$E$176,0),MATCH(H$5,$G$120:$AU$120,0)),0)*$E$192</f>
        <v>9.5</v>
      </c>
      <c r="I88" s="568">
        <f t="shared" si="41"/>
        <v>9.5</v>
      </c>
      <c r="J88" s="568">
        <f t="shared" si="41"/>
        <v>9.5</v>
      </c>
      <c r="K88" s="568">
        <f t="shared" si="41"/>
        <v>9.5</v>
      </c>
      <c r="L88" s="568">
        <f t="shared" si="41"/>
        <v>9.5</v>
      </c>
      <c r="M88" s="568">
        <f t="shared" si="41"/>
        <v>9.5</v>
      </c>
      <c r="N88" s="568">
        <f t="shared" si="41"/>
        <v>9.5</v>
      </c>
      <c r="O88" s="568">
        <f t="shared" si="41"/>
        <v>9.5</v>
      </c>
      <c r="P88" s="568">
        <f t="shared" si="41"/>
        <v>9.5</v>
      </c>
      <c r="Q88" s="568">
        <f t="shared" si="41"/>
        <v>9.5</v>
      </c>
      <c r="R88" s="568">
        <f t="shared" si="41"/>
        <v>9.5</v>
      </c>
      <c r="S88" s="568">
        <f t="shared" si="41"/>
        <v>9.5</v>
      </c>
      <c r="T88" s="568">
        <f t="shared" si="41"/>
        <v>9.5</v>
      </c>
      <c r="U88" s="568">
        <f t="shared" si="41"/>
        <v>9.5</v>
      </c>
      <c r="V88" s="568">
        <f t="shared" si="41"/>
        <v>9.5</v>
      </c>
      <c r="W88" s="568">
        <f t="shared" si="41"/>
        <v>9.5</v>
      </c>
      <c r="X88" s="568">
        <f t="shared" si="41"/>
        <v>9.5</v>
      </c>
      <c r="Y88" s="568">
        <f t="shared" si="41"/>
        <v>9.5</v>
      </c>
      <c r="Z88" s="568">
        <f t="shared" si="41"/>
        <v>9.5</v>
      </c>
      <c r="AA88" s="568">
        <f t="shared" si="41"/>
        <v>9.5</v>
      </c>
      <c r="AB88" s="568">
        <f t="shared" si="41"/>
        <v>9.5</v>
      </c>
      <c r="AC88" s="568">
        <f t="shared" si="41"/>
        <v>9.5</v>
      </c>
      <c r="AD88" s="568">
        <f t="shared" si="41"/>
        <v>9.5</v>
      </c>
      <c r="AE88" s="568">
        <f t="shared" si="41"/>
        <v>9.5</v>
      </c>
      <c r="AF88" s="568">
        <f t="shared" si="41"/>
        <v>9.5</v>
      </c>
      <c r="AG88" s="568">
        <f t="shared" si="41"/>
        <v>9.5</v>
      </c>
      <c r="AH88" s="568">
        <f t="shared" si="41"/>
        <v>9.5</v>
      </c>
      <c r="AI88" s="568">
        <f t="shared" si="41"/>
        <v>9.5</v>
      </c>
      <c r="AJ88" s="568">
        <f t="shared" si="41"/>
        <v>9.5</v>
      </c>
      <c r="AK88" s="568">
        <f t="shared" si="41"/>
        <v>9.5</v>
      </c>
      <c r="AL88" s="568">
        <f t="shared" si="41"/>
        <v>9.5</v>
      </c>
      <c r="AM88" s="568">
        <f t="shared" si="41"/>
        <v>9.5</v>
      </c>
      <c r="AN88" s="568">
        <f t="shared" si="41"/>
        <v>9.5</v>
      </c>
      <c r="AO88" s="568">
        <f t="shared" si="41"/>
        <v>9.5</v>
      </c>
      <c r="AP88" s="568">
        <f t="shared" si="41"/>
        <v>9.5</v>
      </c>
      <c r="AQ88" s="568">
        <f t="shared" si="41"/>
        <v>9.5</v>
      </c>
      <c r="AR88" s="568">
        <f t="shared" si="41"/>
        <v>9.5</v>
      </c>
      <c r="AS88" s="568">
        <f t="shared" si="41"/>
        <v>9.5</v>
      </c>
      <c r="AT88" s="568">
        <f t="shared" si="41"/>
        <v>9.5</v>
      </c>
      <c r="AU88" s="568">
        <f t="shared" si="41"/>
        <v>9.5</v>
      </c>
      <c r="AV88" s="569">
        <v>5</v>
      </c>
    </row>
    <row r="89" spans="2:57" ht="14.4">
      <c r="B89" s="8" t="str">
        <f>Processes!D89</f>
        <v>EXPH2</v>
      </c>
      <c r="C89" s="8" t="str">
        <f>Processes!E89</f>
        <v>Export technology - Hydrogen</v>
      </c>
      <c r="D89" s="262" t="str">
        <f>IF(LEN(B89)=6,RIGHT(B89,2),RIGHT(B89,2))</f>
        <v>H2</v>
      </c>
      <c r="E89" s="570"/>
      <c r="F89" s="823" t="str">
        <f t="shared" si="35"/>
        <v>MKr14</v>
      </c>
      <c r="G89" s="568">
        <f>G76</f>
        <v>42.18</v>
      </c>
      <c r="H89" s="568">
        <f t="shared" ref="H89:AU89" si="42">H76</f>
        <v>43.795000000000002</v>
      </c>
      <c r="I89" s="568">
        <f t="shared" si="42"/>
        <v>52.344999999999999</v>
      </c>
      <c r="J89" s="568">
        <f t="shared" si="42"/>
        <v>51.49</v>
      </c>
      <c r="K89" s="568">
        <f t="shared" si="42"/>
        <v>43.414999999999999</v>
      </c>
      <c r="L89" s="568">
        <f t="shared" si="42"/>
        <v>41.8</v>
      </c>
      <c r="M89" s="568">
        <f t="shared" si="42"/>
        <v>34.959999999999994</v>
      </c>
      <c r="N89" s="568">
        <f t="shared" si="42"/>
        <v>35.055</v>
      </c>
      <c r="O89" s="568">
        <f t="shared" si="42"/>
        <v>50.751074212757736</v>
      </c>
      <c r="P89" s="568">
        <f t="shared" si="42"/>
        <v>32.54796067858944</v>
      </c>
      <c r="Q89" s="568">
        <f t="shared" si="42"/>
        <v>31.727957487158143</v>
      </c>
      <c r="R89" s="568">
        <f t="shared" si="42"/>
        <v>29.949025524166288</v>
      </c>
      <c r="S89" s="568">
        <f t="shared" si="42"/>
        <v>31.124421190464801</v>
      </c>
      <c r="T89" s="568">
        <f t="shared" si="42"/>
        <v>31.69930389723169</v>
      </c>
      <c r="U89" s="568">
        <f t="shared" si="42"/>
        <v>31.888767724343968</v>
      </c>
      <c r="V89" s="568">
        <f t="shared" si="42"/>
        <v>31.830779289767982</v>
      </c>
      <c r="W89" s="568">
        <f t="shared" si="42"/>
        <v>31.794257244088858</v>
      </c>
      <c r="X89" s="568">
        <f t="shared" si="42"/>
        <v>31.770799731920086</v>
      </c>
      <c r="Y89" s="568">
        <f t="shared" si="42"/>
        <v>31.750709610930787</v>
      </c>
      <c r="Z89" s="568">
        <f t="shared" si="42"/>
        <v>31.743509235621186</v>
      </c>
      <c r="AA89" s="568">
        <f t="shared" si="42"/>
        <v>31.741544979889387</v>
      </c>
      <c r="AB89" s="568">
        <f t="shared" si="42"/>
        <v>31.785326421240963</v>
      </c>
      <c r="AC89" s="568">
        <f t="shared" si="42"/>
        <v>31.829107862592537</v>
      </c>
      <c r="AD89" s="568">
        <f t="shared" si="42"/>
        <v>31.872889303944106</v>
      </c>
      <c r="AE89" s="568">
        <f t="shared" si="42"/>
        <v>31.916670745295676</v>
      </c>
      <c r="AF89" s="568">
        <f t="shared" si="42"/>
        <v>31.960452186647256</v>
      </c>
      <c r="AG89" s="568">
        <f t="shared" si="42"/>
        <v>32.004233627998829</v>
      </c>
      <c r="AH89" s="568">
        <f t="shared" si="42"/>
        <v>32.048015069350392</v>
      </c>
      <c r="AI89" s="568">
        <f t="shared" si="42"/>
        <v>32.091796510701968</v>
      </c>
      <c r="AJ89" s="568">
        <f t="shared" si="42"/>
        <v>32.135577952053531</v>
      </c>
      <c r="AK89" s="568">
        <f t="shared" si="42"/>
        <v>32.179359393405107</v>
      </c>
      <c r="AL89" s="568">
        <f t="shared" si="42"/>
        <v>32.223140834756684</v>
      </c>
      <c r="AM89" s="568">
        <f t="shared" si="42"/>
        <v>32.266922276108254</v>
      </c>
      <c r="AN89" s="568">
        <f t="shared" si="42"/>
        <v>32.310703717459816</v>
      </c>
      <c r="AO89" s="568">
        <f t="shared" si="42"/>
        <v>32.354485158811393</v>
      </c>
      <c r="AP89" s="568">
        <f t="shared" si="42"/>
        <v>32.39826660016297</v>
      </c>
      <c r="AQ89" s="568">
        <f t="shared" si="42"/>
        <v>32.442048041514546</v>
      </c>
      <c r="AR89" s="568">
        <f t="shared" si="42"/>
        <v>32.485829482866109</v>
      </c>
      <c r="AS89" s="568">
        <f t="shared" si="42"/>
        <v>32.529610924217685</v>
      </c>
      <c r="AT89" s="568">
        <f t="shared" si="42"/>
        <v>32.573392365569248</v>
      </c>
      <c r="AU89" s="568">
        <f t="shared" si="42"/>
        <v>32.617173806920832</v>
      </c>
      <c r="AV89" s="569">
        <v>5</v>
      </c>
    </row>
    <row r="90" spans="2:57" ht="14.4">
      <c r="B90" s="8" t="str">
        <f>Processes!D90</f>
        <v>EXPH2G</v>
      </c>
      <c r="C90" s="8" t="str">
        <f>Processes!E90</f>
        <v>Export technology - Hydrogen Gas</v>
      </c>
      <c r="D90" s="262" t="str">
        <f t="shared" si="36"/>
        <v>H2G</v>
      </c>
      <c r="E90" s="570"/>
      <c r="F90" s="823" t="str">
        <f t="shared" si="35"/>
        <v>MKr14</v>
      </c>
      <c r="G90" s="568">
        <f>G76</f>
        <v>42.18</v>
      </c>
      <c r="H90" s="568">
        <f t="shared" ref="H90:AU90" si="43">H76</f>
        <v>43.795000000000002</v>
      </c>
      <c r="I90" s="568">
        <f t="shared" si="43"/>
        <v>52.344999999999999</v>
      </c>
      <c r="J90" s="568">
        <f t="shared" si="43"/>
        <v>51.49</v>
      </c>
      <c r="K90" s="568">
        <f t="shared" si="43"/>
        <v>43.414999999999999</v>
      </c>
      <c r="L90" s="568">
        <f t="shared" si="43"/>
        <v>41.8</v>
      </c>
      <c r="M90" s="568">
        <f t="shared" si="43"/>
        <v>34.959999999999994</v>
      </c>
      <c r="N90" s="568">
        <f t="shared" si="43"/>
        <v>35.055</v>
      </c>
      <c r="O90" s="568">
        <f t="shared" si="43"/>
        <v>50.751074212757736</v>
      </c>
      <c r="P90" s="568">
        <f t="shared" si="43"/>
        <v>32.54796067858944</v>
      </c>
      <c r="Q90" s="568">
        <f t="shared" si="43"/>
        <v>31.727957487158143</v>
      </c>
      <c r="R90" s="568">
        <f t="shared" si="43"/>
        <v>29.949025524166288</v>
      </c>
      <c r="S90" s="568">
        <f t="shared" si="43"/>
        <v>31.124421190464801</v>
      </c>
      <c r="T90" s="568">
        <f t="shared" si="43"/>
        <v>31.69930389723169</v>
      </c>
      <c r="U90" s="568">
        <f t="shared" si="43"/>
        <v>31.888767724343968</v>
      </c>
      <c r="V90" s="568">
        <f t="shared" si="43"/>
        <v>31.830779289767982</v>
      </c>
      <c r="W90" s="568">
        <f t="shared" si="43"/>
        <v>31.794257244088858</v>
      </c>
      <c r="X90" s="568">
        <f t="shared" si="43"/>
        <v>31.770799731920086</v>
      </c>
      <c r="Y90" s="568">
        <f t="shared" si="43"/>
        <v>31.750709610930787</v>
      </c>
      <c r="Z90" s="568">
        <f t="shared" si="43"/>
        <v>31.743509235621186</v>
      </c>
      <c r="AA90" s="568">
        <f t="shared" si="43"/>
        <v>31.741544979889387</v>
      </c>
      <c r="AB90" s="568">
        <f t="shared" si="43"/>
        <v>31.785326421240963</v>
      </c>
      <c r="AC90" s="568">
        <f t="shared" si="43"/>
        <v>31.829107862592537</v>
      </c>
      <c r="AD90" s="568">
        <f t="shared" si="43"/>
        <v>31.872889303944106</v>
      </c>
      <c r="AE90" s="568">
        <f t="shared" si="43"/>
        <v>31.916670745295676</v>
      </c>
      <c r="AF90" s="568">
        <f t="shared" si="43"/>
        <v>31.960452186647256</v>
      </c>
      <c r="AG90" s="568">
        <f t="shared" si="43"/>
        <v>32.004233627998829</v>
      </c>
      <c r="AH90" s="568">
        <f t="shared" si="43"/>
        <v>32.048015069350392</v>
      </c>
      <c r="AI90" s="568">
        <f t="shared" si="43"/>
        <v>32.091796510701968</v>
      </c>
      <c r="AJ90" s="568">
        <f t="shared" si="43"/>
        <v>32.135577952053531</v>
      </c>
      <c r="AK90" s="568">
        <f t="shared" si="43"/>
        <v>32.179359393405107</v>
      </c>
      <c r="AL90" s="568">
        <f t="shared" si="43"/>
        <v>32.223140834756684</v>
      </c>
      <c r="AM90" s="568">
        <f t="shared" si="43"/>
        <v>32.266922276108254</v>
      </c>
      <c r="AN90" s="568">
        <f t="shared" si="43"/>
        <v>32.310703717459816</v>
      </c>
      <c r="AO90" s="568">
        <f t="shared" si="43"/>
        <v>32.354485158811393</v>
      </c>
      <c r="AP90" s="568">
        <f t="shared" si="43"/>
        <v>32.39826660016297</v>
      </c>
      <c r="AQ90" s="568">
        <f t="shared" si="43"/>
        <v>32.442048041514546</v>
      </c>
      <c r="AR90" s="568">
        <f t="shared" si="43"/>
        <v>32.485829482866109</v>
      </c>
      <c r="AS90" s="568">
        <f t="shared" si="43"/>
        <v>32.529610924217685</v>
      </c>
      <c r="AT90" s="568">
        <f t="shared" si="43"/>
        <v>32.573392365569248</v>
      </c>
      <c r="AU90" s="568">
        <f t="shared" si="43"/>
        <v>32.617173806920832</v>
      </c>
      <c r="AV90" s="569">
        <v>5</v>
      </c>
    </row>
    <row r="91" spans="2:57" ht="14.4">
      <c r="B91" s="8" t="str">
        <f>Processes!D91</f>
        <v>EXPAMM</v>
      </c>
      <c r="C91" s="8" t="str">
        <f>Processes!E91</f>
        <v>Export technology - Ammonia (Liquid)</v>
      </c>
      <c r="D91" s="262" t="str">
        <f t="shared" si="36"/>
        <v>AMM</v>
      </c>
      <c r="E91" s="570"/>
      <c r="F91" s="823" t="str">
        <f t="shared" si="35"/>
        <v>MKr19</v>
      </c>
      <c r="G91" s="568">
        <f>G82</f>
        <v>100.13</v>
      </c>
      <c r="H91" s="568">
        <f t="shared" ref="H91:AU91" si="44">H82</f>
        <v>111.53</v>
      </c>
      <c r="I91" s="568">
        <f t="shared" si="44"/>
        <v>127.48999999999998</v>
      </c>
      <c r="J91" s="568">
        <f t="shared" si="44"/>
        <v>117.03999999999999</v>
      </c>
      <c r="K91" s="568">
        <f t="shared" si="44"/>
        <v>107.82499999999999</v>
      </c>
      <c r="L91" s="568">
        <f t="shared" si="44"/>
        <v>73.149999999999991</v>
      </c>
      <c r="M91" s="568">
        <f t="shared" si="44"/>
        <v>70.3</v>
      </c>
      <c r="N91" s="568">
        <f t="shared" si="44"/>
        <v>74.290000000000006</v>
      </c>
      <c r="O91" s="568">
        <f t="shared" si="44"/>
        <v>96.426022004987345</v>
      </c>
      <c r="P91" s="568">
        <f t="shared" si="44"/>
        <v>90.807615434698747</v>
      </c>
      <c r="Q91" s="568">
        <f t="shared" si="44"/>
        <v>89.401673832219473</v>
      </c>
      <c r="R91" s="568">
        <f t="shared" si="44"/>
        <v>68.516792691424257</v>
      </c>
      <c r="S91" s="568">
        <f t="shared" si="44"/>
        <v>71.754866618593084</v>
      </c>
      <c r="T91" s="568">
        <f t="shared" si="44"/>
        <v>73.96179631899065</v>
      </c>
      <c r="U91" s="568">
        <f t="shared" si="44"/>
        <v>75.575095006707542</v>
      </c>
      <c r="V91" s="568">
        <f t="shared" si="44"/>
        <v>76.749748941909317</v>
      </c>
      <c r="W91" s="568">
        <f t="shared" si="44"/>
        <v>78.046939113302997</v>
      </c>
      <c r="X91" s="568">
        <f t="shared" si="44"/>
        <v>79.318170941805391</v>
      </c>
      <c r="Y91" s="568">
        <f t="shared" si="44"/>
        <v>80.48773617399354</v>
      </c>
      <c r="Z91" s="568">
        <f t="shared" si="44"/>
        <v>81.715850466579965</v>
      </c>
      <c r="AA91" s="568">
        <f t="shared" si="44"/>
        <v>82.877880872470527</v>
      </c>
      <c r="AB91" s="568">
        <f t="shared" si="44"/>
        <v>82.587044298377819</v>
      </c>
      <c r="AC91" s="568">
        <f t="shared" si="44"/>
        <v>82.295512149203404</v>
      </c>
      <c r="AD91" s="568">
        <f t="shared" si="44"/>
        <v>82.005183686862722</v>
      </c>
      <c r="AE91" s="568">
        <f t="shared" si="44"/>
        <v>81.714126007099949</v>
      </c>
      <c r="AF91" s="568">
        <f t="shared" si="44"/>
        <v>81.423160188978741</v>
      </c>
      <c r="AG91" s="568">
        <f t="shared" si="44"/>
        <v>81.131314786114757</v>
      </c>
      <c r="AH91" s="568">
        <f t="shared" si="44"/>
        <v>80.840497833412343</v>
      </c>
      <c r="AI91" s="568">
        <f t="shared" si="44"/>
        <v>80.548986928309944</v>
      </c>
      <c r="AJ91" s="568">
        <f t="shared" si="44"/>
        <v>80.258358418959332</v>
      </c>
      <c r="AK91" s="568">
        <f t="shared" si="44"/>
        <v>79.967443126641484</v>
      </c>
      <c r="AL91" s="568">
        <f t="shared" si="44"/>
        <v>79.676528313431973</v>
      </c>
      <c r="AM91" s="568">
        <f t="shared" si="44"/>
        <v>79.388615803438867</v>
      </c>
      <c r="AN91" s="568">
        <f t="shared" si="44"/>
        <v>79.10070874877735</v>
      </c>
      <c r="AO91" s="568">
        <f t="shared" si="44"/>
        <v>78.812807156422508</v>
      </c>
      <c r="AP91" s="568">
        <f t="shared" si="44"/>
        <v>78.524911033358194</v>
      </c>
      <c r="AQ91" s="568">
        <f t="shared" si="44"/>
        <v>78.237020386577257</v>
      </c>
      <c r="AR91" s="568">
        <f t="shared" si="44"/>
        <v>77.949135223081484</v>
      </c>
      <c r="AS91" s="568">
        <f t="shared" si="44"/>
        <v>77.661255549881631</v>
      </c>
      <c r="AT91" s="568">
        <f t="shared" si="44"/>
        <v>77.373381373997375</v>
      </c>
      <c r="AU91" s="568">
        <f t="shared" si="44"/>
        <v>77.085512702457393</v>
      </c>
      <c r="AV91" s="569">
        <v>5</v>
      </c>
    </row>
    <row r="92" spans="2:57" ht="14.4">
      <c r="B92" s="8" t="str">
        <f>Processes!D92</f>
        <v>EXPDME</v>
      </c>
      <c r="C92" s="8" t="str">
        <f>Processes!E92</f>
        <v>Export technology - Dimethyl ether</v>
      </c>
      <c r="D92" s="262" t="str">
        <f t="shared" si="36"/>
        <v>DME</v>
      </c>
      <c r="E92" s="570"/>
      <c r="F92" s="823" t="str">
        <f t="shared" si="35"/>
        <v>MKr19</v>
      </c>
      <c r="G92" s="568">
        <f>G82</f>
        <v>100.13</v>
      </c>
      <c r="H92" s="568">
        <f t="shared" ref="H92:AU92" si="45">H82</f>
        <v>111.53</v>
      </c>
      <c r="I92" s="568">
        <f t="shared" si="45"/>
        <v>127.48999999999998</v>
      </c>
      <c r="J92" s="568">
        <f t="shared" si="45"/>
        <v>117.03999999999999</v>
      </c>
      <c r="K92" s="568">
        <f t="shared" si="45"/>
        <v>107.82499999999999</v>
      </c>
      <c r="L92" s="568">
        <f t="shared" si="45"/>
        <v>73.149999999999991</v>
      </c>
      <c r="M92" s="568">
        <f t="shared" si="45"/>
        <v>70.3</v>
      </c>
      <c r="N92" s="568">
        <f t="shared" si="45"/>
        <v>74.290000000000006</v>
      </c>
      <c r="O92" s="568">
        <f t="shared" si="45"/>
        <v>96.426022004987345</v>
      </c>
      <c r="P92" s="568">
        <f t="shared" si="45"/>
        <v>90.807615434698747</v>
      </c>
      <c r="Q92" s="568">
        <f t="shared" si="45"/>
        <v>89.401673832219473</v>
      </c>
      <c r="R92" s="568">
        <f t="shared" si="45"/>
        <v>68.516792691424257</v>
      </c>
      <c r="S92" s="568">
        <f t="shared" si="45"/>
        <v>71.754866618593084</v>
      </c>
      <c r="T92" s="568">
        <f t="shared" si="45"/>
        <v>73.96179631899065</v>
      </c>
      <c r="U92" s="568">
        <f t="shared" si="45"/>
        <v>75.575095006707542</v>
      </c>
      <c r="V92" s="568">
        <f t="shared" si="45"/>
        <v>76.749748941909317</v>
      </c>
      <c r="W92" s="568">
        <f t="shared" si="45"/>
        <v>78.046939113302997</v>
      </c>
      <c r="X92" s="568">
        <f t="shared" si="45"/>
        <v>79.318170941805391</v>
      </c>
      <c r="Y92" s="568">
        <f t="shared" si="45"/>
        <v>80.48773617399354</v>
      </c>
      <c r="Z92" s="568">
        <f t="shared" si="45"/>
        <v>81.715850466579965</v>
      </c>
      <c r="AA92" s="568">
        <f t="shared" si="45"/>
        <v>82.877880872470527</v>
      </c>
      <c r="AB92" s="568">
        <f t="shared" si="45"/>
        <v>82.587044298377819</v>
      </c>
      <c r="AC92" s="568">
        <f t="shared" si="45"/>
        <v>82.295512149203404</v>
      </c>
      <c r="AD92" s="568">
        <f t="shared" si="45"/>
        <v>82.005183686862722</v>
      </c>
      <c r="AE92" s="568">
        <f t="shared" si="45"/>
        <v>81.714126007099949</v>
      </c>
      <c r="AF92" s="568">
        <f t="shared" si="45"/>
        <v>81.423160188978741</v>
      </c>
      <c r="AG92" s="568">
        <f t="shared" si="45"/>
        <v>81.131314786114757</v>
      </c>
      <c r="AH92" s="568">
        <f t="shared" si="45"/>
        <v>80.840497833412343</v>
      </c>
      <c r="AI92" s="568">
        <f t="shared" si="45"/>
        <v>80.548986928309944</v>
      </c>
      <c r="AJ92" s="568">
        <f t="shared" si="45"/>
        <v>80.258358418959332</v>
      </c>
      <c r="AK92" s="568">
        <f t="shared" si="45"/>
        <v>79.967443126641484</v>
      </c>
      <c r="AL92" s="568">
        <f t="shared" si="45"/>
        <v>79.676528313431973</v>
      </c>
      <c r="AM92" s="568">
        <f t="shared" si="45"/>
        <v>79.388615803438867</v>
      </c>
      <c r="AN92" s="568">
        <f t="shared" si="45"/>
        <v>79.10070874877735</v>
      </c>
      <c r="AO92" s="568">
        <f t="shared" si="45"/>
        <v>78.812807156422508</v>
      </c>
      <c r="AP92" s="568">
        <f t="shared" si="45"/>
        <v>78.524911033358194</v>
      </c>
      <c r="AQ92" s="568">
        <f t="shared" si="45"/>
        <v>78.237020386577257</v>
      </c>
      <c r="AR92" s="568">
        <f t="shared" si="45"/>
        <v>77.949135223081484</v>
      </c>
      <c r="AS92" s="568">
        <f t="shared" si="45"/>
        <v>77.661255549881631</v>
      </c>
      <c r="AT92" s="568">
        <f t="shared" si="45"/>
        <v>77.373381373997375</v>
      </c>
      <c r="AU92" s="568">
        <f t="shared" si="45"/>
        <v>77.085512702457393</v>
      </c>
      <c r="AV92" s="569">
        <v>5</v>
      </c>
    </row>
    <row r="93" spans="2:57" ht="14.4">
      <c r="B93" s="8" t="str">
        <f>Processes!D93</f>
        <v>EXPKRB1</v>
      </c>
      <c r="C93" s="8" t="str">
        <f>Processes!E93</f>
        <v>Export technology - Bio Kerosene G1</v>
      </c>
      <c r="D93" s="262" t="str">
        <f t="shared" si="36"/>
        <v>KRB1</v>
      </c>
      <c r="E93" s="570"/>
      <c r="F93" s="823" t="str">
        <f t="shared" si="35"/>
        <v>MKr19</v>
      </c>
      <c r="G93" s="568">
        <f>G81</f>
        <v>72.674999999999997</v>
      </c>
      <c r="H93" s="568">
        <f t="shared" ref="H93:AU93" si="46">H81</f>
        <v>106.78</v>
      </c>
      <c r="I93" s="568">
        <f t="shared" si="46"/>
        <v>110.48499999999999</v>
      </c>
      <c r="J93" s="568">
        <f t="shared" si="46"/>
        <v>112.66999999999999</v>
      </c>
      <c r="K93" s="568">
        <f t="shared" si="46"/>
        <v>104.59499999999998</v>
      </c>
      <c r="L93" s="568">
        <f t="shared" si="46"/>
        <v>69.825000000000003</v>
      </c>
      <c r="M93" s="568">
        <f t="shared" si="46"/>
        <v>67.069999999999993</v>
      </c>
      <c r="N93" s="568">
        <f t="shared" si="46"/>
        <v>70.965000000000003</v>
      </c>
      <c r="O93" s="568">
        <f t="shared" si="46"/>
        <v>94.52602200498734</v>
      </c>
      <c r="P93" s="568">
        <f t="shared" si="46"/>
        <v>88.34711543469875</v>
      </c>
      <c r="Q93" s="568">
        <f t="shared" si="46"/>
        <v>86.941173832219462</v>
      </c>
      <c r="R93" s="568">
        <f t="shared" si="46"/>
        <v>66.056292691424247</v>
      </c>
      <c r="S93" s="568">
        <f t="shared" si="46"/>
        <v>69.294366618593074</v>
      </c>
      <c r="T93" s="568">
        <f t="shared" si="46"/>
        <v>71.50129631899064</v>
      </c>
      <c r="U93" s="568">
        <f t="shared" si="46"/>
        <v>73.114595006707532</v>
      </c>
      <c r="V93" s="568">
        <f t="shared" si="46"/>
        <v>74.289248941909307</v>
      </c>
      <c r="W93" s="568">
        <f t="shared" si="46"/>
        <v>75.586439113303001</v>
      </c>
      <c r="X93" s="568">
        <f t="shared" si="46"/>
        <v>76.857670941805381</v>
      </c>
      <c r="Y93" s="568">
        <f t="shared" si="46"/>
        <v>78.027236173993543</v>
      </c>
      <c r="Z93" s="568">
        <f t="shared" si="46"/>
        <v>79.255350466579955</v>
      </c>
      <c r="AA93" s="568">
        <f t="shared" si="46"/>
        <v>80.417380872470531</v>
      </c>
      <c r="AB93" s="568">
        <f t="shared" si="46"/>
        <v>80.126544298377823</v>
      </c>
      <c r="AC93" s="568">
        <f t="shared" si="46"/>
        <v>79.835012149203408</v>
      </c>
      <c r="AD93" s="568">
        <f t="shared" si="46"/>
        <v>79.544683686862726</v>
      </c>
      <c r="AE93" s="568">
        <f t="shared" si="46"/>
        <v>79.253626007099939</v>
      </c>
      <c r="AF93" s="568">
        <f t="shared" si="46"/>
        <v>78.962660188978745</v>
      </c>
      <c r="AG93" s="568">
        <f t="shared" si="46"/>
        <v>78.670814786114747</v>
      </c>
      <c r="AH93" s="568">
        <f t="shared" si="46"/>
        <v>78.379997833412347</v>
      </c>
      <c r="AI93" s="568">
        <f t="shared" si="46"/>
        <v>78.088486928309948</v>
      </c>
      <c r="AJ93" s="568">
        <f t="shared" si="46"/>
        <v>77.797858418959336</v>
      </c>
      <c r="AK93" s="568">
        <f t="shared" si="46"/>
        <v>77.506943126641474</v>
      </c>
      <c r="AL93" s="568">
        <f t="shared" si="46"/>
        <v>77.216028313431977</v>
      </c>
      <c r="AM93" s="568">
        <f t="shared" si="46"/>
        <v>76.928115803438857</v>
      </c>
      <c r="AN93" s="568">
        <f t="shared" si="46"/>
        <v>76.640208748777354</v>
      </c>
      <c r="AO93" s="568">
        <f t="shared" si="46"/>
        <v>76.352307156422498</v>
      </c>
      <c r="AP93" s="568">
        <f t="shared" si="46"/>
        <v>76.064411033358184</v>
      </c>
      <c r="AQ93" s="568">
        <f t="shared" si="46"/>
        <v>75.776520386577246</v>
      </c>
      <c r="AR93" s="568">
        <f t="shared" si="46"/>
        <v>75.488635223081488</v>
      </c>
      <c r="AS93" s="568">
        <f t="shared" si="46"/>
        <v>75.200755549881634</v>
      </c>
      <c r="AT93" s="568">
        <f t="shared" si="46"/>
        <v>74.912881373997365</v>
      </c>
      <c r="AU93" s="568">
        <f t="shared" si="46"/>
        <v>74.625012702457397</v>
      </c>
      <c r="AV93" s="569">
        <v>5</v>
      </c>
    </row>
    <row r="94" spans="2:57" ht="14.4">
      <c r="B94" s="8" t="str">
        <f>Processes!D94</f>
        <v>EXPKRB2</v>
      </c>
      <c r="C94" s="8" t="str">
        <f>Processes!E94</f>
        <v>Export technology - Bio Kerosene G2</v>
      </c>
      <c r="D94" s="262" t="str">
        <f t="shared" si="36"/>
        <v>KRB2</v>
      </c>
      <c r="E94" s="570"/>
      <c r="F94" s="823" t="str">
        <f t="shared" si="35"/>
        <v>MKr19</v>
      </c>
      <c r="G94" s="568">
        <f>G81</f>
        <v>72.674999999999997</v>
      </c>
      <c r="H94" s="568">
        <f t="shared" ref="H94:AU94" si="47">H81</f>
        <v>106.78</v>
      </c>
      <c r="I94" s="568">
        <f t="shared" si="47"/>
        <v>110.48499999999999</v>
      </c>
      <c r="J94" s="568">
        <f t="shared" si="47"/>
        <v>112.66999999999999</v>
      </c>
      <c r="K94" s="568">
        <f t="shared" si="47"/>
        <v>104.59499999999998</v>
      </c>
      <c r="L94" s="568">
        <f t="shared" si="47"/>
        <v>69.825000000000003</v>
      </c>
      <c r="M94" s="568">
        <f t="shared" si="47"/>
        <v>67.069999999999993</v>
      </c>
      <c r="N94" s="568">
        <f t="shared" si="47"/>
        <v>70.965000000000003</v>
      </c>
      <c r="O94" s="568">
        <f t="shared" si="47"/>
        <v>94.52602200498734</v>
      </c>
      <c r="P94" s="568">
        <f t="shared" si="47"/>
        <v>88.34711543469875</v>
      </c>
      <c r="Q94" s="568">
        <f t="shared" si="47"/>
        <v>86.941173832219462</v>
      </c>
      <c r="R94" s="568">
        <f t="shared" si="47"/>
        <v>66.056292691424247</v>
      </c>
      <c r="S94" s="568">
        <f t="shared" si="47"/>
        <v>69.294366618593074</v>
      </c>
      <c r="T94" s="568">
        <f t="shared" si="47"/>
        <v>71.50129631899064</v>
      </c>
      <c r="U94" s="568">
        <f t="shared" si="47"/>
        <v>73.114595006707532</v>
      </c>
      <c r="V94" s="568">
        <f t="shared" si="47"/>
        <v>74.289248941909307</v>
      </c>
      <c r="W94" s="568">
        <f t="shared" si="47"/>
        <v>75.586439113303001</v>
      </c>
      <c r="X94" s="568">
        <f t="shared" si="47"/>
        <v>76.857670941805381</v>
      </c>
      <c r="Y94" s="568">
        <f t="shared" si="47"/>
        <v>78.027236173993543</v>
      </c>
      <c r="Z94" s="568">
        <f t="shared" si="47"/>
        <v>79.255350466579955</v>
      </c>
      <c r="AA94" s="568">
        <f t="shared" si="47"/>
        <v>80.417380872470531</v>
      </c>
      <c r="AB94" s="568">
        <f t="shared" si="47"/>
        <v>80.126544298377823</v>
      </c>
      <c r="AC94" s="568">
        <f t="shared" si="47"/>
        <v>79.835012149203408</v>
      </c>
      <c r="AD94" s="568">
        <f t="shared" si="47"/>
        <v>79.544683686862726</v>
      </c>
      <c r="AE94" s="568">
        <f t="shared" si="47"/>
        <v>79.253626007099939</v>
      </c>
      <c r="AF94" s="568">
        <f t="shared" si="47"/>
        <v>78.962660188978745</v>
      </c>
      <c r="AG94" s="568">
        <f t="shared" si="47"/>
        <v>78.670814786114747</v>
      </c>
      <c r="AH94" s="568">
        <f t="shared" si="47"/>
        <v>78.379997833412347</v>
      </c>
      <c r="AI94" s="568">
        <f t="shared" si="47"/>
        <v>78.088486928309948</v>
      </c>
      <c r="AJ94" s="568">
        <f t="shared" si="47"/>
        <v>77.797858418959336</v>
      </c>
      <c r="AK94" s="568">
        <f t="shared" si="47"/>
        <v>77.506943126641474</v>
      </c>
      <c r="AL94" s="568">
        <f t="shared" si="47"/>
        <v>77.216028313431977</v>
      </c>
      <c r="AM94" s="568">
        <f t="shared" si="47"/>
        <v>76.928115803438857</v>
      </c>
      <c r="AN94" s="568">
        <f t="shared" si="47"/>
        <v>76.640208748777354</v>
      </c>
      <c r="AO94" s="568">
        <f t="shared" si="47"/>
        <v>76.352307156422498</v>
      </c>
      <c r="AP94" s="568">
        <f t="shared" si="47"/>
        <v>76.064411033358184</v>
      </c>
      <c r="AQ94" s="568">
        <f t="shared" si="47"/>
        <v>75.776520386577246</v>
      </c>
      <c r="AR94" s="568">
        <f t="shared" si="47"/>
        <v>75.488635223081488</v>
      </c>
      <c r="AS94" s="568">
        <f t="shared" si="47"/>
        <v>75.200755549881634</v>
      </c>
      <c r="AT94" s="568">
        <f t="shared" si="47"/>
        <v>74.912881373997365</v>
      </c>
      <c r="AU94" s="568">
        <f t="shared" si="47"/>
        <v>74.625012702457397</v>
      </c>
      <c r="AV94" s="569">
        <v>5</v>
      </c>
    </row>
    <row r="95" spans="2:57" ht="14.4">
      <c r="B95" s="8" t="str">
        <f>Processes!D95</f>
        <v>EXPKRE</v>
      </c>
      <c r="C95" s="8" t="str">
        <f>Processes!E95</f>
        <v>Export technology - Electro Kerosene</v>
      </c>
      <c r="D95" s="262" t="str">
        <f t="shared" si="36"/>
        <v>KRE</v>
      </c>
      <c r="E95" s="570"/>
      <c r="F95" s="823" t="str">
        <f t="shared" si="35"/>
        <v>MKr19</v>
      </c>
      <c r="G95" s="568">
        <f>G81</f>
        <v>72.674999999999997</v>
      </c>
      <c r="H95" s="568">
        <f t="shared" ref="H95:AU95" si="48">H81</f>
        <v>106.78</v>
      </c>
      <c r="I95" s="568">
        <f t="shared" si="48"/>
        <v>110.48499999999999</v>
      </c>
      <c r="J95" s="568">
        <f t="shared" si="48"/>
        <v>112.66999999999999</v>
      </c>
      <c r="K95" s="568">
        <f t="shared" si="48"/>
        <v>104.59499999999998</v>
      </c>
      <c r="L95" s="568">
        <f t="shared" si="48"/>
        <v>69.825000000000003</v>
      </c>
      <c r="M95" s="568">
        <f t="shared" si="48"/>
        <v>67.069999999999993</v>
      </c>
      <c r="N95" s="568">
        <f t="shared" si="48"/>
        <v>70.965000000000003</v>
      </c>
      <c r="O95" s="568">
        <f t="shared" si="48"/>
        <v>94.52602200498734</v>
      </c>
      <c r="P95" s="568">
        <f t="shared" si="48"/>
        <v>88.34711543469875</v>
      </c>
      <c r="Q95" s="568">
        <f t="shared" si="48"/>
        <v>86.941173832219462</v>
      </c>
      <c r="R95" s="568">
        <f t="shared" si="48"/>
        <v>66.056292691424247</v>
      </c>
      <c r="S95" s="568">
        <f t="shared" si="48"/>
        <v>69.294366618593074</v>
      </c>
      <c r="T95" s="568">
        <f t="shared" si="48"/>
        <v>71.50129631899064</v>
      </c>
      <c r="U95" s="568">
        <f t="shared" si="48"/>
        <v>73.114595006707532</v>
      </c>
      <c r="V95" s="568">
        <f t="shared" si="48"/>
        <v>74.289248941909307</v>
      </c>
      <c r="W95" s="568">
        <f t="shared" si="48"/>
        <v>75.586439113303001</v>
      </c>
      <c r="X95" s="568">
        <f t="shared" si="48"/>
        <v>76.857670941805381</v>
      </c>
      <c r="Y95" s="568">
        <f t="shared" si="48"/>
        <v>78.027236173993543</v>
      </c>
      <c r="Z95" s="568">
        <f t="shared" si="48"/>
        <v>79.255350466579955</v>
      </c>
      <c r="AA95" s="568">
        <f t="shared" si="48"/>
        <v>80.417380872470531</v>
      </c>
      <c r="AB95" s="568">
        <f t="shared" si="48"/>
        <v>80.126544298377823</v>
      </c>
      <c r="AC95" s="568">
        <f t="shared" si="48"/>
        <v>79.835012149203408</v>
      </c>
      <c r="AD95" s="568">
        <f t="shared" si="48"/>
        <v>79.544683686862726</v>
      </c>
      <c r="AE95" s="568">
        <f t="shared" si="48"/>
        <v>79.253626007099939</v>
      </c>
      <c r="AF95" s="568">
        <f t="shared" si="48"/>
        <v>78.962660188978745</v>
      </c>
      <c r="AG95" s="568">
        <f t="shared" si="48"/>
        <v>78.670814786114747</v>
      </c>
      <c r="AH95" s="568">
        <f t="shared" si="48"/>
        <v>78.379997833412347</v>
      </c>
      <c r="AI95" s="568">
        <f t="shared" si="48"/>
        <v>78.088486928309948</v>
      </c>
      <c r="AJ95" s="568">
        <f t="shared" si="48"/>
        <v>77.797858418959336</v>
      </c>
      <c r="AK95" s="568">
        <f t="shared" si="48"/>
        <v>77.506943126641474</v>
      </c>
      <c r="AL95" s="568">
        <f t="shared" si="48"/>
        <v>77.216028313431977</v>
      </c>
      <c r="AM95" s="568">
        <f t="shared" si="48"/>
        <v>76.928115803438857</v>
      </c>
      <c r="AN95" s="568">
        <f t="shared" si="48"/>
        <v>76.640208748777354</v>
      </c>
      <c r="AO95" s="568">
        <f t="shared" si="48"/>
        <v>76.352307156422498</v>
      </c>
      <c r="AP95" s="568">
        <f t="shared" si="48"/>
        <v>76.064411033358184</v>
      </c>
      <c r="AQ95" s="568">
        <f t="shared" si="48"/>
        <v>75.776520386577246</v>
      </c>
      <c r="AR95" s="568">
        <f t="shared" si="48"/>
        <v>75.488635223081488</v>
      </c>
      <c r="AS95" s="568">
        <f t="shared" si="48"/>
        <v>75.200755549881634</v>
      </c>
      <c r="AT95" s="568">
        <f t="shared" si="48"/>
        <v>74.912881373997365</v>
      </c>
      <c r="AU95" s="568">
        <f t="shared" si="48"/>
        <v>74.625012702457397</v>
      </c>
      <c r="AV95" s="569">
        <v>5</v>
      </c>
    </row>
    <row r="96" spans="2:57" ht="14.4">
      <c r="B96" s="8" t="str">
        <f>Processes!D96</f>
        <v>EXPSNG1</v>
      </c>
      <c r="C96" s="8" t="str">
        <f>Processes!E96</f>
        <v>Export technology - Bio Synt. Nat. Gas G1</v>
      </c>
      <c r="D96" s="262" t="str">
        <f t="shared" si="36"/>
        <v>SNG1</v>
      </c>
      <c r="F96" s="823" t="str">
        <f t="shared" si="35"/>
        <v>MKr19</v>
      </c>
      <c r="G96" s="568">
        <f>G76</f>
        <v>42.18</v>
      </c>
      <c r="H96" s="568">
        <f t="shared" ref="H96:AU96" si="49">H76</f>
        <v>43.795000000000002</v>
      </c>
      <c r="I96" s="568">
        <f t="shared" si="49"/>
        <v>52.344999999999999</v>
      </c>
      <c r="J96" s="568">
        <f t="shared" si="49"/>
        <v>51.49</v>
      </c>
      <c r="K96" s="568">
        <f t="shared" si="49"/>
        <v>43.414999999999999</v>
      </c>
      <c r="L96" s="568">
        <f t="shared" si="49"/>
        <v>41.8</v>
      </c>
      <c r="M96" s="568">
        <f t="shared" si="49"/>
        <v>34.959999999999994</v>
      </c>
      <c r="N96" s="568">
        <f t="shared" si="49"/>
        <v>35.055</v>
      </c>
      <c r="O96" s="568">
        <f t="shared" si="49"/>
        <v>50.751074212757736</v>
      </c>
      <c r="P96" s="568">
        <f t="shared" si="49"/>
        <v>32.54796067858944</v>
      </c>
      <c r="Q96" s="568">
        <f t="shared" si="49"/>
        <v>31.727957487158143</v>
      </c>
      <c r="R96" s="568">
        <f t="shared" si="49"/>
        <v>29.949025524166288</v>
      </c>
      <c r="S96" s="568">
        <f t="shared" si="49"/>
        <v>31.124421190464801</v>
      </c>
      <c r="T96" s="568">
        <f t="shared" si="49"/>
        <v>31.69930389723169</v>
      </c>
      <c r="U96" s="568">
        <f t="shared" si="49"/>
        <v>31.888767724343968</v>
      </c>
      <c r="V96" s="568">
        <f t="shared" si="49"/>
        <v>31.830779289767982</v>
      </c>
      <c r="W96" s="568">
        <f t="shared" si="49"/>
        <v>31.794257244088858</v>
      </c>
      <c r="X96" s="568">
        <f t="shared" si="49"/>
        <v>31.770799731920086</v>
      </c>
      <c r="Y96" s="568">
        <f t="shared" si="49"/>
        <v>31.750709610930787</v>
      </c>
      <c r="Z96" s="568">
        <f t="shared" si="49"/>
        <v>31.743509235621186</v>
      </c>
      <c r="AA96" s="568">
        <f t="shared" si="49"/>
        <v>31.741544979889387</v>
      </c>
      <c r="AB96" s="568">
        <f t="shared" si="49"/>
        <v>31.785326421240963</v>
      </c>
      <c r="AC96" s="568">
        <f t="shared" si="49"/>
        <v>31.829107862592537</v>
      </c>
      <c r="AD96" s="568">
        <f t="shared" si="49"/>
        <v>31.872889303944106</v>
      </c>
      <c r="AE96" s="568">
        <f t="shared" si="49"/>
        <v>31.916670745295676</v>
      </c>
      <c r="AF96" s="568">
        <f t="shared" si="49"/>
        <v>31.960452186647256</v>
      </c>
      <c r="AG96" s="568">
        <f t="shared" si="49"/>
        <v>32.004233627998829</v>
      </c>
      <c r="AH96" s="568">
        <f t="shared" si="49"/>
        <v>32.048015069350392</v>
      </c>
      <c r="AI96" s="568">
        <f t="shared" si="49"/>
        <v>32.091796510701968</v>
      </c>
      <c r="AJ96" s="568">
        <f t="shared" si="49"/>
        <v>32.135577952053531</v>
      </c>
      <c r="AK96" s="568">
        <f t="shared" si="49"/>
        <v>32.179359393405107</v>
      </c>
      <c r="AL96" s="568">
        <f t="shared" si="49"/>
        <v>32.223140834756684</v>
      </c>
      <c r="AM96" s="568">
        <f t="shared" si="49"/>
        <v>32.266922276108254</v>
      </c>
      <c r="AN96" s="568">
        <f t="shared" si="49"/>
        <v>32.310703717459816</v>
      </c>
      <c r="AO96" s="568">
        <f t="shared" si="49"/>
        <v>32.354485158811393</v>
      </c>
      <c r="AP96" s="568">
        <f t="shared" si="49"/>
        <v>32.39826660016297</v>
      </c>
      <c r="AQ96" s="568">
        <f t="shared" si="49"/>
        <v>32.442048041514546</v>
      </c>
      <c r="AR96" s="568">
        <f t="shared" si="49"/>
        <v>32.485829482866109</v>
      </c>
      <c r="AS96" s="568">
        <f t="shared" si="49"/>
        <v>32.529610924217685</v>
      </c>
      <c r="AT96" s="568">
        <f t="shared" si="49"/>
        <v>32.573392365569248</v>
      </c>
      <c r="AU96" s="568">
        <f t="shared" si="49"/>
        <v>32.617173806920832</v>
      </c>
      <c r="AV96" s="569">
        <v>5</v>
      </c>
    </row>
    <row r="97" spans="2:48" ht="14.4">
      <c r="B97" s="8" t="str">
        <f>Processes!D97</f>
        <v>EXPSNG2</v>
      </c>
      <c r="C97" s="8" t="str">
        <f>Processes!E97</f>
        <v>Export technology - Bio Synt. Nat. Gas G2</v>
      </c>
      <c r="D97" s="262" t="str">
        <f t="shared" si="36"/>
        <v>SNG2</v>
      </c>
      <c r="F97" s="823" t="str">
        <f t="shared" si="35"/>
        <v>MKr19</v>
      </c>
      <c r="G97" s="568">
        <f>G76</f>
        <v>42.18</v>
      </c>
      <c r="H97" s="568">
        <f t="shared" ref="H97:AU97" si="50">H76</f>
        <v>43.795000000000002</v>
      </c>
      <c r="I97" s="568">
        <f t="shared" si="50"/>
        <v>52.344999999999999</v>
      </c>
      <c r="J97" s="568">
        <f t="shared" si="50"/>
        <v>51.49</v>
      </c>
      <c r="K97" s="568">
        <f t="shared" si="50"/>
        <v>43.414999999999999</v>
      </c>
      <c r="L97" s="568">
        <f t="shared" si="50"/>
        <v>41.8</v>
      </c>
      <c r="M97" s="568">
        <f t="shared" si="50"/>
        <v>34.959999999999994</v>
      </c>
      <c r="N97" s="568">
        <f t="shared" si="50"/>
        <v>35.055</v>
      </c>
      <c r="O97" s="568">
        <f t="shared" si="50"/>
        <v>50.751074212757736</v>
      </c>
      <c r="P97" s="568">
        <f t="shared" si="50"/>
        <v>32.54796067858944</v>
      </c>
      <c r="Q97" s="568">
        <f t="shared" si="50"/>
        <v>31.727957487158143</v>
      </c>
      <c r="R97" s="568">
        <f t="shared" si="50"/>
        <v>29.949025524166288</v>
      </c>
      <c r="S97" s="568">
        <f t="shared" si="50"/>
        <v>31.124421190464801</v>
      </c>
      <c r="T97" s="568">
        <f t="shared" si="50"/>
        <v>31.69930389723169</v>
      </c>
      <c r="U97" s="568">
        <f t="shared" si="50"/>
        <v>31.888767724343968</v>
      </c>
      <c r="V97" s="568">
        <f t="shared" si="50"/>
        <v>31.830779289767982</v>
      </c>
      <c r="W97" s="568">
        <f t="shared" si="50"/>
        <v>31.794257244088858</v>
      </c>
      <c r="X97" s="568">
        <f t="shared" si="50"/>
        <v>31.770799731920086</v>
      </c>
      <c r="Y97" s="568">
        <f t="shared" si="50"/>
        <v>31.750709610930787</v>
      </c>
      <c r="Z97" s="568">
        <f t="shared" si="50"/>
        <v>31.743509235621186</v>
      </c>
      <c r="AA97" s="568">
        <f t="shared" si="50"/>
        <v>31.741544979889387</v>
      </c>
      <c r="AB97" s="568">
        <f t="shared" si="50"/>
        <v>31.785326421240963</v>
      </c>
      <c r="AC97" s="568">
        <f t="shared" si="50"/>
        <v>31.829107862592537</v>
      </c>
      <c r="AD97" s="568">
        <f t="shared" si="50"/>
        <v>31.872889303944106</v>
      </c>
      <c r="AE97" s="568">
        <f t="shared" si="50"/>
        <v>31.916670745295676</v>
      </c>
      <c r="AF97" s="568">
        <f t="shared" si="50"/>
        <v>31.960452186647256</v>
      </c>
      <c r="AG97" s="568">
        <f t="shared" si="50"/>
        <v>32.004233627998829</v>
      </c>
      <c r="AH97" s="568">
        <f t="shared" si="50"/>
        <v>32.048015069350392</v>
      </c>
      <c r="AI97" s="568">
        <f t="shared" si="50"/>
        <v>32.091796510701968</v>
      </c>
      <c r="AJ97" s="568">
        <f t="shared" si="50"/>
        <v>32.135577952053531</v>
      </c>
      <c r="AK97" s="568">
        <f t="shared" si="50"/>
        <v>32.179359393405107</v>
      </c>
      <c r="AL97" s="568">
        <f t="shared" si="50"/>
        <v>32.223140834756684</v>
      </c>
      <c r="AM97" s="568">
        <f t="shared" si="50"/>
        <v>32.266922276108254</v>
      </c>
      <c r="AN97" s="568">
        <f t="shared" si="50"/>
        <v>32.310703717459816</v>
      </c>
      <c r="AO97" s="568">
        <f t="shared" si="50"/>
        <v>32.354485158811393</v>
      </c>
      <c r="AP97" s="568">
        <f t="shared" si="50"/>
        <v>32.39826660016297</v>
      </c>
      <c r="AQ97" s="568">
        <f t="shared" si="50"/>
        <v>32.442048041514546</v>
      </c>
      <c r="AR97" s="568">
        <f t="shared" si="50"/>
        <v>32.485829482866109</v>
      </c>
      <c r="AS97" s="568">
        <f t="shared" si="50"/>
        <v>32.529610924217685</v>
      </c>
      <c r="AT97" s="568">
        <f t="shared" si="50"/>
        <v>32.573392365569248</v>
      </c>
      <c r="AU97" s="568">
        <f t="shared" si="50"/>
        <v>32.617173806920832</v>
      </c>
      <c r="AV97" s="569">
        <v>5</v>
      </c>
    </row>
    <row r="98" spans="2:48" ht="14.4">
      <c r="B98" s="8" t="str">
        <f>Processes!D98</f>
        <v>EXPSNE</v>
      </c>
      <c r="C98" s="8" t="str">
        <f>Processes!E98</f>
        <v>Export technology - Electro Synt. Nat. Gas</v>
      </c>
      <c r="D98" s="262" t="str">
        <f t="shared" si="36"/>
        <v>SNE</v>
      </c>
      <c r="F98" s="823" t="str">
        <f t="shared" si="35"/>
        <v>MKr19</v>
      </c>
      <c r="G98" s="568">
        <f>G76</f>
        <v>42.18</v>
      </c>
      <c r="H98" s="568">
        <f t="shared" ref="H98:AU98" si="51">H76</f>
        <v>43.795000000000002</v>
      </c>
      <c r="I98" s="568">
        <f t="shared" si="51"/>
        <v>52.344999999999999</v>
      </c>
      <c r="J98" s="568">
        <f t="shared" si="51"/>
        <v>51.49</v>
      </c>
      <c r="K98" s="568">
        <f t="shared" si="51"/>
        <v>43.414999999999999</v>
      </c>
      <c r="L98" s="568">
        <f t="shared" si="51"/>
        <v>41.8</v>
      </c>
      <c r="M98" s="568">
        <f t="shared" si="51"/>
        <v>34.959999999999994</v>
      </c>
      <c r="N98" s="568">
        <f t="shared" si="51"/>
        <v>35.055</v>
      </c>
      <c r="O98" s="568">
        <f t="shared" si="51"/>
        <v>50.751074212757736</v>
      </c>
      <c r="P98" s="568">
        <f t="shared" si="51"/>
        <v>32.54796067858944</v>
      </c>
      <c r="Q98" s="568">
        <f t="shared" si="51"/>
        <v>31.727957487158143</v>
      </c>
      <c r="R98" s="568">
        <f t="shared" si="51"/>
        <v>29.949025524166288</v>
      </c>
      <c r="S98" s="568">
        <f t="shared" si="51"/>
        <v>31.124421190464801</v>
      </c>
      <c r="T98" s="568">
        <f t="shared" si="51"/>
        <v>31.69930389723169</v>
      </c>
      <c r="U98" s="568">
        <f t="shared" si="51"/>
        <v>31.888767724343968</v>
      </c>
      <c r="V98" s="568">
        <f t="shared" si="51"/>
        <v>31.830779289767982</v>
      </c>
      <c r="W98" s="568">
        <f t="shared" si="51"/>
        <v>31.794257244088858</v>
      </c>
      <c r="X98" s="568">
        <f t="shared" si="51"/>
        <v>31.770799731920086</v>
      </c>
      <c r="Y98" s="568">
        <f t="shared" si="51"/>
        <v>31.750709610930787</v>
      </c>
      <c r="Z98" s="568">
        <f t="shared" si="51"/>
        <v>31.743509235621186</v>
      </c>
      <c r="AA98" s="568">
        <f t="shared" si="51"/>
        <v>31.741544979889387</v>
      </c>
      <c r="AB98" s="568">
        <f t="shared" si="51"/>
        <v>31.785326421240963</v>
      </c>
      <c r="AC98" s="568">
        <f t="shared" si="51"/>
        <v>31.829107862592537</v>
      </c>
      <c r="AD98" s="568">
        <f t="shared" si="51"/>
        <v>31.872889303944106</v>
      </c>
      <c r="AE98" s="568">
        <f t="shared" si="51"/>
        <v>31.916670745295676</v>
      </c>
      <c r="AF98" s="568">
        <f t="shared" si="51"/>
        <v>31.960452186647256</v>
      </c>
      <c r="AG98" s="568">
        <f t="shared" si="51"/>
        <v>32.004233627998829</v>
      </c>
      <c r="AH98" s="568">
        <f t="shared" si="51"/>
        <v>32.048015069350392</v>
      </c>
      <c r="AI98" s="568">
        <f t="shared" si="51"/>
        <v>32.091796510701968</v>
      </c>
      <c r="AJ98" s="568">
        <f t="shared" si="51"/>
        <v>32.135577952053531</v>
      </c>
      <c r="AK98" s="568">
        <f t="shared" si="51"/>
        <v>32.179359393405107</v>
      </c>
      <c r="AL98" s="568">
        <f t="shared" si="51"/>
        <v>32.223140834756684</v>
      </c>
      <c r="AM98" s="568">
        <f t="shared" si="51"/>
        <v>32.266922276108254</v>
      </c>
      <c r="AN98" s="568">
        <f t="shared" si="51"/>
        <v>32.310703717459816</v>
      </c>
      <c r="AO98" s="568">
        <f t="shared" si="51"/>
        <v>32.354485158811393</v>
      </c>
      <c r="AP98" s="568">
        <f t="shared" si="51"/>
        <v>32.39826660016297</v>
      </c>
      <c r="AQ98" s="568">
        <f t="shared" si="51"/>
        <v>32.442048041514546</v>
      </c>
      <c r="AR98" s="568">
        <f t="shared" si="51"/>
        <v>32.485829482866109</v>
      </c>
      <c r="AS98" s="568">
        <f t="shared" si="51"/>
        <v>32.529610924217685</v>
      </c>
      <c r="AT98" s="568">
        <f t="shared" si="51"/>
        <v>32.573392365569248</v>
      </c>
      <c r="AU98" s="568">
        <f t="shared" si="51"/>
        <v>32.617173806920832</v>
      </c>
      <c r="AV98" s="569">
        <v>5</v>
      </c>
    </row>
    <row r="99" spans="2:48" ht="14.4">
      <c r="B99" s="8" t="str">
        <f>Processes!D99</f>
        <v>EXPDSB1</v>
      </c>
      <c r="C99" s="8" t="str">
        <f>Processes!E99</f>
        <v>Export technology - Biodiesel G1</v>
      </c>
      <c r="D99" s="262" t="str">
        <f t="shared" si="36"/>
        <v>DSB1</v>
      </c>
      <c r="F99" s="823" t="str">
        <f t="shared" si="35"/>
        <v>MKr19</v>
      </c>
      <c r="G99" s="568">
        <f>G82</f>
        <v>100.13</v>
      </c>
      <c r="H99" s="568">
        <f t="shared" ref="H99:AU99" si="52">H82</f>
        <v>111.53</v>
      </c>
      <c r="I99" s="568">
        <f t="shared" si="52"/>
        <v>127.48999999999998</v>
      </c>
      <c r="J99" s="568">
        <f t="shared" si="52"/>
        <v>117.03999999999999</v>
      </c>
      <c r="K99" s="568">
        <f t="shared" si="52"/>
        <v>107.82499999999999</v>
      </c>
      <c r="L99" s="568">
        <f t="shared" si="52"/>
        <v>73.149999999999991</v>
      </c>
      <c r="M99" s="568">
        <f t="shared" si="52"/>
        <v>70.3</v>
      </c>
      <c r="N99" s="568">
        <f t="shared" si="52"/>
        <v>74.290000000000006</v>
      </c>
      <c r="O99" s="568">
        <f t="shared" si="52"/>
        <v>96.426022004987345</v>
      </c>
      <c r="P99" s="568">
        <f t="shared" si="52"/>
        <v>90.807615434698747</v>
      </c>
      <c r="Q99" s="568">
        <f t="shared" si="52"/>
        <v>89.401673832219473</v>
      </c>
      <c r="R99" s="568">
        <f t="shared" si="52"/>
        <v>68.516792691424257</v>
      </c>
      <c r="S99" s="568">
        <f t="shared" si="52"/>
        <v>71.754866618593084</v>
      </c>
      <c r="T99" s="568">
        <f t="shared" si="52"/>
        <v>73.96179631899065</v>
      </c>
      <c r="U99" s="568">
        <f t="shared" si="52"/>
        <v>75.575095006707542</v>
      </c>
      <c r="V99" s="568">
        <f t="shared" si="52"/>
        <v>76.749748941909317</v>
      </c>
      <c r="W99" s="568">
        <f t="shared" si="52"/>
        <v>78.046939113302997</v>
      </c>
      <c r="X99" s="568">
        <f t="shared" si="52"/>
        <v>79.318170941805391</v>
      </c>
      <c r="Y99" s="568">
        <f t="shared" si="52"/>
        <v>80.48773617399354</v>
      </c>
      <c r="Z99" s="568">
        <f t="shared" si="52"/>
        <v>81.715850466579965</v>
      </c>
      <c r="AA99" s="568">
        <f t="shared" si="52"/>
        <v>82.877880872470527</v>
      </c>
      <c r="AB99" s="568">
        <f t="shared" si="52"/>
        <v>82.587044298377819</v>
      </c>
      <c r="AC99" s="568">
        <f t="shared" si="52"/>
        <v>82.295512149203404</v>
      </c>
      <c r="AD99" s="568">
        <f t="shared" si="52"/>
        <v>82.005183686862722</v>
      </c>
      <c r="AE99" s="568">
        <f t="shared" si="52"/>
        <v>81.714126007099949</v>
      </c>
      <c r="AF99" s="568">
        <f t="shared" si="52"/>
        <v>81.423160188978741</v>
      </c>
      <c r="AG99" s="568">
        <f t="shared" si="52"/>
        <v>81.131314786114757</v>
      </c>
      <c r="AH99" s="568">
        <f t="shared" si="52"/>
        <v>80.840497833412343</v>
      </c>
      <c r="AI99" s="568">
        <f t="shared" si="52"/>
        <v>80.548986928309944</v>
      </c>
      <c r="AJ99" s="568">
        <f t="shared" si="52"/>
        <v>80.258358418959332</v>
      </c>
      <c r="AK99" s="568">
        <f t="shared" si="52"/>
        <v>79.967443126641484</v>
      </c>
      <c r="AL99" s="568">
        <f t="shared" si="52"/>
        <v>79.676528313431973</v>
      </c>
      <c r="AM99" s="568">
        <f t="shared" si="52"/>
        <v>79.388615803438867</v>
      </c>
      <c r="AN99" s="568">
        <f t="shared" si="52"/>
        <v>79.10070874877735</v>
      </c>
      <c r="AO99" s="568">
        <f t="shared" si="52"/>
        <v>78.812807156422508</v>
      </c>
      <c r="AP99" s="568">
        <f t="shared" si="52"/>
        <v>78.524911033358194</v>
      </c>
      <c r="AQ99" s="568">
        <f t="shared" si="52"/>
        <v>78.237020386577257</v>
      </c>
      <c r="AR99" s="568">
        <f t="shared" si="52"/>
        <v>77.949135223081484</v>
      </c>
      <c r="AS99" s="568">
        <f t="shared" si="52"/>
        <v>77.661255549881631</v>
      </c>
      <c r="AT99" s="568">
        <f t="shared" si="52"/>
        <v>77.373381373997375</v>
      </c>
      <c r="AU99" s="568">
        <f t="shared" si="52"/>
        <v>77.085512702457393</v>
      </c>
      <c r="AV99" s="569">
        <v>5</v>
      </c>
    </row>
    <row r="100" spans="2:48" ht="14.4">
      <c r="B100" s="8" t="str">
        <f>Processes!D100</f>
        <v>EXPDSB2</v>
      </c>
      <c r="C100" s="8" t="str">
        <f>Processes!E100</f>
        <v>Export technology - Biodiesel G2</v>
      </c>
      <c r="D100" s="262" t="str">
        <f t="shared" si="36"/>
        <v>DSB2</v>
      </c>
      <c r="F100" s="823" t="str">
        <f t="shared" si="35"/>
        <v>MKr19</v>
      </c>
      <c r="G100" s="568">
        <f>G82</f>
        <v>100.13</v>
      </c>
      <c r="H100" s="568">
        <f t="shared" ref="H100:AU100" si="53">H82</f>
        <v>111.53</v>
      </c>
      <c r="I100" s="568">
        <f t="shared" si="53"/>
        <v>127.48999999999998</v>
      </c>
      <c r="J100" s="568">
        <f t="shared" si="53"/>
        <v>117.03999999999999</v>
      </c>
      <c r="K100" s="568">
        <f t="shared" si="53"/>
        <v>107.82499999999999</v>
      </c>
      <c r="L100" s="568">
        <f t="shared" si="53"/>
        <v>73.149999999999991</v>
      </c>
      <c r="M100" s="568">
        <f t="shared" si="53"/>
        <v>70.3</v>
      </c>
      <c r="N100" s="568">
        <f t="shared" si="53"/>
        <v>74.290000000000006</v>
      </c>
      <c r="O100" s="568">
        <f t="shared" si="53"/>
        <v>96.426022004987345</v>
      </c>
      <c r="P100" s="568">
        <f t="shared" si="53"/>
        <v>90.807615434698747</v>
      </c>
      <c r="Q100" s="568">
        <f t="shared" si="53"/>
        <v>89.401673832219473</v>
      </c>
      <c r="R100" s="568">
        <f t="shared" si="53"/>
        <v>68.516792691424257</v>
      </c>
      <c r="S100" s="568">
        <f t="shared" si="53"/>
        <v>71.754866618593084</v>
      </c>
      <c r="T100" s="568">
        <f t="shared" si="53"/>
        <v>73.96179631899065</v>
      </c>
      <c r="U100" s="568">
        <f t="shared" si="53"/>
        <v>75.575095006707542</v>
      </c>
      <c r="V100" s="568">
        <f t="shared" si="53"/>
        <v>76.749748941909317</v>
      </c>
      <c r="W100" s="568">
        <f t="shared" si="53"/>
        <v>78.046939113302997</v>
      </c>
      <c r="X100" s="568">
        <f t="shared" si="53"/>
        <v>79.318170941805391</v>
      </c>
      <c r="Y100" s="568">
        <f t="shared" si="53"/>
        <v>80.48773617399354</v>
      </c>
      <c r="Z100" s="568">
        <f t="shared" si="53"/>
        <v>81.715850466579965</v>
      </c>
      <c r="AA100" s="568">
        <f t="shared" si="53"/>
        <v>82.877880872470527</v>
      </c>
      <c r="AB100" s="568">
        <f t="shared" si="53"/>
        <v>82.587044298377819</v>
      </c>
      <c r="AC100" s="568">
        <f t="shared" si="53"/>
        <v>82.295512149203404</v>
      </c>
      <c r="AD100" s="568">
        <f t="shared" si="53"/>
        <v>82.005183686862722</v>
      </c>
      <c r="AE100" s="568">
        <f t="shared" si="53"/>
        <v>81.714126007099949</v>
      </c>
      <c r="AF100" s="568">
        <f t="shared" si="53"/>
        <v>81.423160188978741</v>
      </c>
      <c r="AG100" s="568">
        <f t="shared" si="53"/>
        <v>81.131314786114757</v>
      </c>
      <c r="AH100" s="568">
        <f t="shared" si="53"/>
        <v>80.840497833412343</v>
      </c>
      <c r="AI100" s="568">
        <f t="shared" si="53"/>
        <v>80.548986928309944</v>
      </c>
      <c r="AJ100" s="568">
        <f t="shared" si="53"/>
        <v>80.258358418959332</v>
      </c>
      <c r="AK100" s="568">
        <f t="shared" si="53"/>
        <v>79.967443126641484</v>
      </c>
      <c r="AL100" s="568">
        <f t="shared" si="53"/>
        <v>79.676528313431973</v>
      </c>
      <c r="AM100" s="568">
        <f t="shared" si="53"/>
        <v>79.388615803438867</v>
      </c>
      <c r="AN100" s="568">
        <f t="shared" si="53"/>
        <v>79.10070874877735</v>
      </c>
      <c r="AO100" s="568">
        <f t="shared" si="53"/>
        <v>78.812807156422508</v>
      </c>
      <c r="AP100" s="568">
        <f t="shared" si="53"/>
        <v>78.524911033358194</v>
      </c>
      <c r="AQ100" s="568">
        <f t="shared" si="53"/>
        <v>78.237020386577257</v>
      </c>
      <c r="AR100" s="568">
        <f t="shared" si="53"/>
        <v>77.949135223081484</v>
      </c>
      <c r="AS100" s="568">
        <f t="shared" si="53"/>
        <v>77.661255549881631</v>
      </c>
      <c r="AT100" s="568">
        <f t="shared" si="53"/>
        <v>77.373381373997375</v>
      </c>
      <c r="AU100" s="568">
        <f t="shared" si="53"/>
        <v>77.085512702457393</v>
      </c>
      <c r="AV100" s="569">
        <v>5</v>
      </c>
    </row>
    <row r="101" spans="2:48" ht="14.4">
      <c r="B101" s="8" t="str">
        <f>Processes!D101</f>
        <v>EXPDSE</v>
      </c>
      <c r="C101" s="8" t="str">
        <f>Processes!E101</f>
        <v>Export technology - Electro Diesel</v>
      </c>
      <c r="D101" s="262" t="str">
        <f t="shared" si="36"/>
        <v>DSE</v>
      </c>
      <c r="F101" s="823" t="str">
        <f t="shared" si="35"/>
        <v>MKr19</v>
      </c>
      <c r="G101" s="568">
        <f>G82</f>
        <v>100.13</v>
      </c>
      <c r="H101" s="568">
        <f t="shared" ref="H101:AU101" si="54">H82</f>
        <v>111.53</v>
      </c>
      <c r="I101" s="568">
        <f t="shared" si="54"/>
        <v>127.48999999999998</v>
      </c>
      <c r="J101" s="568">
        <f t="shared" si="54"/>
        <v>117.03999999999999</v>
      </c>
      <c r="K101" s="568">
        <f t="shared" si="54"/>
        <v>107.82499999999999</v>
      </c>
      <c r="L101" s="568">
        <f t="shared" si="54"/>
        <v>73.149999999999991</v>
      </c>
      <c r="M101" s="568">
        <f t="shared" si="54"/>
        <v>70.3</v>
      </c>
      <c r="N101" s="568">
        <f t="shared" si="54"/>
        <v>74.290000000000006</v>
      </c>
      <c r="O101" s="568">
        <f t="shared" si="54"/>
        <v>96.426022004987345</v>
      </c>
      <c r="P101" s="568">
        <f t="shared" si="54"/>
        <v>90.807615434698747</v>
      </c>
      <c r="Q101" s="568">
        <f t="shared" si="54"/>
        <v>89.401673832219473</v>
      </c>
      <c r="R101" s="568">
        <f t="shared" si="54"/>
        <v>68.516792691424257</v>
      </c>
      <c r="S101" s="568">
        <f t="shared" si="54"/>
        <v>71.754866618593084</v>
      </c>
      <c r="T101" s="568">
        <f t="shared" si="54"/>
        <v>73.96179631899065</v>
      </c>
      <c r="U101" s="568">
        <f t="shared" si="54"/>
        <v>75.575095006707542</v>
      </c>
      <c r="V101" s="568">
        <f t="shared" si="54"/>
        <v>76.749748941909317</v>
      </c>
      <c r="W101" s="568">
        <f t="shared" si="54"/>
        <v>78.046939113302997</v>
      </c>
      <c r="X101" s="568">
        <f t="shared" si="54"/>
        <v>79.318170941805391</v>
      </c>
      <c r="Y101" s="568">
        <f t="shared" si="54"/>
        <v>80.48773617399354</v>
      </c>
      <c r="Z101" s="568">
        <f t="shared" si="54"/>
        <v>81.715850466579965</v>
      </c>
      <c r="AA101" s="568">
        <f t="shared" si="54"/>
        <v>82.877880872470527</v>
      </c>
      <c r="AB101" s="568">
        <f t="shared" si="54"/>
        <v>82.587044298377819</v>
      </c>
      <c r="AC101" s="568">
        <f t="shared" si="54"/>
        <v>82.295512149203404</v>
      </c>
      <c r="AD101" s="568">
        <f t="shared" si="54"/>
        <v>82.005183686862722</v>
      </c>
      <c r="AE101" s="568">
        <f t="shared" si="54"/>
        <v>81.714126007099949</v>
      </c>
      <c r="AF101" s="568">
        <f t="shared" si="54"/>
        <v>81.423160188978741</v>
      </c>
      <c r="AG101" s="568">
        <f t="shared" si="54"/>
        <v>81.131314786114757</v>
      </c>
      <c r="AH101" s="568">
        <f t="shared" si="54"/>
        <v>80.840497833412343</v>
      </c>
      <c r="AI101" s="568">
        <f t="shared" si="54"/>
        <v>80.548986928309944</v>
      </c>
      <c r="AJ101" s="568">
        <f t="shared" si="54"/>
        <v>80.258358418959332</v>
      </c>
      <c r="AK101" s="568">
        <f t="shared" si="54"/>
        <v>79.967443126641484</v>
      </c>
      <c r="AL101" s="568">
        <f t="shared" si="54"/>
        <v>79.676528313431973</v>
      </c>
      <c r="AM101" s="568">
        <f t="shared" si="54"/>
        <v>79.388615803438867</v>
      </c>
      <c r="AN101" s="568">
        <f t="shared" si="54"/>
        <v>79.10070874877735</v>
      </c>
      <c r="AO101" s="568">
        <f t="shared" si="54"/>
        <v>78.812807156422508</v>
      </c>
      <c r="AP101" s="568">
        <f t="shared" si="54"/>
        <v>78.524911033358194</v>
      </c>
      <c r="AQ101" s="568">
        <f t="shared" si="54"/>
        <v>78.237020386577257</v>
      </c>
      <c r="AR101" s="568">
        <f t="shared" si="54"/>
        <v>77.949135223081484</v>
      </c>
      <c r="AS101" s="568">
        <f t="shared" si="54"/>
        <v>77.661255549881631</v>
      </c>
      <c r="AT101" s="568">
        <f t="shared" si="54"/>
        <v>77.373381373997375</v>
      </c>
      <c r="AU101" s="568">
        <f t="shared" si="54"/>
        <v>77.085512702457393</v>
      </c>
      <c r="AV101" s="569">
        <v>5</v>
      </c>
    </row>
    <row r="102" spans="2:48" ht="14.4">
      <c r="B102" s="8" t="str">
        <f>Processes!D102</f>
        <v>EXPGSB1</v>
      </c>
      <c r="C102" s="8" t="str">
        <f>Processes!E102</f>
        <v>Export technology - Bioethanol G1</v>
      </c>
      <c r="D102" s="262" t="str">
        <f t="shared" si="36"/>
        <v>GSB1</v>
      </c>
      <c r="F102" s="823" t="str">
        <f t="shared" si="35"/>
        <v>MKr19</v>
      </c>
      <c r="G102" s="568">
        <f>G80</f>
        <v>88.16</v>
      </c>
      <c r="H102" s="568">
        <f t="shared" ref="H102:AU102" si="55">H80</f>
        <v>116.755</v>
      </c>
      <c r="I102" s="568">
        <f t="shared" si="55"/>
        <v>129.86499999999998</v>
      </c>
      <c r="J102" s="568">
        <f t="shared" si="55"/>
        <v>115.89999999999999</v>
      </c>
      <c r="K102" s="568">
        <f t="shared" si="55"/>
        <v>109.05999999999999</v>
      </c>
      <c r="L102" s="568">
        <f t="shared" si="55"/>
        <v>74.290000000000006</v>
      </c>
      <c r="M102" s="568">
        <f t="shared" si="55"/>
        <v>71.534999999999997</v>
      </c>
      <c r="N102" s="568">
        <f t="shared" si="55"/>
        <v>75.430000000000007</v>
      </c>
      <c r="O102" s="568">
        <f t="shared" si="55"/>
        <v>97.281022004987349</v>
      </c>
      <c r="P102" s="568">
        <f t="shared" si="55"/>
        <v>92.859615434698739</v>
      </c>
      <c r="Q102" s="568">
        <f t="shared" si="55"/>
        <v>91.453673832219465</v>
      </c>
      <c r="R102" s="568">
        <f t="shared" si="55"/>
        <v>70.56879269142425</v>
      </c>
      <c r="S102" s="568">
        <f t="shared" si="55"/>
        <v>73.806866618593077</v>
      </c>
      <c r="T102" s="568">
        <f t="shared" si="55"/>
        <v>76.013796318990643</v>
      </c>
      <c r="U102" s="568">
        <f t="shared" si="55"/>
        <v>77.627095006707535</v>
      </c>
      <c r="V102" s="568">
        <f t="shared" si="55"/>
        <v>78.80174894190931</v>
      </c>
      <c r="W102" s="568">
        <f t="shared" si="55"/>
        <v>80.09893911330299</v>
      </c>
      <c r="X102" s="568">
        <f t="shared" si="55"/>
        <v>81.370170941805384</v>
      </c>
      <c r="Y102" s="568">
        <f t="shared" si="55"/>
        <v>82.539736173993532</v>
      </c>
      <c r="Z102" s="568">
        <f t="shared" si="55"/>
        <v>83.767850466579958</v>
      </c>
      <c r="AA102" s="568">
        <f t="shared" si="55"/>
        <v>84.929880872470534</v>
      </c>
      <c r="AB102" s="568">
        <f t="shared" si="55"/>
        <v>84.639044298377826</v>
      </c>
      <c r="AC102" s="568">
        <f t="shared" si="55"/>
        <v>84.347512149203396</v>
      </c>
      <c r="AD102" s="568">
        <f t="shared" si="55"/>
        <v>84.057183686862714</v>
      </c>
      <c r="AE102" s="568">
        <f t="shared" si="55"/>
        <v>83.766126007099942</v>
      </c>
      <c r="AF102" s="568">
        <f t="shared" si="55"/>
        <v>83.475160188978734</v>
      </c>
      <c r="AG102" s="568">
        <f t="shared" si="55"/>
        <v>83.183314786114749</v>
      </c>
      <c r="AH102" s="568">
        <f t="shared" si="55"/>
        <v>82.892497833412349</v>
      </c>
      <c r="AI102" s="568">
        <f t="shared" si="55"/>
        <v>82.600986928309936</v>
      </c>
      <c r="AJ102" s="568">
        <f t="shared" si="55"/>
        <v>82.310358418959339</v>
      </c>
      <c r="AK102" s="568">
        <f t="shared" si="55"/>
        <v>82.019443126641477</v>
      </c>
      <c r="AL102" s="568">
        <f t="shared" si="55"/>
        <v>81.728528313431966</v>
      </c>
      <c r="AM102" s="568">
        <f t="shared" si="55"/>
        <v>81.44061580343886</v>
      </c>
      <c r="AN102" s="568">
        <f t="shared" si="55"/>
        <v>81.152708748777343</v>
      </c>
      <c r="AO102" s="568">
        <f t="shared" si="55"/>
        <v>80.864807156422501</v>
      </c>
      <c r="AP102" s="568">
        <f t="shared" si="55"/>
        <v>80.576911033358186</v>
      </c>
      <c r="AQ102" s="568">
        <f t="shared" si="55"/>
        <v>80.289020386577249</v>
      </c>
      <c r="AR102" s="568">
        <f t="shared" si="55"/>
        <v>80.001135223081477</v>
      </c>
      <c r="AS102" s="568">
        <f t="shared" si="55"/>
        <v>79.713255549881637</v>
      </c>
      <c r="AT102" s="568">
        <f t="shared" si="55"/>
        <v>79.425381373997368</v>
      </c>
      <c r="AU102" s="568">
        <f t="shared" si="55"/>
        <v>79.137512702457386</v>
      </c>
      <c r="AV102" s="569">
        <v>5</v>
      </c>
    </row>
    <row r="103" spans="2:48" ht="14.4">
      <c r="B103" s="8" t="str">
        <f>Processes!D103</f>
        <v>EXPGSB2</v>
      </c>
      <c r="C103" s="8" t="str">
        <f>Processes!E103</f>
        <v>Export technology - Bioethanol G2</v>
      </c>
      <c r="D103" s="262" t="str">
        <f t="shared" si="36"/>
        <v>GSB2</v>
      </c>
      <c r="F103" s="823" t="str">
        <f t="shared" si="35"/>
        <v>MKr19</v>
      </c>
      <c r="G103" s="568">
        <f>G80</f>
        <v>88.16</v>
      </c>
      <c r="H103" s="568">
        <f t="shared" ref="H103:AU103" si="56">H80</f>
        <v>116.755</v>
      </c>
      <c r="I103" s="568">
        <f t="shared" si="56"/>
        <v>129.86499999999998</v>
      </c>
      <c r="J103" s="568">
        <f t="shared" si="56"/>
        <v>115.89999999999999</v>
      </c>
      <c r="K103" s="568">
        <f t="shared" si="56"/>
        <v>109.05999999999999</v>
      </c>
      <c r="L103" s="568">
        <f t="shared" si="56"/>
        <v>74.290000000000006</v>
      </c>
      <c r="M103" s="568">
        <f t="shared" si="56"/>
        <v>71.534999999999997</v>
      </c>
      <c r="N103" s="568">
        <f t="shared" si="56"/>
        <v>75.430000000000007</v>
      </c>
      <c r="O103" s="568">
        <f t="shared" si="56"/>
        <v>97.281022004987349</v>
      </c>
      <c r="P103" s="568">
        <f t="shared" si="56"/>
        <v>92.859615434698739</v>
      </c>
      <c r="Q103" s="568">
        <f t="shared" si="56"/>
        <v>91.453673832219465</v>
      </c>
      <c r="R103" s="568">
        <f t="shared" si="56"/>
        <v>70.56879269142425</v>
      </c>
      <c r="S103" s="568">
        <f t="shared" si="56"/>
        <v>73.806866618593077</v>
      </c>
      <c r="T103" s="568">
        <f t="shared" si="56"/>
        <v>76.013796318990643</v>
      </c>
      <c r="U103" s="568">
        <f t="shared" si="56"/>
        <v>77.627095006707535</v>
      </c>
      <c r="V103" s="568">
        <f t="shared" si="56"/>
        <v>78.80174894190931</v>
      </c>
      <c r="W103" s="568">
        <f t="shared" si="56"/>
        <v>80.09893911330299</v>
      </c>
      <c r="X103" s="568">
        <f t="shared" si="56"/>
        <v>81.370170941805384</v>
      </c>
      <c r="Y103" s="568">
        <f t="shared" si="56"/>
        <v>82.539736173993532</v>
      </c>
      <c r="Z103" s="568">
        <f t="shared" si="56"/>
        <v>83.767850466579958</v>
      </c>
      <c r="AA103" s="568">
        <f t="shared" si="56"/>
        <v>84.929880872470534</v>
      </c>
      <c r="AB103" s="568">
        <f t="shared" si="56"/>
        <v>84.639044298377826</v>
      </c>
      <c r="AC103" s="568">
        <f t="shared" si="56"/>
        <v>84.347512149203396</v>
      </c>
      <c r="AD103" s="568">
        <f t="shared" si="56"/>
        <v>84.057183686862714</v>
      </c>
      <c r="AE103" s="568">
        <f t="shared" si="56"/>
        <v>83.766126007099942</v>
      </c>
      <c r="AF103" s="568">
        <f t="shared" si="56"/>
        <v>83.475160188978734</v>
      </c>
      <c r="AG103" s="568">
        <f t="shared" si="56"/>
        <v>83.183314786114749</v>
      </c>
      <c r="AH103" s="568">
        <f t="shared" si="56"/>
        <v>82.892497833412349</v>
      </c>
      <c r="AI103" s="568">
        <f t="shared" si="56"/>
        <v>82.600986928309936</v>
      </c>
      <c r="AJ103" s="568">
        <f t="shared" si="56"/>
        <v>82.310358418959339</v>
      </c>
      <c r="AK103" s="568">
        <f t="shared" si="56"/>
        <v>82.019443126641477</v>
      </c>
      <c r="AL103" s="568">
        <f t="shared" si="56"/>
        <v>81.728528313431966</v>
      </c>
      <c r="AM103" s="568">
        <f t="shared" si="56"/>
        <v>81.44061580343886</v>
      </c>
      <c r="AN103" s="568">
        <f t="shared" si="56"/>
        <v>81.152708748777343</v>
      </c>
      <c r="AO103" s="568">
        <f t="shared" si="56"/>
        <v>80.864807156422501</v>
      </c>
      <c r="AP103" s="568">
        <f t="shared" si="56"/>
        <v>80.576911033358186</v>
      </c>
      <c r="AQ103" s="568">
        <f t="shared" si="56"/>
        <v>80.289020386577249</v>
      </c>
      <c r="AR103" s="568">
        <f t="shared" si="56"/>
        <v>80.001135223081477</v>
      </c>
      <c r="AS103" s="568">
        <f t="shared" si="56"/>
        <v>79.713255549881637</v>
      </c>
      <c r="AT103" s="568">
        <f t="shared" si="56"/>
        <v>79.425381373997368</v>
      </c>
      <c r="AU103" s="568">
        <f t="shared" si="56"/>
        <v>79.137512702457386</v>
      </c>
      <c r="AV103" s="569">
        <v>5</v>
      </c>
    </row>
    <row r="104" spans="2:48" ht="14.4">
      <c r="B104" s="8" t="str">
        <f>Processes!D104</f>
        <v>EXPGSE</v>
      </c>
      <c r="C104" s="8" t="str">
        <f>Processes!E104</f>
        <v>Export technology - Electro Gasoline</v>
      </c>
      <c r="D104" s="262" t="str">
        <f t="shared" si="36"/>
        <v>GSE</v>
      </c>
      <c r="F104" s="823" t="str">
        <f t="shared" si="35"/>
        <v>MKr19</v>
      </c>
      <c r="G104" s="568">
        <f>G80</f>
        <v>88.16</v>
      </c>
      <c r="H104" s="568">
        <f t="shared" ref="H104:AU104" si="57">H80</f>
        <v>116.755</v>
      </c>
      <c r="I104" s="568">
        <f t="shared" si="57"/>
        <v>129.86499999999998</v>
      </c>
      <c r="J104" s="568">
        <f t="shared" si="57"/>
        <v>115.89999999999999</v>
      </c>
      <c r="K104" s="568">
        <f t="shared" si="57"/>
        <v>109.05999999999999</v>
      </c>
      <c r="L104" s="568">
        <f t="shared" si="57"/>
        <v>74.290000000000006</v>
      </c>
      <c r="M104" s="568">
        <f t="shared" si="57"/>
        <v>71.534999999999997</v>
      </c>
      <c r="N104" s="568">
        <f t="shared" si="57"/>
        <v>75.430000000000007</v>
      </c>
      <c r="O104" s="568">
        <f t="shared" si="57"/>
        <v>97.281022004987349</v>
      </c>
      <c r="P104" s="568">
        <f t="shared" si="57"/>
        <v>92.859615434698739</v>
      </c>
      <c r="Q104" s="568">
        <f t="shared" si="57"/>
        <v>91.453673832219465</v>
      </c>
      <c r="R104" s="568">
        <f t="shared" si="57"/>
        <v>70.56879269142425</v>
      </c>
      <c r="S104" s="568">
        <f t="shared" si="57"/>
        <v>73.806866618593077</v>
      </c>
      <c r="T104" s="568">
        <f t="shared" si="57"/>
        <v>76.013796318990643</v>
      </c>
      <c r="U104" s="568">
        <f t="shared" si="57"/>
        <v>77.627095006707535</v>
      </c>
      <c r="V104" s="568">
        <f t="shared" si="57"/>
        <v>78.80174894190931</v>
      </c>
      <c r="W104" s="568">
        <f t="shared" si="57"/>
        <v>80.09893911330299</v>
      </c>
      <c r="X104" s="568">
        <f t="shared" si="57"/>
        <v>81.370170941805384</v>
      </c>
      <c r="Y104" s="568">
        <f t="shared" si="57"/>
        <v>82.539736173993532</v>
      </c>
      <c r="Z104" s="568">
        <f t="shared" si="57"/>
        <v>83.767850466579958</v>
      </c>
      <c r="AA104" s="568">
        <f t="shared" si="57"/>
        <v>84.929880872470534</v>
      </c>
      <c r="AB104" s="568">
        <f t="shared" si="57"/>
        <v>84.639044298377826</v>
      </c>
      <c r="AC104" s="568">
        <f t="shared" si="57"/>
        <v>84.347512149203396</v>
      </c>
      <c r="AD104" s="568">
        <f t="shared" si="57"/>
        <v>84.057183686862714</v>
      </c>
      <c r="AE104" s="568">
        <f t="shared" si="57"/>
        <v>83.766126007099942</v>
      </c>
      <c r="AF104" s="568">
        <f t="shared" si="57"/>
        <v>83.475160188978734</v>
      </c>
      <c r="AG104" s="568">
        <f t="shared" si="57"/>
        <v>83.183314786114749</v>
      </c>
      <c r="AH104" s="568">
        <f t="shared" si="57"/>
        <v>82.892497833412349</v>
      </c>
      <c r="AI104" s="568">
        <f t="shared" si="57"/>
        <v>82.600986928309936</v>
      </c>
      <c r="AJ104" s="568">
        <f t="shared" si="57"/>
        <v>82.310358418959339</v>
      </c>
      <c r="AK104" s="568">
        <f t="shared" si="57"/>
        <v>82.019443126641477</v>
      </c>
      <c r="AL104" s="568">
        <f t="shared" si="57"/>
        <v>81.728528313431966</v>
      </c>
      <c r="AM104" s="568">
        <f t="shared" si="57"/>
        <v>81.44061580343886</v>
      </c>
      <c r="AN104" s="568">
        <f t="shared" si="57"/>
        <v>81.152708748777343</v>
      </c>
      <c r="AO104" s="568">
        <f t="shared" si="57"/>
        <v>80.864807156422501</v>
      </c>
      <c r="AP104" s="568">
        <f t="shared" si="57"/>
        <v>80.576911033358186</v>
      </c>
      <c r="AQ104" s="568">
        <f t="shared" si="57"/>
        <v>80.289020386577249</v>
      </c>
      <c r="AR104" s="568">
        <f t="shared" si="57"/>
        <v>80.001135223081477</v>
      </c>
      <c r="AS104" s="568">
        <f t="shared" si="57"/>
        <v>79.713255549881637</v>
      </c>
      <c r="AT104" s="568">
        <f t="shared" si="57"/>
        <v>79.425381373997368</v>
      </c>
      <c r="AU104" s="568">
        <f t="shared" si="57"/>
        <v>79.137512702457386</v>
      </c>
      <c r="AV104" s="569">
        <v>5</v>
      </c>
    </row>
    <row r="105" spans="2:48" ht="14.4">
      <c r="B105" s="8" t="str">
        <f>Processes!D105</f>
        <v>EXPMOB1</v>
      </c>
      <c r="C105" s="8" t="str">
        <f>Processes!E105</f>
        <v>Export technology - Bio Methanol G1</v>
      </c>
      <c r="D105" s="262" t="str">
        <f t="shared" si="36"/>
        <v>MOB1</v>
      </c>
      <c r="F105" s="823" t="str">
        <f t="shared" si="35"/>
        <v>MKr14</v>
      </c>
      <c r="G105" s="568">
        <f>G102</f>
        <v>88.16</v>
      </c>
      <c r="H105" s="568">
        <f t="shared" ref="H105:AU105" si="58">H102</f>
        <v>116.755</v>
      </c>
      <c r="I105" s="568">
        <f t="shared" si="58"/>
        <v>129.86499999999998</v>
      </c>
      <c r="J105" s="568">
        <f t="shared" si="58"/>
        <v>115.89999999999999</v>
      </c>
      <c r="K105" s="568">
        <f t="shared" si="58"/>
        <v>109.05999999999999</v>
      </c>
      <c r="L105" s="568">
        <f t="shared" si="58"/>
        <v>74.290000000000006</v>
      </c>
      <c r="M105" s="568">
        <f t="shared" si="58"/>
        <v>71.534999999999997</v>
      </c>
      <c r="N105" s="568">
        <f t="shared" si="58"/>
        <v>75.430000000000007</v>
      </c>
      <c r="O105" s="568">
        <f t="shared" si="58"/>
        <v>97.281022004987349</v>
      </c>
      <c r="P105" s="568">
        <f t="shared" si="58"/>
        <v>92.859615434698739</v>
      </c>
      <c r="Q105" s="568">
        <f t="shared" si="58"/>
        <v>91.453673832219465</v>
      </c>
      <c r="R105" s="568">
        <f t="shared" si="58"/>
        <v>70.56879269142425</v>
      </c>
      <c r="S105" s="568">
        <f t="shared" si="58"/>
        <v>73.806866618593077</v>
      </c>
      <c r="T105" s="568">
        <f t="shared" si="58"/>
        <v>76.013796318990643</v>
      </c>
      <c r="U105" s="568">
        <f t="shared" si="58"/>
        <v>77.627095006707535</v>
      </c>
      <c r="V105" s="568">
        <f t="shared" si="58"/>
        <v>78.80174894190931</v>
      </c>
      <c r="W105" s="568">
        <f t="shared" si="58"/>
        <v>80.09893911330299</v>
      </c>
      <c r="X105" s="568">
        <f t="shared" si="58"/>
        <v>81.370170941805384</v>
      </c>
      <c r="Y105" s="568">
        <f t="shared" si="58"/>
        <v>82.539736173993532</v>
      </c>
      <c r="Z105" s="568">
        <f t="shared" si="58"/>
        <v>83.767850466579958</v>
      </c>
      <c r="AA105" s="568">
        <f t="shared" si="58"/>
        <v>84.929880872470534</v>
      </c>
      <c r="AB105" s="568">
        <f t="shared" si="58"/>
        <v>84.639044298377826</v>
      </c>
      <c r="AC105" s="568">
        <f t="shared" si="58"/>
        <v>84.347512149203396</v>
      </c>
      <c r="AD105" s="568">
        <f t="shared" si="58"/>
        <v>84.057183686862714</v>
      </c>
      <c r="AE105" s="568">
        <f t="shared" si="58"/>
        <v>83.766126007099942</v>
      </c>
      <c r="AF105" s="568">
        <f t="shared" si="58"/>
        <v>83.475160188978734</v>
      </c>
      <c r="AG105" s="568">
        <f t="shared" si="58"/>
        <v>83.183314786114749</v>
      </c>
      <c r="AH105" s="568">
        <f t="shared" si="58"/>
        <v>82.892497833412349</v>
      </c>
      <c r="AI105" s="568">
        <f t="shared" si="58"/>
        <v>82.600986928309936</v>
      </c>
      <c r="AJ105" s="568">
        <f t="shared" si="58"/>
        <v>82.310358418959339</v>
      </c>
      <c r="AK105" s="568">
        <f t="shared" si="58"/>
        <v>82.019443126641477</v>
      </c>
      <c r="AL105" s="568">
        <f t="shared" si="58"/>
        <v>81.728528313431966</v>
      </c>
      <c r="AM105" s="568">
        <f t="shared" si="58"/>
        <v>81.44061580343886</v>
      </c>
      <c r="AN105" s="568">
        <f t="shared" si="58"/>
        <v>81.152708748777343</v>
      </c>
      <c r="AO105" s="568">
        <f t="shared" si="58"/>
        <v>80.864807156422501</v>
      </c>
      <c r="AP105" s="568">
        <f t="shared" si="58"/>
        <v>80.576911033358186</v>
      </c>
      <c r="AQ105" s="568">
        <f t="shared" si="58"/>
        <v>80.289020386577249</v>
      </c>
      <c r="AR105" s="568">
        <f t="shared" si="58"/>
        <v>80.001135223081477</v>
      </c>
      <c r="AS105" s="568">
        <f t="shared" si="58"/>
        <v>79.713255549881637</v>
      </c>
      <c r="AT105" s="568">
        <f t="shared" si="58"/>
        <v>79.425381373997368</v>
      </c>
      <c r="AU105" s="568">
        <f t="shared" si="58"/>
        <v>79.137512702457386</v>
      </c>
      <c r="AV105" s="569">
        <v>5</v>
      </c>
    </row>
    <row r="106" spans="2:48" ht="14.4">
      <c r="B106" s="8" t="str">
        <f>Processes!D106</f>
        <v>EXPMOB2</v>
      </c>
      <c r="C106" s="8" t="str">
        <f>Processes!E106</f>
        <v>Export technology - Bio Methanol G2</v>
      </c>
      <c r="D106" s="262" t="str">
        <f t="shared" si="36"/>
        <v>MOB2</v>
      </c>
      <c r="F106" s="823" t="str">
        <f t="shared" si="35"/>
        <v>MKr14</v>
      </c>
      <c r="G106" s="568">
        <f>G103</f>
        <v>88.16</v>
      </c>
      <c r="H106" s="568">
        <f t="shared" ref="H106:AU106" si="59">H103</f>
        <v>116.755</v>
      </c>
      <c r="I106" s="568">
        <f t="shared" si="59"/>
        <v>129.86499999999998</v>
      </c>
      <c r="J106" s="568">
        <f t="shared" si="59"/>
        <v>115.89999999999999</v>
      </c>
      <c r="K106" s="568">
        <f t="shared" si="59"/>
        <v>109.05999999999999</v>
      </c>
      <c r="L106" s="568">
        <f t="shared" si="59"/>
        <v>74.290000000000006</v>
      </c>
      <c r="M106" s="568">
        <f t="shared" si="59"/>
        <v>71.534999999999997</v>
      </c>
      <c r="N106" s="568">
        <f t="shared" si="59"/>
        <v>75.430000000000007</v>
      </c>
      <c r="O106" s="568">
        <f t="shared" si="59"/>
        <v>97.281022004987349</v>
      </c>
      <c r="P106" s="568">
        <f t="shared" si="59"/>
        <v>92.859615434698739</v>
      </c>
      <c r="Q106" s="568">
        <f t="shared" si="59"/>
        <v>91.453673832219465</v>
      </c>
      <c r="R106" s="568">
        <f t="shared" si="59"/>
        <v>70.56879269142425</v>
      </c>
      <c r="S106" s="568">
        <f t="shared" si="59"/>
        <v>73.806866618593077</v>
      </c>
      <c r="T106" s="568">
        <f t="shared" si="59"/>
        <v>76.013796318990643</v>
      </c>
      <c r="U106" s="568">
        <f t="shared" si="59"/>
        <v>77.627095006707535</v>
      </c>
      <c r="V106" s="568">
        <f t="shared" si="59"/>
        <v>78.80174894190931</v>
      </c>
      <c r="W106" s="568">
        <f t="shared" si="59"/>
        <v>80.09893911330299</v>
      </c>
      <c r="X106" s="568">
        <f t="shared" si="59"/>
        <v>81.370170941805384</v>
      </c>
      <c r="Y106" s="568">
        <f t="shared" si="59"/>
        <v>82.539736173993532</v>
      </c>
      <c r="Z106" s="568">
        <f t="shared" si="59"/>
        <v>83.767850466579958</v>
      </c>
      <c r="AA106" s="568">
        <f t="shared" si="59"/>
        <v>84.929880872470534</v>
      </c>
      <c r="AB106" s="568">
        <f t="shared" si="59"/>
        <v>84.639044298377826</v>
      </c>
      <c r="AC106" s="568">
        <f t="shared" si="59"/>
        <v>84.347512149203396</v>
      </c>
      <c r="AD106" s="568">
        <f t="shared" si="59"/>
        <v>84.057183686862714</v>
      </c>
      <c r="AE106" s="568">
        <f t="shared" si="59"/>
        <v>83.766126007099942</v>
      </c>
      <c r="AF106" s="568">
        <f t="shared" si="59"/>
        <v>83.475160188978734</v>
      </c>
      <c r="AG106" s="568">
        <f t="shared" si="59"/>
        <v>83.183314786114749</v>
      </c>
      <c r="AH106" s="568">
        <f t="shared" si="59"/>
        <v>82.892497833412349</v>
      </c>
      <c r="AI106" s="568">
        <f t="shared" si="59"/>
        <v>82.600986928309936</v>
      </c>
      <c r="AJ106" s="568">
        <f t="shared" si="59"/>
        <v>82.310358418959339</v>
      </c>
      <c r="AK106" s="568">
        <f t="shared" si="59"/>
        <v>82.019443126641477</v>
      </c>
      <c r="AL106" s="568">
        <f t="shared" si="59"/>
        <v>81.728528313431966</v>
      </c>
      <c r="AM106" s="568">
        <f t="shared" si="59"/>
        <v>81.44061580343886</v>
      </c>
      <c r="AN106" s="568">
        <f t="shared" si="59"/>
        <v>81.152708748777343</v>
      </c>
      <c r="AO106" s="568">
        <f t="shared" si="59"/>
        <v>80.864807156422501</v>
      </c>
      <c r="AP106" s="568">
        <f t="shared" si="59"/>
        <v>80.576911033358186</v>
      </c>
      <c r="AQ106" s="568">
        <f t="shared" si="59"/>
        <v>80.289020386577249</v>
      </c>
      <c r="AR106" s="568">
        <f t="shared" si="59"/>
        <v>80.001135223081477</v>
      </c>
      <c r="AS106" s="568">
        <f t="shared" si="59"/>
        <v>79.713255549881637</v>
      </c>
      <c r="AT106" s="568">
        <f t="shared" si="59"/>
        <v>79.425381373997368</v>
      </c>
      <c r="AU106" s="568">
        <f t="shared" si="59"/>
        <v>79.137512702457386</v>
      </c>
      <c r="AV106" s="569">
        <v>5</v>
      </c>
    </row>
    <row r="107" spans="2:48" ht="14.4">
      <c r="B107" s="8" t="str">
        <f>Processes!D107</f>
        <v>EXPMOE</v>
      </c>
      <c r="C107" s="8" t="str">
        <f>Processes!E107</f>
        <v>Export technology - Electro Methanol</v>
      </c>
      <c r="D107" s="262" t="str">
        <f t="shared" si="36"/>
        <v>MOE</v>
      </c>
      <c r="F107" s="823" t="str">
        <f t="shared" si="35"/>
        <v>MKr14</v>
      </c>
      <c r="G107" s="568">
        <f>G104</f>
        <v>88.16</v>
      </c>
      <c r="H107" s="568">
        <f t="shared" ref="H107:AU107" si="60">H104</f>
        <v>116.755</v>
      </c>
      <c r="I107" s="568">
        <f t="shared" si="60"/>
        <v>129.86499999999998</v>
      </c>
      <c r="J107" s="568">
        <f t="shared" si="60"/>
        <v>115.89999999999999</v>
      </c>
      <c r="K107" s="568">
        <f t="shared" si="60"/>
        <v>109.05999999999999</v>
      </c>
      <c r="L107" s="568">
        <f t="shared" si="60"/>
        <v>74.290000000000006</v>
      </c>
      <c r="M107" s="568">
        <f t="shared" si="60"/>
        <v>71.534999999999997</v>
      </c>
      <c r="N107" s="568">
        <f t="shared" si="60"/>
        <v>75.430000000000007</v>
      </c>
      <c r="O107" s="568">
        <f t="shared" si="60"/>
        <v>97.281022004987349</v>
      </c>
      <c r="P107" s="568">
        <f t="shared" si="60"/>
        <v>92.859615434698739</v>
      </c>
      <c r="Q107" s="568">
        <f t="shared" si="60"/>
        <v>91.453673832219465</v>
      </c>
      <c r="R107" s="568">
        <f t="shared" si="60"/>
        <v>70.56879269142425</v>
      </c>
      <c r="S107" s="568">
        <f t="shared" si="60"/>
        <v>73.806866618593077</v>
      </c>
      <c r="T107" s="568">
        <f t="shared" si="60"/>
        <v>76.013796318990643</v>
      </c>
      <c r="U107" s="568">
        <f t="shared" si="60"/>
        <v>77.627095006707535</v>
      </c>
      <c r="V107" s="568">
        <f t="shared" si="60"/>
        <v>78.80174894190931</v>
      </c>
      <c r="W107" s="568">
        <f t="shared" si="60"/>
        <v>80.09893911330299</v>
      </c>
      <c r="X107" s="568">
        <f t="shared" si="60"/>
        <v>81.370170941805384</v>
      </c>
      <c r="Y107" s="568">
        <f t="shared" si="60"/>
        <v>82.539736173993532</v>
      </c>
      <c r="Z107" s="568">
        <f t="shared" si="60"/>
        <v>83.767850466579958</v>
      </c>
      <c r="AA107" s="568">
        <f t="shared" si="60"/>
        <v>84.929880872470534</v>
      </c>
      <c r="AB107" s="568">
        <f t="shared" si="60"/>
        <v>84.639044298377826</v>
      </c>
      <c r="AC107" s="568">
        <f t="shared" si="60"/>
        <v>84.347512149203396</v>
      </c>
      <c r="AD107" s="568">
        <f t="shared" si="60"/>
        <v>84.057183686862714</v>
      </c>
      <c r="AE107" s="568">
        <f t="shared" si="60"/>
        <v>83.766126007099942</v>
      </c>
      <c r="AF107" s="568">
        <f t="shared" si="60"/>
        <v>83.475160188978734</v>
      </c>
      <c r="AG107" s="568">
        <f t="shared" si="60"/>
        <v>83.183314786114749</v>
      </c>
      <c r="AH107" s="568">
        <f t="shared" si="60"/>
        <v>82.892497833412349</v>
      </c>
      <c r="AI107" s="568">
        <f t="shared" si="60"/>
        <v>82.600986928309936</v>
      </c>
      <c r="AJ107" s="568">
        <f t="shared" si="60"/>
        <v>82.310358418959339</v>
      </c>
      <c r="AK107" s="568">
        <f t="shared" si="60"/>
        <v>82.019443126641477</v>
      </c>
      <c r="AL107" s="568">
        <f t="shared" si="60"/>
        <v>81.728528313431966</v>
      </c>
      <c r="AM107" s="568">
        <f t="shared" si="60"/>
        <v>81.44061580343886</v>
      </c>
      <c r="AN107" s="568">
        <f t="shared" si="60"/>
        <v>81.152708748777343</v>
      </c>
      <c r="AO107" s="568">
        <f t="shared" si="60"/>
        <v>80.864807156422501</v>
      </c>
      <c r="AP107" s="568">
        <f t="shared" si="60"/>
        <v>80.576911033358186</v>
      </c>
      <c r="AQ107" s="568">
        <f t="shared" si="60"/>
        <v>80.289020386577249</v>
      </c>
      <c r="AR107" s="568">
        <f t="shared" si="60"/>
        <v>80.001135223081477</v>
      </c>
      <c r="AS107" s="568">
        <f t="shared" si="60"/>
        <v>79.713255549881637</v>
      </c>
      <c r="AT107" s="568">
        <f t="shared" si="60"/>
        <v>79.425381373997368</v>
      </c>
      <c r="AU107" s="568">
        <f t="shared" si="60"/>
        <v>79.137512702457386</v>
      </c>
      <c r="AV107" s="569">
        <v>5</v>
      </c>
    </row>
    <row r="108" spans="2:48" ht="14.4">
      <c r="B108" s="8" t="str">
        <f>Processes!D108</f>
        <v>EXPLNB</v>
      </c>
      <c r="C108" s="8" t="str">
        <f>Processes!E108</f>
        <v>Export technology - Bio Naphtha (Petroleoum)</v>
      </c>
      <c r="D108" s="262" t="str">
        <f>IF(LEN(B108)=6,RIGHT(B108,3),RIGHT(B108,4))</f>
        <v>LNB</v>
      </c>
      <c r="F108" s="823" t="str">
        <f t="shared" si="35"/>
        <v>MKr19</v>
      </c>
      <c r="G108" s="568">
        <f>G78</f>
        <v>84.36</v>
      </c>
      <c r="H108" s="568">
        <f t="shared" ref="H108:AU108" si="61">H78</f>
        <v>87.59</v>
      </c>
      <c r="I108" s="568">
        <f t="shared" si="61"/>
        <v>104.69</v>
      </c>
      <c r="J108" s="568">
        <f t="shared" si="61"/>
        <v>102.98</v>
      </c>
      <c r="K108" s="568">
        <f t="shared" si="61"/>
        <v>86.83</v>
      </c>
      <c r="L108" s="568">
        <f t="shared" si="61"/>
        <v>83.6</v>
      </c>
      <c r="M108" s="568">
        <f t="shared" si="61"/>
        <v>69.919999999999987</v>
      </c>
      <c r="N108" s="568">
        <f t="shared" si="61"/>
        <v>70.11</v>
      </c>
      <c r="O108" s="568">
        <f t="shared" si="61"/>
        <v>101.50214842551547</v>
      </c>
      <c r="P108" s="568">
        <f t="shared" si="61"/>
        <v>65.095921357178881</v>
      </c>
      <c r="Q108" s="568">
        <f t="shared" si="61"/>
        <v>63.455914974316286</v>
      </c>
      <c r="R108" s="568">
        <f t="shared" si="61"/>
        <v>59.898051048332576</v>
      </c>
      <c r="S108" s="568">
        <f t="shared" si="61"/>
        <v>62.248842380929602</v>
      </c>
      <c r="T108" s="568">
        <f t="shared" si="61"/>
        <v>63.398607794463381</v>
      </c>
      <c r="U108" s="568">
        <f t="shared" si="61"/>
        <v>63.777535448687935</v>
      </c>
      <c r="V108" s="568">
        <f t="shared" si="61"/>
        <v>63.661558579535964</v>
      </c>
      <c r="W108" s="568">
        <f t="shared" si="61"/>
        <v>63.588514488177715</v>
      </c>
      <c r="X108" s="568">
        <f t="shared" si="61"/>
        <v>63.541599463840171</v>
      </c>
      <c r="Y108" s="568">
        <f t="shared" si="61"/>
        <v>63.501419221861575</v>
      </c>
      <c r="Z108" s="568">
        <f t="shared" si="61"/>
        <v>63.487018471242372</v>
      </c>
      <c r="AA108" s="568">
        <f t="shared" si="61"/>
        <v>63.483089959778773</v>
      </c>
      <c r="AB108" s="568">
        <f t="shared" si="61"/>
        <v>63.570652842481927</v>
      </c>
      <c r="AC108" s="568">
        <f t="shared" si="61"/>
        <v>63.658215725185073</v>
      </c>
      <c r="AD108" s="568">
        <f t="shared" si="61"/>
        <v>63.745778607888212</v>
      </c>
      <c r="AE108" s="568">
        <f t="shared" si="61"/>
        <v>63.833341490591351</v>
      </c>
      <c r="AF108" s="568">
        <f t="shared" si="61"/>
        <v>63.920904373294512</v>
      </c>
      <c r="AG108" s="568">
        <f t="shared" si="61"/>
        <v>64.008467255997658</v>
      </c>
      <c r="AH108" s="568">
        <f t="shared" si="61"/>
        <v>64.096030138700783</v>
      </c>
      <c r="AI108" s="568">
        <f t="shared" si="61"/>
        <v>64.183593021403937</v>
      </c>
      <c r="AJ108" s="568">
        <f t="shared" si="61"/>
        <v>64.271155904107061</v>
      </c>
      <c r="AK108" s="568">
        <f t="shared" si="61"/>
        <v>64.358718786810215</v>
      </c>
      <c r="AL108" s="568">
        <f t="shared" si="61"/>
        <v>64.446281669513368</v>
      </c>
      <c r="AM108" s="568">
        <f t="shared" si="61"/>
        <v>64.533844552216507</v>
      </c>
      <c r="AN108" s="568">
        <f t="shared" si="61"/>
        <v>64.621407434919632</v>
      </c>
      <c r="AO108" s="568">
        <f t="shared" si="61"/>
        <v>64.708970317622786</v>
      </c>
      <c r="AP108" s="568">
        <f t="shared" si="61"/>
        <v>64.796533200325939</v>
      </c>
      <c r="AQ108" s="568">
        <f t="shared" si="61"/>
        <v>64.884096083029092</v>
      </c>
      <c r="AR108" s="568">
        <f t="shared" si="61"/>
        <v>64.971658965732217</v>
      </c>
      <c r="AS108" s="568">
        <f t="shared" si="61"/>
        <v>65.059221848435371</v>
      </c>
      <c r="AT108" s="568">
        <f t="shared" si="61"/>
        <v>65.146784731138496</v>
      </c>
      <c r="AU108" s="568">
        <f t="shared" si="61"/>
        <v>65.234347613841663</v>
      </c>
      <c r="AV108" s="569">
        <v>5</v>
      </c>
    </row>
    <row r="109" spans="2:48" ht="14.4">
      <c r="B109" s="8" t="str">
        <f>Processes!D109</f>
        <v>EXPGLY</v>
      </c>
      <c r="C109" s="8" t="str">
        <f>Processes!E109</f>
        <v>Export technology - Glycerol</v>
      </c>
      <c r="D109" s="262" t="str">
        <f t="shared" si="36"/>
        <v>GLY</v>
      </c>
      <c r="F109" s="823" t="str">
        <f t="shared" si="35"/>
        <v>MKr14</v>
      </c>
      <c r="G109" s="568">
        <f>IFERROR(INDEX($G$121:$AU$176,MATCH($D109,$E$121:$E$176,0),MATCH(G$5,$G$120:$AU$120,0)),0)*$E$192</f>
        <v>9.5</v>
      </c>
      <c r="H109" s="568">
        <f t="shared" ref="H109:P111" si="62">IFERROR(INDEX($G$121:$AU$176,MATCH($D109,$E$121:$E$176,0),MATCH(H$5,$G$120:$AU$120,0)),0)*$E$192</f>
        <v>9.5</v>
      </c>
      <c r="I109" s="568">
        <f t="shared" si="62"/>
        <v>9.5</v>
      </c>
      <c r="J109" s="568">
        <f t="shared" si="62"/>
        <v>9.5</v>
      </c>
      <c r="K109" s="568">
        <f t="shared" si="62"/>
        <v>9.5</v>
      </c>
      <c r="L109" s="568">
        <f t="shared" si="62"/>
        <v>9.5</v>
      </c>
      <c r="M109" s="568">
        <f t="shared" si="62"/>
        <v>9.5</v>
      </c>
      <c r="N109" s="568">
        <f t="shared" si="62"/>
        <v>9.5</v>
      </c>
      <c r="O109" s="568">
        <f t="shared" si="62"/>
        <v>9.5</v>
      </c>
      <c r="P109" s="568">
        <f t="shared" si="62"/>
        <v>9.5</v>
      </c>
      <c r="Q109" s="568">
        <f t="shared" ref="Q109:Z111" si="63">IFERROR(INDEX($G$121:$AU$176,MATCH($D109,$E$121:$E$176,0),MATCH(Q$5,$G$120:$AU$120,0)),0)*$E$192</f>
        <v>9.5</v>
      </c>
      <c r="R109" s="568">
        <f t="shared" si="63"/>
        <v>9.5</v>
      </c>
      <c r="S109" s="568">
        <f t="shared" si="63"/>
        <v>9.5</v>
      </c>
      <c r="T109" s="568">
        <f t="shared" si="63"/>
        <v>9.5</v>
      </c>
      <c r="U109" s="568">
        <f t="shared" si="63"/>
        <v>9.5</v>
      </c>
      <c r="V109" s="568">
        <f t="shared" si="63"/>
        <v>9.5</v>
      </c>
      <c r="W109" s="568">
        <f t="shared" si="63"/>
        <v>9.5</v>
      </c>
      <c r="X109" s="568">
        <f t="shared" si="63"/>
        <v>9.5</v>
      </c>
      <c r="Y109" s="568">
        <f t="shared" si="63"/>
        <v>9.5</v>
      </c>
      <c r="Z109" s="568">
        <f t="shared" si="63"/>
        <v>9.5</v>
      </c>
      <c r="AA109" s="568">
        <f t="shared" ref="AA109:AJ111" si="64">IFERROR(INDEX($G$121:$AU$176,MATCH($D109,$E$121:$E$176,0),MATCH(AA$5,$G$120:$AU$120,0)),0)*$E$192</f>
        <v>9.5</v>
      </c>
      <c r="AB109" s="568">
        <f t="shared" si="64"/>
        <v>9.5</v>
      </c>
      <c r="AC109" s="568">
        <f t="shared" si="64"/>
        <v>9.5</v>
      </c>
      <c r="AD109" s="568">
        <f t="shared" si="64"/>
        <v>9.5</v>
      </c>
      <c r="AE109" s="568">
        <f t="shared" si="64"/>
        <v>9.5</v>
      </c>
      <c r="AF109" s="568">
        <f t="shared" si="64"/>
        <v>9.5</v>
      </c>
      <c r="AG109" s="568">
        <f t="shared" si="64"/>
        <v>9.5</v>
      </c>
      <c r="AH109" s="568">
        <f t="shared" si="64"/>
        <v>9.5</v>
      </c>
      <c r="AI109" s="568">
        <f t="shared" si="64"/>
        <v>9.5</v>
      </c>
      <c r="AJ109" s="568">
        <f t="shared" si="64"/>
        <v>9.5</v>
      </c>
      <c r="AK109" s="568">
        <f t="shared" ref="AK109:AU111" si="65">IFERROR(INDEX($G$121:$AU$176,MATCH($D109,$E$121:$E$176,0),MATCH(AK$5,$G$120:$AU$120,0)),0)*$E$192</f>
        <v>9.5</v>
      </c>
      <c r="AL109" s="568">
        <f t="shared" si="65"/>
        <v>9.5</v>
      </c>
      <c r="AM109" s="568">
        <f t="shared" si="65"/>
        <v>9.5</v>
      </c>
      <c r="AN109" s="568">
        <f t="shared" si="65"/>
        <v>9.5</v>
      </c>
      <c r="AO109" s="568">
        <f t="shared" si="65"/>
        <v>9.5</v>
      </c>
      <c r="AP109" s="568">
        <f t="shared" si="65"/>
        <v>9.5</v>
      </c>
      <c r="AQ109" s="568">
        <f t="shared" si="65"/>
        <v>9.5</v>
      </c>
      <c r="AR109" s="568">
        <f t="shared" si="65"/>
        <v>9.5</v>
      </c>
      <c r="AS109" s="568">
        <f t="shared" si="65"/>
        <v>9.5</v>
      </c>
      <c r="AT109" s="568">
        <f t="shared" si="65"/>
        <v>9.5</v>
      </c>
      <c r="AU109" s="568">
        <f t="shared" si="65"/>
        <v>9.5</v>
      </c>
      <c r="AV109" s="569">
        <v>5</v>
      </c>
    </row>
    <row r="110" spans="2:48" ht="14.4">
      <c r="B110" s="8" t="str">
        <f>Processes!D110</f>
        <v>EXPRPC</v>
      </c>
      <c r="C110" s="8" t="str">
        <f>Processes!E110</f>
        <v>Export technology - Rape Cake</v>
      </c>
      <c r="D110" s="262" t="str">
        <f t="shared" si="36"/>
        <v>RPC</v>
      </c>
      <c r="F110" s="823" t="str">
        <f t="shared" si="35"/>
        <v>MKr14</v>
      </c>
      <c r="G110" s="568">
        <f>IFERROR(INDEX($G$121:$AU$176,MATCH($D110,$E$121:$E$176,0),MATCH(G$5,$G$120:$AU$120,0)),0)*$E$192</f>
        <v>9.5</v>
      </c>
      <c r="H110" s="568">
        <f t="shared" si="62"/>
        <v>9.5</v>
      </c>
      <c r="I110" s="568">
        <f t="shared" si="62"/>
        <v>9.5</v>
      </c>
      <c r="J110" s="568">
        <f t="shared" si="62"/>
        <v>9.5</v>
      </c>
      <c r="K110" s="568">
        <f t="shared" si="62"/>
        <v>9.5</v>
      </c>
      <c r="L110" s="568">
        <f t="shared" si="62"/>
        <v>9.5</v>
      </c>
      <c r="M110" s="568">
        <f t="shared" si="62"/>
        <v>9.5</v>
      </c>
      <c r="N110" s="568">
        <f t="shared" si="62"/>
        <v>9.5</v>
      </c>
      <c r="O110" s="568">
        <f t="shared" si="62"/>
        <v>9.5</v>
      </c>
      <c r="P110" s="568">
        <f t="shared" si="62"/>
        <v>9.5</v>
      </c>
      <c r="Q110" s="568">
        <f t="shared" si="63"/>
        <v>9.5</v>
      </c>
      <c r="R110" s="568">
        <f t="shared" si="63"/>
        <v>9.5</v>
      </c>
      <c r="S110" s="568">
        <f t="shared" si="63"/>
        <v>9.5</v>
      </c>
      <c r="T110" s="568">
        <f t="shared" si="63"/>
        <v>9.5</v>
      </c>
      <c r="U110" s="568">
        <f t="shared" si="63"/>
        <v>9.5</v>
      </c>
      <c r="V110" s="568">
        <f t="shared" si="63"/>
        <v>9.5</v>
      </c>
      <c r="W110" s="568">
        <f t="shared" si="63"/>
        <v>9.5</v>
      </c>
      <c r="X110" s="568">
        <f t="shared" si="63"/>
        <v>9.5</v>
      </c>
      <c r="Y110" s="568">
        <f t="shared" si="63"/>
        <v>9.5</v>
      </c>
      <c r="Z110" s="568">
        <f t="shared" si="63"/>
        <v>9.5</v>
      </c>
      <c r="AA110" s="568">
        <f t="shared" si="64"/>
        <v>9.5</v>
      </c>
      <c r="AB110" s="568">
        <f t="shared" si="64"/>
        <v>9.5</v>
      </c>
      <c r="AC110" s="568">
        <f t="shared" si="64"/>
        <v>9.5</v>
      </c>
      <c r="AD110" s="568">
        <f t="shared" si="64"/>
        <v>9.5</v>
      </c>
      <c r="AE110" s="568">
        <f t="shared" si="64"/>
        <v>9.5</v>
      </c>
      <c r="AF110" s="568">
        <f t="shared" si="64"/>
        <v>9.5</v>
      </c>
      <c r="AG110" s="568">
        <f t="shared" si="64"/>
        <v>9.5</v>
      </c>
      <c r="AH110" s="568">
        <f t="shared" si="64"/>
        <v>9.5</v>
      </c>
      <c r="AI110" s="568">
        <f t="shared" si="64"/>
        <v>9.5</v>
      </c>
      <c r="AJ110" s="568">
        <f t="shared" si="64"/>
        <v>9.5</v>
      </c>
      <c r="AK110" s="568">
        <f t="shared" si="65"/>
        <v>9.5</v>
      </c>
      <c r="AL110" s="568">
        <f t="shared" si="65"/>
        <v>9.5</v>
      </c>
      <c r="AM110" s="568">
        <f t="shared" si="65"/>
        <v>9.5</v>
      </c>
      <c r="AN110" s="568">
        <f t="shared" si="65"/>
        <v>9.5</v>
      </c>
      <c r="AO110" s="568">
        <f t="shared" si="65"/>
        <v>9.5</v>
      </c>
      <c r="AP110" s="568">
        <f t="shared" si="65"/>
        <v>9.5</v>
      </c>
      <c r="AQ110" s="568">
        <f t="shared" si="65"/>
        <v>9.5</v>
      </c>
      <c r="AR110" s="568">
        <f t="shared" si="65"/>
        <v>9.5</v>
      </c>
      <c r="AS110" s="568">
        <f t="shared" si="65"/>
        <v>9.5</v>
      </c>
      <c r="AT110" s="568">
        <f t="shared" si="65"/>
        <v>9.5</v>
      </c>
      <c r="AU110" s="568">
        <f t="shared" si="65"/>
        <v>9.5</v>
      </c>
      <c r="AV110" s="569">
        <v>5</v>
      </c>
    </row>
    <row r="111" spans="2:48" ht="14.4">
      <c r="B111" s="8" t="str">
        <f>Processes!D111</f>
        <v>EXPSGP</v>
      </c>
      <c r="C111" s="8" t="str">
        <f>Processes!E111</f>
        <v>Export technology - Sugar Beet Pulp</v>
      </c>
      <c r="D111" s="262" t="str">
        <f t="shared" si="36"/>
        <v>SGP</v>
      </c>
      <c r="F111" s="823" t="str">
        <f t="shared" si="35"/>
        <v>MKr14</v>
      </c>
      <c r="G111" s="568">
        <f>IFERROR(INDEX($G$121:$AU$176,MATCH($D111,$E$121:$E$176,0),MATCH(G$5,$G$120:$AU$120,0)),0)*$E$192</f>
        <v>9.5</v>
      </c>
      <c r="H111" s="568">
        <f t="shared" si="62"/>
        <v>9.5</v>
      </c>
      <c r="I111" s="568">
        <f t="shared" si="62"/>
        <v>9.5</v>
      </c>
      <c r="J111" s="568">
        <f t="shared" si="62"/>
        <v>9.5</v>
      </c>
      <c r="K111" s="568">
        <f t="shared" si="62"/>
        <v>9.5</v>
      </c>
      <c r="L111" s="568">
        <f t="shared" si="62"/>
        <v>9.5</v>
      </c>
      <c r="M111" s="568">
        <f t="shared" si="62"/>
        <v>9.5</v>
      </c>
      <c r="N111" s="568">
        <f t="shared" si="62"/>
        <v>9.5</v>
      </c>
      <c r="O111" s="568">
        <f t="shared" si="62"/>
        <v>9.5</v>
      </c>
      <c r="P111" s="568">
        <f t="shared" si="62"/>
        <v>9.5</v>
      </c>
      <c r="Q111" s="568">
        <f t="shared" si="63"/>
        <v>9.5</v>
      </c>
      <c r="R111" s="568">
        <f t="shared" si="63"/>
        <v>9.5</v>
      </c>
      <c r="S111" s="568">
        <f t="shared" si="63"/>
        <v>9.5</v>
      </c>
      <c r="T111" s="568">
        <f t="shared" si="63"/>
        <v>9.5</v>
      </c>
      <c r="U111" s="568">
        <f t="shared" si="63"/>
        <v>9.5</v>
      </c>
      <c r="V111" s="568">
        <f t="shared" si="63"/>
        <v>9.5</v>
      </c>
      <c r="W111" s="568">
        <f t="shared" si="63"/>
        <v>9.5</v>
      </c>
      <c r="X111" s="568">
        <f t="shared" si="63"/>
        <v>9.5</v>
      </c>
      <c r="Y111" s="568">
        <f t="shared" si="63"/>
        <v>9.5</v>
      </c>
      <c r="Z111" s="568">
        <f t="shared" si="63"/>
        <v>9.5</v>
      </c>
      <c r="AA111" s="568">
        <f t="shared" si="64"/>
        <v>9.5</v>
      </c>
      <c r="AB111" s="568">
        <f t="shared" si="64"/>
        <v>9.5</v>
      </c>
      <c r="AC111" s="568">
        <f t="shared" si="64"/>
        <v>9.5</v>
      </c>
      <c r="AD111" s="568">
        <f t="shared" si="64"/>
        <v>9.5</v>
      </c>
      <c r="AE111" s="568">
        <f t="shared" si="64"/>
        <v>9.5</v>
      </c>
      <c r="AF111" s="568">
        <f t="shared" si="64"/>
        <v>9.5</v>
      </c>
      <c r="AG111" s="568">
        <f t="shared" si="64"/>
        <v>9.5</v>
      </c>
      <c r="AH111" s="568">
        <f t="shared" si="64"/>
        <v>9.5</v>
      </c>
      <c r="AI111" s="568">
        <f t="shared" si="64"/>
        <v>9.5</v>
      </c>
      <c r="AJ111" s="568">
        <f t="shared" si="64"/>
        <v>9.5</v>
      </c>
      <c r="AK111" s="568">
        <f t="shared" si="65"/>
        <v>9.5</v>
      </c>
      <c r="AL111" s="568">
        <f t="shared" si="65"/>
        <v>9.5</v>
      </c>
      <c r="AM111" s="568">
        <f t="shared" si="65"/>
        <v>9.5</v>
      </c>
      <c r="AN111" s="568">
        <f t="shared" si="65"/>
        <v>9.5</v>
      </c>
      <c r="AO111" s="568">
        <f t="shared" si="65"/>
        <v>9.5</v>
      </c>
      <c r="AP111" s="568">
        <f t="shared" si="65"/>
        <v>9.5</v>
      </c>
      <c r="AQ111" s="568">
        <f t="shared" si="65"/>
        <v>9.5</v>
      </c>
      <c r="AR111" s="568">
        <f t="shared" si="65"/>
        <v>9.5</v>
      </c>
      <c r="AS111" s="568">
        <f t="shared" si="65"/>
        <v>9.5</v>
      </c>
      <c r="AT111" s="568">
        <f t="shared" si="65"/>
        <v>9.5</v>
      </c>
      <c r="AU111" s="568">
        <f t="shared" si="65"/>
        <v>9.5</v>
      </c>
      <c r="AV111" s="569">
        <v>5</v>
      </c>
    </row>
    <row r="112" spans="2:48" ht="14.4">
      <c r="B112" s="8"/>
      <c r="C112" s="8"/>
      <c r="D112" s="262"/>
      <c r="F112" s="103"/>
      <c r="G112" s="568"/>
      <c r="H112" s="568"/>
      <c r="I112" s="568"/>
      <c r="J112" s="568"/>
      <c r="K112" s="568"/>
      <c r="L112" s="568"/>
      <c r="M112" s="568"/>
      <c r="N112" s="568"/>
      <c r="O112" s="568"/>
      <c r="P112" s="568"/>
      <c r="Q112" s="568"/>
      <c r="R112" s="568"/>
      <c r="S112" s="568"/>
      <c r="T112" s="568"/>
      <c r="U112" s="568"/>
    </row>
    <row r="113" spans="2:48" ht="14.4">
      <c r="B113" s="8"/>
      <c r="C113" s="8"/>
      <c r="D113" s="262"/>
      <c r="F113" s="103"/>
      <c r="G113" s="568"/>
      <c r="H113" s="568"/>
      <c r="I113" s="568"/>
      <c r="J113" s="568"/>
      <c r="K113" s="568"/>
      <c r="L113" s="568"/>
      <c r="M113" s="568"/>
      <c r="N113" s="568"/>
      <c r="O113" s="568"/>
      <c r="P113" s="568"/>
      <c r="Q113" s="568"/>
      <c r="R113" s="568"/>
      <c r="S113" s="568"/>
      <c r="T113" s="568"/>
      <c r="U113" s="568"/>
    </row>
    <row r="114" spans="2:48" ht="14.4">
      <c r="B114" s="8"/>
      <c r="C114" s="8"/>
      <c r="D114" s="262"/>
      <c r="F114" s="103"/>
      <c r="G114" s="568"/>
      <c r="H114" s="568"/>
      <c r="I114" s="568"/>
      <c r="J114" s="568"/>
      <c r="K114" s="568"/>
      <c r="L114" s="568"/>
      <c r="M114" s="568"/>
      <c r="N114" s="568"/>
      <c r="O114" s="568"/>
      <c r="P114" s="568"/>
      <c r="Q114" s="568"/>
      <c r="R114" s="568"/>
      <c r="S114" s="568"/>
      <c r="T114" s="568"/>
      <c r="U114" s="568"/>
    </row>
    <row r="115" spans="2:48" ht="14.4">
      <c r="B115" s="8"/>
      <c r="C115" s="8"/>
      <c r="D115" s="262"/>
      <c r="F115" s="103"/>
      <c r="G115" s="568"/>
      <c r="H115" s="568"/>
      <c r="I115" s="568"/>
      <c r="J115" s="568"/>
      <c r="K115" s="568"/>
      <c r="L115" s="568"/>
      <c r="M115" s="568"/>
      <c r="N115" s="568"/>
      <c r="O115" s="568"/>
      <c r="P115" s="568"/>
      <c r="Q115" s="568"/>
      <c r="R115" s="568"/>
      <c r="S115" s="568"/>
      <c r="T115" s="568"/>
      <c r="U115" s="568"/>
    </row>
    <row r="116" spans="2:48">
      <c r="B116" s="8"/>
      <c r="C116" s="830" t="s">
        <v>887</v>
      </c>
      <c r="D116" s="830"/>
      <c r="E116" s="830"/>
      <c r="F116" s="830"/>
      <c r="G116" s="830"/>
      <c r="H116" s="830"/>
      <c r="I116" s="830"/>
      <c r="J116" s="830"/>
      <c r="K116" s="830"/>
      <c r="L116" s="830"/>
    </row>
    <row r="117" spans="2:48">
      <c r="B117" s="8"/>
      <c r="C117" s="830"/>
      <c r="D117" s="830"/>
      <c r="E117" s="830"/>
      <c r="F117" s="830"/>
      <c r="G117" s="830"/>
      <c r="H117" s="830"/>
      <c r="I117" s="830"/>
      <c r="J117" s="830"/>
      <c r="K117" s="830"/>
      <c r="L117" s="830"/>
    </row>
    <row r="118" spans="2:48" s="695" customFormat="1" ht="20.399999999999999">
      <c r="B118" s="8"/>
      <c r="C118" s="807"/>
      <c r="D118" s="807"/>
      <c r="E118" s="807"/>
      <c r="F118" s="807"/>
      <c r="G118" s="807"/>
      <c r="H118" s="807"/>
      <c r="I118" s="807"/>
      <c r="J118" s="807"/>
      <c r="K118" s="807"/>
      <c r="L118" s="807"/>
    </row>
    <row r="119" spans="2:48">
      <c r="B119" s="8"/>
      <c r="C119" s="8"/>
      <c r="D119" s="262"/>
      <c r="E119" s="452"/>
      <c r="F119" s="103"/>
    </row>
    <row r="120" spans="2:48" ht="13.8">
      <c r="D120" s="8"/>
      <c r="E120" s="452" t="s">
        <v>841</v>
      </c>
      <c r="F120" s="571" t="s">
        <v>842</v>
      </c>
      <c r="G120" s="655">
        <v>2010</v>
      </c>
      <c r="H120" s="655">
        <v>2011</v>
      </c>
      <c r="I120" s="655">
        <v>2012</v>
      </c>
      <c r="J120" s="655">
        <v>2013</v>
      </c>
      <c r="K120" s="655">
        <v>2014</v>
      </c>
      <c r="L120" s="655">
        <v>2015</v>
      </c>
      <c r="M120" s="655">
        <v>2016</v>
      </c>
      <c r="N120" s="655">
        <v>2017</v>
      </c>
      <c r="O120" s="655">
        <v>2018</v>
      </c>
      <c r="P120" s="655">
        <v>2019</v>
      </c>
      <c r="Q120" s="655">
        <v>2020</v>
      </c>
      <c r="R120" s="655">
        <v>2021</v>
      </c>
      <c r="S120" s="655">
        <v>2022</v>
      </c>
      <c r="T120" s="655">
        <v>2023</v>
      </c>
      <c r="U120" s="655">
        <v>2024</v>
      </c>
      <c r="V120" s="655">
        <v>2025</v>
      </c>
      <c r="W120" s="655">
        <v>2026</v>
      </c>
      <c r="X120" s="655">
        <v>2027</v>
      </c>
      <c r="Y120" s="655">
        <v>2028</v>
      </c>
      <c r="Z120" s="655">
        <v>2029</v>
      </c>
      <c r="AA120" s="655">
        <v>2030</v>
      </c>
      <c r="AB120" s="655">
        <v>2031</v>
      </c>
      <c r="AC120" s="655">
        <v>2032</v>
      </c>
      <c r="AD120" s="655">
        <v>2033</v>
      </c>
      <c r="AE120" s="655">
        <v>2034</v>
      </c>
      <c r="AF120" s="655">
        <v>2035</v>
      </c>
      <c r="AG120" s="655">
        <v>2036</v>
      </c>
      <c r="AH120" s="655">
        <v>2037</v>
      </c>
      <c r="AI120" s="655">
        <v>2038</v>
      </c>
      <c r="AJ120" s="655">
        <v>2039</v>
      </c>
      <c r="AK120" s="655">
        <v>2040</v>
      </c>
      <c r="AL120" s="655">
        <v>2041</v>
      </c>
      <c r="AM120" s="655">
        <v>2042</v>
      </c>
      <c r="AN120" s="655">
        <v>2043</v>
      </c>
      <c r="AO120" s="655">
        <v>2044</v>
      </c>
      <c r="AP120" s="655">
        <v>2045</v>
      </c>
      <c r="AQ120" s="655">
        <v>2046</v>
      </c>
      <c r="AR120" s="655">
        <v>2047</v>
      </c>
      <c r="AS120" s="655">
        <v>2048</v>
      </c>
      <c r="AT120" s="655">
        <v>2049</v>
      </c>
      <c r="AU120" s="655">
        <v>2050</v>
      </c>
    </row>
    <row r="121" spans="2:48">
      <c r="D121" s="8"/>
      <c r="E121" s="452" t="s">
        <v>40</v>
      </c>
      <c r="F121" s="821" t="s">
        <v>1102</v>
      </c>
      <c r="G121" s="653">
        <f>G215</f>
        <v>23.1</v>
      </c>
      <c r="H121" s="653">
        <f t="shared" ref="H121:N121" si="66">H215</f>
        <v>27.7</v>
      </c>
      <c r="I121" s="653">
        <f t="shared" si="66"/>
        <v>23.9</v>
      </c>
      <c r="J121" s="653">
        <f t="shared" si="66"/>
        <v>20.3</v>
      </c>
      <c r="K121" s="653">
        <f t="shared" si="66"/>
        <v>17.2</v>
      </c>
      <c r="L121" s="653">
        <f t="shared" si="66"/>
        <v>15.7</v>
      </c>
      <c r="M121" s="653">
        <f t="shared" si="66"/>
        <v>12.2</v>
      </c>
      <c r="N121" s="653">
        <f t="shared" si="66"/>
        <v>11.7</v>
      </c>
      <c r="O121" s="822">
        <f>VLOOKUP(O$120,$C$284:$O$316,4)</f>
        <v>22.935796128023767</v>
      </c>
      <c r="P121" s="822">
        <f t="shared" ref="P121:AU121" si="67">VLOOKUP(P$120,$C$284:$O$316,4)</f>
        <v>15.532766006190153</v>
      </c>
      <c r="Q121" s="822">
        <f t="shared" si="67"/>
        <v>12.929551889587877</v>
      </c>
      <c r="R121" s="822">
        <f t="shared" si="67"/>
        <v>13.166058954324894</v>
      </c>
      <c r="S121" s="822">
        <f t="shared" si="67"/>
        <v>13.673473481430243</v>
      </c>
      <c r="T121" s="822">
        <f t="shared" si="67"/>
        <v>14.173926683886389</v>
      </c>
      <c r="U121" s="822">
        <f t="shared" si="67"/>
        <v>14.64740072098045</v>
      </c>
      <c r="V121" s="822">
        <f t="shared" si="67"/>
        <v>14.580898828103843</v>
      </c>
      <c r="W121" s="822">
        <f t="shared" si="67"/>
        <v>14.5316584938834</v>
      </c>
      <c r="X121" s="822">
        <f t="shared" si="67"/>
        <v>14.477230593088336</v>
      </c>
      <c r="Y121" s="822">
        <f t="shared" si="67"/>
        <v>14.413190648189367</v>
      </c>
      <c r="Z121" s="822">
        <f t="shared" si="67"/>
        <v>14.343963605486476</v>
      </c>
      <c r="AA121" s="822">
        <f t="shared" si="67"/>
        <v>14.266503152082981</v>
      </c>
      <c r="AB121" s="822">
        <f t="shared" si="67"/>
        <v>14.23069306413351</v>
      </c>
      <c r="AC121" s="822">
        <f t="shared" si="67"/>
        <v>14.195037264254136</v>
      </c>
      <c r="AD121" s="822">
        <f t="shared" si="67"/>
        <v>14.159114470166005</v>
      </c>
      <c r="AE121" s="822">
        <f t="shared" si="67"/>
        <v>14.123353426479357</v>
      </c>
      <c r="AF121" s="822">
        <f t="shared" si="67"/>
        <v>14.087572006623748</v>
      </c>
      <c r="AG121" s="822">
        <f t="shared" si="67"/>
        <v>14.051985690698709</v>
      </c>
      <c r="AH121" s="822">
        <f t="shared" si="67"/>
        <v>14.016171250456402</v>
      </c>
      <c r="AI121" s="822">
        <f t="shared" si="67"/>
        <v>13.980510738351196</v>
      </c>
      <c r="AJ121" s="822">
        <f t="shared" si="67"/>
        <v>13.944654498795146</v>
      </c>
      <c r="AK121" s="822">
        <f t="shared" si="67"/>
        <v>13.908861871625055</v>
      </c>
      <c r="AL121" s="822">
        <f t="shared" si="67"/>
        <v>13.873069138182171</v>
      </c>
      <c r="AM121" s="822">
        <f t="shared" si="67"/>
        <v>13.836610452807903</v>
      </c>
      <c r="AN121" s="822">
        <f t="shared" si="67"/>
        <v>13.800150557366436</v>
      </c>
      <c r="AO121" s="822">
        <f t="shared" si="67"/>
        <v>13.763689450310618</v>
      </c>
      <c r="AP121" s="822">
        <f t="shared" si="67"/>
        <v>13.727227130091334</v>
      </c>
      <c r="AQ121" s="822">
        <f t="shared" si="67"/>
        <v>13.690763595157463</v>
      </c>
      <c r="AR121" s="822">
        <f t="shared" si="67"/>
        <v>13.654298843955917</v>
      </c>
      <c r="AS121" s="822">
        <f t="shared" si="67"/>
        <v>13.617832874931624</v>
      </c>
      <c r="AT121" s="822">
        <f t="shared" si="67"/>
        <v>13.581365686527514</v>
      </c>
      <c r="AU121" s="822">
        <f t="shared" si="67"/>
        <v>13.544897277184536</v>
      </c>
      <c r="AV121" s="653"/>
    </row>
    <row r="122" spans="2:48">
      <c r="D122" s="8"/>
      <c r="E122" s="452" t="s">
        <v>93</v>
      </c>
      <c r="F122" s="821" t="s">
        <v>1102</v>
      </c>
      <c r="G122" s="653">
        <f>G216</f>
        <v>76.2</v>
      </c>
      <c r="H122" s="653">
        <f t="shared" ref="H122:N122" si="68">H216</f>
        <v>106.1</v>
      </c>
      <c r="I122" s="653">
        <f t="shared" si="68"/>
        <v>112.9</v>
      </c>
      <c r="J122" s="653">
        <f t="shared" si="68"/>
        <v>100.3</v>
      </c>
      <c r="K122" s="653">
        <f t="shared" si="68"/>
        <v>97.3</v>
      </c>
      <c r="L122" s="653">
        <f t="shared" si="68"/>
        <v>62.7</v>
      </c>
      <c r="M122" s="653">
        <f t="shared" si="68"/>
        <v>59.9</v>
      </c>
      <c r="N122" s="653">
        <f t="shared" si="68"/>
        <v>63.9</v>
      </c>
      <c r="O122" s="822">
        <f>VLOOKUP(O$120,$C$284:$O$316,2)</f>
        <v>78.592912119302227</v>
      </c>
      <c r="P122" s="822">
        <f t="shared" ref="P122:AU122" si="69">VLOOKUP(P$120,$C$284:$O$316,2)</f>
        <v>72.66780821917807</v>
      </c>
      <c r="Q122" s="822">
        <f t="shared" si="69"/>
        <v>71.191547947610658</v>
      </c>
      <c r="R122" s="822">
        <f t="shared" si="69"/>
        <v>49.181117057429148</v>
      </c>
      <c r="S122" s="822">
        <f t="shared" si="69"/>
        <v>52.581323432074825</v>
      </c>
      <c r="T122" s="822">
        <f t="shared" si="69"/>
        <v>54.889966476332738</v>
      </c>
      <c r="U122" s="822">
        <f t="shared" si="69"/>
        <v>56.568388062461416</v>
      </c>
      <c r="V122" s="822">
        <f t="shared" si="69"/>
        <v>57.786429057350325</v>
      </c>
      <c r="W122" s="822">
        <f t="shared" si="69"/>
        <v>59.146270171698553</v>
      </c>
      <c r="X122" s="822">
        <f t="shared" si="69"/>
        <v>60.478046986869018</v>
      </c>
      <c r="Y122" s="822">
        <f t="shared" si="69"/>
        <v>61.703174257304624</v>
      </c>
      <c r="Z122" s="822">
        <f t="shared" si="69"/>
        <v>62.989602327697277</v>
      </c>
      <c r="AA122" s="822">
        <f t="shared" si="69"/>
        <v>64.209121548162642</v>
      </c>
      <c r="AB122" s="822">
        <f t="shared" si="69"/>
        <v>63.901532941943884</v>
      </c>
      <c r="AC122" s="822">
        <f t="shared" si="69"/>
        <v>63.593944335725141</v>
      </c>
      <c r="AD122" s="822">
        <f t="shared" si="69"/>
        <v>63.286355729506404</v>
      </c>
      <c r="AE122" s="822">
        <f t="shared" si="69"/>
        <v>62.978767123287653</v>
      </c>
      <c r="AF122" s="822">
        <f t="shared" si="69"/>
        <v>62.671178517068917</v>
      </c>
      <c r="AG122" s="822">
        <f t="shared" si="69"/>
        <v>62.363589910850173</v>
      </c>
      <c r="AH122" s="822">
        <f t="shared" si="69"/>
        <v>62.056001304631437</v>
      </c>
      <c r="AI122" s="822">
        <f t="shared" si="69"/>
        <v>61.7484126984127</v>
      </c>
      <c r="AJ122" s="822">
        <f t="shared" si="69"/>
        <v>61.440824092193949</v>
      </c>
      <c r="AK122" s="822">
        <f t="shared" si="69"/>
        <v>61.133235485975206</v>
      </c>
      <c r="AL122" s="822">
        <f t="shared" si="69"/>
        <v>60.825646879756469</v>
      </c>
      <c r="AM122" s="822">
        <f t="shared" si="69"/>
        <v>60.518058273537719</v>
      </c>
      <c r="AN122" s="822">
        <f t="shared" si="69"/>
        <v>60.210469667318975</v>
      </c>
      <c r="AO122" s="822">
        <f t="shared" si="69"/>
        <v>59.902881061100238</v>
      </c>
      <c r="AP122" s="822">
        <f t="shared" si="69"/>
        <v>59.595292454881495</v>
      </c>
      <c r="AQ122" s="822">
        <f t="shared" si="69"/>
        <v>59.287703848662751</v>
      </c>
      <c r="AR122" s="822">
        <f t="shared" si="69"/>
        <v>58.980115242444008</v>
      </c>
      <c r="AS122" s="822">
        <f t="shared" si="69"/>
        <v>58.672526636225271</v>
      </c>
      <c r="AT122" s="822">
        <f t="shared" si="69"/>
        <v>58.364938030006527</v>
      </c>
      <c r="AU122" s="822">
        <f t="shared" si="69"/>
        <v>58.057349423787784</v>
      </c>
    </row>
    <row r="123" spans="2:48">
      <c r="D123" s="8"/>
      <c r="E123" s="452" t="s">
        <v>784</v>
      </c>
      <c r="F123" s="821" t="s">
        <v>1102</v>
      </c>
      <c r="G123" s="653">
        <f>G122</f>
        <v>76.2</v>
      </c>
      <c r="H123" s="653">
        <f t="shared" ref="H123:AU123" si="70">H122</f>
        <v>106.1</v>
      </c>
      <c r="I123" s="653">
        <f t="shared" si="70"/>
        <v>112.9</v>
      </c>
      <c r="J123" s="653">
        <f t="shared" si="70"/>
        <v>100.3</v>
      </c>
      <c r="K123" s="653">
        <f t="shared" si="70"/>
        <v>97.3</v>
      </c>
      <c r="L123" s="653">
        <f t="shared" si="70"/>
        <v>62.7</v>
      </c>
      <c r="M123" s="653">
        <f t="shared" si="70"/>
        <v>59.9</v>
      </c>
      <c r="N123" s="653">
        <f t="shared" si="70"/>
        <v>63.9</v>
      </c>
      <c r="O123" s="822">
        <f t="shared" si="70"/>
        <v>78.592912119302227</v>
      </c>
      <c r="P123" s="822">
        <f t="shared" si="70"/>
        <v>72.66780821917807</v>
      </c>
      <c r="Q123" s="822">
        <f t="shared" si="70"/>
        <v>71.191547947610658</v>
      </c>
      <c r="R123" s="822">
        <f t="shared" si="70"/>
        <v>49.181117057429148</v>
      </c>
      <c r="S123" s="822">
        <f t="shared" si="70"/>
        <v>52.581323432074825</v>
      </c>
      <c r="T123" s="822">
        <f t="shared" si="70"/>
        <v>54.889966476332738</v>
      </c>
      <c r="U123" s="822">
        <f t="shared" si="70"/>
        <v>56.568388062461416</v>
      </c>
      <c r="V123" s="822">
        <f t="shared" si="70"/>
        <v>57.786429057350325</v>
      </c>
      <c r="W123" s="822">
        <f t="shared" si="70"/>
        <v>59.146270171698553</v>
      </c>
      <c r="X123" s="822">
        <f t="shared" si="70"/>
        <v>60.478046986869018</v>
      </c>
      <c r="Y123" s="822">
        <f t="shared" si="70"/>
        <v>61.703174257304624</v>
      </c>
      <c r="Z123" s="822">
        <f t="shared" si="70"/>
        <v>62.989602327697277</v>
      </c>
      <c r="AA123" s="822">
        <f t="shared" si="70"/>
        <v>64.209121548162642</v>
      </c>
      <c r="AB123" s="822">
        <f t="shared" si="70"/>
        <v>63.901532941943884</v>
      </c>
      <c r="AC123" s="822">
        <f t="shared" si="70"/>
        <v>63.593944335725141</v>
      </c>
      <c r="AD123" s="822">
        <f t="shared" si="70"/>
        <v>63.286355729506404</v>
      </c>
      <c r="AE123" s="822">
        <f t="shared" si="70"/>
        <v>62.978767123287653</v>
      </c>
      <c r="AF123" s="822">
        <f t="shared" si="70"/>
        <v>62.671178517068917</v>
      </c>
      <c r="AG123" s="822">
        <f t="shared" si="70"/>
        <v>62.363589910850173</v>
      </c>
      <c r="AH123" s="822">
        <f t="shared" si="70"/>
        <v>62.056001304631437</v>
      </c>
      <c r="AI123" s="822">
        <f t="shared" si="70"/>
        <v>61.7484126984127</v>
      </c>
      <c r="AJ123" s="822">
        <f t="shared" si="70"/>
        <v>61.440824092193949</v>
      </c>
      <c r="AK123" s="822">
        <f t="shared" si="70"/>
        <v>61.133235485975206</v>
      </c>
      <c r="AL123" s="822">
        <f t="shared" si="70"/>
        <v>60.825646879756469</v>
      </c>
      <c r="AM123" s="822">
        <f t="shared" si="70"/>
        <v>60.518058273537719</v>
      </c>
      <c r="AN123" s="822">
        <f t="shared" si="70"/>
        <v>60.210469667318975</v>
      </c>
      <c r="AO123" s="822">
        <f t="shared" si="70"/>
        <v>59.902881061100238</v>
      </c>
      <c r="AP123" s="822">
        <f t="shared" si="70"/>
        <v>59.595292454881495</v>
      </c>
      <c r="AQ123" s="822">
        <f t="shared" si="70"/>
        <v>59.287703848662751</v>
      </c>
      <c r="AR123" s="822">
        <f t="shared" si="70"/>
        <v>58.980115242444008</v>
      </c>
      <c r="AS123" s="822">
        <f t="shared" si="70"/>
        <v>58.672526636225271</v>
      </c>
      <c r="AT123" s="822">
        <f t="shared" si="70"/>
        <v>58.364938030006527</v>
      </c>
      <c r="AU123" s="822">
        <f t="shared" si="70"/>
        <v>58.057349423787784</v>
      </c>
    </row>
    <row r="124" spans="2:48">
      <c r="D124" s="8"/>
      <c r="E124" s="452" t="s">
        <v>76</v>
      </c>
      <c r="F124" s="821" t="s">
        <v>1102</v>
      </c>
      <c r="G124" s="653">
        <f>G217</f>
        <v>92.8</v>
      </c>
      <c r="H124" s="653">
        <f t="shared" ref="H124:N124" si="71">H217</f>
        <v>122.9</v>
      </c>
      <c r="I124" s="653">
        <f t="shared" si="71"/>
        <v>136.69999999999999</v>
      </c>
      <c r="J124" s="653">
        <f t="shared" si="71"/>
        <v>122</v>
      </c>
      <c r="K124" s="653">
        <f t="shared" si="71"/>
        <v>114.8</v>
      </c>
      <c r="L124" s="653">
        <f t="shared" si="71"/>
        <v>78.2</v>
      </c>
      <c r="M124" s="653">
        <f t="shared" si="71"/>
        <v>75.3</v>
      </c>
      <c r="N124" s="653">
        <f t="shared" si="71"/>
        <v>79.400000000000006</v>
      </c>
      <c r="O124" s="822">
        <f>VLOOKUP(O$120,$C$284:$O$316,8)</f>
        <v>102.40107579472352</v>
      </c>
      <c r="P124" s="822">
        <f t="shared" ref="P124:AU124" si="72">VLOOKUP(P$120,$C$284:$O$316,8)</f>
        <v>97.746963615472367</v>
      </c>
      <c r="Q124" s="822">
        <f t="shared" si="72"/>
        <v>96.267025086546809</v>
      </c>
      <c r="R124" s="822">
        <f t="shared" si="72"/>
        <v>74.282939675183428</v>
      </c>
      <c r="S124" s="822">
        <f t="shared" si="72"/>
        <v>77.691438545887451</v>
      </c>
      <c r="T124" s="822">
        <f t="shared" si="72"/>
        <v>80.014522441042786</v>
      </c>
      <c r="U124" s="822">
        <f t="shared" si="72"/>
        <v>81.712731586007934</v>
      </c>
      <c r="V124" s="822">
        <f t="shared" si="72"/>
        <v>82.949209412536121</v>
      </c>
      <c r="W124" s="822">
        <f t="shared" si="72"/>
        <v>84.314672750845261</v>
      </c>
      <c r="X124" s="822">
        <f t="shared" si="72"/>
        <v>85.652811517689884</v>
      </c>
      <c r="Y124" s="822">
        <f t="shared" si="72"/>
        <v>86.883932814730045</v>
      </c>
      <c r="Z124" s="822">
        <f t="shared" si="72"/>
        <v>88.17668470166312</v>
      </c>
      <c r="AA124" s="822">
        <f t="shared" si="72"/>
        <v>89.399874602600562</v>
      </c>
      <c r="AB124" s="822">
        <f t="shared" si="72"/>
        <v>89.093730840397711</v>
      </c>
      <c r="AC124" s="822">
        <f t="shared" si="72"/>
        <v>88.786854893898322</v>
      </c>
      <c r="AD124" s="822">
        <f t="shared" si="72"/>
        <v>88.481245986171288</v>
      </c>
      <c r="AE124" s="822">
        <f t="shared" si="72"/>
        <v>88.174869481157842</v>
      </c>
      <c r="AF124" s="822">
        <f t="shared" si="72"/>
        <v>87.868589672609204</v>
      </c>
      <c r="AG124" s="822">
        <f t="shared" si="72"/>
        <v>87.561383985383955</v>
      </c>
      <c r="AH124" s="822">
        <f t="shared" si="72"/>
        <v>87.255260877276157</v>
      </c>
      <c r="AI124" s="822">
        <f t="shared" si="72"/>
        <v>86.948407292957839</v>
      </c>
      <c r="AJ124" s="822">
        <f t="shared" si="72"/>
        <v>86.642482546272987</v>
      </c>
      <c r="AK124" s="822">
        <f t="shared" si="72"/>
        <v>86.336255922780509</v>
      </c>
      <c r="AL124" s="822">
        <f t="shared" si="72"/>
        <v>86.030029803612607</v>
      </c>
      <c r="AM124" s="822">
        <f t="shared" si="72"/>
        <v>85.726964003619855</v>
      </c>
      <c r="AN124" s="822">
        <f t="shared" si="72"/>
        <v>85.423903946081424</v>
      </c>
      <c r="AO124" s="822">
        <f t="shared" si="72"/>
        <v>85.120849638339479</v>
      </c>
      <c r="AP124" s="822">
        <f t="shared" si="72"/>
        <v>84.817801087745465</v>
      </c>
      <c r="AQ124" s="822">
        <f t="shared" si="72"/>
        <v>84.514758301660265</v>
      </c>
      <c r="AR124" s="822">
        <f t="shared" si="72"/>
        <v>84.211721287454196</v>
      </c>
      <c r="AS124" s="822">
        <f t="shared" si="72"/>
        <v>83.908690052506984</v>
      </c>
      <c r="AT124" s="822">
        <f t="shared" si="72"/>
        <v>83.60566460420776</v>
      </c>
      <c r="AU124" s="822">
        <f t="shared" si="72"/>
        <v>83.302644949955152</v>
      </c>
    </row>
    <row r="125" spans="2:48">
      <c r="D125" s="8"/>
      <c r="E125" s="452" t="s">
        <v>623</v>
      </c>
      <c r="F125" s="821" t="s">
        <v>1102</v>
      </c>
      <c r="G125" s="653">
        <f t="shared" ref="G125:AU125" si="73">G124+$E$184</f>
        <v>191.9869989234187</v>
      </c>
      <c r="H125" s="653">
        <f t="shared" si="73"/>
        <v>222.08699892341872</v>
      </c>
      <c r="I125" s="653">
        <f t="shared" si="73"/>
        <v>235.88699892341867</v>
      </c>
      <c r="J125" s="653">
        <f t="shared" si="73"/>
        <v>221.18699892341868</v>
      </c>
      <c r="K125" s="653">
        <f t="shared" si="73"/>
        <v>213.9869989234187</v>
      </c>
      <c r="L125" s="653">
        <f>L124+$E$184</f>
        <v>177.3869989234187</v>
      </c>
      <c r="M125" s="653">
        <f t="shared" si="73"/>
        <v>174.4869989234187</v>
      </c>
      <c r="N125" s="653">
        <f t="shared" si="73"/>
        <v>178.58699892341872</v>
      </c>
      <c r="O125" s="822">
        <f t="shared" si="73"/>
        <v>201.58807471814222</v>
      </c>
      <c r="P125" s="822">
        <f t="shared" si="73"/>
        <v>196.93396253889108</v>
      </c>
      <c r="Q125" s="822">
        <f t="shared" si="73"/>
        <v>195.45402400996551</v>
      </c>
      <c r="R125" s="822">
        <f t="shared" si="73"/>
        <v>173.46993859860214</v>
      </c>
      <c r="S125" s="822">
        <f t="shared" si="73"/>
        <v>176.87843746930616</v>
      </c>
      <c r="T125" s="822">
        <f t="shared" si="73"/>
        <v>179.20152136446148</v>
      </c>
      <c r="U125" s="822">
        <f t="shared" si="73"/>
        <v>180.89973050942663</v>
      </c>
      <c r="V125" s="822">
        <f t="shared" si="73"/>
        <v>182.13620833595482</v>
      </c>
      <c r="W125" s="822">
        <f t="shared" si="73"/>
        <v>183.50167167426395</v>
      </c>
      <c r="X125" s="822">
        <f t="shared" si="73"/>
        <v>184.83981044110857</v>
      </c>
      <c r="Y125" s="822">
        <f t="shared" si="73"/>
        <v>186.07093173814874</v>
      </c>
      <c r="Z125" s="822">
        <f t="shared" si="73"/>
        <v>187.36368362508182</v>
      </c>
      <c r="AA125" s="822">
        <f t="shared" si="73"/>
        <v>188.58687352601925</v>
      </c>
      <c r="AB125" s="822">
        <f t="shared" si="73"/>
        <v>188.2807297638164</v>
      </c>
      <c r="AC125" s="822">
        <f t="shared" si="73"/>
        <v>187.97385381731704</v>
      </c>
      <c r="AD125" s="822">
        <f t="shared" si="73"/>
        <v>187.66824490958999</v>
      </c>
      <c r="AE125" s="822">
        <f t="shared" si="73"/>
        <v>187.36186840457654</v>
      </c>
      <c r="AF125" s="822">
        <f t="shared" si="73"/>
        <v>187.05558859602792</v>
      </c>
      <c r="AG125" s="822">
        <f t="shared" si="73"/>
        <v>186.74838290880265</v>
      </c>
      <c r="AH125" s="822">
        <f t="shared" si="73"/>
        <v>186.44225980069484</v>
      </c>
      <c r="AI125" s="822">
        <f t="shared" si="73"/>
        <v>186.13540621637654</v>
      </c>
      <c r="AJ125" s="822">
        <f t="shared" si="73"/>
        <v>185.8294814696917</v>
      </c>
      <c r="AK125" s="822">
        <f t="shared" si="73"/>
        <v>185.52325484619922</v>
      </c>
      <c r="AL125" s="822">
        <f t="shared" si="73"/>
        <v>185.21702872703131</v>
      </c>
      <c r="AM125" s="822">
        <f t="shared" si="73"/>
        <v>184.91396292703854</v>
      </c>
      <c r="AN125" s="822">
        <f t="shared" si="73"/>
        <v>184.61090286950014</v>
      </c>
      <c r="AO125" s="822">
        <f t="shared" si="73"/>
        <v>184.30784856175819</v>
      </c>
      <c r="AP125" s="822">
        <f t="shared" si="73"/>
        <v>184.00480001116415</v>
      </c>
      <c r="AQ125" s="822">
        <f t="shared" si="73"/>
        <v>183.70175722507895</v>
      </c>
      <c r="AR125" s="822">
        <f t="shared" si="73"/>
        <v>183.39872021087291</v>
      </c>
      <c r="AS125" s="822">
        <f t="shared" si="73"/>
        <v>183.09568897592567</v>
      </c>
      <c r="AT125" s="822">
        <f t="shared" si="73"/>
        <v>182.79266352762647</v>
      </c>
      <c r="AU125" s="822">
        <f t="shared" si="73"/>
        <v>182.48964387337384</v>
      </c>
    </row>
    <row r="126" spans="2:48">
      <c r="D126" s="8"/>
      <c r="E126" s="452" t="s">
        <v>625</v>
      </c>
      <c r="F126" s="821" t="s">
        <v>1102</v>
      </c>
      <c r="G126" s="653">
        <f>G125*1.1</f>
        <v>211.18569881576059</v>
      </c>
      <c r="H126" s="653">
        <f t="shared" ref="H126:AU126" si="74">H125+$E$184</f>
        <v>321.2739978468374</v>
      </c>
      <c r="I126" s="653">
        <f t="shared" si="74"/>
        <v>335.07399784683736</v>
      </c>
      <c r="J126" s="653">
        <f t="shared" si="74"/>
        <v>320.37399784683737</v>
      </c>
      <c r="K126" s="653">
        <f t="shared" si="74"/>
        <v>313.17399784683738</v>
      </c>
      <c r="L126" s="653">
        <f>L125+$E$184</f>
        <v>276.57399784683741</v>
      </c>
      <c r="M126" s="653">
        <f t="shared" si="74"/>
        <v>273.67399784683738</v>
      </c>
      <c r="N126" s="653">
        <f t="shared" si="74"/>
        <v>277.7739978468374</v>
      </c>
      <c r="O126" s="822">
        <f t="shared" si="74"/>
        <v>300.77507364156094</v>
      </c>
      <c r="P126" s="822">
        <f t="shared" si="74"/>
        <v>296.12096146230977</v>
      </c>
      <c r="Q126" s="822">
        <f t="shared" si="74"/>
        <v>294.64102293338419</v>
      </c>
      <c r="R126" s="822">
        <f t="shared" si="74"/>
        <v>272.65693752202083</v>
      </c>
      <c r="S126" s="822">
        <f t="shared" si="74"/>
        <v>276.06543639272485</v>
      </c>
      <c r="T126" s="822">
        <f t="shared" si="74"/>
        <v>278.38852028788017</v>
      </c>
      <c r="U126" s="822">
        <f t="shared" si="74"/>
        <v>280.08672943284535</v>
      </c>
      <c r="V126" s="822">
        <f t="shared" si="74"/>
        <v>281.32320725937353</v>
      </c>
      <c r="W126" s="822">
        <f t="shared" si="74"/>
        <v>282.68867059768263</v>
      </c>
      <c r="X126" s="822">
        <f t="shared" si="74"/>
        <v>284.02680936452725</v>
      </c>
      <c r="Y126" s="822">
        <f t="shared" si="74"/>
        <v>285.25793066156746</v>
      </c>
      <c r="Z126" s="822">
        <f t="shared" si="74"/>
        <v>286.5506825485005</v>
      </c>
      <c r="AA126" s="822">
        <f t="shared" si="74"/>
        <v>287.77387244943793</v>
      </c>
      <c r="AB126" s="822">
        <f t="shared" si="74"/>
        <v>287.46772868723508</v>
      </c>
      <c r="AC126" s="822">
        <f t="shared" si="74"/>
        <v>287.16085274073572</v>
      </c>
      <c r="AD126" s="822">
        <f t="shared" si="74"/>
        <v>286.85524383300867</v>
      </c>
      <c r="AE126" s="822">
        <f t="shared" si="74"/>
        <v>286.54886732799525</v>
      </c>
      <c r="AF126" s="822">
        <f t="shared" si="74"/>
        <v>286.2425875194466</v>
      </c>
      <c r="AG126" s="822">
        <f t="shared" si="74"/>
        <v>285.93538183222137</v>
      </c>
      <c r="AH126" s="822">
        <f t="shared" si="74"/>
        <v>285.62925872411353</v>
      </c>
      <c r="AI126" s="822">
        <f t="shared" si="74"/>
        <v>285.32240513979525</v>
      </c>
      <c r="AJ126" s="822">
        <f t="shared" si="74"/>
        <v>285.01648039311038</v>
      </c>
      <c r="AK126" s="822">
        <f t="shared" si="74"/>
        <v>284.71025376961791</v>
      </c>
      <c r="AL126" s="822">
        <f t="shared" si="74"/>
        <v>284.40402765045002</v>
      </c>
      <c r="AM126" s="822">
        <f t="shared" si="74"/>
        <v>284.10096185045722</v>
      </c>
      <c r="AN126" s="822">
        <f t="shared" si="74"/>
        <v>283.79790179291882</v>
      </c>
      <c r="AO126" s="822">
        <f t="shared" si="74"/>
        <v>283.49484748517688</v>
      </c>
      <c r="AP126" s="822">
        <f t="shared" si="74"/>
        <v>283.19179893458283</v>
      </c>
      <c r="AQ126" s="822">
        <f t="shared" si="74"/>
        <v>282.88875614849763</v>
      </c>
      <c r="AR126" s="822">
        <f t="shared" si="74"/>
        <v>282.58571913429159</v>
      </c>
      <c r="AS126" s="822">
        <f t="shared" si="74"/>
        <v>282.28268789934435</v>
      </c>
      <c r="AT126" s="822">
        <f t="shared" si="74"/>
        <v>281.97966245104516</v>
      </c>
      <c r="AU126" s="822">
        <f t="shared" si="74"/>
        <v>281.67664279679252</v>
      </c>
    </row>
    <row r="127" spans="2:48">
      <c r="D127" s="8"/>
      <c r="E127" s="452" t="s">
        <v>818</v>
      </c>
      <c r="F127" s="821" t="s">
        <v>1102</v>
      </c>
      <c r="G127" s="653">
        <f>G126*2</f>
        <v>422.37139763152118</v>
      </c>
      <c r="H127" s="653">
        <f t="shared" ref="H127:AU127" si="75">H126*2</f>
        <v>642.54799569367481</v>
      </c>
      <c r="I127" s="653">
        <f t="shared" si="75"/>
        <v>670.14799569367472</v>
      </c>
      <c r="J127" s="653">
        <f t="shared" si="75"/>
        <v>640.74799569367474</v>
      </c>
      <c r="K127" s="653">
        <f t="shared" si="75"/>
        <v>626.34799569367476</v>
      </c>
      <c r="L127" s="653">
        <f>L126*2</f>
        <v>553.14799569367483</v>
      </c>
      <c r="M127" s="653">
        <f t="shared" si="75"/>
        <v>547.34799569367476</v>
      </c>
      <c r="N127" s="653">
        <f t="shared" si="75"/>
        <v>555.54799569367481</v>
      </c>
      <c r="O127" s="822">
        <f>O126*2</f>
        <v>601.55014728312187</v>
      </c>
      <c r="P127" s="822">
        <f t="shared" si="75"/>
        <v>592.24192292461953</v>
      </c>
      <c r="Q127" s="822">
        <f t="shared" si="75"/>
        <v>589.28204586676839</v>
      </c>
      <c r="R127" s="822">
        <f t="shared" si="75"/>
        <v>545.31387504404165</v>
      </c>
      <c r="S127" s="822">
        <f t="shared" si="75"/>
        <v>552.1308727854497</v>
      </c>
      <c r="T127" s="822">
        <f t="shared" si="75"/>
        <v>556.77704057576034</v>
      </c>
      <c r="U127" s="822">
        <f t="shared" si="75"/>
        <v>560.17345886569069</v>
      </c>
      <c r="V127" s="822">
        <f t="shared" si="75"/>
        <v>562.64641451874706</v>
      </c>
      <c r="W127" s="822">
        <f t="shared" si="75"/>
        <v>565.37734119536526</v>
      </c>
      <c r="X127" s="822">
        <f t="shared" si="75"/>
        <v>568.05361872905451</v>
      </c>
      <c r="Y127" s="822">
        <f t="shared" si="75"/>
        <v>570.51586132313491</v>
      </c>
      <c r="Z127" s="822">
        <f t="shared" si="75"/>
        <v>573.10136509700101</v>
      </c>
      <c r="AA127" s="822">
        <f t="shared" si="75"/>
        <v>575.54774489887586</v>
      </c>
      <c r="AB127" s="822">
        <f t="shared" si="75"/>
        <v>574.93545737447016</v>
      </c>
      <c r="AC127" s="822">
        <f t="shared" si="75"/>
        <v>574.32170548147144</v>
      </c>
      <c r="AD127" s="822">
        <f t="shared" si="75"/>
        <v>573.71048766601734</v>
      </c>
      <c r="AE127" s="822">
        <f t="shared" si="75"/>
        <v>573.09773465599051</v>
      </c>
      <c r="AF127" s="822">
        <f t="shared" si="75"/>
        <v>572.4851750388932</v>
      </c>
      <c r="AG127" s="822">
        <f t="shared" si="75"/>
        <v>571.87076366444273</v>
      </c>
      <c r="AH127" s="822">
        <f t="shared" si="75"/>
        <v>571.25851744822705</v>
      </c>
      <c r="AI127" s="822">
        <f t="shared" si="75"/>
        <v>570.6448102795905</v>
      </c>
      <c r="AJ127" s="822">
        <f t="shared" si="75"/>
        <v>570.03296078622077</v>
      </c>
      <c r="AK127" s="822">
        <f t="shared" si="75"/>
        <v>569.42050753923581</v>
      </c>
      <c r="AL127" s="822">
        <f t="shared" si="75"/>
        <v>568.80805530090004</v>
      </c>
      <c r="AM127" s="822">
        <f t="shared" si="75"/>
        <v>568.20192370091445</v>
      </c>
      <c r="AN127" s="822">
        <f t="shared" si="75"/>
        <v>567.59580358583764</v>
      </c>
      <c r="AO127" s="822">
        <f t="shared" si="75"/>
        <v>566.98969497035375</v>
      </c>
      <c r="AP127" s="822">
        <f t="shared" si="75"/>
        <v>566.38359786916567</v>
      </c>
      <c r="AQ127" s="822">
        <f t="shared" si="75"/>
        <v>565.77751229699527</v>
      </c>
      <c r="AR127" s="822">
        <f t="shared" si="75"/>
        <v>565.17143826858319</v>
      </c>
      <c r="AS127" s="822">
        <f t="shared" si="75"/>
        <v>564.56537579868871</v>
      </c>
      <c r="AT127" s="822">
        <f t="shared" si="75"/>
        <v>563.95932490209032</v>
      </c>
      <c r="AU127" s="822">
        <f t="shared" si="75"/>
        <v>563.35328559358504</v>
      </c>
    </row>
    <row r="128" spans="2:48">
      <c r="D128" s="8"/>
      <c r="E128" s="452" t="s">
        <v>45</v>
      </c>
      <c r="F128" s="821" t="s">
        <v>1102</v>
      </c>
      <c r="G128" s="653">
        <f>G218</f>
        <v>105.4</v>
      </c>
      <c r="H128" s="653">
        <f t="shared" ref="H128:N128" si="76">H218</f>
        <v>117.4</v>
      </c>
      <c r="I128" s="653">
        <f t="shared" si="76"/>
        <v>134.19999999999999</v>
      </c>
      <c r="J128" s="653">
        <f t="shared" si="76"/>
        <v>123.2</v>
      </c>
      <c r="K128" s="653">
        <f t="shared" si="76"/>
        <v>113.5</v>
      </c>
      <c r="L128" s="653">
        <f>L218</f>
        <v>77</v>
      </c>
      <c r="M128" s="653">
        <f t="shared" si="76"/>
        <v>74</v>
      </c>
      <c r="N128" s="653">
        <f t="shared" si="76"/>
        <v>78.2</v>
      </c>
      <c r="O128" s="822">
        <f>VLOOKUP(O$120,$C$284:$O$316,7)</f>
        <v>101.50107579472352</v>
      </c>
      <c r="P128" s="822">
        <f t="shared" ref="P128:AU128" si="77">VLOOKUP(P$120,$C$284:$O$316,7)</f>
        <v>95.586963615472371</v>
      </c>
      <c r="Q128" s="822">
        <f t="shared" si="77"/>
        <v>94.107025086546813</v>
      </c>
      <c r="R128" s="822">
        <f t="shared" si="77"/>
        <v>72.122939675183432</v>
      </c>
      <c r="S128" s="822">
        <f t="shared" si="77"/>
        <v>75.531438545887454</v>
      </c>
      <c r="T128" s="822">
        <f t="shared" si="77"/>
        <v>77.854522441042789</v>
      </c>
      <c r="U128" s="822">
        <f t="shared" si="77"/>
        <v>79.552731586007937</v>
      </c>
      <c r="V128" s="822">
        <f t="shared" si="77"/>
        <v>80.789209412536124</v>
      </c>
      <c r="W128" s="822">
        <f t="shared" si="77"/>
        <v>82.154672750845265</v>
      </c>
      <c r="X128" s="822">
        <f t="shared" si="77"/>
        <v>83.492811517689887</v>
      </c>
      <c r="Y128" s="822">
        <f t="shared" si="77"/>
        <v>84.723932814730048</v>
      </c>
      <c r="Z128" s="822">
        <f t="shared" si="77"/>
        <v>86.016684701663124</v>
      </c>
      <c r="AA128" s="822">
        <f t="shared" si="77"/>
        <v>87.239874602600565</v>
      </c>
      <c r="AB128" s="822">
        <f t="shared" si="77"/>
        <v>86.933730840397715</v>
      </c>
      <c r="AC128" s="822">
        <f t="shared" si="77"/>
        <v>86.626854893898326</v>
      </c>
      <c r="AD128" s="822">
        <f t="shared" si="77"/>
        <v>86.321245986171292</v>
      </c>
      <c r="AE128" s="822">
        <f t="shared" si="77"/>
        <v>86.014869481157845</v>
      </c>
      <c r="AF128" s="822">
        <f t="shared" si="77"/>
        <v>85.708589672609207</v>
      </c>
      <c r="AG128" s="822">
        <f t="shared" si="77"/>
        <v>85.401383985383958</v>
      </c>
      <c r="AH128" s="822">
        <f t="shared" si="77"/>
        <v>85.095260877276161</v>
      </c>
      <c r="AI128" s="822">
        <f t="shared" si="77"/>
        <v>84.788407292957842</v>
      </c>
      <c r="AJ128" s="822">
        <f t="shared" si="77"/>
        <v>84.48248254627299</v>
      </c>
      <c r="AK128" s="822">
        <f t="shared" si="77"/>
        <v>84.176255922780513</v>
      </c>
      <c r="AL128" s="822">
        <f t="shared" si="77"/>
        <v>83.87002980361261</v>
      </c>
      <c r="AM128" s="822">
        <f t="shared" si="77"/>
        <v>83.566964003619859</v>
      </c>
      <c r="AN128" s="822">
        <f t="shared" si="77"/>
        <v>83.263903946081427</v>
      </c>
      <c r="AO128" s="822">
        <f t="shared" si="77"/>
        <v>82.960849638339482</v>
      </c>
      <c r="AP128" s="822">
        <f t="shared" si="77"/>
        <v>82.657801087745469</v>
      </c>
      <c r="AQ128" s="822">
        <f t="shared" si="77"/>
        <v>82.354758301660269</v>
      </c>
      <c r="AR128" s="822">
        <f t="shared" si="77"/>
        <v>82.0517212874542</v>
      </c>
      <c r="AS128" s="822">
        <f t="shared" si="77"/>
        <v>81.748690052506987</v>
      </c>
      <c r="AT128" s="822">
        <f t="shared" si="77"/>
        <v>81.445664604207764</v>
      </c>
      <c r="AU128" s="822">
        <f t="shared" si="77"/>
        <v>81.142644949955155</v>
      </c>
    </row>
    <row r="129" spans="4:47">
      <c r="D129" s="8"/>
      <c r="E129" s="452" t="s">
        <v>619</v>
      </c>
      <c r="F129" s="821" t="s">
        <v>1102</v>
      </c>
      <c r="G129" s="653">
        <f t="shared" ref="G129:AU129" si="78">G128+$E$183</f>
        <v>169.073753033598</v>
      </c>
      <c r="H129" s="653">
        <f t="shared" si="78"/>
        <v>181.073753033598</v>
      </c>
      <c r="I129" s="653">
        <f t="shared" si="78"/>
        <v>197.87375303359798</v>
      </c>
      <c r="J129" s="653">
        <f t="shared" si="78"/>
        <v>186.87375303359801</v>
      </c>
      <c r="K129" s="653">
        <f t="shared" si="78"/>
        <v>177.17375303359799</v>
      </c>
      <c r="L129" s="653">
        <f t="shared" si="78"/>
        <v>140.67375303359799</v>
      </c>
      <c r="M129" s="653">
        <f t="shared" si="78"/>
        <v>137.67375303359799</v>
      </c>
      <c r="N129" s="653">
        <f t="shared" si="78"/>
        <v>141.87375303359801</v>
      </c>
      <c r="O129" s="822">
        <f t="shared" si="78"/>
        <v>165.17482882832152</v>
      </c>
      <c r="P129" s="822">
        <f t="shared" si="78"/>
        <v>159.26071664907036</v>
      </c>
      <c r="Q129" s="822">
        <f t="shared" si="78"/>
        <v>157.78077812014482</v>
      </c>
      <c r="R129" s="822">
        <f t="shared" si="78"/>
        <v>135.79669270878142</v>
      </c>
      <c r="S129" s="822">
        <f t="shared" si="78"/>
        <v>139.20519157948544</v>
      </c>
      <c r="T129" s="822">
        <f t="shared" si="78"/>
        <v>141.52827547464079</v>
      </c>
      <c r="U129" s="822">
        <f t="shared" si="78"/>
        <v>143.22648461960594</v>
      </c>
      <c r="V129" s="822">
        <f t="shared" si="78"/>
        <v>144.46296244613413</v>
      </c>
      <c r="W129" s="822">
        <f t="shared" si="78"/>
        <v>145.82842578444325</v>
      </c>
      <c r="X129" s="822">
        <f t="shared" si="78"/>
        <v>147.16656455128788</v>
      </c>
      <c r="Y129" s="822">
        <f t="shared" si="78"/>
        <v>148.39768584832805</v>
      </c>
      <c r="Z129" s="822">
        <f t="shared" si="78"/>
        <v>149.69043773526113</v>
      </c>
      <c r="AA129" s="822">
        <f t="shared" si="78"/>
        <v>150.91362763619856</v>
      </c>
      <c r="AB129" s="822">
        <f t="shared" si="78"/>
        <v>150.6074838739957</v>
      </c>
      <c r="AC129" s="822">
        <f t="shared" si="78"/>
        <v>150.30060792749632</v>
      </c>
      <c r="AD129" s="822">
        <f t="shared" si="78"/>
        <v>149.9949990197693</v>
      </c>
      <c r="AE129" s="822">
        <f t="shared" si="78"/>
        <v>149.68862251475585</v>
      </c>
      <c r="AF129" s="822">
        <f t="shared" si="78"/>
        <v>149.3823427062072</v>
      </c>
      <c r="AG129" s="822">
        <f t="shared" si="78"/>
        <v>149.07513701898196</v>
      </c>
      <c r="AH129" s="822">
        <f t="shared" si="78"/>
        <v>148.76901391087415</v>
      </c>
      <c r="AI129" s="822">
        <f t="shared" si="78"/>
        <v>148.46216032655585</v>
      </c>
      <c r="AJ129" s="822">
        <f t="shared" si="78"/>
        <v>148.15623557987098</v>
      </c>
      <c r="AK129" s="822">
        <f t="shared" si="78"/>
        <v>147.8500089563785</v>
      </c>
      <c r="AL129" s="822">
        <f t="shared" si="78"/>
        <v>147.54378283721061</v>
      </c>
      <c r="AM129" s="822">
        <f t="shared" si="78"/>
        <v>147.24071703721785</v>
      </c>
      <c r="AN129" s="822">
        <f t="shared" si="78"/>
        <v>146.93765697967942</v>
      </c>
      <c r="AO129" s="822">
        <f t="shared" si="78"/>
        <v>146.63460267193747</v>
      </c>
      <c r="AP129" s="822">
        <f t="shared" si="78"/>
        <v>146.33155412134346</v>
      </c>
      <c r="AQ129" s="822">
        <f t="shared" si="78"/>
        <v>146.02851133525826</v>
      </c>
      <c r="AR129" s="822">
        <f t="shared" si="78"/>
        <v>145.72547432105219</v>
      </c>
      <c r="AS129" s="822">
        <f t="shared" si="78"/>
        <v>145.42244308610498</v>
      </c>
      <c r="AT129" s="822">
        <f t="shared" si="78"/>
        <v>145.11941763780575</v>
      </c>
      <c r="AU129" s="822">
        <f t="shared" si="78"/>
        <v>144.81639798355314</v>
      </c>
    </row>
    <row r="130" spans="4:47">
      <c r="D130" s="8"/>
      <c r="E130" s="452" t="s">
        <v>621</v>
      </c>
      <c r="F130" s="821" t="s">
        <v>1102</v>
      </c>
      <c r="G130" s="653">
        <f>G129*1.1</f>
        <v>185.98112833695782</v>
      </c>
      <c r="H130" s="653">
        <f t="shared" ref="H130:AU130" si="79">H129+$E$183</f>
        <v>244.74750606719599</v>
      </c>
      <c r="I130" s="653">
        <f t="shared" si="79"/>
        <v>261.54750606719597</v>
      </c>
      <c r="J130" s="653">
        <f t="shared" si="79"/>
        <v>250.547506067196</v>
      </c>
      <c r="K130" s="653">
        <f t="shared" si="79"/>
        <v>240.84750606719598</v>
      </c>
      <c r="L130" s="653">
        <f t="shared" si="79"/>
        <v>204.34750606719598</v>
      </c>
      <c r="M130" s="653">
        <f t="shared" si="79"/>
        <v>201.34750606719598</v>
      </c>
      <c r="N130" s="653">
        <f t="shared" si="79"/>
        <v>205.547506067196</v>
      </c>
      <c r="O130" s="822">
        <f t="shared" si="79"/>
        <v>228.84858186191951</v>
      </c>
      <c r="P130" s="822">
        <f t="shared" si="79"/>
        <v>222.93446968266835</v>
      </c>
      <c r="Q130" s="822">
        <f t="shared" si="79"/>
        <v>221.45453115374281</v>
      </c>
      <c r="R130" s="822">
        <f t="shared" si="79"/>
        <v>199.47044574237941</v>
      </c>
      <c r="S130" s="822">
        <f t="shared" si="79"/>
        <v>202.87894461308343</v>
      </c>
      <c r="T130" s="822">
        <f t="shared" si="79"/>
        <v>205.20202850823878</v>
      </c>
      <c r="U130" s="822">
        <f t="shared" si="79"/>
        <v>206.90023765320393</v>
      </c>
      <c r="V130" s="822">
        <f t="shared" si="79"/>
        <v>208.13671547973212</v>
      </c>
      <c r="W130" s="822">
        <f t="shared" si="79"/>
        <v>209.50217881804124</v>
      </c>
      <c r="X130" s="822">
        <f t="shared" si="79"/>
        <v>210.84031758488587</v>
      </c>
      <c r="Y130" s="822">
        <f t="shared" si="79"/>
        <v>212.07143888192604</v>
      </c>
      <c r="Z130" s="822">
        <f t="shared" si="79"/>
        <v>213.36419076885912</v>
      </c>
      <c r="AA130" s="822">
        <f t="shared" si="79"/>
        <v>214.58738066979654</v>
      </c>
      <c r="AB130" s="822">
        <f t="shared" si="79"/>
        <v>214.28123690759369</v>
      </c>
      <c r="AC130" s="822">
        <f t="shared" si="79"/>
        <v>213.97436096109431</v>
      </c>
      <c r="AD130" s="822">
        <f t="shared" si="79"/>
        <v>213.66875205336729</v>
      </c>
      <c r="AE130" s="822">
        <f t="shared" si="79"/>
        <v>213.36237554835384</v>
      </c>
      <c r="AF130" s="822">
        <f t="shared" si="79"/>
        <v>213.05609573980519</v>
      </c>
      <c r="AG130" s="822">
        <f t="shared" si="79"/>
        <v>212.74889005257995</v>
      </c>
      <c r="AH130" s="822">
        <f t="shared" si="79"/>
        <v>212.44276694447214</v>
      </c>
      <c r="AI130" s="822">
        <f t="shared" si="79"/>
        <v>212.13591336015384</v>
      </c>
      <c r="AJ130" s="822">
        <f t="shared" si="79"/>
        <v>211.82998861346897</v>
      </c>
      <c r="AK130" s="822">
        <f t="shared" si="79"/>
        <v>211.52376198997649</v>
      </c>
      <c r="AL130" s="822">
        <f t="shared" si="79"/>
        <v>211.2175358708086</v>
      </c>
      <c r="AM130" s="822">
        <f t="shared" si="79"/>
        <v>210.91447007081584</v>
      </c>
      <c r="AN130" s="822">
        <f t="shared" si="79"/>
        <v>210.61141001327741</v>
      </c>
      <c r="AO130" s="822">
        <f t="shared" si="79"/>
        <v>210.30835570553546</v>
      </c>
      <c r="AP130" s="822">
        <f t="shared" si="79"/>
        <v>210.00530715494145</v>
      </c>
      <c r="AQ130" s="822">
        <f t="shared" si="79"/>
        <v>209.70226436885625</v>
      </c>
      <c r="AR130" s="822">
        <f t="shared" si="79"/>
        <v>209.39922735465018</v>
      </c>
      <c r="AS130" s="822">
        <f t="shared" si="79"/>
        <v>209.09619611970297</v>
      </c>
      <c r="AT130" s="822">
        <f t="shared" si="79"/>
        <v>208.79317067140374</v>
      </c>
      <c r="AU130" s="822">
        <f t="shared" si="79"/>
        <v>208.49015101715113</v>
      </c>
    </row>
    <row r="131" spans="4:47">
      <c r="D131" s="8"/>
      <c r="E131" s="452" t="s">
        <v>730</v>
      </c>
      <c r="F131" s="821" t="s">
        <v>1102</v>
      </c>
      <c r="G131" s="653">
        <f>G130</f>
        <v>185.98112833695782</v>
      </c>
      <c r="H131" s="653">
        <f t="shared" ref="H131:AU131" si="80">H130</f>
        <v>244.74750606719599</v>
      </c>
      <c r="I131" s="653">
        <f t="shared" si="80"/>
        <v>261.54750606719597</v>
      </c>
      <c r="J131" s="653">
        <f t="shared" si="80"/>
        <v>250.547506067196</v>
      </c>
      <c r="K131" s="653">
        <f t="shared" si="80"/>
        <v>240.84750606719598</v>
      </c>
      <c r="L131" s="653">
        <f t="shared" si="80"/>
        <v>204.34750606719598</v>
      </c>
      <c r="M131" s="653">
        <f t="shared" si="80"/>
        <v>201.34750606719598</v>
      </c>
      <c r="N131" s="653">
        <f t="shared" si="80"/>
        <v>205.547506067196</v>
      </c>
      <c r="O131" s="822">
        <f t="shared" si="80"/>
        <v>228.84858186191951</v>
      </c>
      <c r="P131" s="822">
        <f t="shared" si="80"/>
        <v>222.93446968266835</v>
      </c>
      <c r="Q131" s="822">
        <f t="shared" si="80"/>
        <v>221.45453115374281</v>
      </c>
      <c r="R131" s="822">
        <f t="shared" si="80"/>
        <v>199.47044574237941</v>
      </c>
      <c r="S131" s="822">
        <f t="shared" si="80"/>
        <v>202.87894461308343</v>
      </c>
      <c r="T131" s="822">
        <f t="shared" si="80"/>
        <v>205.20202850823878</v>
      </c>
      <c r="U131" s="822">
        <f t="shared" si="80"/>
        <v>206.90023765320393</v>
      </c>
      <c r="V131" s="822">
        <f t="shared" si="80"/>
        <v>208.13671547973212</v>
      </c>
      <c r="W131" s="822">
        <f t="shared" si="80"/>
        <v>209.50217881804124</v>
      </c>
      <c r="X131" s="822">
        <f t="shared" si="80"/>
        <v>210.84031758488587</v>
      </c>
      <c r="Y131" s="822">
        <f t="shared" si="80"/>
        <v>212.07143888192604</v>
      </c>
      <c r="Z131" s="822">
        <f t="shared" si="80"/>
        <v>213.36419076885912</v>
      </c>
      <c r="AA131" s="822">
        <f t="shared" si="80"/>
        <v>214.58738066979654</v>
      </c>
      <c r="AB131" s="822">
        <f t="shared" si="80"/>
        <v>214.28123690759369</v>
      </c>
      <c r="AC131" s="822">
        <f t="shared" si="80"/>
        <v>213.97436096109431</v>
      </c>
      <c r="AD131" s="822">
        <f t="shared" si="80"/>
        <v>213.66875205336729</v>
      </c>
      <c r="AE131" s="822">
        <f t="shared" si="80"/>
        <v>213.36237554835384</v>
      </c>
      <c r="AF131" s="822">
        <f t="shared" si="80"/>
        <v>213.05609573980519</v>
      </c>
      <c r="AG131" s="822">
        <f t="shared" si="80"/>
        <v>212.74889005257995</v>
      </c>
      <c r="AH131" s="822">
        <f t="shared" si="80"/>
        <v>212.44276694447214</v>
      </c>
      <c r="AI131" s="822">
        <f t="shared" si="80"/>
        <v>212.13591336015384</v>
      </c>
      <c r="AJ131" s="822">
        <f t="shared" si="80"/>
        <v>211.82998861346897</v>
      </c>
      <c r="AK131" s="822">
        <f t="shared" si="80"/>
        <v>211.52376198997649</v>
      </c>
      <c r="AL131" s="822">
        <f t="shared" si="80"/>
        <v>211.2175358708086</v>
      </c>
      <c r="AM131" s="822">
        <f t="shared" si="80"/>
        <v>210.91447007081584</v>
      </c>
      <c r="AN131" s="822">
        <f t="shared" si="80"/>
        <v>210.61141001327741</v>
      </c>
      <c r="AO131" s="822">
        <f t="shared" si="80"/>
        <v>210.30835570553546</v>
      </c>
      <c r="AP131" s="822">
        <f t="shared" si="80"/>
        <v>210.00530715494145</v>
      </c>
      <c r="AQ131" s="822">
        <f t="shared" si="80"/>
        <v>209.70226436885625</v>
      </c>
      <c r="AR131" s="822">
        <f t="shared" si="80"/>
        <v>209.39922735465018</v>
      </c>
      <c r="AS131" s="822">
        <f t="shared" si="80"/>
        <v>209.09619611970297</v>
      </c>
      <c r="AT131" s="822">
        <f t="shared" si="80"/>
        <v>208.79317067140374</v>
      </c>
      <c r="AU131" s="822">
        <f t="shared" si="80"/>
        <v>208.49015101715113</v>
      </c>
    </row>
    <row r="132" spans="4:47">
      <c r="D132" s="8"/>
      <c r="E132" s="452" t="s">
        <v>816</v>
      </c>
      <c r="F132" s="821" t="s">
        <v>1102</v>
      </c>
      <c r="G132" s="653">
        <f>G130*2</f>
        <v>371.96225667391565</v>
      </c>
      <c r="H132" s="653">
        <f t="shared" ref="H132" si="81">H130*2</f>
        <v>489.49501213439197</v>
      </c>
      <c r="I132" s="653">
        <f t="shared" ref="I132" si="82">I130*2</f>
        <v>523.09501213439194</v>
      </c>
      <c r="J132" s="653">
        <f t="shared" ref="J132" si="83">J130*2</f>
        <v>501.09501213439199</v>
      </c>
      <c r="K132" s="653">
        <f t="shared" ref="K132" si="84">K130*2</f>
        <v>481.69501213439196</v>
      </c>
      <c r="L132" s="653">
        <f t="shared" ref="L132" si="85">L130*2</f>
        <v>408.69501213439196</v>
      </c>
      <c r="M132" s="653">
        <f t="shared" ref="M132" si="86">M130*2</f>
        <v>402.69501213439196</v>
      </c>
      <c r="N132" s="653">
        <f t="shared" ref="N132" si="87">N130*2</f>
        <v>411.09501213439199</v>
      </c>
      <c r="O132" s="822">
        <f t="shared" ref="O132" si="88">O130*2</f>
        <v>457.69716372383903</v>
      </c>
      <c r="P132" s="822">
        <f t="shared" ref="P132" si="89">P130*2</f>
        <v>445.8689393653367</v>
      </c>
      <c r="Q132" s="822">
        <f t="shared" ref="Q132" si="90">Q130*2</f>
        <v>442.90906230748561</v>
      </c>
      <c r="R132" s="822">
        <f t="shared" ref="R132" si="91">R130*2</f>
        <v>398.94089148475882</v>
      </c>
      <c r="S132" s="822">
        <f t="shared" ref="S132" si="92">S130*2</f>
        <v>405.75788922616687</v>
      </c>
      <c r="T132" s="822">
        <f t="shared" ref="T132" si="93">T130*2</f>
        <v>410.40405701647757</v>
      </c>
      <c r="U132" s="822">
        <f t="shared" ref="U132" si="94">U130*2</f>
        <v>413.80047530640786</v>
      </c>
      <c r="V132" s="822">
        <f t="shared" ref="V132" si="95">V130*2</f>
        <v>416.27343095946424</v>
      </c>
      <c r="W132" s="822">
        <f t="shared" ref="W132" si="96">W130*2</f>
        <v>419.00435763608249</v>
      </c>
      <c r="X132" s="822">
        <f t="shared" ref="X132" si="97">X130*2</f>
        <v>421.68063516977173</v>
      </c>
      <c r="Y132" s="822">
        <f t="shared" ref="Y132" si="98">Y130*2</f>
        <v>424.14287776385208</v>
      </c>
      <c r="Z132" s="822">
        <f t="shared" ref="Z132" si="99">Z130*2</f>
        <v>426.72838153771823</v>
      </c>
      <c r="AA132" s="822">
        <f t="shared" ref="AA132" si="100">AA130*2</f>
        <v>429.17476133959309</v>
      </c>
      <c r="AB132" s="822">
        <f t="shared" ref="AB132" si="101">AB130*2</f>
        <v>428.56247381518739</v>
      </c>
      <c r="AC132" s="822">
        <f t="shared" ref="AC132" si="102">AC130*2</f>
        <v>427.94872192218861</v>
      </c>
      <c r="AD132" s="822">
        <f t="shared" ref="AD132" si="103">AD130*2</f>
        <v>427.33750410673457</v>
      </c>
      <c r="AE132" s="822">
        <f t="shared" ref="AE132" si="104">AE130*2</f>
        <v>426.72475109670768</v>
      </c>
      <c r="AF132" s="822">
        <f t="shared" ref="AF132" si="105">AF130*2</f>
        <v>426.11219147961037</v>
      </c>
      <c r="AG132" s="822">
        <f t="shared" ref="AG132" si="106">AG130*2</f>
        <v>425.4977801051599</v>
      </c>
      <c r="AH132" s="822">
        <f t="shared" ref="AH132" si="107">AH130*2</f>
        <v>424.88553388894428</v>
      </c>
      <c r="AI132" s="822">
        <f t="shared" ref="AI132" si="108">AI130*2</f>
        <v>424.27182672030767</v>
      </c>
      <c r="AJ132" s="822">
        <f t="shared" ref="AJ132" si="109">AJ130*2</f>
        <v>423.65997722693794</v>
      </c>
      <c r="AK132" s="822">
        <f t="shared" ref="AK132" si="110">AK130*2</f>
        <v>423.04752397995298</v>
      </c>
      <c r="AL132" s="822">
        <f t="shared" ref="AL132" si="111">AL130*2</f>
        <v>422.43507174161721</v>
      </c>
      <c r="AM132" s="822">
        <f t="shared" ref="AM132" si="112">AM130*2</f>
        <v>421.82894014163168</v>
      </c>
      <c r="AN132" s="822">
        <f t="shared" ref="AN132" si="113">AN130*2</f>
        <v>421.22282002655481</v>
      </c>
      <c r="AO132" s="822">
        <f t="shared" ref="AO132" si="114">AO130*2</f>
        <v>420.61671141107092</v>
      </c>
      <c r="AP132" s="822">
        <f t="shared" ref="AP132" si="115">AP130*2</f>
        <v>420.0106143098829</v>
      </c>
      <c r="AQ132" s="822">
        <f t="shared" ref="AQ132" si="116">AQ130*2</f>
        <v>419.4045287377125</v>
      </c>
      <c r="AR132" s="822">
        <f t="shared" ref="AR132" si="117">AR130*2</f>
        <v>418.79845470930036</v>
      </c>
      <c r="AS132" s="822">
        <f t="shared" ref="AS132" si="118">AS130*2</f>
        <v>418.19239223940593</v>
      </c>
      <c r="AT132" s="822">
        <f t="shared" ref="AT132" si="119">AT130*2</f>
        <v>417.58634134280749</v>
      </c>
      <c r="AU132" s="822">
        <f t="shared" ref="AU132" si="120">AU130*2</f>
        <v>416.98030203430227</v>
      </c>
    </row>
    <row r="133" spans="4:47">
      <c r="D133" s="8"/>
      <c r="E133" s="452" t="s">
        <v>79</v>
      </c>
      <c r="F133" s="821" t="s">
        <v>1102</v>
      </c>
      <c r="G133" s="653">
        <f>G219</f>
        <v>76.5</v>
      </c>
      <c r="H133" s="653">
        <f t="shared" ref="H133:N133" si="121">H219</f>
        <v>112.4</v>
      </c>
      <c r="I133" s="653">
        <f t="shared" si="121"/>
        <v>116.3</v>
      </c>
      <c r="J133" s="653">
        <f t="shared" si="121"/>
        <v>118.6</v>
      </c>
      <c r="K133" s="653">
        <f t="shared" si="121"/>
        <v>110.1</v>
      </c>
      <c r="L133" s="653">
        <f t="shared" si="121"/>
        <v>73.5</v>
      </c>
      <c r="M133" s="653">
        <f t="shared" si="121"/>
        <v>70.599999999999994</v>
      </c>
      <c r="N133" s="653">
        <f t="shared" si="121"/>
        <v>74.7</v>
      </c>
      <c r="O133" s="822">
        <f>VLOOKUP(O$120,$C$284:$O$316,9)</f>
        <v>99.501075794723519</v>
      </c>
      <c r="P133" s="822">
        <f t="shared" ref="P133:AU133" si="122">VLOOKUP(P$120,$C$284:$O$316,9)</f>
        <v>92.996963615472367</v>
      </c>
      <c r="Q133" s="822">
        <f t="shared" si="122"/>
        <v>91.517025086546809</v>
      </c>
      <c r="R133" s="822">
        <f t="shared" si="122"/>
        <v>69.532939675183428</v>
      </c>
      <c r="S133" s="822">
        <f t="shared" si="122"/>
        <v>72.941438545887451</v>
      </c>
      <c r="T133" s="822">
        <f t="shared" si="122"/>
        <v>75.264522441042786</v>
      </c>
      <c r="U133" s="822">
        <f t="shared" si="122"/>
        <v>76.962731586007934</v>
      </c>
      <c r="V133" s="822">
        <f t="shared" si="122"/>
        <v>78.199209412536121</v>
      </c>
      <c r="W133" s="822">
        <f t="shared" si="122"/>
        <v>79.564672750845261</v>
      </c>
      <c r="X133" s="822">
        <f t="shared" si="122"/>
        <v>80.902811517689884</v>
      </c>
      <c r="Y133" s="822">
        <f t="shared" si="122"/>
        <v>82.133932814730045</v>
      </c>
      <c r="Z133" s="822">
        <f t="shared" si="122"/>
        <v>83.42668470166312</v>
      </c>
      <c r="AA133" s="822">
        <f t="shared" si="122"/>
        <v>84.649874602600562</v>
      </c>
      <c r="AB133" s="822">
        <f t="shared" si="122"/>
        <v>84.343730840397711</v>
      </c>
      <c r="AC133" s="822">
        <f t="shared" si="122"/>
        <v>84.036854893898322</v>
      </c>
      <c r="AD133" s="822">
        <f t="shared" si="122"/>
        <v>83.731245986171288</v>
      </c>
      <c r="AE133" s="822">
        <f t="shared" si="122"/>
        <v>83.424869481157842</v>
      </c>
      <c r="AF133" s="822">
        <f t="shared" si="122"/>
        <v>83.118589672609204</v>
      </c>
      <c r="AG133" s="822">
        <f t="shared" si="122"/>
        <v>82.811383985383955</v>
      </c>
      <c r="AH133" s="822">
        <f t="shared" si="122"/>
        <v>82.505260877276157</v>
      </c>
      <c r="AI133" s="822">
        <f t="shared" si="122"/>
        <v>82.198407292957839</v>
      </c>
      <c r="AJ133" s="822">
        <f t="shared" si="122"/>
        <v>81.892482546272987</v>
      </c>
      <c r="AK133" s="822">
        <f t="shared" si="122"/>
        <v>81.586255922780509</v>
      </c>
      <c r="AL133" s="822">
        <f t="shared" si="122"/>
        <v>81.280029803612607</v>
      </c>
      <c r="AM133" s="822">
        <f t="shared" si="122"/>
        <v>80.976964003619855</v>
      </c>
      <c r="AN133" s="822">
        <f t="shared" si="122"/>
        <v>80.673903946081424</v>
      </c>
      <c r="AO133" s="822">
        <f t="shared" si="122"/>
        <v>80.370849638339479</v>
      </c>
      <c r="AP133" s="822">
        <f t="shared" si="122"/>
        <v>80.067801087745465</v>
      </c>
      <c r="AQ133" s="822">
        <f t="shared" si="122"/>
        <v>79.764758301660265</v>
      </c>
      <c r="AR133" s="822">
        <f t="shared" si="122"/>
        <v>79.461721287454196</v>
      </c>
      <c r="AS133" s="822">
        <f t="shared" si="122"/>
        <v>79.158690052506984</v>
      </c>
      <c r="AT133" s="822">
        <f t="shared" si="122"/>
        <v>78.85566460420776</v>
      </c>
      <c r="AU133" s="822">
        <f t="shared" si="122"/>
        <v>78.552644949955152</v>
      </c>
    </row>
    <row r="134" spans="4:47">
      <c r="D134" s="8"/>
      <c r="E134" s="452" t="s">
        <v>611</v>
      </c>
      <c r="F134" s="821" t="s">
        <v>1102</v>
      </c>
      <c r="G134" s="653">
        <f t="shared" ref="G134:AU134" si="123">G133*$E$179</f>
        <v>229.5</v>
      </c>
      <c r="H134" s="653">
        <f t="shared" si="123"/>
        <v>337.20000000000005</v>
      </c>
      <c r="I134" s="653">
        <f t="shared" si="123"/>
        <v>348.9</v>
      </c>
      <c r="J134" s="653">
        <f t="shared" si="123"/>
        <v>355.79999999999995</v>
      </c>
      <c r="K134" s="653">
        <f t="shared" si="123"/>
        <v>330.29999999999995</v>
      </c>
      <c r="L134" s="653">
        <f t="shared" si="123"/>
        <v>220.5</v>
      </c>
      <c r="M134" s="653">
        <f t="shared" si="123"/>
        <v>211.79999999999998</v>
      </c>
      <c r="N134" s="653">
        <f t="shared" si="123"/>
        <v>224.10000000000002</v>
      </c>
      <c r="O134" s="822">
        <f t="shared" si="123"/>
        <v>298.50322738417054</v>
      </c>
      <c r="P134" s="822">
        <f t="shared" si="123"/>
        <v>278.99089084641707</v>
      </c>
      <c r="Q134" s="822">
        <f t="shared" si="123"/>
        <v>274.55107525964041</v>
      </c>
      <c r="R134" s="822">
        <f t="shared" si="123"/>
        <v>208.59881902555028</v>
      </c>
      <c r="S134" s="822">
        <f t="shared" si="123"/>
        <v>218.82431563766235</v>
      </c>
      <c r="T134" s="822">
        <f t="shared" si="123"/>
        <v>225.79356732312834</v>
      </c>
      <c r="U134" s="822">
        <f t="shared" si="123"/>
        <v>230.88819475802381</v>
      </c>
      <c r="V134" s="822">
        <f t="shared" si="123"/>
        <v>234.59762823760838</v>
      </c>
      <c r="W134" s="822">
        <f t="shared" si="123"/>
        <v>238.69401825253578</v>
      </c>
      <c r="X134" s="822">
        <f t="shared" si="123"/>
        <v>242.70843455306965</v>
      </c>
      <c r="Y134" s="822">
        <f t="shared" si="123"/>
        <v>246.40179844419015</v>
      </c>
      <c r="Z134" s="822">
        <f t="shared" si="123"/>
        <v>250.28005410498935</v>
      </c>
      <c r="AA134" s="822">
        <f t="shared" si="123"/>
        <v>253.94962380780169</v>
      </c>
      <c r="AB134" s="822">
        <f t="shared" si="123"/>
        <v>253.03119252119313</v>
      </c>
      <c r="AC134" s="822">
        <f t="shared" si="123"/>
        <v>252.11056468169497</v>
      </c>
      <c r="AD134" s="822">
        <f t="shared" si="123"/>
        <v>251.19373795851385</v>
      </c>
      <c r="AE134" s="822">
        <f t="shared" si="123"/>
        <v>250.27460844347354</v>
      </c>
      <c r="AF134" s="822">
        <f t="shared" si="123"/>
        <v>249.35576901782761</v>
      </c>
      <c r="AG134" s="822">
        <f t="shared" si="123"/>
        <v>248.43415195615188</v>
      </c>
      <c r="AH134" s="822">
        <f t="shared" si="123"/>
        <v>247.51578263182847</v>
      </c>
      <c r="AI134" s="822">
        <f t="shared" si="123"/>
        <v>246.59522187887353</v>
      </c>
      <c r="AJ134" s="822">
        <f t="shared" si="123"/>
        <v>245.67744763881896</v>
      </c>
      <c r="AK134" s="822">
        <f t="shared" si="123"/>
        <v>244.75876776834153</v>
      </c>
      <c r="AL134" s="822">
        <f t="shared" si="123"/>
        <v>243.84008941083783</v>
      </c>
      <c r="AM134" s="822">
        <f t="shared" si="123"/>
        <v>242.93089201085957</v>
      </c>
      <c r="AN134" s="822">
        <f t="shared" si="123"/>
        <v>242.02171183824427</v>
      </c>
      <c r="AO134" s="822">
        <f t="shared" si="123"/>
        <v>241.11254891501844</v>
      </c>
      <c r="AP134" s="822">
        <f t="shared" si="123"/>
        <v>240.2034032632364</v>
      </c>
      <c r="AQ134" s="822">
        <f t="shared" si="123"/>
        <v>239.2942749049808</v>
      </c>
      <c r="AR134" s="822">
        <f t="shared" si="123"/>
        <v>238.38516386236259</v>
      </c>
      <c r="AS134" s="822">
        <f t="shared" si="123"/>
        <v>237.47607015752095</v>
      </c>
      <c r="AT134" s="822">
        <f t="shared" si="123"/>
        <v>236.56699381262328</v>
      </c>
      <c r="AU134" s="822">
        <f t="shared" si="123"/>
        <v>235.65793484986546</v>
      </c>
    </row>
    <row r="135" spans="4:47">
      <c r="D135" s="8"/>
      <c r="E135" s="452" t="s">
        <v>613</v>
      </c>
      <c r="F135" s="821" t="s">
        <v>1102</v>
      </c>
      <c r="G135" s="653">
        <f>G134*1.1</f>
        <v>252.45000000000002</v>
      </c>
      <c r="H135" s="653">
        <f t="shared" ref="H135:AU135" si="124">H134+$E$183</f>
        <v>400.87375303359806</v>
      </c>
      <c r="I135" s="653">
        <f t="shared" si="124"/>
        <v>412.573753033598</v>
      </c>
      <c r="J135" s="653">
        <f t="shared" si="124"/>
        <v>419.47375303359797</v>
      </c>
      <c r="K135" s="653">
        <f t="shared" si="124"/>
        <v>393.97375303359797</v>
      </c>
      <c r="L135" s="653">
        <f t="shared" si="124"/>
        <v>284.17375303359802</v>
      </c>
      <c r="M135" s="653">
        <f t="shared" si="124"/>
        <v>275.47375303359797</v>
      </c>
      <c r="N135" s="653">
        <f t="shared" si="124"/>
        <v>287.77375303359804</v>
      </c>
      <c r="O135" s="822">
        <f t="shared" si="124"/>
        <v>362.17698041776856</v>
      </c>
      <c r="P135" s="822">
        <f t="shared" si="124"/>
        <v>342.66464388001509</v>
      </c>
      <c r="Q135" s="822">
        <f t="shared" si="124"/>
        <v>338.22482829323843</v>
      </c>
      <c r="R135" s="822">
        <f t="shared" si="124"/>
        <v>272.27257205914827</v>
      </c>
      <c r="S135" s="822">
        <f t="shared" si="124"/>
        <v>282.49806867126034</v>
      </c>
      <c r="T135" s="822">
        <f t="shared" si="124"/>
        <v>289.46732035672636</v>
      </c>
      <c r="U135" s="822">
        <f t="shared" si="124"/>
        <v>294.56194779162183</v>
      </c>
      <c r="V135" s="822">
        <f t="shared" si="124"/>
        <v>298.27138127120639</v>
      </c>
      <c r="W135" s="822">
        <f t="shared" si="124"/>
        <v>302.3677712861338</v>
      </c>
      <c r="X135" s="822">
        <f t="shared" si="124"/>
        <v>306.38218758666767</v>
      </c>
      <c r="Y135" s="822">
        <f t="shared" si="124"/>
        <v>310.07555147778817</v>
      </c>
      <c r="Z135" s="822">
        <f t="shared" si="124"/>
        <v>313.95380713858736</v>
      </c>
      <c r="AA135" s="822">
        <f t="shared" si="124"/>
        <v>317.6233768413997</v>
      </c>
      <c r="AB135" s="822">
        <f t="shared" si="124"/>
        <v>316.70494555479115</v>
      </c>
      <c r="AC135" s="822">
        <f t="shared" si="124"/>
        <v>315.78431771529296</v>
      </c>
      <c r="AD135" s="822">
        <f t="shared" si="124"/>
        <v>314.86749099211187</v>
      </c>
      <c r="AE135" s="822">
        <f t="shared" si="124"/>
        <v>313.94836147707156</v>
      </c>
      <c r="AF135" s="822">
        <f t="shared" si="124"/>
        <v>313.0295220514256</v>
      </c>
      <c r="AG135" s="822">
        <f t="shared" si="124"/>
        <v>312.1079049897499</v>
      </c>
      <c r="AH135" s="822">
        <f t="shared" si="124"/>
        <v>311.18953566542649</v>
      </c>
      <c r="AI135" s="822">
        <f t="shared" si="124"/>
        <v>310.26897491247155</v>
      </c>
      <c r="AJ135" s="822">
        <f t="shared" si="124"/>
        <v>309.35120067241695</v>
      </c>
      <c r="AK135" s="822">
        <f t="shared" si="124"/>
        <v>308.43252080193952</v>
      </c>
      <c r="AL135" s="822">
        <f t="shared" si="124"/>
        <v>307.51384244443585</v>
      </c>
      <c r="AM135" s="822">
        <f t="shared" si="124"/>
        <v>306.60464504445758</v>
      </c>
      <c r="AN135" s="822">
        <f t="shared" si="124"/>
        <v>305.69546487184226</v>
      </c>
      <c r="AO135" s="822">
        <f t="shared" si="124"/>
        <v>304.78630194861643</v>
      </c>
      <c r="AP135" s="822">
        <f t="shared" si="124"/>
        <v>303.87715629683441</v>
      </c>
      <c r="AQ135" s="822">
        <f t="shared" si="124"/>
        <v>302.96802793857881</v>
      </c>
      <c r="AR135" s="822">
        <f t="shared" si="124"/>
        <v>302.05891689596058</v>
      </c>
      <c r="AS135" s="822">
        <f t="shared" si="124"/>
        <v>301.14982319111897</v>
      </c>
      <c r="AT135" s="822">
        <f t="shared" si="124"/>
        <v>300.24074684622127</v>
      </c>
      <c r="AU135" s="822">
        <f t="shared" si="124"/>
        <v>299.33168788346347</v>
      </c>
    </row>
    <row r="136" spans="4:47">
      <c r="D136" s="8"/>
      <c r="E136" s="452" t="s">
        <v>813</v>
      </c>
      <c r="F136" s="821" t="s">
        <v>1102</v>
      </c>
      <c r="G136" s="653">
        <f>G135*2</f>
        <v>504.90000000000003</v>
      </c>
      <c r="H136" s="653">
        <f t="shared" ref="H136" si="125">H135*2</f>
        <v>801.74750606719613</v>
      </c>
      <c r="I136" s="653">
        <f t="shared" ref="I136" si="126">I135*2</f>
        <v>825.14750606719599</v>
      </c>
      <c r="J136" s="653">
        <f t="shared" ref="J136" si="127">J135*2</f>
        <v>838.94750606719595</v>
      </c>
      <c r="K136" s="653">
        <f t="shared" ref="K136" si="128">K135*2</f>
        <v>787.94750606719595</v>
      </c>
      <c r="L136" s="653">
        <f t="shared" ref="L136" si="129">L135*2</f>
        <v>568.34750606719604</v>
      </c>
      <c r="M136" s="653">
        <f t="shared" ref="M136" si="130">M135*2</f>
        <v>550.94750606719595</v>
      </c>
      <c r="N136" s="653">
        <f t="shared" ref="N136" si="131">N135*2</f>
        <v>575.54750606719608</v>
      </c>
      <c r="O136" s="822">
        <f t="shared" ref="O136" si="132">O135*2</f>
        <v>724.35396083553712</v>
      </c>
      <c r="P136" s="822">
        <f t="shared" ref="P136" si="133">P135*2</f>
        <v>685.32928776003018</v>
      </c>
      <c r="Q136" s="822">
        <f t="shared" ref="Q136" si="134">Q135*2</f>
        <v>676.44965658647686</v>
      </c>
      <c r="R136" s="822">
        <f t="shared" ref="R136" si="135">R135*2</f>
        <v>544.54514411829655</v>
      </c>
      <c r="S136" s="822">
        <f t="shared" ref="S136" si="136">S135*2</f>
        <v>564.99613734252068</v>
      </c>
      <c r="T136" s="822">
        <f t="shared" ref="T136" si="137">T135*2</f>
        <v>578.93464071345272</v>
      </c>
      <c r="U136" s="822">
        <f t="shared" ref="U136" si="138">U135*2</f>
        <v>589.12389558324367</v>
      </c>
      <c r="V136" s="822">
        <f t="shared" ref="V136" si="139">V135*2</f>
        <v>596.54276254241279</v>
      </c>
      <c r="W136" s="822">
        <f t="shared" ref="W136" si="140">W135*2</f>
        <v>604.7355425722676</v>
      </c>
      <c r="X136" s="822">
        <f t="shared" ref="X136" si="141">X135*2</f>
        <v>612.76437517333534</v>
      </c>
      <c r="Y136" s="822">
        <f t="shared" ref="Y136" si="142">Y135*2</f>
        <v>620.15110295557633</v>
      </c>
      <c r="Z136" s="822">
        <f t="shared" ref="Z136" si="143">Z135*2</f>
        <v>627.90761427717473</v>
      </c>
      <c r="AA136" s="822">
        <f t="shared" ref="AA136" si="144">AA135*2</f>
        <v>635.24675368279941</v>
      </c>
      <c r="AB136" s="822">
        <f t="shared" ref="AB136" si="145">AB135*2</f>
        <v>633.4098911095823</v>
      </c>
      <c r="AC136" s="822">
        <f t="shared" ref="AC136" si="146">AC135*2</f>
        <v>631.56863543058591</v>
      </c>
      <c r="AD136" s="822">
        <f t="shared" ref="AD136" si="147">AD135*2</f>
        <v>629.73498198422374</v>
      </c>
      <c r="AE136" s="822">
        <f t="shared" ref="AE136" si="148">AE135*2</f>
        <v>627.89672295414312</v>
      </c>
      <c r="AF136" s="822">
        <f t="shared" ref="AF136" si="149">AF135*2</f>
        <v>626.0590441028512</v>
      </c>
      <c r="AG136" s="822">
        <f t="shared" ref="AG136" si="150">AG135*2</f>
        <v>624.2158099794998</v>
      </c>
      <c r="AH136" s="822">
        <f t="shared" ref="AH136" si="151">AH135*2</f>
        <v>622.37907133085298</v>
      </c>
      <c r="AI136" s="822">
        <f t="shared" ref="AI136" si="152">AI135*2</f>
        <v>620.5379498249431</v>
      </c>
      <c r="AJ136" s="822">
        <f t="shared" ref="AJ136" si="153">AJ135*2</f>
        <v>618.7024013448339</v>
      </c>
      <c r="AK136" s="822">
        <f t="shared" ref="AK136" si="154">AK135*2</f>
        <v>616.86504160387904</v>
      </c>
      <c r="AL136" s="822">
        <f t="shared" ref="AL136" si="155">AL135*2</f>
        <v>615.0276848888717</v>
      </c>
      <c r="AM136" s="822">
        <f t="shared" ref="AM136" si="156">AM135*2</f>
        <v>613.20929008891517</v>
      </c>
      <c r="AN136" s="822">
        <f t="shared" ref="AN136" si="157">AN135*2</f>
        <v>611.39092974368452</v>
      </c>
      <c r="AO136" s="822">
        <f t="shared" ref="AO136" si="158">AO135*2</f>
        <v>609.57260389723285</v>
      </c>
      <c r="AP136" s="822">
        <f t="shared" ref="AP136" si="159">AP135*2</f>
        <v>607.75431259366883</v>
      </c>
      <c r="AQ136" s="822">
        <f t="shared" ref="AQ136" si="160">AQ135*2</f>
        <v>605.93605587715763</v>
      </c>
      <c r="AR136" s="822">
        <f t="shared" ref="AR136" si="161">AR135*2</f>
        <v>604.11783379192116</v>
      </c>
      <c r="AS136" s="822">
        <f t="shared" ref="AS136" si="162">AS135*2</f>
        <v>602.29964638223794</v>
      </c>
      <c r="AT136" s="822">
        <f t="shared" ref="AT136" si="163">AT135*2</f>
        <v>600.48149369244254</v>
      </c>
      <c r="AU136" s="822">
        <f t="shared" ref="AU136" si="164">AU135*2</f>
        <v>598.66337576692695</v>
      </c>
    </row>
    <row r="137" spans="4:47">
      <c r="D137" s="452" t="s">
        <v>890</v>
      </c>
      <c r="E137" s="452" t="s">
        <v>740</v>
      </c>
      <c r="F137" s="571" t="str">
        <f>F133</f>
        <v>MKr19</v>
      </c>
      <c r="G137" s="653">
        <f>G133</f>
        <v>76.5</v>
      </c>
      <c r="H137" s="653">
        <f t="shared" ref="H137:AU137" si="165">H133</f>
        <v>112.4</v>
      </c>
      <c r="I137" s="653">
        <f t="shared" si="165"/>
        <v>116.3</v>
      </c>
      <c r="J137" s="653">
        <f t="shared" si="165"/>
        <v>118.6</v>
      </c>
      <c r="K137" s="653">
        <f t="shared" si="165"/>
        <v>110.1</v>
      </c>
      <c r="L137" s="653">
        <f t="shared" si="165"/>
        <v>73.5</v>
      </c>
      <c r="M137" s="653">
        <f t="shared" si="165"/>
        <v>70.599999999999994</v>
      </c>
      <c r="N137" s="653">
        <f t="shared" si="165"/>
        <v>74.7</v>
      </c>
      <c r="O137" s="653">
        <f t="shared" si="165"/>
        <v>99.501075794723519</v>
      </c>
      <c r="P137" s="653">
        <f t="shared" si="165"/>
        <v>92.996963615472367</v>
      </c>
      <c r="Q137" s="653">
        <f t="shared" si="165"/>
        <v>91.517025086546809</v>
      </c>
      <c r="R137" s="653">
        <f t="shared" si="165"/>
        <v>69.532939675183428</v>
      </c>
      <c r="S137" s="653">
        <f t="shared" si="165"/>
        <v>72.941438545887451</v>
      </c>
      <c r="T137" s="653">
        <f t="shared" si="165"/>
        <v>75.264522441042786</v>
      </c>
      <c r="U137" s="653">
        <f t="shared" si="165"/>
        <v>76.962731586007934</v>
      </c>
      <c r="V137" s="653">
        <f t="shared" si="165"/>
        <v>78.199209412536121</v>
      </c>
      <c r="W137" s="653">
        <f t="shared" si="165"/>
        <v>79.564672750845261</v>
      </c>
      <c r="X137" s="653">
        <f t="shared" si="165"/>
        <v>80.902811517689884</v>
      </c>
      <c r="Y137" s="653">
        <f t="shared" si="165"/>
        <v>82.133932814730045</v>
      </c>
      <c r="Z137" s="653">
        <f t="shared" si="165"/>
        <v>83.42668470166312</v>
      </c>
      <c r="AA137" s="653">
        <f t="shared" si="165"/>
        <v>84.649874602600562</v>
      </c>
      <c r="AB137" s="653">
        <f t="shared" si="165"/>
        <v>84.343730840397711</v>
      </c>
      <c r="AC137" s="653">
        <f t="shared" si="165"/>
        <v>84.036854893898322</v>
      </c>
      <c r="AD137" s="653">
        <f t="shared" si="165"/>
        <v>83.731245986171288</v>
      </c>
      <c r="AE137" s="653">
        <f t="shared" si="165"/>
        <v>83.424869481157842</v>
      </c>
      <c r="AF137" s="653">
        <f t="shared" si="165"/>
        <v>83.118589672609204</v>
      </c>
      <c r="AG137" s="653">
        <f t="shared" si="165"/>
        <v>82.811383985383955</v>
      </c>
      <c r="AH137" s="653">
        <f t="shared" si="165"/>
        <v>82.505260877276157</v>
      </c>
      <c r="AI137" s="653">
        <f t="shared" si="165"/>
        <v>82.198407292957839</v>
      </c>
      <c r="AJ137" s="653">
        <f t="shared" si="165"/>
        <v>81.892482546272987</v>
      </c>
      <c r="AK137" s="653">
        <f t="shared" si="165"/>
        <v>81.586255922780509</v>
      </c>
      <c r="AL137" s="653">
        <f t="shared" si="165"/>
        <v>81.280029803612607</v>
      </c>
      <c r="AM137" s="653">
        <f t="shared" si="165"/>
        <v>80.976964003619855</v>
      </c>
      <c r="AN137" s="653">
        <f t="shared" si="165"/>
        <v>80.673903946081424</v>
      </c>
      <c r="AO137" s="653">
        <f t="shared" si="165"/>
        <v>80.370849638339479</v>
      </c>
      <c r="AP137" s="653">
        <f t="shared" si="165"/>
        <v>80.067801087745465</v>
      </c>
      <c r="AQ137" s="653">
        <f t="shared" si="165"/>
        <v>79.764758301660265</v>
      </c>
      <c r="AR137" s="653">
        <f t="shared" si="165"/>
        <v>79.461721287454196</v>
      </c>
      <c r="AS137" s="653">
        <f t="shared" si="165"/>
        <v>79.158690052506984</v>
      </c>
      <c r="AT137" s="653">
        <f t="shared" si="165"/>
        <v>78.85566460420776</v>
      </c>
      <c r="AU137" s="653">
        <f t="shared" si="165"/>
        <v>78.552644949955152</v>
      </c>
    </row>
    <row r="138" spans="4:47">
      <c r="D138" s="8"/>
      <c r="E138" s="452" t="s">
        <v>44</v>
      </c>
      <c r="F138" s="821" t="s">
        <v>1102</v>
      </c>
      <c r="G138" s="653">
        <f t="shared" ref="G138:N138" si="166">G222</f>
        <v>68.2</v>
      </c>
      <c r="H138" s="653">
        <f t="shared" si="166"/>
        <v>102</v>
      </c>
      <c r="I138" s="653">
        <f t="shared" si="166"/>
        <v>96.2</v>
      </c>
      <c r="J138" s="653">
        <f t="shared" si="166"/>
        <v>91.7</v>
      </c>
      <c r="K138" s="653">
        <f t="shared" si="166"/>
        <v>84</v>
      </c>
      <c r="L138" s="653">
        <f t="shared" si="166"/>
        <v>47.5</v>
      </c>
      <c r="M138" s="653">
        <f t="shared" si="166"/>
        <v>44.5</v>
      </c>
      <c r="N138" s="653">
        <f t="shared" si="166"/>
        <v>48.7</v>
      </c>
      <c r="O138" s="822">
        <f>VLOOKUP(O$120,$C$284:$O$316,5)</f>
        <v>67.735141438725293</v>
      </c>
      <c r="P138" s="822">
        <f t="shared" ref="P138:AU138" si="167">VLOOKUP(P$120,$C$284:$O$316,5)</f>
        <v>61.821029259474152</v>
      </c>
      <c r="Q138" s="822">
        <f t="shared" si="167"/>
        <v>60.341090730548601</v>
      </c>
      <c r="R138" s="822">
        <f t="shared" si="167"/>
        <v>38.35700531918522</v>
      </c>
      <c r="S138" s="822">
        <f t="shared" si="167"/>
        <v>41.765504189889249</v>
      </c>
      <c r="T138" s="822">
        <f t="shared" si="167"/>
        <v>44.088588085044584</v>
      </c>
      <c r="U138" s="822">
        <f t="shared" si="167"/>
        <v>45.786797230009718</v>
      </c>
      <c r="V138" s="822">
        <f t="shared" si="167"/>
        <v>47.023275056537912</v>
      </c>
      <c r="W138" s="822">
        <f t="shared" si="167"/>
        <v>48.388738394847046</v>
      </c>
      <c r="X138" s="822">
        <f t="shared" si="167"/>
        <v>49.726877161691675</v>
      </c>
      <c r="Y138" s="822">
        <f t="shared" si="167"/>
        <v>50.957998458731836</v>
      </c>
      <c r="Z138" s="822">
        <f t="shared" si="167"/>
        <v>52.250750345664912</v>
      </c>
      <c r="AA138" s="822">
        <f t="shared" si="167"/>
        <v>53.473940246602353</v>
      </c>
      <c r="AB138" s="822">
        <f t="shared" si="167"/>
        <v>53.16779648439951</v>
      </c>
      <c r="AC138" s="822">
        <f t="shared" si="167"/>
        <v>52.860920537900107</v>
      </c>
      <c r="AD138" s="822">
        <f t="shared" si="167"/>
        <v>52.55531163017308</v>
      </c>
      <c r="AE138" s="822">
        <f t="shared" si="167"/>
        <v>52.248935125159633</v>
      </c>
      <c r="AF138" s="822">
        <f t="shared" si="167"/>
        <v>51.942655316610988</v>
      </c>
      <c r="AG138" s="822">
        <f t="shared" si="167"/>
        <v>51.635449629385747</v>
      </c>
      <c r="AH138" s="822">
        <f t="shared" si="167"/>
        <v>51.329326521277956</v>
      </c>
      <c r="AI138" s="822">
        <f t="shared" si="167"/>
        <v>51.022472936959623</v>
      </c>
      <c r="AJ138" s="822">
        <f t="shared" si="167"/>
        <v>50.716548190274779</v>
      </c>
      <c r="AK138" s="822">
        <f t="shared" si="167"/>
        <v>50.410321566782294</v>
      </c>
      <c r="AL138" s="822">
        <f t="shared" si="167"/>
        <v>50.104095447614391</v>
      </c>
      <c r="AM138" s="822">
        <f t="shared" si="167"/>
        <v>49.801029647621633</v>
      </c>
      <c r="AN138" s="822">
        <f t="shared" si="167"/>
        <v>49.497969590083216</v>
      </c>
      <c r="AO138" s="822">
        <f t="shared" si="167"/>
        <v>49.19491528234127</v>
      </c>
      <c r="AP138" s="822">
        <f t="shared" si="167"/>
        <v>48.89186673174725</v>
      </c>
      <c r="AQ138" s="822">
        <f t="shared" si="167"/>
        <v>48.588823945662064</v>
      </c>
      <c r="AR138" s="822">
        <f t="shared" si="167"/>
        <v>48.285786931455988</v>
      </c>
      <c r="AS138" s="822">
        <f t="shared" si="167"/>
        <v>47.982755696508768</v>
      </c>
      <c r="AT138" s="822">
        <f t="shared" si="167"/>
        <v>47.679730248209545</v>
      </c>
      <c r="AU138" s="822">
        <f t="shared" si="167"/>
        <v>47.376710593956936</v>
      </c>
    </row>
    <row r="139" spans="4:47">
      <c r="D139" s="452" t="s">
        <v>899</v>
      </c>
      <c r="E139" s="452" t="s">
        <v>796</v>
      </c>
      <c r="F139" s="571" t="str">
        <f>F138</f>
        <v>MKr19</v>
      </c>
      <c r="G139" s="653">
        <f>G138+$E$183</f>
        <v>131.87375303359801</v>
      </c>
      <c r="H139" s="653">
        <f t="shared" ref="H139:AU139" si="168">H138+$E$183</f>
        <v>165.67375303359799</v>
      </c>
      <c r="I139" s="653">
        <f t="shared" si="168"/>
        <v>159.87375303359801</v>
      </c>
      <c r="J139" s="653">
        <f t="shared" si="168"/>
        <v>155.37375303359801</v>
      </c>
      <c r="K139" s="653">
        <f t="shared" si="168"/>
        <v>147.67375303359799</v>
      </c>
      <c r="L139" s="653">
        <f t="shared" si="168"/>
        <v>111.17375303359799</v>
      </c>
      <c r="M139" s="653">
        <f t="shared" si="168"/>
        <v>108.17375303359799</v>
      </c>
      <c r="N139" s="653">
        <f t="shared" si="168"/>
        <v>112.37375303359801</v>
      </c>
      <c r="O139" s="653">
        <f t="shared" si="168"/>
        <v>131.40889447232328</v>
      </c>
      <c r="P139" s="653">
        <f t="shared" si="168"/>
        <v>125.49478229307215</v>
      </c>
      <c r="Q139" s="653">
        <f t="shared" si="168"/>
        <v>124.0148437641466</v>
      </c>
      <c r="R139" s="653">
        <f t="shared" si="168"/>
        <v>102.03075835278321</v>
      </c>
      <c r="S139" s="653">
        <f t="shared" si="168"/>
        <v>105.43925722348725</v>
      </c>
      <c r="T139" s="653">
        <f t="shared" si="168"/>
        <v>107.76234111864258</v>
      </c>
      <c r="U139" s="653">
        <f t="shared" si="168"/>
        <v>109.46055026360771</v>
      </c>
      <c r="V139" s="653">
        <f t="shared" si="168"/>
        <v>110.69702809013592</v>
      </c>
      <c r="W139" s="653">
        <f t="shared" si="168"/>
        <v>112.06249142844504</v>
      </c>
      <c r="X139" s="653">
        <f t="shared" si="168"/>
        <v>113.40063019528966</v>
      </c>
      <c r="Y139" s="653">
        <f t="shared" si="168"/>
        <v>114.63175149232984</v>
      </c>
      <c r="Z139" s="653">
        <f t="shared" si="168"/>
        <v>115.92450337926292</v>
      </c>
      <c r="AA139" s="653">
        <f t="shared" si="168"/>
        <v>117.14769328020034</v>
      </c>
      <c r="AB139" s="653">
        <f t="shared" si="168"/>
        <v>116.84154951799751</v>
      </c>
      <c r="AC139" s="653">
        <f t="shared" si="168"/>
        <v>116.5346735714981</v>
      </c>
      <c r="AD139" s="653">
        <f t="shared" si="168"/>
        <v>116.22906466377108</v>
      </c>
      <c r="AE139" s="653">
        <f t="shared" si="168"/>
        <v>115.92268815875764</v>
      </c>
      <c r="AF139" s="653">
        <f t="shared" si="168"/>
        <v>115.61640835020899</v>
      </c>
      <c r="AG139" s="653">
        <f t="shared" si="168"/>
        <v>115.30920266298375</v>
      </c>
      <c r="AH139" s="653">
        <f t="shared" si="168"/>
        <v>115.00307955487595</v>
      </c>
      <c r="AI139" s="653">
        <f t="shared" si="168"/>
        <v>114.69622597055762</v>
      </c>
      <c r="AJ139" s="653">
        <f t="shared" si="168"/>
        <v>114.39030122387277</v>
      </c>
      <c r="AK139" s="653">
        <f t="shared" si="168"/>
        <v>114.08407460038029</v>
      </c>
      <c r="AL139" s="653">
        <f t="shared" si="168"/>
        <v>113.77784848121239</v>
      </c>
      <c r="AM139" s="653">
        <f t="shared" si="168"/>
        <v>113.47478268121964</v>
      </c>
      <c r="AN139" s="653">
        <f t="shared" si="168"/>
        <v>113.17172262368121</v>
      </c>
      <c r="AO139" s="653">
        <f t="shared" si="168"/>
        <v>112.86866831593926</v>
      </c>
      <c r="AP139" s="653">
        <f t="shared" si="168"/>
        <v>112.56561976534525</v>
      </c>
      <c r="AQ139" s="653">
        <f t="shared" si="168"/>
        <v>112.26257697926006</v>
      </c>
      <c r="AR139" s="653">
        <f t="shared" si="168"/>
        <v>111.95953996505398</v>
      </c>
      <c r="AS139" s="653">
        <f t="shared" si="168"/>
        <v>111.65650873010676</v>
      </c>
      <c r="AT139" s="653">
        <f t="shared" si="168"/>
        <v>111.35348328180754</v>
      </c>
      <c r="AU139" s="653">
        <f t="shared" si="168"/>
        <v>111.05046362755493</v>
      </c>
    </row>
    <row r="140" spans="4:47">
      <c r="D140" s="8"/>
      <c r="E140" s="452" t="s">
        <v>810</v>
      </c>
      <c r="F140" s="571" t="str">
        <f>F139</f>
        <v>MKr19</v>
      </c>
      <c r="G140" s="653">
        <f>G139*2</f>
        <v>263.74750606719601</v>
      </c>
      <c r="H140" s="653">
        <f t="shared" ref="H140:AU140" si="169">H139*2</f>
        <v>331.34750606719598</v>
      </c>
      <c r="I140" s="653">
        <f t="shared" si="169"/>
        <v>319.74750606719601</v>
      </c>
      <c r="J140" s="653">
        <f t="shared" si="169"/>
        <v>310.74750606719601</v>
      </c>
      <c r="K140" s="653">
        <f t="shared" si="169"/>
        <v>295.34750606719598</v>
      </c>
      <c r="L140" s="653">
        <f t="shared" si="169"/>
        <v>222.34750606719598</v>
      </c>
      <c r="M140" s="653">
        <f t="shared" si="169"/>
        <v>216.34750606719598</v>
      </c>
      <c r="N140" s="653">
        <f t="shared" si="169"/>
        <v>224.74750606719601</v>
      </c>
      <c r="O140" s="653">
        <f t="shared" si="169"/>
        <v>262.81778894464657</v>
      </c>
      <c r="P140" s="653">
        <f t="shared" si="169"/>
        <v>250.9895645861443</v>
      </c>
      <c r="Q140" s="653">
        <f t="shared" si="169"/>
        <v>248.02968752829321</v>
      </c>
      <c r="R140" s="653">
        <f t="shared" si="169"/>
        <v>204.06151670556642</v>
      </c>
      <c r="S140" s="653">
        <f t="shared" si="169"/>
        <v>210.87851444697449</v>
      </c>
      <c r="T140" s="653">
        <f t="shared" si="169"/>
        <v>215.52468223728516</v>
      </c>
      <c r="U140" s="653">
        <f t="shared" si="169"/>
        <v>218.92110052721543</v>
      </c>
      <c r="V140" s="653">
        <f t="shared" si="169"/>
        <v>221.39405618027183</v>
      </c>
      <c r="W140" s="653">
        <f t="shared" si="169"/>
        <v>224.12498285689009</v>
      </c>
      <c r="X140" s="653">
        <f t="shared" si="169"/>
        <v>226.80126039057933</v>
      </c>
      <c r="Y140" s="653">
        <f t="shared" si="169"/>
        <v>229.26350298465968</v>
      </c>
      <c r="Z140" s="653">
        <f t="shared" si="169"/>
        <v>231.84900675852583</v>
      </c>
      <c r="AA140" s="653">
        <f t="shared" si="169"/>
        <v>234.29538656040069</v>
      </c>
      <c r="AB140" s="653">
        <f t="shared" si="169"/>
        <v>233.68309903599501</v>
      </c>
      <c r="AC140" s="653">
        <f t="shared" si="169"/>
        <v>233.06934714299621</v>
      </c>
      <c r="AD140" s="653">
        <f t="shared" si="169"/>
        <v>232.45812932754217</v>
      </c>
      <c r="AE140" s="653">
        <f t="shared" si="169"/>
        <v>231.84537631751527</v>
      </c>
      <c r="AF140" s="653">
        <f t="shared" si="169"/>
        <v>231.23281670041797</v>
      </c>
      <c r="AG140" s="653">
        <f t="shared" si="169"/>
        <v>230.6184053259675</v>
      </c>
      <c r="AH140" s="653">
        <f t="shared" si="169"/>
        <v>230.00615910975191</v>
      </c>
      <c r="AI140" s="653">
        <f t="shared" si="169"/>
        <v>229.39245194111524</v>
      </c>
      <c r="AJ140" s="653">
        <f t="shared" si="169"/>
        <v>228.78060244774554</v>
      </c>
      <c r="AK140" s="653">
        <f t="shared" si="169"/>
        <v>228.16814920076058</v>
      </c>
      <c r="AL140" s="653">
        <f t="shared" si="169"/>
        <v>227.55569696242478</v>
      </c>
      <c r="AM140" s="653">
        <f t="shared" si="169"/>
        <v>226.94956536243927</v>
      </c>
      <c r="AN140" s="653">
        <f t="shared" si="169"/>
        <v>226.34344524736241</v>
      </c>
      <c r="AO140" s="653">
        <f t="shared" si="169"/>
        <v>225.73733663187852</v>
      </c>
      <c r="AP140" s="653">
        <f t="shared" si="169"/>
        <v>225.13123953069049</v>
      </c>
      <c r="AQ140" s="653">
        <f t="shared" si="169"/>
        <v>224.52515395852012</v>
      </c>
      <c r="AR140" s="653">
        <f t="shared" si="169"/>
        <v>223.91907993010796</v>
      </c>
      <c r="AS140" s="653">
        <f t="shared" si="169"/>
        <v>223.31301746021353</v>
      </c>
      <c r="AT140" s="653">
        <f t="shared" si="169"/>
        <v>222.70696656361508</v>
      </c>
      <c r="AU140" s="653">
        <f t="shared" si="169"/>
        <v>222.10092725510987</v>
      </c>
    </row>
    <row r="141" spans="4:47">
      <c r="D141" s="8"/>
      <c r="E141" s="452" t="s">
        <v>808</v>
      </c>
      <c r="F141" s="571" t="str">
        <f>F139</f>
        <v>MKr19</v>
      </c>
      <c r="G141" s="653">
        <f t="shared" ref="G141:N141" si="170">G138</f>
        <v>68.2</v>
      </c>
      <c r="H141" s="653">
        <f t="shared" si="170"/>
        <v>102</v>
      </c>
      <c r="I141" s="653">
        <f t="shared" si="170"/>
        <v>96.2</v>
      </c>
      <c r="J141" s="653">
        <f t="shared" si="170"/>
        <v>91.7</v>
      </c>
      <c r="K141" s="653">
        <f t="shared" si="170"/>
        <v>84</v>
      </c>
      <c r="L141" s="653">
        <f t="shared" si="170"/>
        <v>47.5</v>
      </c>
      <c r="M141" s="653">
        <f t="shared" si="170"/>
        <v>44.5</v>
      </c>
      <c r="N141" s="653">
        <f t="shared" si="170"/>
        <v>48.7</v>
      </c>
      <c r="O141" s="653">
        <f>O138</f>
        <v>67.735141438725293</v>
      </c>
      <c r="P141" s="653">
        <f t="shared" ref="P141:AU141" si="171">P138</f>
        <v>61.821029259474152</v>
      </c>
      <c r="Q141" s="653">
        <f t="shared" si="171"/>
        <v>60.341090730548601</v>
      </c>
      <c r="R141" s="653">
        <f t="shared" si="171"/>
        <v>38.35700531918522</v>
      </c>
      <c r="S141" s="653">
        <f t="shared" si="171"/>
        <v>41.765504189889249</v>
      </c>
      <c r="T141" s="653">
        <f t="shared" si="171"/>
        <v>44.088588085044584</v>
      </c>
      <c r="U141" s="653">
        <f t="shared" si="171"/>
        <v>45.786797230009718</v>
      </c>
      <c r="V141" s="653">
        <f t="shared" si="171"/>
        <v>47.023275056537912</v>
      </c>
      <c r="W141" s="653">
        <f t="shared" si="171"/>
        <v>48.388738394847046</v>
      </c>
      <c r="X141" s="653">
        <f t="shared" si="171"/>
        <v>49.726877161691675</v>
      </c>
      <c r="Y141" s="653">
        <f t="shared" si="171"/>
        <v>50.957998458731836</v>
      </c>
      <c r="Z141" s="653">
        <f t="shared" si="171"/>
        <v>52.250750345664912</v>
      </c>
      <c r="AA141" s="653">
        <f t="shared" si="171"/>
        <v>53.473940246602353</v>
      </c>
      <c r="AB141" s="653">
        <f t="shared" si="171"/>
        <v>53.16779648439951</v>
      </c>
      <c r="AC141" s="653">
        <f t="shared" si="171"/>
        <v>52.860920537900107</v>
      </c>
      <c r="AD141" s="653">
        <f t="shared" si="171"/>
        <v>52.55531163017308</v>
      </c>
      <c r="AE141" s="653">
        <f t="shared" si="171"/>
        <v>52.248935125159633</v>
      </c>
      <c r="AF141" s="653">
        <f t="shared" si="171"/>
        <v>51.942655316610988</v>
      </c>
      <c r="AG141" s="653">
        <f t="shared" si="171"/>
        <v>51.635449629385747</v>
      </c>
      <c r="AH141" s="653">
        <f t="shared" si="171"/>
        <v>51.329326521277956</v>
      </c>
      <c r="AI141" s="653">
        <f t="shared" si="171"/>
        <v>51.022472936959623</v>
      </c>
      <c r="AJ141" s="653">
        <f t="shared" si="171"/>
        <v>50.716548190274779</v>
      </c>
      <c r="AK141" s="653">
        <f t="shared" si="171"/>
        <v>50.410321566782294</v>
      </c>
      <c r="AL141" s="653">
        <f t="shared" si="171"/>
        <v>50.104095447614391</v>
      </c>
      <c r="AM141" s="653">
        <f t="shared" si="171"/>
        <v>49.801029647621633</v>
      </c>
      <c r="AN141" s="653">
        <f t="shared" si="171"/>
        <v>49.497969590083216</v>
      </c>
      <c r="AO141" s="653">
        <f t="shared" si="171"/>
        <v>49.19491528234127</v>
      </c>
      <c r="AP141" s="653">
        <f t="shared" si="171"/>
        <v>48.89186673174725</v>
      </c>
      <c r="AQ141" s="653">
        <f t="shared" si="171"/>
        <v>48.588823945662064</v>
      </c>
      <c r="AR141" s="653">
        <f t="shared" si="171"/>
        <v>48.285786931455988</v>
      </c>
      <c r="AS141" s="653">
        <f t="shared" si="171"/>
        <v>47.982755696508768</v>
      </c>
      <c r="AT141" s="653">
        <f t="shared" si="171"/>
        <v>47.679730248209545</v>
      </c>
      <c r="AU141" s="653">
        <f t="shared" si="171"/>
        <v>47.376710593956936</v>
      </c>
    </row>
    <row r="142" spans="4:47">
      <c r="D142" s="8"/>
      <c r="E142" s="452" t="s">
        <v>41</v>
      </c>
      <c r="F142" s="821" t="s">
        <v>1102</v>
      </c>
      <c r="G142" s="653">
        <f>G223</f>
        <v>44.4</v>
      </c>
      <c r="H142" s="653">
        <f t="shared" ref="H142:N142" si="172">H223</f>
        <v>46.1</v>
      </c>
      <c r="I142" s="653">
        <f t="shared" si="172"/>
        <v>55.1</v>
      </c>
      <c r="J142" s="653">
        <f t="shared" si="172"/>
        <v>54.2</v>
      </c>
      <c r="K142" s="653">
        <f t="shared" si="172"/>
        <v>45.7</v>
      </c>
      <c r="L142" s="653">
        <f t="shared" si="172"/>
        <v>44</v>
      </c>
      <c r="M142" s="653">
        <f t="shared" si="172"/>
        <v>36.799999999999997</v>
      </c>
      <c r="N142" s="653">
        <f t="shared" si="172"/>
        <v>36.9</v>
      </c>
      <c r="O142" s="822">
        <f>VLOOKUP(O$120,$C$284:$O$316,3)</f>
        <v>53.422183381850253</v>
      </c>
      <c r="P142" s="822">
        <f t="shared" ref="P142:AU142" si="173">VLOOKUP(P$120,$C$284:$O$316,3)</f>
        <v>34.261011240620462</v>
      </c>
      <c r="Q142" s="822">
        <f t="shared" si="173"/>
        <v>33.397849986482257</v>
      </c>
      <c r="R142" s="822">
        <f t="shared" si="173"/>
        <v>31.525290025438199</v>
      </c>
      <c r="S142" s="822">
        <f t="shared" si="173"/>
        <v>32.762548621541896</v>
      </c>
      <c r="T142" s="822">
        <f t="shared" si="173"/>
        <v>33.367688312875465</v>
      </c>
      <c r="U142" s="822">
        <f t="shared" si="173"/>
        <v>33.567123920362071</v>
      </c>
      <c r="V142" s="822">
        <f t="shared" si="173"/>
        <v>33.506083462913665</v>
      </c>
      <c r="W142" s="822">
        <f t="shared" si="173"/>
        <v>33.467639204304064</v>
      </c>
      <c r="X142" s="822">
        <f t="shared" si="173"/>
        <v>33.442947086231669</v>
      </c>
      <c r="Y142" s="822">
        <f t="shared" si="173"/>
        <v>33.42179959045346</v>
      </c>
      <c r="Z142" s="822">
        <f t="shared" si="173"/>
        <v>33.414220248022303</v>
      </c>
      <c r="AA142" s="822">
        <f t="shared" si="173"/>
        <v>33.412152610409883</v>
      </c>
      <c r="AB142" s="822">
        <f t="shared" si="173"/>
        <v>33.458238338148384</v>
      </c>
      <c r="AC142" s="822">
        <f t="shared" si="173"/>
        <v>33.504324065886884</v>
      </c>
      <c r="AD142" s="822">
        <f t="shared" si="173"/>
        <v>33.550409793625377</v>
      </c>
      <c r="AE142" s="822">
        <f t="shared" si="173"/>
        <v>33.59649552136387</v>
      </c>
      <c r="AF142" s="822">
        <f t="shared" si="173"/>
        <v>33.642581249102378</v>
      </c>
      <c r="AG142" s="822">
        <f t="shared" si="173"/>
        <v>33.688666976840878</v>
      </c>
      <c r="AH142" s="822">
        <f t="shared" si="173"/>
        <v>33.734752704579364</v>
      </c>
      <c r="AI142" s="822">
        <f t="shared" si="173"/>
        <v>33.780838432317864</v>
      </c>
      <c r="AJ142" s="822">
        <f t="shared" si="173"/>
        <v>33.82692416005635</v>
      </c>
      <c r="AK142" s="822">
        <f t="shared" si="173"/>
        <v>33.873009887794851</v>
      </c>
      <c r="AL142" s="822">
        <f t="shared" si="173"/>
        <v>33.919095615533351</v>
      </c>
      <c r="AM142" s="822">
        <f t="shared" si="173"/>
        <v>33.965181343271844</v>
      </c>
      <c r="AN142" s="822">
        <f t="shared" si="173"/>
        <v>34.011267071010337</v>
      </c>
      <c r="AO142" s="822">
        <f t="shared" si="173"/>
        <v>34.057352798748838</v>
      </c>
      <c r="AP142" s="822">
        <f t="shared" si="173"/>
        <v>34.103438526487338</v>
      </c>
      <c r="AQ142" s="822">
        <f t="shared" si="173"/>
        <v>34.149524254225838</v>
      </c>
      <c r="AR142" s="822">
        <f t="shared" si="173"/>
        <v>34.195609981964324</v>
      </c>
      <c r="AS142" s="822">
        <f t="shared" si="173"/>
        <v>34.241695709702832</v>
      </c>
      <c r="AT142" s="822">
        <f t="shared" si="173"/>
        <v>34.287781437441318</v>
      </c>
      <c r="AU142" s="822">
        <f t="shared" si="173"/>
        <v>34.333867165179825</v>
      </c>
    </row>
    <row r="143" spans="4:47">
      <c r="D143" s="8"/>
      <c r="E143" s="452" t="s">
        <v>615</v>
      </c>
      <c r="F143" s="571" t="str">
        <f>F142</f>
        <v>MKr19</v>
      </c>
      <c r="G143" s="653">
        <f>G142*$E$180</f>
        <v>133.19999999999999</v>
      </c>
      <c r="H143" s="653">
        <f t="shared" ref="H143:AU143" si="174">H142*$E$180</f>
        <v>138.30000000000001</v>
      </c>
      <c r="I143" s="653">
        <f t="shared" si="174"/>
        <v>165.3</v>
      </c>
      <c r="J143" s="653">
        <f t="shared" si="174"/>
        <v>162.60000000000002</v>
      </c>
      <c r="K143" s="653">
        <f t="shared" si="174"/>
        <v>137.10000000000002</v>
      </c>
      <c r="L143" s="653">
        <f t="shared" si="174"/>
        <v>132</v>
      </c>
      <c r="M143" s="653">
        <f t="shared" si="174"/>
        <v>110.39999999999999</v>
      </c>
      <c r="N143" s="653">
        <f t="shared" si="174"/>
        <v>110.69999999999999</v>
      </c>
      <c r="O143" s="653">
        <f>O142*$E$180</f>
        <v>160.26655014555075</v>
      </c>
      <c r="P143" s="653">
        <f t="shared" si="174"/>
        <v>102.78303372186139</v>
      </c>
      <c r="Q143" s="653">
        <f t="shared" si="174"/>
        <v>100.19354995944677</v>
      </c>
      <c r="R143" s="653">
        <f t="shared" si="174"/>
        <v>94.575870076314601</v>
      </c>
      <c r="S143" s="653">
        <f t="shared" si="174"/>
        <v>98.287645864625688</v>
      </c>
      <c r="T143" s="653">
        <f t="shared" si="174"/>
        <v>100.1030649386264</v>
      </c>
      <c r="U143" s="653">
        <f t="shared" si="174"/>
        <v>100.70137176108622</v>
      </c>
      <c r="V143" s="653">
        <f t="shared" si="174"/>
        <v>100.518250388741</v>
      </c>
      <c r="W143" s="653">
        <f t="shared" si="174"/>
        <v>100.40291761291219</v>
      </c>
      <c r="X143" s="653">
        <f t="shared" si="174"/>
        <v>100.32884125869501</v>
      </c>
      <c r="Y143" s="653">
        <f t="shared" si="174"/>
        <v>100.26539877136038</v>
      </c>
      <c r="Z143" s="653">
        <f t="shared" si="174"/>
        <v>100.24266074406691</v>
      </c>
      <c r="AA143" s="653">
        <f t="shared" si="174"/>
        <v>100.23645783122964</v>
      </c>
      <c r="AB143" s="653">
        <f t="shared" si="174"/>
        <v>100.37471501444514</v>
      </c>
      <c r="AC143" s="653">
        <f t="shared" si="174"/>
        <v>100.51297219766064</v>
      </c>
      <c r="AD143" s="653">
        <f t="shared" si="174"/>
        <v>100.65122938087613</v>
      </c>
      <c r="AE143" s="653">
        <f t="shared" si="174"/>
        <v>100.78948656409162</v>
      </c>
      <c r="AF143" s="653">
        <f t="shared" si="174"/>
        <v>100.92774374730713</v>
      </c>
      <c r="AG143" s="653">
        <f t="shared" si="174"/>
        <v>101.06600093052263</v>
      </c>
      <c r="AH143" s="653">
        <f t="shared" si="174"/>
        <v>101.20425811373809</v>
      </c>
      <c r="AI143" s="653">
        <f t="shared" si="174"/>
        <v>101.34251529695359</v>
      </c>
      <c r="AJ143" s="653">
        <f t="shared" si="174"/>
        <v>101.48077248016905</v>
      </c>
      <c r="AK143" s="653">
        <f t="shared" si="174"/>
        <v>101.61902966338455</v>
      </c>
      <c r="AL143" s="653">
        <f t="shared" si="174"/>
        <v>101.75728684660005</v>
      </c>
      <c r="AM143" s="653">
        <f t="shared" si="174"/>
        <v>101.89554402981554</v>
      </c>
      <c r="AN143" s="653">
        <f t="shared" si="174"/>
        <v>102.03380121303101</v>
      </c>
      <c r="AO143" s="653">
        <f t="shared" si="174"/>
        <v>102.17205839624651</v>
      </c>
      <c r="AP143" s="653">
        <f t="shared" si="174"/>
        <v>102.31031557946201</v>
      </c>
      <c r="AQ143" s="653">
        <f t="shared" si="174"/>
        <v>102.44857276267751</v>
      </c>
      <c r="AR143" s="653">
        <f t="shared" si="174"/>
        <v>102.58682994589297</v>
      </c>
      <c r="AS143" s="653">
        <f t="shared" si="174"/>
        <v>102.72508712910849</v>
      </c>
      <c r="AT143" s="653">
        <f t="shared" si="174"/>
        <v>102.86334431232396</v>
      </c>
      <c r="AU143" s="653">
        <f t="shared" si="174"/>
        <v>103.00160149553948</v>
      </c>
    </row>
    <row r="144" spans="4:47">
      <c r="D144" s="8"/>
      <c r="E144" s="452" t="s">
        <v>617</v>
      </c>
      <c r="F144" s="571" t="str">
        <f>F143</f>
        <v>MKr19</v>
      </c>
      <c r="G144" s="653">
        <f>G143*1.1</f>
        <v>146.52000000000001</v>
      </c>
      <c r="H144" s="653">
        <f t="shared" ref="H144:AU144" si="175">H143+$E$183</f>
        <v>201.973753033598</v>
      </c>
      <c r="I144" s="653">
        <f t="shared" si="175"/>
        <v>228.973753033598</v>
      </c>
      <c r="J144" s="653">
        <f t="shared" si="175"/>
        <v>226.27375303359801</v>
      </c>
      <c r="K144" s="653">
        <f t="shared" si="175"/>
        <v>200.77375303359801</v>
      </c>
      <c r="L144" s="653">
        <f t="shared" si="175"/>
        <v>195.67375303359799</v>
      </c>
      <c r="M144" s="653">
        <f t="shared" si="175"/>
        <v>174.073753033598</v>
      </c>
      <c r="N144" s="653">
        <f t="shared" si="175"/>
        <v>174.37375303359798</v>
      </c>
      <c r="O144" s="653">
        <f>O143+$E$183</f>
        <v>223.94030317914874</v>
      </c>
      <c r="P144" s="653">
        <f t="shared" si="175"/>
        <v>166.45678675545938</v>
      </c>
      <c r="Q144" s="653">
        <f t="shared" si="175"/>
        <v>163.86730299304477</v>
      </c>
      <c r="R144" s="653">
        <f t="shared" si="175"/>
        <v>158.24962310991259</v>
      </c>
      <c r="S144" s="653">
        <f t="shared" si="175"/>
        <v>161.96139889822368</v>
      </c>
      <c r="T144" s="653">
        <f t="shared" si="175"/>
        <v>163.77681797222439</v>
      </c>
      <c r="U144" s="653">
        <f t="shared" si="175"/>
        <v>164.37512479468421</v>
      </c>
      <c r="V144" s="653">
        <f t="shared" si="175"/>
        <v>164.19200342233898</v>
      </c>
      <c r="W144" s="653">
        <f t="shared" si="175"/>
        <v>164.07667064651019</v>
      </c>
      <c r="X144" s="653">
        <f t="shared" si="175"/>
        <v>164.002594292293</v>
      </c>
      <c r="Y144" s="653">
        <f t="shared" si="175"/>
        <v>163.93915180495839</v>
      </c>
      <c r="Z144" s="653">
        <f t="shared" si="175"/>
        <v>163.9164137776649</v>
      </c>
      <c r="AA144" s="653">
        <f t="shared" si="175"/>
        <v>163.91021086482763</v>
      </c>
      <c r="AB144" s="653">
        <f t="shared" si="175"/>
        <v>164.04846804804313</v>
      </c>
      <c r="AC144" s="653">
        <f t="shared" si="175"/>
        <v>164.18672523125863</v>
      </c>
      <c r="AD144" s="653">
        <f t="shared" si="175"/>
        <v>164.32498241447414</v>
      </c>
      <c r="AE144" s="653">
        <f t="shared" si="175"/>
        <v>164.46323959768961</v>
      </c>
      <c r="AF144" s="653">
        <f t="shared" si="175"/>
        <v>164.60149678090514</v>
      </c>
      <c r="AG144" s="653">
        <f t="shared" si="175"/>
        <v>164.73975396412064</v>
      </c>
      <c r="AH144" s="653">
        <f t="shared" si="175"/>
        <v>164.87801114733608</v>
      </c>
      <c r="AI144" s="653">
        <f t="shared" si="175"/>
        <v>165.01626833055158</v>
      </c>
      <c r="AJ144" s="653">
        <f t="shared" si="175"/>
        <v>165.15452551376706</v>
      </c>
      <c r="AK144" s="653">
        <f t="shared" si="175"/>
        <v>165.29278269698256</v>
      </c>
      <c r="AL144" s="653">
        <f t="shared" si="175"/>
        <v>165.43103988019806</v>
      </c>
      <c r="AM144" s="653">
        <f t="shared" si="175"/>
        <v>165.56929706341353</v>
      </c>
      <c r="AN144" s="653">
        <f t="shared" si="175"/>
        <v>165.707554246629</v>
      </c>
      <c r="AO144" s="653">
        <f t="shared" si="175"/>
        <v>165.8458114298445</v>
      </c>
      <c r="AP144" s="653">
        <f t="shared" si="175"/>
        <v>165.98406861306</v>
      </c>
      <c r="AQ144" s="653">
        <f t="shared" si="175"/>
        <v>166.1223257962755</v>
      </c>
      <c r="AR144" s="653">
        <f t="shared" si="175"/>
        <v>166.26058297949098</v>
      </c>
      <c r="AS144" s="653">
        <f t="shared" si="175"/>
        <v>166.39884016270648</v>
      </c>
      <c r="AT144" s="653">
        <f t="shared" si="175"/>
        <v>166.53709734592195</v>
      </c>
      <c r="AU144" s="653">
        <f t="shared" si="175"/>
        <v>166.67535452913748</v>
      </c>
    </row>
    <row r="145" spans="4:47">
      <c r="D145" s="8"/>
      <c r="E145" s="452" t="s">
        <v>814</v>
      </c>
      <c r="F145" s="571" t="str">
        <f>F144</f>
        <v>MKr19</v>
      </c>
      <c r="G145" s="653">
        <f>G144*2</f>
        <v>293.04000000000002</v>
      </c>
      <c r="H145" s="653">
        <f t="shared" ref="H145" si="176">H144*2</f>
        <v>403.947506067196</v>
      </c>
      <c r="I145" s="653">
        <f t="shared" ref="I145" si="177">I144*2</f>
        <v>457.947506067196</v>
      </c>
      <c r="J145" s="653">
        <f t="shared" ref="J145" si="178">J144*2</f>
        <v>452.54750606719603</v>
      </c>
      <c r="K145" s="653">
        <f t="shared" ref="K145" si="179">K144*2</f>
        <v>401.54750606719603</v>
      </c>
      <c r="L145" s="653">
        <f t="shared" ref="L145" si="180">L144*2</f>
        <v>391.34750606719598</v>
      </c>
      <c r="M145" s="653">
        <f t="shared" ref="M145" si="181">M144*2</f>
        <v>348.14750606719599</v>
      </c>
      <c r="N145" s="653">
        <f t="shared" ref="N145" si="182">N144*2</f>
        <v>348.74750606719596</v>
      </c>
      <c r="O145" s="653">
        <f t="shared" ref="O145" si="183">O144*2</f>
        <v>447.88060635829748</v>
      </c>
      <c r="P145" s="653">
        <f t="shared" ref="P145" si="184">P144*2</f>
        <v>332.91357351091875</v>
      </c>
      <c r="Q145" s="653">
        <f t="shared" ref="Q145" si="185">Q144*2</f>
        <v>327.73460598608955</v>
      </c>
      <c r="R145" s="653">
        <f t="shared" ref="R145" si="186">R144*2</f>
        <v>316.49924621982518</v>
      </c>
      <c r="S145" s="653">
        <f t="shared" ref="S145" si="187">S144*2</f>
        <v>323.92279779644736</v>
      </c>
      <c r="T145" s="653">
        <f t="shared" ref="T145" si="188">T144*2</f>
        <v>327.55363594444879</v>
      </c>
      <c r="U145" s="653">
        <f t="shared" ref="U145" si="189">U144*2</f>
        <v>328.75024958936842</v>
      </c>
      <c r="V145" s="653">
        <f t="shared" ref="V145" si="190">V144*2</f>
        <v>328.38400684467797</v>
      </c>
      <c r="W145" s="653">
        <f t="shared" ref="W145" si="191">W144*2</f>
        <v>328.15334129302039</v>
      </c>
      <c r="X145" s="653">
        <f t="shared" ref="X145" si="192">X144*2</f>
        <v>328.00518858458599</v>
      </c>
      <c r="Y145" s="653">
        <f t="shared" ref="Y145" si="193">Y144*2</f>
        <v>327.87830360991677</v>
      </c>
      <c r="Z145" s="653">
        <f t="shared" ref="Z145" si="194">Z144*2</f>
        <v>327.8328275553298</v>
      </c>
      <c r="AA145" s="653">
        <f t="shared" ref="AA145" si="195">AA144*2</f>
        <v>327.82042172965527</v>
      </c>
      <c r="AB145" s="653">
        <f t="shared" ref="AB145" si="196">AB144*2</f>
        <v>328.09693609608627</v>
      </c>
      <c r="AC145" s="653">
        <f t="shared" ref="AC145" si="197">AC144*2</f>
        <v>328.37345046251727</v>
      </c>
      <c r="AD145" s="653">
        <f t="shared" ref="AD145" si="198">AD144*2</f>
        <v>328.64996482894827</v>
      </c>
      <c r="AE145" s="653">
        <f t="shared" ref="AE145" si="199">AE144*2</f>
        <v>328.92647919537922</v>
      </c>
      <c r="AF145" s="653">
        <f t="shared" ref="AF145" si="200">AF144*2</f>
        <v>329.20299356181027</v>
      </c>
      <c r="AG145" s="653">
        <f t="shared" ref="AG145" si="201">AG144*2</f>
        <v>329.47950792824128</v>
      </c>
      <c r="AH145" s="653">
        <f t="shared" ref="AH145" si="202">AH144*2</f>
        <v>329.75602229467216</v>
      </c>
      <c r="AI145" s="653">
        <f t="shared" ref="AI145" si="203">AI144*2</f>
        <v>330.03253666110317</v>
      </c>
      <c r="AJ145" s="653">
        <f t="shared" ref="AJ145" si="204">AJ144*2</f>
        <v>330.30905102753411</v>
      </c>
      <c r="AK145" s="653">
        <f t="shared" ref="AK145" si="205">AK144*2</f>
        <v>330.58556539396511</v>
      </c>
      <c r="AL145" s="653">
        <f t="shared" ref="AL145" si="206">AL144*2</f>
        <v>330.86207976039611</v>
      </c>
      <c r="AM145" s="653">
        <f t="shared" ref="AM145" si="207">AM144*2</f>
        <v>331.13859412682706</v>
      </c>
      <c r="AN145" s="653">
        <f t="shared" ref="AN145" si="208">AN144*2</f>
        <v>331.415108493258</v>
      </c>
      <c r="AO145" s="653">
        <f t="shared" ref="AO145" si="209">AO144*2</f>
        <v>331.69162285968901</v>
      </c>
      <c r="AP145" s="653">
        <f t="shared" ref="AP145" si="210">AP144*2</f>
        <v>331.96813722612001</v>
      </c>
      <c r="AQ145" s="653">
        <f t="shared" ref="AQ145" si="211">AQ144*2</f>
        <v>332.24465159255101</v>
      </c>
      <c r="AR145" s="653">
        <f t="shared" ref="AR145" si="212">AR144*2</f>
        <v>332.52116595898195</v>
      </c>
      <c r="AS145" s="653">
        <f t="shared" ref="AS145" si="213">AS144*2</f>
        <v>332.79768032541295</v>
      </c>
      <c r="AT145" s="653">
        <f t="shared" ref="AT145" si="214">AT144*2</f>
        <v>333.0741946918439</v>
      </c>
      <c r="AU145" s="653">
        <f t="shared" ref="AU145" si="215">AU144*2</f>
        <v>333.35070905827496</v>
      </c>
    </row>
    <row r="146" spans="4:47">
      <c r="D146" s="8"/>
      <c r="E146" s="452" t="s">
        <v>804</v>
      </c>
      <c r="F146" s="571" t="s">
        <v>210</v>
      </c>
      <c r="G146" s="653">
        <f>G145*2</f>
        <v>586.08000000000004</v>
      </c>
      <c r="H146" s="653">
        <f>H145*2</f>
        <v>807.895012134392</v>
      </c>
      <c r="I146" s="653">
        <f t="shared" ref="I146" si="216">I145*2</f>
        <v>915.895012134392</v>
      </c>
      <c r="J146" s="653">
        <f t="shared" ref="J146" si="217">J145*2</f>
        <v>905.09501213439205</v>
      </c>
      <c r="K146" s="653">
        <f t="shared" ref="K146" si="218">K145*2</f>
        <v>803.09501213439205</v>
      </c>
      <c r="L146" s="653">
        <f t="shared" ref="L146" si="219">L145*2</f>
        <v>782.69501213439196</v>
      </c>
      <c r="M146" s="653">
        <f t="shared" ref="M146" si="220">M145*2</f>
        <v>696.29501213439198</v>
      </c>
      <c r="N146" s="653">
        <f t="shared" ref="N146" si="221">N145*2</f>
        <v>697.49501213439191</v>
      </c>
      <c r="O146" s="653">
        <f t="shared" ref="O146" si="222">O145*2</f>
        <v>895.76121271659497</v>
      </c>
      <c r="P146" s="653">
        <f t="shared" ref="P146" si="223">P145*2</f>
        <v>665.8271470218375</v>
      </c>
      <c r="Q146" s="653">
        <f t="shared" ref="Q146" si="224">Q145*2</f>
        <v>655.4692119721791</v>
      </c>
      <c r="R146" s="653">
        <f t="shared" ref="R146" si="225">R145*2</f>
        <v>632.99849243965036</v>
      </c>
      <c r="S146" s="653">
        <f t="shared" ref="S146" si="226">S145*2</f>
        <v>647.84559559289471</v>
      </c>
      <c r="T146" s="653">
        <f t="shared" ref="T146" si="227">T145*2</f>
        <v>655.10727188889757</v>
      </c>
      <c r="U146" s="653">
        <f t="shared" ref="U146" si="228">U145*2</f>
        <v>657.50049917873685</v>
      </c>
      <c r="V146" s="653">
        <f t="shared" ref="V146" si="229">V145*2</f>
        <v>656.76801368935594</v>
      </c>
      <c r="W146" s="653">
        <f t="shared" ref="W146" si="230">W145*2</f>
        <v>656.30668258604078</v>
      </c>
      <c r="X146" s="653">
        <f t="shared" ref="X146" si="231">X145*2</f>
        <v>656.01037716917199</v>
      </c>
      <c r="Y146" s="653">
        <f t="shared" ref="Y146" si="232">Y145*2</f>
        <v>655.75660721983354</v>
      </c>
      <c r="Z146" s="653">
        <f t="shared" ref="Z146" si="233">Z145*2</f>
        <v>655.6656551106596</v>
      </c>
      <c r="AA146" s="653">
        <f t="shared" ref="AA146" si="234">AA145*2</f>
        <v>655.64084345931053</v>
      </c>
      <c r="AB146" s="653">
        <f t="shared" ref="AB146" si="235">AB145*2</f>
        <v>656.19387219217253</v>
      </c>
      <c r="AC146" s="653">
        <f t="shared" ref="AC146" si="236">AC145*2</f>
        <v>656.74690092503454</v>
      </c>
      <c r="AD146" s="653">
        <f t="shared" ref="AD146" si="237">AD145*2</f>
        <v>657.29992965789654</v>
      </c>
      <c r="AE146" s="653">
        <f t="shared" ref="AE146" si="238">AE145*2</f>
        <v>657.85295839075843</v>
      </c>
      <c r="AF146" s="653">
        <f t="shared" ref="AF146" si="239">AF145*2</f>
        <v>658.40598712362055</v>
      </c>
      <c r="AG146" s="653">
        <f t="shared" ref="AG146" si="240">AG145*2</f>
        <v>658.95901585648255</v>
      </c>
      <c r="AH146" s="653">
        <f t="shared" ref="AH146" si="241">AH145*2</f>
        <v>659.51204458934433</v>
      </c>
      <c r="AI146" s="653">
        <f t="shared" ref="AI146" si="242">AI145*2</f>
        <v>660.06507332220633</v>
      </c>
      <c r="AJ146" s="653">
        <f t="shared" ref="AJ146" si="243">AJ145*2</f>
        <v>660.61810205506822</v>
      </c>
      <c r="AK146" s="653">
        <f t="shared" ref="AK146" si="244">AK145*2</f>
        <v>661.17113078793022</v>
      </c>
      <c r="AL146" s="653">
        <f t="shared" ref="AL146" si="245">AL145*2</f>
        <v>661.72415952079223</v>
      </c>
      <c r="AM146" s="653">
        <f t="shared" ref="AM146" si="246">AM145*2</f>
        <v>662.27718825365412</v>
      </c>
      <c r="AN146" s="653">
        <f t="shared" ref="AN146" si="247">AN145*2</f>
        <v>662.83021698651601</v>
      </c>
      <c r="AO146" s="653">
        <f t="shared" ref="AO146" si="248">AO145*2</f>
        <v>663.38324571937801</v>
      </c>
      <c r="AP146" s="653">
        <f t="shared" ref="AP146" si="249">AP145*2</f>
        <v>663.93627445224001</v>
      </c>
      <c r="AQ146" s="653">
        <f t="shared" ref="AQ146" si="250">AQ145*2</f>
        <v>664.48930318510202</v>
      </c>
      <c r="AR146" s="653">
        <f t="shared" ref="AR146" si="251">AR145*2</f>
        <v>665.04233191796391</v>
      </c>
      <c r="AS146" s="653">
        <f t="shared" ref="AS146" si="252">AS145*2</f>
        <v>665.59536065082591</v>
      </c>
      <c r="AT146" s="653">
        <f t="shared" ref="AT146" si="253">AT145*2</f>
        <v>666.1483893836878</v>
      </c>
      <c r="AU146" s="653">
        <f t="shared" ref="AU146" si="254">AU145*2</f>
        <v>666.70141811654992</v>
      </c>
    </row>
    <row r="147" spans="4:47">
      <c r="D147" s="8"/>
      <c r="E147" s="452" t="s">
        <v>806</v>
      </c>
      <c r="F147" s="571" t="s">
        <v>210</v>
      </c>
      <c r="G147" s="653">
        <f>G146</f>
        <v>586.08000000000004</v>
      </c>
      <c r="H147" s="653">
        <f t="shared" ref="H147:AU147" si="255">H146</f>
        <v>807.895012134392</v>
      </c>
      <c r="I147" s="653">
        <f t="shared" si="255"/>
        <v>915.895012134392</v>
      </c>
      <c r="J147" s="653">
        <f t="shared" si="255"/>
        <v>905.09501213439205</v>
      </c>
      <c r="K147" s="653">
        <f t="shared" si="255"/>
        <v>803.09501213439205</v>
      </c>
      <c r="L147" s="653">
        <f t="shared" si="255"/>
        <v>782.69501213439196</v>
      </c>
      <c r="M147" s="653">
        <f t="shared" si="255"/>
        <v>696.29501213439198</v>
      </c>
      <c r="N147" s="653">
        <f t="shared" si="255"/>
        <v>697.49501213439191</v>
      </c>
      <c r="O147" s="653">
        <f t="shared" si="255"/>
        <v>895.76121271659497</v>
      </c>
      <c r="P147" s="653">
        <f t="shared" si="255"/>
        <v>665.8271470218375</v>
      </c>
      <c r="Q147" s="653">
        <f t="shared" si="255"/>
        <v>655.4692119721791</v>
      </c>
      <c r="R147" s="653">
        <f t="shared" si="255"/>
        <v>632.99849243965036</v>
      </c>
      <c r="S147" s="653">
        <f t="shared" si="255"/>
        <v>647.84559559289471</v>
      </c>
      <c r="T147" s="653">
        <f t="shared" si="255"/>
        <v>655.10727188889757</v>
      </c>
      <c r="U147" s="653">
        <f t="shared" si="255"/>
        <v>657.50049917873685</v>
      </c>
      <c r="V147" s="653">
        <f t="shared" si="255"/>
        <v>656.76801368935594</v>
      </c>
      <c r="W147" s="653">
        <f t="shared" si="255"/>
        <v>656.30668258604078</v>
      </c>
      <c r="X147" s="653">
        <f t="shared" si="255"/>
        <v>656.01037716917199</v>
      </c>
      <c r="Y147" s="653">
        <f t="shared" si="255"/>
        <v>655.75660721983354</v>
      </c>
      <c r="Z147" s="653">
        <f t="shared" si="255"/>
        <v>655.6656551106596</v>
      </c>
      <c r="AA147" s="653">
        <f t="shared" si="255"/>
        <v>655.64084345931053</v>
      </c>
      <c r="AB147" s="653">
        <f t="shared" si="255"/>
        <v>656.19387219217253</v>
      </c>
      <c r="AC147" s="653">
        <f t="shared" si="255"/>
        <v>656.74690092503454</v>
      </c>
      <c r="AD147" s="653">
        <f t="shared" si="255"/>
        <v>657.29992965789654</v>
      </c>
      <c r="AE147" s="653">
        <f t="shared" si="255"/>
        <v>657.85295839075843</v>
      </c>
      <c r="AF147" s="653">
        <f t="shared" si="255"/>
        <v>658.40598712362055</v>
      </c>
      <c r="AG147" s="653">
        <f t="shared" si="255"/>
        <v>658.95901585648255</v>
      </c>
      <c r="AH147" s="653">
        <f t="shared" si="255"/>
        <v>659.51204458934433</v>
      </c>
      <c r="AI147" s="653">
        <f t="shared" si="255"/>
        <v>660.06507332220633</v>
      </c>
      <c r="AJ147" s="653">
        <f t="shared" si="255"/>
        <v>660.61810205506822</v>
      </c>
      <c r="AK147" s="653">
        <f t="shared" si="255"/>
        <v>661.17113078793022</v>
      </c>
      <c r="AL147" s="653">
        <f t="shared" si="255"/>
        <v>661.72415952079223</v>
      </c>
      <c r="AM147" s="653">
        <f t="shared" si="255"/>
        <v>662.27718825365412</v>
      </c>
      <c r="AN147" s="653">
        <f t="shared" si="255"/>
        <v>662.83021698651601</v>
      </c>
      <c r="AO147" s="653">
        <f t="shared" si="255"/>
        <v>663.38324571937801</v>
      </c>
      <c r="AP147" s="653">
        <f t="shared" si="255"/>
        <v>663.93627445224001</v>
      </c>
      <c r="AQ147" s="653">
        <f t="shared" si="255"/>
        <v>664.48930318510202</v>
      </c>
      <c r="AR147" s="653">
        <f t="shared" si="255"/>
        <v>665.04233191796391</v>
      </c>
      <c r="AS147" s="653">
        <f t="shared" si="255"/>
        <v>665.59536065082591</v>
      </c>
      <c r="AT147" s="653">
        <f t="shared" si="255"/>
        <v>666.1483893836878</v>
      </c>
      <c r="AU147" s="653">
        <f t="shared" si="255"/>
        <v>666.70141811654992</v>
      </c>
    </row>
    <row r="148" spans="4:47">
      <c r="D148" s="8"/>
      <c r="E148" s="452" t="s">
        <v>196</v>
      </c>
      <c r="F148" s="571" t="str">
        <f>F143</f>
        <v>MKr19</v>
      </c>
      <c r="G148" s="653">
        <f>G143</f>
        <v>133.19999999999999</v>
      </c>
      <c r="H148" s="653">
        <f t="shared" ref="H148:AU148" si="256">H143</f>
        <v>138.30000000000001</v>
      </c>
      <c r="I148" s="653">
        <f t="shared" si="256"/>
        <v>165.3</v>
      </c>
      <c r="J148" s="653">
        <f t="shared" si="256"/>
        <v>162.60000000000002</v>
      </c>
      <c r="K148" s="653">
        <f t="shared" si="256"/>
        <v>137.10000000000002</v>
      </c>
      <c r="L148" s="653">
        <f t="shared" si="256"/>
        <v>132</v>
      </c>
      <c r="M148" s="653">
        <f t="shared" si="256"/>
        <v>110.39999999999999</v>
      </c>
      <c r="N148" s="653">
        <f t="shared" si="256"/>
        <v>110.69999999999999</v>
      </c>
      <c r="O148" s="653">
        <f t="shared" si="256"/>
        <v>160.26655014555075</v>
      </c>
      <c r="P148" s="653">
        <f t="shared" si="256"/>
        <v>102.78303372186139</v>
      </c>
      <c r="Q148" s="653">
        <f t="shared" si="256"/>
        <v>100.19354995944677</v>
      </c>
      <c r="R148" s="653">
        <f t="shared" si="256"/>
        <v>94.575870076314601</v>
      </c>
      <c r="S148" s="653">
        <f t="shared" si="256"/>
        <v>98.287645864625688</v>
      </c>
      <c r="T148" s="653">
        <f t="shared" si="256"/>
        <v>100.1030649386264</v>
      </c>
      <c r="U148" s="653">
        <f t="shared" si="256"/>
        <v>100.70137176108622</v>
      </c>
      <c r="V148" s="653">
        <f t="shared" si="256"/>
        <v>100.518250388741</v>
      </c>
      <c r="W148" s="653">
        <f t="shared" si="256"/>
        <v>100.40291761291219</v>
      </c>
      <c r="X148" s="653">
        <f t="shared" si="256"/>
        <v>100.32884125869501</v>
      </c>
      <c r="Y148" s="653">
        <f t="shared" si="256"/>
        <v>100.26539877136038</v>
      </c>
      <c r="Z148" s="653">
        <f t="shared" si="256"/>
        <v>100.24266074406691</v>
      </c>
      <c r="AA148" s="653">
        <f t="shared" si="256"/>
        <v>100.23645783122964</v>
      </c>
      <c r="AB148" s="653">
        <f t="shared" si="256"/>
        <v>100.37471501444514</v>
      </c>
      <c r="AC148" s="653">
        <f t="shared" si="256"/>
        <v>100.51297219766064</v>
      </c>
      <c r="AD148" s="653">
        <f t="shared" si="256"/>
        <v>100.65122938087613</v>
      </c>
      <c r="AE148" s="653">
        <f t="shared" si="256"/>
        <v>100.78948656409162</v>
      </c>
      <c r="AF148" s="653">
        <f t="shared" si="256"/>
        <v>100.92774374730713</v>
      </c>
      <c r="AG148" s="653">
        <f t="shared" si="256"/>
        <v>101.06600093052263</v>
      </c>
      <c r="AH148" s="653">
        <f t="shared" si="256"/>
        <v>101.20425811373809</v>
      </c>
      <c r="AI148" s="653">
        <f t="shared" si="256"/>
        <v>101.34251529695359</v>
      </c>
      <c r="AJ148" s="653">
        <f t="shared" si="256"/>
        <v>101.48077248016905</v>
      </c>
      <c r="AK148" s="653">
        <f t="shared" si="256"/>
        <v>101.61902966338455</v>
      </c>
      <c r="AL148" s="653">
        <f t="shared" si="256"/>
        <v>101.75728684660005</v>
      </c>
      <c r="AM148" s="653">
        <f t="shared" si="256"/>
        <v>101.89554402981554</v>
      </c>
      <c r="AN148" s="653">
        <f t="shared" si="256"/>
        <v>102.03380121303101</v>
      </c>
      <c r="AO148" s="653">
        <f t="shared" si="256"/>
        <v>102.17205839624651</v>
      </c>
      <c r="AP148" s="653">
        <f t="shared" si="256"/>
        <v>102.31031557946201</v>
      </c>
      <c r="AQ148" s="653">
        <f t="shared" si="256"/>
        <v>102.44857276267751</v>
      </c>
      <c r="AR148" s="653">
        <f t="shared" si="256"/>
        <v>102.58682994589297</v>
      </c>
      <c r="AS148" s="653">
        <f t="shared" si="256"/>
        <v>102.72508712910849</v>
      </c>
      <c r="AT148" s="653">
        <f t="shared" si="256"/>
        <v>102.86334431232396</v>
      </c>
      <c r="AU148" s="653">
        <f t="shared" si="256"/>
        <v>103.00160149553948</v>
      </c>
    </row>
    <row r="149" spans="4:47">
      <c r="D149" s="8"/>
      <c r="E149" s="452" t="s">
        <v>785</v>
      </c>
      <c r="F149" s="571" t="str">
        <f>F144</f>
        <v>MKr19</v>
      </c>
      <c r="G149" s="653">
        <f t="shared" ref="G149:AU149" si="257">G142</f>
        <v>44.4</v>
      </c>
      <c r="H149" s="653">
        <f t="shared" si="257"/>
        <v>46.1</v>
      </c>
      <c r="I149" s="653">
        <f t="shared" si="257"/>
        <v>55.1</v>
      </c>
      <c r="J149" s="653">
        <f t="shared" si="257"/>
        <v>54.2</v>
      </c>
      <c r="K149" s="653">
        <f t="shared" si="257"/>
        <v>45.7</v>
      </c>
      <c r="L149" s="653">
        <f t="shared" si="257"/>
        <v>44</v>
      </c>
      <c r="M149" s="653">
        <f t="shared" si="257"/>
        <v>36.799999999999997</v>
      </c>
      <c r="N149" s="653">
        <f t="shared" si="257"/>
        <v>36.9</v>
      </c>
      <c r="O149" s="653">
        <f>O142</f>
        <v>53.422183381850253</v>
      </c>
      <c r="P149" s="653">
        <f t="shared" si="257"/>
        <v>34.261011240620462</v>
      </c>
      <c r="Q149" s="653">
        <f t="shared" si="257"/>
        <v>33.397849986482257</v>
      </c>
      <c r="R149" s="653">
        <f t="shared" si="257"/>
        <v>31.525290025438199</v>
      </c>
      <c r="S149" s="653">
        <f t="shared" si="257"/>
        <v>32.762548621541896</v>
      </c>
      <c r="T149" s="653">
        <f t="shared" si="257"/>
        <v>33.367688312875465</v>
      </c>
      <c r="U149" s="653">
        <f t="shared" si="257"/>
        <v>33.567123920362071</v>
      </c>
      <c r="V149" s="653">
        <f t="shared" si="257"/>
        <v>33.506083462913665</v>
      </c>
      <c r="W149" s="653">
        <f t="shared" si="257"/>
        <v>33.467639204304064</v>
      </c>
      <c r="X149" s="653">
        <f t="shared" si="257"/>
        <v>33.442947086231669</v>
      </c>
      <c r="Y149" s="653">
        <f t="shared" si="257"/>
        <v>33.42179959045346</v>
      </c>
      <c r="Z149" s="653">
        <f t="shared" si="257"/>
        <v>33.414220248022303</v>
      </c>
      <c r="AA149" s="653">
        <f t="shared" si="257"/>
        <v>33.412152610409883</v>
      </c>
      <c r="AB149" s="653">
        <f t="shared" si="257"/>
        <v>33.458238338148384</v>
      </c>
      <c r="AC149" s="653">
        <f t="shared" si="257"/>
        <v>33.504324065886884</v>
      </c>
      <c r="AD149" s="653">
        <f t="shared" si="257"/>
        <v>33.550409793625377</v>
      </c>
      <c r="AE149" s="653">
        <f t="shared" si="257"/>
        <v>33.59649552136387</v>
      </c>
      <c r="AF149" s="653">
        <f t="shared" si="257"/>
        <v>33.642581249102378</v>
      </c>
      <c r="AG149" s="653">
        <f t="shared" si="257"/>
        <v>33.688666976840878</v>
      </c>
      <c r="AH149" s="653">
        <f t="shared" si="257"/>
        <v>33.734752704579364</v>
      </c>
      <c r="AI149" s="653">
        <f t="shared" si="257"/>
        <v>33.780838432317864</v>
      </c>
      <c r="AJ149" s="653">
        <f t="shared" si="257"/>
        <v>33.82692416005635</v>
      </c>
      <c r="AK149" s="653">
        <f t="shared" si="257"/>
        <v>33.873009887794851</v>
      </c>
      <c r="AL149" s="653">
        <f t="shared" si="257"/>
        <v>33.919095615533351</v>
      </c>
      <c r="AM149" s="653">
        <f t="shared" si="257"/>
        <v>33.965181343271844</v>
      </c>
      <c r="AN149" s="653">
        <f t="shared" si="257"/>
        <v>34.011267071010337</v>
      </c>
      <c r="AO149" s="653">
        <f t="shared" si="257"/>
        <v>34.057352798748838</v>
      </c>
      <c r="AP149" s="653">
        <f t="shared" si="257"/>
        <v>34.103438526487338</v>
      </c>
      <c r="AQ149" s="653">
        <f t="shared" si="257"/>
        <v>34.149524254225838</v>
      </c>
      <c r="AR149" s="653">
        <f t="shared" si="257"/>
        <v>34.195609981964324</v>
      </c>
      <c r="AS149" s="653">
        <f t="shared" si="257"/>
        <v>34.241695709702832</v>
      </c>
      <c r="AT149" s="653">
        <f t="shared" si="257"/>
        <v>34.287781437441318</v>
      </c>
      <c r="AU149" s="653">
        <f t="shared" si="257"/>
        <v>34.333867165179825</v>
      </c>
    </row>
    <row r="150" spans="4:47">
      <c r="D150" s="8"/>
      <c r="E150" s="452" t="s">
        <v>73</v>
      </c>
      <c r="F150" s="821" t="s">
        <v>1102</v>
      </c>
      <c r="G150" s="654">
        <f>G231</f>
        <v>46</v>
      </c>
      <c r="H150" s="654">
        <f t="shared" ref="H150:N150" si="258">H231</f>
        <v>46</v>
      </c>
      <c r="I150" s="654">
        <f t="shared" si="258"/>
        <v>46</v>
      </c>
      <c r="J150" s="654">
        <f t="shared" si="258"/>
        <v>45.7</v>
      </c>
      <c r="K150" s="654">
        <f t="shared" si="258"/>
        <v>45.3</v>
      </c>
      <c r="L150" s="654">
        <f t="shared" si="258"/>
        <v>44.9</v>
      </c>
      <c r="M150" s="654">
        <f t="shared" si="258"/>
        <v>45.4</v>
      </c>
      <c r="N150" s="654">
        <f t="shared" si="258"/>
        <v>45.9</v>
      </c>
      <c r="O150" s="822">
        <f>VLOOKUP(O$120,$C$284:$O$316,12)</f>
        <v>45.179472202489855</v>
      </c>
      <c r="P150" s="822">
        <f t="shared" ref="P150:AU150" si="259">VLOOKUP(P$120,$C$284:$O$316,12)</f>
        <v>45.117600562980392</v>
      </c>
      <c r="Q150" s="822">
        <f t="shared" si="259"/>
        <v>45.248389703133633</v>
      </c>
      <c r="R150" s="822">
        <f t="shared" si="259"/>
        <v>45.190250127598674</v>
      </c>
      <c r="S150" s="822">
        <f t="shared" si="259"/>
        <v>45.392121473736516</v>
      </c>
      <c r="T150" s="822">
        <f t="shared" si="259"/>
        <v>45.644433925671841</v>
      </c>
      <c r="U150" s="822">
        <f t="shared" si="259"/>
        <v>45.923015098100862</v>
      </c>
      <c r="V150" s="822">
        <f t="shared" si="259"/>
        <v>46.207001444406053</v>
      </c>
      <c r="W150" s="822">
        <f t="shared" si="259"/>
        <v>46.419730980267232</v>
      </c>
      <c r="X150" s="822">
        <f t="shared" si="259"/>
        <v>46.631059323825987</v>
      </c>
      <c r="Y150" s="822">
        <f t="shared" si="259"/>
        <v>46.839924523073165</v>
      </c>
      <c r="Z150" s="822">
        <f t="shared" si="259"/>
        <v>47.054043906757286</v>
      </c>
      <c r="AA150" s="822">
        <f t="shared" si="259"/>
        <v>47.263106384197172</v>
      </c>
      <c r="AB150" s="822">
        <f t="shared" si="259"/>
        <v>47.363169268373781</v>
      </c>
      <c r="AC150" s="822">
        <f t="shared" si="259"/>
        <v>47.463048827686151</v>
      </c>
      <c r="AD150" s="822">
        <f t="shared" si="259"/>
        <v>47.562746231205452</v>
      </c>
      <c r="AE150" s="822">
        <f t="shared" si="259"/>
        <v>47.662262629564232</v>
      </c>
      <c r="AF150" s="822">
        <f t="shared" si="259"/>
        <v>47.761599155151828</v>
      </c>
      <c r="AG150" s="822">
        <f t="shared" si="259"/>
        <v>47.861557709026719</v>
      </c>
      <c r="AH150" s="822">
        <f t="shared" si="259"/>
        <v>47.961224086497161</v>
      </c>
      <c r="AI150" s="822">
        <f t="shared" si="259"/>
        <v>48.06060022028862</v>
      </c>
      <c r="AJ150" s="822">
        <f t="shared" si="259"/>
        <v>48.159688016832391</v>
      </c>
      <c r="AK150" s="822">
        <f t="shared" si="259"/>
        <v>48.258489356547372</v>
      </c>
      <c r="AL150" s="822">
        <f t="shared" si="259"/>
        <v>48.37762671431922</v>
      </c>
      <c r="AM150" s="822">
        <f t="shared" si="259"/>
        <v>48.496315696545963</v>
      </c>
      <c r="AN150" s="822">
        <f t="shared" si="259"/>
        <v>48.614559135690349</v>
      </c>
      <c r="AO150" s="822">
        <f t="shared" si="259"/>
        <v>48.73235982855357</v>
      </c>
      <c r="AP150" s="822">
        <f t="shared" si="259"/>
        <v>48.849720536660548</v>
      </c>
      <c r="AQ150" s="822">
        <f t="shared" si="259"/>
        <v>49.024574818868821</v>
      </c>
      <c r="AR150" s="822">
        <f t="shared" si="259"/>
        <v>49.198719487894593</v>
      </c>
      <c r="AS150" s="822">
        <f t="shared" si="259"/>
        <v>49.372158440659689</v>
      </c>
      <c r="AT150" s="822">
        <f t="shared" si="259"/>
        <v>49.544895527221009</v>
      </c>
      <c r="AU150" s="822">
        <f t="shared" si="259"/>
        <v>49.716934551280723</v>
      </c>
    </row>
    <row r="151" spans="4:47">
      <c r="D151" s="8"/>
      <c r="E151" s="452" t="s">
        <v>72</v>
      </c>
      <c r="F151" s="821" t="s">
        <v>1102</v>
      </c>
      <c r="G151" s="654">
        <f>G240</f>
        <v>73.7</v>
      </c>
      <c r="H151" s="654">
        <f t="shared" ref="H151:N151" si="260">H240</f>
        <v>73.7</v>
      </c>
      <c r="I151" s="654">
        <f t="shared" si="260"/>
        <v>73.7</v>
      </c>
      <c r="J151" s="654">
        <f t="shared" si="260"/>
        <v>72.7</v>
      </c>
      <c r="K151" s="654">
        <f t="shared" si="260"/>
        <v>71.8</v>
      </c>
      <c r="L151" s="654">
        <f t="shared" si="260"/>
        <v>70.8</v>
      </c>
      <c r="M151" s="654">
        <f t="shared" si="260"/>
        <v>71.2</v>
      </c>
      <c r="N151" s="654">
        <f t="shared" si="260"/>
        <v>71.599999999999994</v>
      </c>
      <c r="O151" s="822">
        <f>VLOOKUP(O$120,$C$284:$O$316,10)</f>
        <v>69.494890781791952</v>
      </c>
      <c r="P151" s="822">
        <f t="shared" ref="P151:AU151" si="261">VLOOKUP(P$120,$C$284:$O$316,10)</f>
        <v>69.433019142282461</v>
      </c>
      <c r="Q151" s="822">
        <f t="shared" si="261"/>
        <v>59.910194122791161</v>
      </c>
      <c r="R151" s="822">
        <f t="shared" si="261"/>
        <v>62.854344413402906</v>
      </c>
      <c r="S151" s="822">
        <f t="shared" si="261"/>
        <v>63.172513966646889</v>
      </c>
      <c r="T151" s="822">
        <f t="shared" si="261"/>
        <v>62.478874618815077</v>
      </c>
      <c r="U151" s="822">
        <f t="shared" si="261"/>
        <v>62.142339464339834</v>
      </c>
      <c r="V151" s="822">
        <f t="shared" si="261"/>
        <v>61.840436911371611</v>
      </c>
      <c r="W151" s="822">
        <f t="shared" si="261"/>
        <v>61.559038676176264</v>
      </c>
      <c r="X151" s="822">
        <f t="shared" si="261"/>
        <v>61.304552221855602</v>
      </c>
      <c r="Y151" s="822">
        <f t="shared" si="261"/>
        <v>61.075127920444082</v>
      </c>
      <c r="Z151" s="822">
        <f t="shared" si="261"/>
        <v>60.879811326662022</v>
      </c>
      <c r="AA151" s="822">
        <f t="shared" si="261"/>
        <v>60.705878120268423</v>
      </c>
      <c r="AB151" s="822">
        <f t="shared" si="261"/>
        <v>60.70433047636952</v>
      </c>
      <c r="AC151" s="822">
        <f t="shared" si="261"/>
        <v>60.702548817291905</v>
      </c>
      <c r="AD151" s="822">
        <f t="shared" si="261"/>
        <v>60.700536499539886</v>
      </c>
      <c r="AE151" s="822">
        <f t="shared" si="261"/>
        <v>60.698296822060883</v>
      </c>
      <c r="AF151" s="822">
        <f t="shared" si="261"/>
        <v>60.695833026853684</v>
      </c>
      <c r="AG151" s="822">
        <f t="shared" si="261"/>
        <v>60.689945389690699</v>
      </c>
      <c r="AH151" s="822">
        <f t="shared" si="261"/>
        <v>60.683892039969457</v>
      </c>
      <c r="AI151" s="822">
        <f t="shared" si="261"/>
        <v>60.677675969854107</v>
      </c>
      <c r="AJ151" s="822">
        <f t="shared" si="261"/>
        <v>60.671300113152753</v>
      </c>
      <c r="AK151" s="822">
        <f t="shared" si="261"/>
        <v>60.664767346129707</v>
      </c>
      <c r="AL151" s="822">
        <f t="shared" si="261"/>
        <v>60.675957923099851</v>
      </c>
      <c r="AM151" s="822">
        <f t="shared" si="261"/>
        <v>60.68702193291076</v>
      </c>
      <c r="AN151" s="822">
        <f t="shared" si="261"/>
        <v>60.697960969252613</v>
      </c>
      <c r="AO151" s="822">
        <f t="shared" si="261"/>
        <v>60.70877659234629</v>
      </c>
      <c r="AP151" s="822">
        <f t="shared" si="261"/>
        <v>60.719470329291362</v>
      </c>
      <c r="AQ151" s="822">
        <f t="shared" si="261"/>
        <v>60.774302670903623</v>
      </c>
      <c r="AR151" s="822">
        <f t="shared" si="261"/>
        <v>60.828784329157571</v>
      </c>
      <c r="AS151" s="822">
        <f t="shared" si="261"/>
        <v>60.882916997101603</v>
      </c>
      <c r="AT151" s="822">
        <f t="shared" si="261"/>
        <v>60.936702331670006</v>
      </c>
      <c r="AU151" s="822">
        <f t="shared" si="261"/>
        <v>60.990141954059872</v>
      </c>
    </row>
    <row r="152" spans="4:47">
      <c r="D152" s="8"/>
      <c r="E152" s="452" t="s">
        <v>43</v>
      </c>
      <c r="F152" s="821" t="s">
        <v>1102</v>
      </c>
      <c r="G152" s="653">
        <f>G243</f>
        <v>41.5</v>
      </c>
      <c r="H152" s="653">
        <f t="shared" ref="H152:N152" si="262">H243</f>
        <v>41.5</v>
      </c>
      <c r="I152" s="653">
        <f t="shared" si="262"/>
        <v>41.5</v>
      </c>
      <c r="J152" s="653">
        <f t="shared" si="262"/>
        <v>41.2</v>
      </c>
      <c r="K152" s="653">
        <f t="shared" si="262"/>
        <v>40.799999999999997</v>
      </c>
      <c r="L152" s="653">
        <f t="shared" si="262"/>
        <v>40.5</v>
      </c>
      <c r="M152" s="653">
        <f t="shared" si="262"/>
        <v>40.9</v>
      </c>
      <c r="N152" s="653">
        <f t="shared" si="262"/>
        <v>41.4</v>
      </c>
      <c r="O152" s="822">
        <f>VLOOKUP(O$120,$C$284:$O$316,13)</f>
        <v>41.634898055339931</v>
      </c>
      <c r="P152" s="822">
        <f t="shared" ref="P152:AU152" si="263">VLOOKUP(P$120,$C$284:$O$316,13)</f>
        <v>41.634898055339931</v>
      </c>
      <c r="Q152" s="822">
        <f t="shared" si="263"/>
        <v>41.962449107096752</v>
      </c>
      <c r="R152" s="822">
        <f t="shared" si="263"/>
        <v>42.37591413450582</v>
      </c>
      <c r="S152" s="822">
        <f t="shared" si="263"/>
        <v>42.791201303703261</v>
      </c>
      <c r="T152" s="822">
        <f t="shared" si="263"/>
        <v>43.208184541451871</v>
      </c>
      <c r="U152" s="822">
        <f t="shared" si="263"/>
        <v>43.626739530646304</v>
      </c>
      <c r="V152" s="822">
        <f t="shared" si="263"/>
        <v>44.046743692103149</v>
      </c>
      <c r="W152" s="822">
        <f t="shared" si="263"/>
        <v>44.303492323512977</v>
      </c>
      <c r="X152" s="822">
        <f t="shared" si="263"/>
        <v>44.56044844066794</v>
      </c>
      <c r="Y152" s="822">
        <f t="shared" si="263"/>
        <v>44.817607952103295</v>
      </c>
      <c r="Z152" s="822">
        <f t="shared" si="263"/>
        <v>45.074966809344929</v>
      </c>
      <c r="AA152" s="822">
        <f t="shared" si="263"/>
        <v>45.332521006394593</v>
      </c>
      <c r="AB152" s="822">
        <f t="shared" si="263"/>
        <v>45.549544275390517</v>
      </c>
      <c r="AC152" s="822">
        <f t="shared" si="263"/>
        <v>45.766845997017583</v>
      </c>
      <c r="AD152" s="822">
        <f t="shared" si="263"/>
        <v>45.93621057509371</v>
      </c>
      <c r="AE152" s="822">
        <f t="shared" si="263"/>
        <v>46.091987325464736</v>
      </c>
      <c r="AF152" s="822">
        <f t="shared" si="263"/>
        <v>46.247727566987081</v>
      </c>
      <c r="AG152" s="822">
        <f t="shared" si="263"/>
        <v>46.390503884981669</v>
      </c>
      <c r="AH152" s="822">
        <f t="shared" si="263"/>
        <v>46.533237561648519</v>
      </c>
      <c r="AI152" s="822">
        <f t="shared" si="263"/>
        <v>46.675927978934773</v>
      </c>
      <c r="AJ152" s="822">
        <f t="shared" si="263"/>
        <v>46.818574524689666</v>
      </c>
      <c r="AK152" s="822">
        <f t="shared" si="263"/>
        <v>46.961176592602918</v>
      </c>
      <c r="AL152" s="822">
        <f t="shared" si="263"/>
        <v>46.961176592602918</v>
      </c>
      <c r="AM152" s="822">
        <f t="shared" si="263"/>
        <v>46.961176592602918</v>
      </c>
      <c r="AN152" s="822">
        <f t="shared" si="263"/>
        <v>46.961176592602918</v>
      </c>
      <c r="AO152" s="822">
        <f t="shared" si="263"/>
        <v>46.961176592602918</v>
      </c>
      <c r="AP152" s="822">
        <f t="shared" si="263"/>
        <v>46.961176592602918</v>
      </c>
      <c r="AQ152" s="822">
        <f t="shared" si="263"/>
        <v>46.961176592602918</v>
      </c>
      <c r="AR152" s="822">
        <f t="shared" si="263"/>
        <v>46.961176592602918</v>
      </c>
      <c r="AS152" s="822">
        <f t="shared" si="263"/>
        <v>46.961176592602918</v>
      </c>
      <c r="AT152" s="822">
        <f t="shared" si="263"/>
        <v>46.961176592602918</v>
      </c>
      <c r="AU152" s="822">
        <f t="shared" si="263"/>
        <v>46.961176592602918</v>
      </c>
    </row>
    <row r="153" spans="4:47">
      <c r="D153" s="452" t="s">
        <v>893</v>
      </c>
      <c r="E153" s="452" t="s">
        <v>775</v>
      </c>
      <c r="F153" s="571" t="s">
        <v>210</v>
      </c>
      <c r="G153" s="653">
        <f>G152</f>
        <v>41.5</v>
      </c>
      <c r="H153" s="653">
        <f t="shared" ref="H153:AU153" si="264">H152</f>
        <v>41.5</v>
      </c>
      <c r="I153" s="653">
        <f t="shared" si="264"/>
        <v>41.5</v>
      </c>
      <c r="J153" s="653">
        <f t="shared" si="264"/>
        <v>41.2</v>
      </c>
      <c r="K153" s="653">
        <f t="shared" si="264"/>
        <v>40.799999999999997</v>
      </c>
      <c r="L153" s="653">
        <f t="shared" si="264"/>
        <v>40.5</v>
      </c>
      <c r="M153" s="653">
        <f t="shared" si="264"/>
        <v>40.9</v>
      </c>
      <c r="N153" s="653">
        <f t="shared" si="264"/>
        <v>41.4</v>
      </c>
      <c r="O153" s="653">
        <f t="shared" si="264"/>
        <v>41.634898055339931</v>
      </c>
      <c r="P153" s="653">
        <f t="shared" si="264"/>
        <v>41.634898055339931</v>
      </c>
      <c r="Q153" s="653">
        <f t="shared" si="264"/>
        <v>41.962449107096752</v>
      </c>
      <c r="R153" s="653">
        <f t="shared" si="264"/>
        <v>42.37591413450582</v>
      </c>
      <c r="S153" s="653">
        <f t="shared" si="264"/>
        <v>42.791201303703261</v>
      </c>
      <c r="T153" s="653">
        <f t="shared" si="264"/>
        <v>43.208184541451871</v>
      </c>
      <c r="U153" s="653">
        <f t="shared" si="264"/>
        <v>43.626739530646304</v>
      </c>
      <c r="V153" s="653">
        <f t="shared" si="264"/>
        <v>44.046743692103149</v>
      </c>
      <c r="W153" s="653">
        <f t="shared" si="264"/>
        <v>44.303492323512977</v>
      </c>
      <c r="X153" s="653">
        <f t="shared" si="264"/>
        <v>44.56044844066794</v>
      </c>
      <c r="Y153" s="653">
        <f t="shared" si="264"/>
        <v>44.817607952103295</v>
      </c>
      <c r="Z153" s="653">
        <f t="shared" si="264"/>
        <v>45.074966809344929</v>
      </c>
      <c r="AA153" s="653">
        <f t="shared" si="264"/>
        <v>45.332521006394593</v>
      </c>
      <c r="AB153" s="653">
        <f t="shared" si="264"/>
        <v>45.549544275390517</v>
      </c>
      <c r="AC153" s="653">
        <f t="shared" si="264"/>
        <v>45.766845997017583</v>
      </c>
      <c r="AD153" s="653">
        <f t="shared" si="264"/>
        <v>45.93621057509371</v>
      </c>
      <c r="AE153" s="653">
        <f t="shared" si="264"/>
        <v>46.091987325464736</v>
      </c>
      <c r="AF153" s="653">
        <f t="shared" si="264"/>
        <v>46.247727566987081</v>
      </c>
      <c r="AG153" s="653">
        <f t="shared" si="264"/>
        <v>46.390503884981669</v>
      </c>
      <c r="AH153" s="653">
        <f t="shared" si="264"/>
        <v>46.533237561648519</v>
      </c>
      <c r="AI153" s="653">
        <f t="shared" si="264"/>
        <v>46.675927978934773</v>
      </c>
      <c r="AJ153" s="653">
        <f t="shared" si="264"/>
        <v>46.818574524689666</v>
      </c>
      <c r="AK153" s="653">
        <f t="shared" si="264"/>
        <v>46.961176592602918</v>
      </c>
      <c r="AL153" s="653">
        <f t="shared" si="264"/>
        <v>46.961176592602918</v>
      </c>
      <c r="AM153" s="653">
        <f t="shared" si="264"/>
        <v>46.961176592602918</v>
      </c>
      <c r="AN153" s="653">
        <f t="shared" si="264"/>
        <v>46.961176592602918</v>
      </c>
      <c r="AO153" s="653">
        <f t="shared" si="264"/>
        <v>46.961176592602918</v>
      </c>
      <c r="AP153" s="653">
        <f t="shared" si="264"/>
        <v>46.961176592602918</v>
      </c>
      <c r="AQ153" s="653">
        <f t="shared" si="264"/>
        <v>46.961176592602918</v>
      </c>
      <c r="AR153" s="653">
        <f t="shared" si="264"/>
        <v>46.961176592602918</v>
      </c>
      <c r="AS153" s="653">
        <f t="shared" si="264"/>
        <v>46.961176592602918</v>
      </c>
      <c r="AT153" s="653">
        <f t="shared" si="264"/>
        <v>46.961176592602918</v>
      </c>
      <c r="AU153" s="653">
        <f t="shared" si="264"/>
        <v>46.961176592602918</v>
      </c>
    </row>
    <row r="154" spans="4:47">
      <c r="D154" s="8"/>
      <c r="E154" s="452" t="s">
        <v>380</v>
      </c>
      <c r="F154" s="571" t="s">
        <v>210</v>
      </c>
      <c r="G154" s="653">
        <f t="shared" ref="G154:AU154" si="265">$E202</f>
        <v>72.400000000000006</v>
      </c>
      <c r="H154" s="653">
        <f t="shared" si="265"/>
        <v>72.400000000000006</v>
      </c>
      <c r="I154" s="653">
        <f t="shared" si="265"/>
        <v>72.400000000000006</v>
      </c>
      <c r="J154" s="653">
        <f t="shared" si="265"/>
        <v>72.400000000000006</v>
      </c>
      <c r="K154" s="653">
        <f t="shared" si="265"/>
        <v>72.400000000000006</v>
      </c>
      <c r="L154" s="653">
        <f t="shared" si="265"/>
        <v>72.400000000000006</v>
      </c>
      <c r="M154" s="653">
        <f t="shared" si="265"/>
        <v>72.400000000000006</v>
      </c>
      <c r="N154" s="653">
        <f t="shared" si="265"/>
        <v>72.400000000000006</v>
      </c>
      <c r="O154" s="653">
        <f t="shared" si="265"/>
        <v>72.400000000000006</v>
      </c>
      <c r="P154" s="653">
        <f t="shared" si="265"/>
        <v>72.400000000000006</v>
      </c>
      <c r="Q154" s="653">
        <f t="shared" si="265"/>
        <v>72.400000000000006</v>
      </c>
      <c r="R154" s="653">
        <f t="shared" si="265"/>
        <v>72.400000000000006</v>
      </c>
      <c r="S154" s="653">
        <f t="shared" si="265"/>
        <v>72.400000000000006</v>
      </c>
      <c r="T154" s="653">
        <f t="shared" si="265"/>
        <v>72.400000000000006</v>
      </c>
      <c r="U154" s="653">
        <f t="shared" si="265"/>
        <v>72.400000000000006</v>
      </c>
      <c r="V154" s="653">
        <f t="shared" si="265"/>
        <v>72.400000000000006</v>
      </c>
      <c r="W154" s="653">
        <f t="shared" si="265"/>
        <v>72.400000000000006</v>
      </c>
      <c r="X154" s="653">
        <f t="shared" si="265"/>
        <v>72.400000000000006</v>
      </c>
      <c r="Y154" s="653">
        <f t="shared" si="265"/>
        <v>72.400000000000006</v>
      </c>
      <c r="Z154" s="653">
        <f t="shared" si="265"/>
        <v>72.400000000000006</v>
      </c>
      <c r="AA154" s="653">
        <f t="shared" si="265"/>
        <v>72.400000000000006</v>
      </c>
      <c r="AB154" s="653">
        <f t="shared" si="265"/>
        <v>72.400000000000006</v>
      </c>
      <c r="AC154" s="653">
        <f t="shared" si="265"/>
        <v>72.400000000000006</v>
      </c>
      <c r="AD154" s="653">
        <f t="shared" si="265"/>
        <v>72.400000000000006</v>
      </c>
      <c r="AE154" s="653">
        <f t="shared" si="265"/>
        <v>72.400000000000006</v>
      </c>
      <c r="AF154" s="653">
        <f t="shared" si="265"/>
        <v>72.400000000000006</v>
      </c>
      <c r="AG154" s="653">
        <f t="shared" si="265"/>
        <v>72.400000000000006</v>
      </c>
      <c r="AH154" s="653">
        <f t="shared" si="265"/>
        <v>72.400000000000006</v>
      </c>
      <c r="AI154" s="653">
        <f t="shared" si="265"/>
        <v>72.400000000000006</v>
      </c>
      <c r="AJ154" s="653">
        <f t="shared" si="265"/>
        <v>72.400000000000006</v>
      </c>
      <c r="AK154" s="653">
        <f t="shared" si="265"/>
        <v>72.400000000000006</v>
      </c>
      <c r="AL154" s="653">
        <f t="shared" si="265"/>
        <v>72.400000000000006</v>
      </c>
      <c r="AM154" s="653">
        <f t="shared" si="265"/>
        <v>72.400000000000006</v>
      </c>
      <c r="AN154" s="653">
        <f t="shared" si="265"/>
        <v>72.400000000000006</v>
      </c>
      <c r="AO154" s="653">
        <f t="shared" si="265"/>
        <v>72.400000000000006</v>
      </c>
      <c r="AP154" s="653">
        <f t="shared" si="265"/>
        <v>72.400000000000006</v>
      </c>
      <c r="AQ154" s="653">
        <f t="shared" si="265"/>
        <v>72.400000000000006</v>
      </c>
      <c r="AR154" s="653">
        <f t="shared" si="265"/>
        <v>72.400000000000006</v>
      </c>
      <c r="AS154" s="653">
        <f t="shared" si="265"/>
        <v>72.400000000000006</v>
      </c>
      <c r="AT154" s="653">
        <f t="shared" si="265"/>
        <v>72.400000000000006</v>
      </c>
      <c r="AU154" s="653">
        <f t="shared" si="265"/>
        <v>72.400000000000006</v>
      </c>
    </row>
    <row r="155" spans="4:47">
      <c r="D155" s="8"/>
      <c r="E155" s="452" t="s">
        <v>382</v>
      </c>
      <c r="F155" s="571" t="s">
        <v>210</v>
      </c>
      <c r="G155" s="653">
        <f t="shared" ref="G155:AU155" si="266">$E203</f>
        <v>101.7</v>
      </c>
      <c r="H155" s="653">
        <f t="shared" si="266"/>
        <v>101.7</v>
      </c>
      <c r="I155" s="653">
        <f t="shared" si="266"/>
        <v>101.7</v>
      </c>
      <c r="J155" s="653">
        <f t="shared" si="266"/>
        <v>101.7</v>
      </c>
      <c r="K155" s="653">
        <f t="shared" si="266"/>
        <v>101.7</v>
      </c>
      <c r="L155" s="653">
        <f t="shared" si="266"/>
        <v>101.7</v>
      </c>
      <c r="M155" s="653">
        <f t="shared" si="266"/>
        <v>101.7</v>
      </c>
      <c r="N155" s="653">
        <f t="shared" si="266"/>
        <v>101.7</v>
      </c>
      <c r="O155" s="653">
        <f t="shared" si="266"/>
        <v>101.7</v>
      </c>
      <c r="P155" s="653">
        <f t="shared" si="266"/>
        <v>101.7</v>
      </c>
      <c r="Q155" s="653">
        <f t="shared" si="266"/>
        <v>101.7</v>
      </c>
      <c r="R155" s="653">
        <f t="shared" si="266"/>
        <v>101.7</v>
      </c>
      <c r="S155" s="653">
        <f t="shared" si="266"/>
        <v>101.7</v>
      </c>
      <c r="T155" s="653">
        <f t="shared" si="266"/>
        <v>101.7</v>
      </c>
      <c r="U155" s="653">
        <f t="shared" si="266"/>
        <v>101.7</v>
      </c>
      <c r="V155" s="653">
        <f t="shared" si="266"/>
        <v>101.7</v>
      </c>
      <c r="W155" s="653">
        <f t="shared" si="266"/>
        <v>101.7</v>
      </c>
      <c r="X155" s="653">
        <f t="shared" si="266"/>
        <v>101.7</v>
      </c>
      <c r="Y155" s="653">
        <f t="shared" si="266"/>
        <v>101.7</v>
      </c>
      <c r="Z155" s="653">
        <f t="shared" si="266"/>
        <v>101.7</v>
      </c>
      <c r="AA155" s="653">
        <f t="shared" si="266"/>
        <v>101.7</v>
      </c>
      <c r="AB155" s="653">
        <f t="shared" si="266"/>
        <v>101.7</v>
      </c>
      <c r="AC155" s="653">
        <f t="shared" si="266"/>
        <v>101.7</v>
      </c>
      <c r="AD155" s="653">
        <f t="shared" si="266"/>
        <v>101.7</v>
      </c>
      <c r="AE155" s="653">
        <f t="shared" si="266"/>
        <v>101.7</v>
      </c>
      <c r="AF155" s="653">
        <f t="shared" si="266"/>
        <v>101.7</v>
      </c>
      <c r="AG155" s="653">
        <f t="shared" si="266"/>
        <v>101.7</v>
      </c>
      <c r="AH155" s="653">
        <f t="shared" si="266"/>
        <v>101.7</v>
      </c>
      <c r="AI155" s="653">
        <f t="shared" si="266"/>
        <v>101.7</v>
      </c>
      <c r="AJ155" s="653">
        <f t="shared" si="266"/>
        <v>101.7</v>
      </c>
      <c r="AK155" s="653">
        <f t="shared" si="266"/>
        <v>101.7</v>
      </c>
      <c r="AL155" s="653">
        <f t="shared" si="266"/>
        <v>101.7</v>
      </c>
      <c r="AM155" s="653">
        <f t="shared" si="266"/>
        <v>101.7</v>
      </c>
      <c r="AN155" s="653">
        <f t="shared" si="266"/>
        <v>101.7</v>
      </c>
      <c r="AO155" s="653">
        <f t="shared" si="266"/>
        <v>101.7</v>
      </c>
      <c r="AP155" s="653">
        <f t="shared" si="266"/>
        <v>101.7</v>
      </c>
      <c r="AQ155" s="653">
        <f t="shared" si="266"/>
        <v>101.7</v>
      </c>
      <c r="AR155" s="653">
        <f t="shared" si="266"/>
        <v>101.7</v>
      </c>
      <c r="AS155" s="653">
        <f t="shared" si="266"/>
        <v>101.7</v>
      </c>
      <c r="AT155" s="653">
        <f t="shared" si="266"/>
        <v>101.7</v>
      </c>
      <c r="AU155" s="653">
        <f t="shared" si="266"/>
        <v>101.7</v>
      </c>
    </row>
    <row r="156" spans="4:47">
      <c r="D156" s="8"/>
      <c r="E156" s="452" t="s">
        <v>392</v>
      </c>
      <c r="F156" s="571" t="s">
        <v>210</v>
      </c>
      <c r="G156" s="653">
        <f t="shared" ref="G156:AU156" si="267">$E204</f>
        <v>10.6</v>
      </c>
      <c r="H156" s="653">
        <f t="shared" si="267"/>
        <v>10.6</v>
      </c>
      <c r="I156" s="653">
        <f t="shared" si="267"/>
        <v>10.6</v>
      </c>
      <c r="J156" s="653">
        <f t="shared" si="267"/>
        <v>10.6</v>
      </c>
      <c r="K156" s="653">
        <f t="shared" si="267"/>
        <v>10.6</v>
      </c>
      <c r="L156" s="653">
        <f t="shared" si="267"/>
        <v>10.6</v>
      </c>
      <c r="M156" s="653">
        <f t="shared" si="267"/>
        <v>10.6</v>
      </c>
      <c r="N156" s="653">
        <f t="shared" si="267"/>
        <v>10.6</v>
      </c>
      <c r="O156" s="653">
        <f t="shared" si="267"/>
        <v>10.6</v>
      </c>
      <c r="P156" s="653">
        <f t="shared" si="267"/>
        <v>10.6</v>
      </c>
      <c r="Q156" s="653">
        <f t="shared" si="267"/>
        <v>10.6</v>
      </c>
      <c r="R156" s="653">
        <f t="shared" si="267"/>
        <v>10.6</v>
      </c>
      <c r="S156" s="653">
        <f t="shared" si="267"/>
        <v>10.6</v>
      </c>
      <c r="T156" s="653">
        <f t="shared" si="267"/>
        <v>10.6</v>
      </c>
      <c r="U156" s="653">
        <f t="shared" si="267"/>
        <v>10.6</v>
      </c>
      <c r="V156" s="653">
        <f t="shared" si="267"/>
        <v>10.6</v>
      </c>
      <c r="W156" s="653">
        <f t="shared" si="267"/>
        <v>10.6</v>
      </c>
      <c r="X156" s="653">
        <f t="shared" si="267"/>
        <v>10.6</v>
      </c>
      <c r="Y156" s="653">
        <f t="shared" si="267"/>
        <v>10.6</v>
      </c>
      <c r="Z156" s="653">
        <f t="shared" si="267"/>
        <v>10.6</v>
      </c>
      <c r="AA156" s="653">
        <f t="shared" si="267"/>
        <v>10.6</v>
      </c>
      <c r="AB156" s="653">
        <f t="shared" si="267"/>
        <v>10.6</v>
      </c>
      <c r="AC156" s="653">
        <f t="shared" si="267"/>
        <v>10.6</v>
      </c>
      <c r="AD156" s="653">
        <f t="shared" si="267"/>
        <v>10.6</v>
      </c>
      <c r="AE156" s="653">
        <f t="shared" si="267"/>
        <v>10.6</v>
      </c>
      <c r="AF156" s="653">
        <f t="shared" si="267"/>
        <v>10.6</v>
      </c>
      <c r="AG156" s="653">
        <f t="shared" si="267"/>
        <v>10.6</v>
      </c>
      <c r="AH156" s="653">
        <f t="shared" si="267"/>
        <v>10.6</v>
      </c>
      <c r="AI156" s="653">
        <f t="shared" si="267"/>
        <v>10.6</v>
      </c>
      <c r="AJ156" s="653">
        <f t="shared" si="267"/>
        <v>10.6</v>
      </c>
      <c r="AK156" s="653">
        <f t="shared" si="267"/>
        <v>10.6</v>
      </c>
      <c r="AL156" s="653">
        <f t="shared" si="267"/>
        <v>10.6</v>
      </c>
      <c r="AM156" s="653">
        <f t="shared" si="267"/>
        <v>10.6</v>
      </c>
      <c r="AN156" s="653">
        <f t="shared" si="267"/>
        <v>10.6</v>
      </c>
      <c r="AO156" s="653">
        <f t="shared" si="267"/>
        <v>10.6</v>
      </c>
      <c r="AP156" s="653">
        <f t="shared" si="267"/>
        <v>10.6</v>
      </c>
      <c r="AQ156" s="653">
        <f t="shared" si="267"/>
        <v>10.6</v>
      </c>
      <c r="AR156" s="653">
        <f t="shared" si="267"/>
        <v>10.6</v>
      </c>
      <c r="AS156" s="653">
        <f t="shared" si="267"/>
        <v>10.6</v>
      </c>
      <c r="AT156" s="653">
        <f t="shared" si="267"/>
        <v>10.6</v>
      </c>
      <c r="AU156" s="653">
        <f t="shared" si="267"/>
        <v>10.6</v>
      </c>
    </row>
    <row r="157" spans="4:47">
      <c r="D157" s="8"/>
      <c r="E157" s="452" t="s">
        <v>384</v>
      </c>
      <c r="F157" s="571" t="s">
        <v>210</v>
      </c>
      <c r="G157" s="653">
        <f>$E205</f>
        <v>207.6</v>
      </c>
      <c r="H157" s="653">
        <f t="shared" ref="H157:AU157" si="268">$E205</f>
        <v>207.6</v>
      </c>
      <c r="I157" s="653">
        <f t="shared" si="268"/>
        <v>207.6</v>
      </c>
      <c r="J157" s="653">
        <f t="shared" si="268"/>
        <v>207.6</v>
      </c>
      <c r="K157" s="653">
        <f t="shared" si="268"/>
        <v>207.6</v>
      </c>
      <c r="L157" s="653">
        <f t="shared" si="268"/>
        <v>207.6</v>
      </c>
      <c r="M157" s="653">
        <f t="shared" si="268"/>
        <v>207.6</v>
      </c>
      <c r="N157" s="653">
        <f t="shared" si="268"/>
        <v>207.6</v>
      </c>
      <c r="O157" s="653">
        <f t="shared" si="268"/>
        <v>207.6</v>
      </c>
      <c r="P157" s="653">
        <f t="shared" si="268"/>
        <v>207.6</v>
      </c>
      <c r="Q157" s="653">
        <f t="shared" si="268"/>
        <v>207.6</v>
      </c>
      <c r="R157" s="653">
        <f t="shared" si="268"/>
        <v>207.6</v>
      </c>
      <c r="S157" s="653">
        <f t="shared" si="268"/>
        <v>207.6</v>
      </c>
      <c r="T157" s="653">
        <f t="shared" si="268"/>
        <v>207.6</v>
      </c>
      <c r="U157" s="653">
        <f t="shared" si="268"/>
        <v>207.6</v>
      </c>
      <c r="V157" s="653">
        <f t="shared" si="268"/>
        <v>207.6</v>
      </c>
      <c r="W157" s="653">
        <f t="shared" si="268"/>
        <v>207.6</v>
      </c>
      <c r="X157" s="653">
        <f t="shared" si="268"/>
        <v>207.6</v>
      </c>
      <c r="Y157" s="653">
        <f t="shared" si="268"/>
        <v>207.6</v>
      </c>
      <c r="Z157" s="653">
        <f t="shared" si="268"/>
        <v>207.6</v>
      </c>
      <c r="AA157" s="653">
        <f t="shared" si="268"/>
        <v>207.6</v>
      </c>
      <c r="AB157" s="653">
        <f t="shared" si="268"/>
        <v>207.6</v>
      </c>
      <c r="AC157" s="653">
        <f t="shared" si="268"/>
        <v>207.6</v>
      </c>
      <c r="AD157" s="653">
        <f t="shared" si="268"/>
        <v>207.6</v>
      </c>
      <c r="AE157" s="653">
        <f t="shared" si="268"/>
        <v>207.6</v>
      </c>
      <c r="AF157" s="653">
        <f t="shared" si="268"/>
        <v>207.6</v>
      </c>
      <c r="AG157" s="653">
        <f t="shared" si="268"/>
        <v>207.6</v>
      </c>
      <c r="AH157" s="653">
        <f t="shared" si="268"/>
        <v>207.6</v>
      </c>
      <c r="AI157" s="653">
        <f t="shared" si="268"/>
        <v>207.6</v>
      </c>
      <c r="AJ157" s="653">
        <f t="shared" si="268"/>
        <v>207.6</v>
      </c>
      <c r="AK157" s="653">
        <f t="shared" si="268"/>
        <v>207.6</v>
      </c>
      <c r="AL157" s="653">
        <f t="shared" si="268"/>
        <v>207.6</v>
      </c>
      <c r="AM157" s="653">
        <f t="shared" si="268"/>
        <v>207.6</v>
      </c>
      <c r="AN157" s="653">
        <f t="shared" si="268"/>
        <v>207.6</v>
      </c>
      <c r="AO157" s="653">
        <f t="shared" si="268"/>
        <v>207.6</v>
      </c>
      <c r="AP157" s="653">
        <f t="shared" si="268"/>
        <v>207.6</v>
      </c>
      <c r="AQ157" s="653">
        <f t="shared" si="268"/>
        <v>207.6</v>
      </c>
      <c r="AR157" s="653">
        <f t="shared" si="268"/>
        <v>207.6</v>
      </c>
      <c r="AS157" s="653">
        <f t="shared" si="268"/>
        <v>207.6</v>
      </c>
      <c r="AT157" s="653">
        <f t="shared" si="268"/>
        <v>207.6</v>
      </c>
      <c r="AU157" s="653">
        <f t="shared" si="268"/>
        <v>207.6</v>
      </c>
    </row>
    <row r="158" spans="4:47">
      <c r="D158" s="8"/>
      <c r="E158" s="452" t="s">
        <v>385</v>
      </c>
      <c r="F158" s="571" t="s">
        <v>210</v>
      </c>
      <c r="G158" s="653">
        <f>$E206</f>
        <v>207.6</v>
      </c>
      <c r="H158" s="653">
        <f t="shared" ref="H158:AU158" si="269">$E206</f>
        <v>207.6</v>
      </c>
      <c r="I158" s="653">
        <f t="shared" si="269"/>
        <v>207.6</v>
      </c>
      <c r="J158" s="653">
        <f t="shared" si="269"/>
        <v>207.6</v>
      </c>
      <c r="K158" s="653">
        <f t="shared" si="269"/>
        <v>207.6</v>
      </c>
      <c r="L158" s="653">
        <f t="shared" si="269"/>
        <v>207.6</v>
      </c>
      <c r="M158" s="653">
        <f t="shared" si="269"/>
        <v>207.6</v>
      </c>
      <c r="N158" s="653">
        <f t="shared" si="269"/>
        <v>207.6</v>
      </c>
      <c r="O158" s="653">
        <f t="shared" si="269"/>
        <v>207.6</v>
      </c>
      <c r="P158" s="653">
        <f t="shared" si="269"/>
        <v>207.6</v>
      </c>
      <c r="Q158" s="653">
        <f t="shared" si="269"/>
        <v>207.6</v>
      </c>
      <c r="R158" s="653">
        <f t="shared" si="269"/>
        <v>207.6</v>
      </c>
      <c r="S158" s="653">
        <f t="shared" si="269"/>
        <v>207.6</v>
      </c>
      <c r="T158" s="653">
        <f t="shared" si="269"/>
        <v>207.6</v>
      </c>
      <c r="U158" s="653">
        <f t="shared" si="269"/>
        <v>207.6</v>
      </c>
      <c r="V158" s="653">
        <f t="shared" si="269"/>
        <v>207.6</v>
      </c>
      <c r="W158" s="653">
        <f t="shared" si="269"/>
        <v>207.6</v>
      </c>
      <c r="X158" s="653">
        <f t="shared" si="269"/>
        <v>207.6</v>
      </c>
      <c r="Y158" s="653">
        <f t="shared" si="269"/>
        <v>207.6</v>
      </c>
      <c r="Z158" s="653">
        <f t="shared" si="269"/>
        <v>207.6</v>
      </c>
      <c r="AA158" s="653">
        <f t="shared" si="269"/>
        <v>207.6</v>
      </c>
      <c r="AB158" s="653">
        <f t="shared" si="269"/>
        <v>207.6</v>
      </c>
      <c r="AC158" s="653">
        <f t="shared" si="269"/>
        <v>207.6</v>
      </c>
      <c r="AD158" s="653">
        <f t="shared" si="269"/>
        <v>207.6</v>
      </c>
      <c r="AE158" s="653">
        <f t="shared" si="269"/>
        <v>207.6</v>
      </c>
      <c r="AF158" s="653">
        <f t="shared" si="269"/>
        <v>207.6</v>
      </c>
      <c r="AG158" s="653">
        <f t="shared" si="269"/>
        <v>207.6</v>
      </c>
      <c r="AH158" s="653">
        <f t="shared" si="269"/>
        <v>207.6</v>
      </c>
      <c r="AI158" s="653">
        <f t="shared" si="269"/>
        <v>207.6</v>
      </c>
      <c r="AJ158" s="653">
        <f t="shared" si="269"/>
        <v>207.6</v>
      </c>
      <c r="AK158" s="653">
        <f t="shared" si="269"/>
        <v>207.6</v>
      </c>
      <c r="AL158" s="653">
        <f t="shared" si="269"/>
        <v>207.6</v>
      </c>
      <c r="AM158" s="653">
        <f t="shared" si="269"/>
        <v>207.6</v>
      </c>
      <c r="AN158" s="653">
        <f t="shared" si="269"/>
        <v>207.6</v>
      </c>
      <c r="AO158" s="653">
        <f t="shared" si="269"/>
        <v>207.6</v>
      </c>
      <c r="AP158" s="653">
        <f t="shared" si="269"/>
        <v>207.6</v>
      </c>
      <c r="AQ158" s="653">
        <f t="shared" si="269"/>
        <v>207.6</v>
      </c>
      <c r="AR158" s="653">
        <f t="shared" si="269"/>
        <v>207.6</v>
      </c>
      <c r="AS158" s="653">
        <f t="shared" si="269"/>
        <v>207.6</v>
      </c>
      <c r="AT158" s="653">
        <f t="shared" si="269"/>
        <v>207.6</v>
      </c>
      <c r="AU158" s="653">
        <f t="shared" si="269"/>
        <v>207.6</v>
      </c>
    </row>
    <row r="159" spans="4:47">
      <c r="D159" s="8"/>
      <c r="E159" s="452" t="s">
        <v>820</v>
      </c>
      <c r="F159" s="571" t="s">
        <v>210</v>
      </c>
      <c r="G159" s="653">
        <f>G158*2</f>
        <v>415.2</v>
      </c>
      <c r="H159" s="653">
        <f t="shared" ref="H159" si="270">H158*2</f>
        <v>415.2</v>
      </c>
      <c r="I159" s="653">
        <f t="shared" ref="I159" si="271">I158*2</f>
        <v>415.2</v>
      </c>
      <c r="J159" s="653">
        <f t="shared" ref="J159" si="272">J158*2</f>
        <v>415.2</v>
      </c>
      <c r="K159" s="653">
        <f t="shared" ref="K159" si="273">K158*2</f>
        <v>415.2</v>
      </c>
      <c r="L159" s="653">
        <f t="shared" ref="L159" si="274">L158*2</f>
        <v>415.2</v>
      </c>
      <c r="M159" s="653">
        <f t="shared" ref="M159" si="275">M158*2</f>
        <v>415.2</v>
      </c>
      <c r="N159" s="653">
        <f t="shared" ref="N159" si="276">N158*2</f>
        <v>415.2</v>
      </c>
      <c r="O159" s="653">
        <f t="shared" ref="O159" si="277">O158*2</f>
        <v>415.2</v>
      </c>
      <c r="P159" s="653">
        <f t="shared" ref="P159" si="278">P158*2</f>
        <v>415.2</v>
      </c>
      <c r="Q159" s="653">
        <f t="shared" ref="Q159" si="279">Q158*2</f>
        <v>415.2</v>
      </c>
      <c r="R159" s="653">
        <f t="shared" ref="R159" si="280">R158*2</f>
        <v>415.2</v>
      </c>
      <c r="S159" s="653">
        <f t="shared" ref="S159" si="281">S158*2</f>
        <v>415.2</v>
      </c>
      <c r="T159" s="653">
        <f t="shared" ref="T159" si="282">T158*2</f>
        <v>415.2</v>
      </c>
      <c r="U159" s="653">
        <f t="shared" ref="U159" si="283">U158*2</f>
        <v>415.2</v>
      </c>
      <c r="V159" s="653">
        <f t="shared" ref="V159" si="284">V158*2</f>
        <v>415.2</v>
      </c>
      <c r="W159" s="653">
        <f t="shared" ref="W159" si="285">W158*2</f>
        <v>415.2</v>
      </c>
      <c r="X159" s="653">
        <f t="shared" ref="X159" si="286">X158*2</f>
        <v>415.2</v>
      </c>
      <c r="Y159" s="653">
        <f t="shared" ref="Y159" si="287">Y158*2</f>
        <v>415.2</v>
      </c>
      <c r="Z159" s="653">
        <f t="shared" ref="Z159" si="288">Z158*2</f>
        <v>415.2</v>
      </c>
      <c r="AA159" s="653">
        <f t="shared" ref="AA159" si="289">AA158*2</f>
        <v>415.2</v>
      </c>
      <c r="AB159" s="653">
        <f t="shared" ref="AB159" si="290">AB158*2</f>
        <v>415.2</v>
      </c>
      <c r="AC159" s="653">
        <f t="shared" ref="AC159" si="291">AC158*2</f>
        <v>415.2</v>
      </c>
      <c r="AD159" s="653">
        <f t="shared" ref="AD159" si="292">AD158*2</f>
        <v>415.2</v>
      </c>
      <c r="AE159" s="653">
        <f t="shared" ref="AE159" si="293">AE158*2</f>
        <v>415.2</v>
      </c>
      <c r="AF159" s="653">
        <f t="shared" ref="AF159" si="294">AF158*2</f>
        <v>415.2</v>
      </c>
      <c r="AG159" s="653">
        <f t="shared" ref="AG159" si="295">AG158*2</f>
        <v>415.2</v>
      </c>
      <c r="AH159" s="653">
        <f t="shared" ref="AH159" si="296">AH158*2</f>
        <v>415.2</v>
      </c>
      <c r="AI159" s="653">
        <f t="shared" ref="AI159" si="297">AI158*2</f>
        <v>415.2</v>
      </c>
      <c r="AJ159" s="653">
        <f t="shared" ref="AJ159" si="298">AJ158*2</f>
        <v>415.2</v>
      </c>
      <c r="AK159" s="653">
        <f t="shared" ref="AK159" si="299">AK158*2</f>
        <v>415.2</v>
      </c>
      <c r="AL159" s="653">
        <f t="shared" ref="AL159" si="300">AL158*2</f>
        <v>415.2</v>
      </c>
      <c r="AM159" s="653">
        <f t="shared" ref="AM159" si="301">AM158*2</f>
        <v>415.2</v>
      </c>
      <c r="AN159" s="653">
        <f t="shared" ref="AN159" si="302">AN158*2</f>
        <v>415.2</v>
      </c>
      <c r="AO159" s="653">
        <f t="shared" ref="AO159" si="303">AO158*2</f>
        <v>415.2</v>
      </c>
      <c r="AP159" s="653">
        <f t="shared" ref="AP159" si="304">AP158*2</f>
        <v>415.2</v>
      </c>
      <c r="AQ159" s="653">
        <f t="shared" ref="AQ159" si="305">AQ158*2</f>
        <v>415.2</v>
      </c>
      <c r="AR159" s="653">
        <f t="shared" ref="AR159" si="306">AR158*2</f>
        <v>415.2</v>
      </c>
      <c r="AS159" s="653">
        <f t="shared" ref="AS159" si="307">AS158*2</f>
        <v>415.2</v>
      </c>
      <c r="AT159" s="653">
        <f t="shared" ref="AT159" si="308">AT158*2</f>
        <v>415.2</v>
      </c>
      <c r="AU159" s="653">
        <f t="shared" ref="AU159" si="309">AU158*2</f>
        <v>415.2</v>
      </c>
    </row>
    <row r="160" spans="4:47">
      <c r="D160" s="8"/>
      <c r="E160" s="452" t="s">
        <v>390</v>
      </c>
      <c r="F160" s="571" t="s">
        <v>210</v>
      </c>
      <c r="G160" s="653">
        <f>$E207</f>
        <v>10</v>
      </c>
      <c r="H160" s="653">
        <f t="shared" ref="H160:AU161" si="310">$E207</f>
        <v>10</v>
      </c>
      <c r="I160" s="653">
        <f t="shared" si="310"/>
        <v>10</v>
      </c>
      <c r="J160" s="653">
        <f t="shared" si="310"/>
        <v>10</v>
      </c>
      <c r="K160" s="653">
        <f t="shared" si="310"/>
        <v>10</v>
      </c>
      <c r="L160" s="653">
        <f t="shared" si="310"/>
        <v>10</v>
      </c>
      <c r="M160" s="653">
        <f t="shared" si="310"/>
        <v>10</v>
      </c>
      <c r="N160" s="653">
        <f t="shared" si="310"/>
        <v>10</v>
      </c>
      <c r="O160" s="653">
        <f t="shared" si="310"/>
        <v>10</v>
      </c>
      <c r="P160" s="653">
        <f t="shared" si="310"/>
        <v>10</v>
      </c>
      <c r="Q160" s="653">
        <f t="shared" si="310"/>
        <v>10</v>
      </c>
      <c r="R160" s="653">
        <f t="shared" si="310"/>
        <v>10</v>
      </c>
      <c r="S160" s="653">
        <f t="shared" si="310"/>
        <v>10</v>
      </c>
      <c r="T160" s="653">
        <f t="shared" si="310"/>
        <v>10</v>
      </c>
      <c r="U160" s="653">
        <f t="shared" si="310"/>
        <v>10</v>
      </c>
      <c r="V160" s="653">
        <f t="shared" si="310"/>
        <v>10</v>
      </c>
      <c r="W160" s="653">
        <f t="shared" si="310"/>
        <v>10</v>
      </c>
      <c r="X160" s="653">
        <f t="shared" si="310"/>
        <v>10</v>
      </c>
      <c r="Y160" s="653">
        <f t="shared" si="310"/>
        <v>10</v>
      </c>
      <c r="Z160" s="653">
        <f t="shared" si="310"/>
        <v>10</v>
      </c>
      <c r="AA160" s="653">
        <f t="shared" si="310"/>
        <v>10</v>
      </c>
      <c r="AB160" s="653">
        <f t="shared" si="310"/>
        <v>10</v>
      </c>
      <c r="AC160" s="653">
        <f t="shared" si="310"/>
        <v>10</v>
      </c>
      <c r="AD160" s="653">
        <f t="shared" si="310"/>
        <v>10</v>
      </c>
      <c r="AE160" s="653">
        <f t="shared" si="310"/>
        <v>10</v>
      </c>
      <c r="AF160" s="653">
        <f t="shared" si="310"/>
        <v>10</v>
      </c>
      <c r="AG160" s="653">
        <f t="shared" si="310"/>
        <v>10</v>
      </c>
      <c r="AH160" s="653">
        <f t="shared" si="310"/>
        <v>10</v>
      </c>
      <c r="AI160" s="653">
        <f t="shared" si="310"/>
        <v>10</v>
      </c>
      <c r="AJ160" s="653">
        <f t="shared" si="310"/>
        <v>10</v>
      </c>
      <c r="AK160" s="653">
        <f t="shared" si="310"/>
        <v>10</v>
      </c>
      <c r="AL160" s="653">
        <f t="shared" si="310"/>
        <v>10</v>
      </c>
      <c r="AM160" s="653">
        <f t="shared" si="310"/>
        <v>10</v>
      </c>
      <c r="AN160" s="653">
        <f t="shared" si="310"/>
        <v>10</v>
      </c>
      <c r="AO160" s="653">
        <f t="shared" si="310"/>
        <v>10</v>
      </c>
      <c r="AP160" s="653">
        <f t="shared" si="310"/>
        <v>10</v>
      </c>
      <c r="AQ160" s="653">
        <f t="shared" si="310"/>
        <v>10</v>
      </c>
      <c r="AR160" s="653">
        <f t="shared" si="310"/>
        <v>10</v>
      </c>
      <c r="AS160" s="653">
        <f t="shared" si="310"/>
        <v>10</v>
      </c>
      <c r="AT160" s="653">
        <f t="shared" si="310"/>
        <v>10</v>
      </c>
      <c r="AU160" s="653">
        <f t="shared" si="310"/>
        <v>10</v>
      </c>
    </row>
    <row r="161" spans="4:47">
      <c r="D161" s="8"/>
      <c r="E161" s="452" t="s">
        <v>396</v>
      </c>
      <c r="F161" s="571" t="s">
        <v>210</v>
      </c>
      <c r="G161" s="653">
        <f>$E208</f>
        <v>10</v>
      </c>
      <c r="H161" s="653">
        <f t="shared" si="310"/>
        <v>10</v>
      </c>
      <c r="I161" s="653">
        <f t="shared" si="310"/>
        <v>10</v>
      </c>
      <c r="J161" s="653">
        <f t="shared" si="310"/>
        <v>10</v>
      </c>
      <c r="K161" s="653">
        <f t="shared" si="310"/>
        <v>10</v>
      </c>
      <c r="L161" s="653">
        <f t="shared" si="310"/>
        <v>10</v>
      </c>
      <c r="M161" s="653">
        <f t="shared" si="310"/>
        <v>10</v>
      </c>
      <c r="N161" s="653">
        <f t="shared" si="310"/>
        <v>10</v>
      </c>
      <c r="O161" s="653">
        <f t="shared" si="310"/>
        <v>10</v>
      </c>
      <c r="P161" s="653">
        <f t="shared" si="310"/>
        <v>10</v>
      </c>
      <c r="Q161" s="653">
        <f t="shared" si="310"/>
        <v>10</v>
      </c>
      <c r="R161" s="653">
        <f t="shared" si="310"/>
        <v>10</v>
      </c>
      <c r="S161" s="653">
        <f t="shared" si="310"/>
        <v>10</v>
      </c>
      <c r="T161" s="653">
        <f t="shared" si="310"/>
        <v>10</v>
      </c>
      <c r="U161" s="653">
        <f t="shared" si="310"/>
        <v>10</v>
      </c>
      <c r="V161" s="653">
        <f t="shared" si="310"/>
        <v>10</v>
      </c>
      <c r="W161" s="653">
        <f t="shared" si="310"/>
        <v>10</v>
      </c>
      <c r="X161" s="653">
        <f t="shared" si="310"/>
        <v>10</v>
      </c>
      <c r="Y161" s="653">
        <f t="shared" si="310"/>
        <v>10</v>
      </c>
      <c r="Z161" s="653">
        <f t="shared" si="310"/>
        <v>10</v>
      </c>
      <c r="AA161" s="653">
        <f t="shared" si="310"/>
        <v>10</v>
      </c>
      <c r="AB161" s="653">
        <f t="shared" si="310"/>
        <v>10</v>
      </c>
      <c r="AC161" s="653">
        <f t="shared" si="310"/>
        <v>10</v>
      </c>
      <c r="AD161" s="653">
        <f t="shared" si="310"/>
        <v>10</v>
      </c>
      <c r="AE161" s="653">
        <f t="shared" si="310"/>
        <v>10</v>
      </c>
      <c r="AF161" s="653">
        <f t="shared" si="310"/>
        <v>10</v>
      </c>
      <c r="AG161" s="653">
        <f t="shared" si="310"/>
        <v>10</v>
      </c>
      <c r="AH161" s="653">
        <f t="shared" si="310"/>
        <v>10</v>
      </c>
      <c r="AI161" s="653">
        <f t="shared" si="310"/>
        <v>10</v>
      </c>
      <c r="AJ161" s="653">
        <f t="shared" si="310"/>
        <v>10</v>
      </c>
      <c r="AK161" s="653">
        <f t="shared" si="310"/>
        <v>10</v>
      </c>
      <c r="AL161" s="653">
        <f t="shared" ref="H161:AU163" si="311">$E208</f>
        <v>10</v>
      </c>
      <c r="AM161" s="653">
        <f t="shared" si="311"/>
        <v>10</v>
      </c>
      <c r="AN161" s="653">
        <f t="shared" si="311"/>
        <v>10</v>
      </c>
      <c r="AO161" s="653">
        <f t="shared" si="311"/>
        <v>10</v>
      </c>
      <c r="AP161" s="653">
        <f t="shared" si="311"/>
        <v>10</v>
      </c>
      <c r="AQ161" s="653">
        <f t="shared" si="311"/>
        <v>10</v>
      </c>
      <c r="AR161" s="653">
        <f t="shared" si="311"/>
        <v>10</v>
      </c>
      <c r="AS161" s="653">
        <f t="shared" si="311"/>
        <v>10</v>
      </c>
      <c r="AT161" s="653">
        <f t="shared" si="311"/>
        <v>10</v>
      </c>
      <c r="AU161" s="653">
        <f t="shared" si="311"/>
        <v>10</v>
      </c>
    </row>
    <row r="162" spans="4:47">
      <c r="D162" s="8"/>
      <c r="E162" s="452" t="s">
        <v>398</v>
      </c>
      <c r="F162" s="571" t="s">
        <v>210</v>
      </c>
      <c r="G162" s="653">
        <f>$E209</f>
        <v>10</v>
      </c>
      <c r="H162" s="653">
        <f t="shared" si="311"/>
        <v>10</v>
      </c>
      <c r="I162" s="653">
        <f t="shared" si="311"/>
        <v>10</v>
      </c>
      <c r="J162" s="653">
        <f t="shared" si="311"/>
        <v>10</v>
      </c>
      <c r="K162" s="653">
        <f t="shared" si="311"/>
        <v>10</v>
      </c>
      <c r="L162" s="653">
        <f t="shared" si="311"/>
        <v>10</v>
      </c>
      <c r="M162" s="653">
        <f t="shared" si="311"/>
        <v>10</v>
      </c>
      <c r="N162" s="653">
        <f t="shared" si="311"/>
        <v>10</v>
      </c>
      <c r="O162" s="653">
        <f t="shared" si="311"/>
        <v>10</v>
      </c>
      <c r="P162" s="653">
        <f t="shared" si="311"/>
        <v>10</v>
      </c>
      <c r="Q162" s="653">
        <f t="shared" si="311"/>
        <v>10</v>
      </c>
      <c r="R162" s="653">
        <f t="shared" si="311"/>
        <v>10</v>
      </c>
      <c r="S162" s="653">
        <f t="shared" si="311"/>
        <v>10</v>
      </c>
      <c r="T162" s="653">
        <f t="shared" si="311"/>
        <v>10</v>
      </c>
      <c r="U162" s="653">
        <f t="shared" si="311"/>
        <v>10</v>
      </c>
      <c r="V162" s="653">
        <f t="shared" si="311"/>
        <v>10</v>
      </c>
      <c r="W162" s="653">
        <f t="shared" si="311"/>
        <v>10</v>
      </c>
      <c r="X162" s="653">
        <f t="shared" si="311"/>
        <v>10</v>
      </c>
      <c r="Y162" s="653">
        <f t="shared" si="311"/>
        <v>10</v>
      </c>
      <c r="Z162" s="653">
        <f t="shared" si="311"/>
        <v>10</v>
      </c>
      <c r="AA162" s="653">
        <f t="shared" si="311"/>
        <v>10</v>
      </c>
      <c r="AB162" s="653">
        <f t="shared" si="311"/>
        <v>10</v>
      </c>
      <c r="AC162" s="653">
        <f t="shared" si="311"/>
        <v>10</v>
      </c>
      <c r="AD162" s="653">
        <f t="shared" si="311"/>
        <v>10</v>
      </c>
      <c r="AE162" s="653">
        <f t="shared" si="311"/>
        <v>10</v>
      </c>
      <c r="AF162" s="653">
        <f t="shared" si="311"/>
        <v>10</v>
      </c>
      <c r="AG162" s="653">
        <f t="shared" si="311"/>
        <v>10</v>
      </c>
      <c r="AH162" s="653">
        <f t="shared" si="311"/>
        <v>10</v>
      </c>
      <c r="AI162" s="653">
        <f t="shared" si="311"/>
        <v>10</v>
      </c>
      <c r="AJ162" s="653">
        <f t="shared" si="311"/>
        <v>10</v>
      </c>
      <c r="AK162" s="653">
        <f t="shared" si="311"/>
        <v>10</v>
      </c>
      <c r="AL162" s="653">
        <f t="shared" si="311"/>
        <v>10</v>
      </c>
      <c r="AM162" s="653">
        <f t="shared" si="311"/>
        <v>10</v>
      </c>
      <c r="AN162" s="653">
        <f t="shared" si="311"/>
        <v>10</v>
      </c>
      <c r="AO162" s="653">
        <f t="shared" si="311"/>
        <v>10</v>
      </c>
      <c r="AP162" s="653">
        <f t="shared" si="311"/>
        <v>10</v>
      </c>
      <c r="AQ162" s="653">
        <f t="shared" si="311"/>
        <v>10</v>
      </c>
      <c r="AR162" s="653">
        <f t="shared" si="311"/>
        <v>10</v>
      </c>
      <c r="AS162" s="653">
        <f t="shared" si="311"/>
        <v>10</v>
      </c>
      <c r="AT162" s="653">
        <f t="shared" si="311"/>
        <v>10</v>
      </c>
      <c r="AU162" s="653">
        <f t="shared" si="311"/>
        <v>10</v>
      </c>
    </row>
    <row r="163" spans="4:47">
      <c r="D163" s="8"/>
      <c r="E163" s="452" t="s">
        <v>394</v>
      </c>
      <c r="F163" s="571" t="s">
        <v>210</v>
      </c>
      <c r="G163" s="653">
        <f>$E210</f>
        <v>10</v>
      </c>
      <c r="H163" s="653">
        <f t="shared" si="311"/>
        <v>10</v>
      </c>
      <c r="I163" s="653">
        <f t="shared" si="311"/>
        <v>10</v>
      </c>
      <c r="J163" s="653">
        <f t="shared" si="311"/>
        <v>10</v>
      </c>
      <c r="K163" s="653">
        <f t="shared" si="311"/>
        <v>10</v>
      </c>
      <c r="L163" s="653">
        <f t="shared" si="311"/>
        <v>10</v>
      </c>
      <c r="M163" s="653">
        <f t="shared" si="311"/>
        <v>10</v>
      </c>
      <c r="N163" s="653">
        <f t="shared" si="311"/>
        <v>10</v>
      </c>
      <c r="O163" s="653">
        <f t="shared" si="311"/>
        <v>10</v>
      </c>
      <c r="P163" s="653">
        <f t="shared" si="311"/>
        <v>10</v>
      </c>
      <c r="Q163" s="653">
        <f t="shared" si="311"/>
        <v>10</v>
      </c>
      <c r="R163" s="653">
        <f t="shared" si="311"/>
        <v>10</v>
      </c>
      <c r="S163" s="653">
        <f t="shared" si="311"/>
        <v>10</v>
      </c>
      <c r="T163" s="653">
        <f t="shared" si="311"/>
        <v>10</v>
      </c>
      <c r="U163" s="653">
        <f t="shared" si="311"/>
        <v>10</v>
      </c>
      <c r="V163" s="653">
        <f t="shared" si="311"/>
        <v>10</v>
      </c>
      <c r="W163" s="653">
        <f t="shared" si="311"/>
        <v>10</v>
      </c>
      <c r="X163" s="653">
        <f t="shared" si="311"/>
        <v>10</v>
      </c>
      <c r="Y163" s="653">
        <f t="shared" si="311"/>
        <v>10</v>
      </c>
      <c r="Z163" s="653">
        <f t="shared" si="311"/>
        <v>10</v>
      </c>
      <c r="AA163" s="653">
        <f t="shared" si="311"/>
        <v>10</v>
      </c>
      <c r="AB163" s="653">
        <f t="shared" si="311"/>
        <v>10</v>
      </c>
      <c r="AC163" s="653">
        <f t="shared" si="311"/>
        <v>10</v>
      </c>
      <c r="AD163" s="653">
        <f t="shared" si="311"/>
        <v>10</v>
      </c>
      <c r="AE163" s="653">
        <f t="shared" si="311"/>
        <v>10</v>
      </c>
      <c r="AF163" s="653">
        <f t="shared" si="311"/>
        <v>10</v>
      </c>
      <c r="AG163" s="653">
        <f t="shared" si="311"/>
        <v>10</v>
      </c>
      <c r="AH163" s="653">
        <f t="shared" si="311"/>
        <v>10</v>
      </c>
      <c r="AI163" s="653">
        <f t="shared" si="311"/>
        <v>10</v>
      </c>
      <c r="AJ163" s="653">
        <f t="shared" si="311"/>
        <v>10</v>
      </c>
      <c r="AK163" s="653">
        <f t="shared" si="311"/>
        <v>10</v>
      </c>
      <c r="AL163" s="653">
        <f t="shared" si="311"/>
        <v>10</v>
      </c>
      <c r="AM163" s="653">
        <f t="shared" si="311"/>
        <v>10</v>
      </c>
      <c r="AN163" s="653">
        <f t="shared" si="311"/>
        <v>10</v>
      </c>
      <c r="AO163" s="653">
        <f t="shared" si="311"/>
        <v>10</v>
      </c>
      <c r="AP163" s="653">
        <f t="shared" si="311"/>
        <v>10</v>
      </c>
      <c r="AQ163" s="653">
        <f t="shared" si="311"/>
        <v>10</v>
      </c>
      <c r="AR163" s="653">
        <f t="shared" si="311"/>
        <v>10</v>
      </c>
      <c r="AS163" s="653">
        <f t="shared" si="311"/>
        <v>10</v>
      </c>
      <c r="AT163" s="653">
        <f t="shared" si="311"/>
        <v>10</v>
      </c>
      <c r="AU163" s="653">
        <f t="shared" si="311"/>
        <v>10</v>
      </c>
    </row>
    <row r="164" spans="4:47">
      <c r="D164" s="8"/>
      <c r="E164" s="452" t="s">
        <v>42</v>
      </c>
      <c r="F164" s="571" t="s">
        <v>210</v>
      </c>
      <c r="G164" s="653">
        <f>$E$178</f>
        <v>0.1</v>
      </c>
      <c r="H164" s="653">
        <f t="shared" ref="H164:AU164" si="312">$E$178</f>
        <v>0.1</v>
      </c>
      <c r="I164" s="653">
        <f t="shared" si="312"/>
        <v>0.1</v>
      </c>
      <c r="J164" s="653">
        <f t="shared" si="312"/>
        <v>0.1</v>
      </c>
      <c r="K164" s="653">
        <f t="shared" si="312"/>
        <v>0.1</v>
      </c>
      <c r="L164" s="653">
        <f t="shared" si="312"/>
        <v>0.1</v>
      </c>
      <c r="M164" s="653">
        <f t="shared" si="312"/>
        <v>0.1</v>
      </c>
      <c r="N164" s="653">
        <f t="shared" si="312"/>
        <v>0.1</v>
      </c>
      <c r="O164" s="653">
        <f t="shared" si="312"/>
        <v>0.1</v>
      </c>
      <c r="P164" s="653">
        <f t="shared" si="312"/>
        <v>0.1</v>
      </c>
      <c r="Q164" s="653">
        <f t="shared" si="312"/>
        <v>0.1</v>
      </c>
      <c r="R164" s="653">
        <f t="shared" si="312"/>
        <v>0.1</v>
      </c>
      <c r="S164" s="653">
        <f t="shared" si="312"/>
        <v>0.1</v>
      </c>
      <c r="T164" s="653">
        <f t="shared" si="312"/>
        <v>0.1</v>
      </c>
      <c r="U164" s="653">
        <f t="shared" si="312"/>
        <v>0.1</v>
      </c>
      <c r="V164" s="653">
        <f t="shared" si="312"/>
        <v>0.1</v>
      </c>
      <c r="W164" s="653">
        <f t="shared" si="312"/>
        <v>0.1</v>
      </c>
      <c r="X164" s="653">
        <f t="shared" si="312"/>
        <v>0.1</v>
      </c>
      <c r="Y164" s="653">
        <f t="shared" si="312"/>
        <v>0.1</v>
      </c>
      <c r="Z164" s="653">
        <f t="shared" si="312"/>
        <v>0.1</v>
      </c>
      <c r="AA164" s="653">
        <f t="shared" si="312"/>
        <v>0.1</v>
      </c>
      <c r="AB164" s="653">
        <f t="shared" si="312"/>
        <v>0.1</v>
      </c>
      <c r="AC164" s="653">
        <f t="shared" si="312"/>
        <v>0.1</v>
      </c>
      <c r="AD164" s="653">
        <f t="shared" si="312"/>
        <v>0.1</v>
      </c>
      <c r="AE164" s="653">
        <f t="shared" si="312"/>
        <v>0.1</v>
      </c>
      <c r="AF164" s="653">
        <f t="shared" si="312"/>
        <v>0.1</v>
      </c>
      <c r="AG164" s="653">
        <f t="shared" si="312"/>
        <v>0.1</v>
      </c>
      <c r="AH164" s="653">
        <f t="shared" si="312"/>
        <v>0.1</v>
      </c>
      <c r="AI164" s="653">
        <f t="shared" si="312"/>
        <v>0.1</v>
      </c>
      <c r="AJ164" s="653">
        <f t="shared" si="312"/>
        <v>0.1</v>
      </c>
      <c r="AK164" s="653">
        <f t="shared" si="312"/>
        <v>0.1</v>
      </c>
      <c r="AL164" s="653">
        <f t="shared" si="312"/>
        <v>0.1</v>
      </c>
      <c r="AM164" s="653">
        <f t="shared" si="312"/>
        <v>0.1</v>
      </c>
      <c r="AN164" s="653">
        <f t="shared" si="312"/>
        <v>0.1</v>
      </c>
      <c r="AO164" s="653">
        <f t="shared" si="312"/>
        <v>0.1</v>
      </c>
      <c r="AP164" s="653">
        <f t="shared" si="312"/>
        <v>0.1</v>
      </c>
      <c r="AQ164" s="653">
        <f t="shared" si="312"/>
        <v>0.1</v>
      </c>
      <c r="AR164" s="653">
        <f t="shared" si="312"/>
        <v>0.1</v>
      </c>
      <c r="AS164" s="653">
        <f t="shared" si="312"/>
        <v>0.1</v>
      </c>
      <c r="AT164" s="653">
        <f t="shared" si="312"/>
        <v>0.1</v>
      </c>
      <c r="AU164" s="653">
        <f t="shared" si="312"/>
        <v>0.1</v>
      </c>
    </row>
    <row r="165" spans="4:47">
      <c r="D165" s="452" t="s">
        <v>891</v>
      </c>
      <c r="E165" s="452" t="s">
        <v>75</v>
      </c>
      <c r="F165" s="571" t="s">
        <v>210</v>
      </c>
      <c r="G165" s="675">
        <f>G142*2</f>
        <v>88.8</v>
      </c>
      <c r="H165" s="675">
        <f t="shared" ref="H165:AS165" si="313">H142*2</f>
        <v>92.2</v>
      </c>
      <c r="I165" s="675">
        <f t="shared" si="313"/>
        <v>110.2</v>
      </c>
      <c r="J165" s="675">
        <f t="shared" si="313"/>
        <v>108.4</v>
      </c>
      <c r="K165" s="675">
        <f t="shared" si="313"/>
        <v>91.4</v>
      </c>
      <c r="L165" s="675">
        <f t="shared" si="313"/>
        <v>88</v>
      </c>
      <c r="M165" s="675">
        <f t="shared" si="313"/>
        <v>73.599999999999994</v>
      </c>
      <c r="N165" s="675">
        <f t="shared" si="313"/>
        <v>73.8</v>
      </c>
      <c r="O165" s="675">
        <f t="shared" si="313"/>
        <v>106.84436676370051</v>
      </c>
      <c r="P165" s="675">
        <f t="shared" si="313"/>
        <v>68.522022481240924</v>
      </c>
      <c r="Q165" s="675">
        <f t="shared" si="313"/>
        <v>66.795699972964513</v>
      </c>
      <c r="R165" s="675">
        <f t="shared" si="313"/>
        <v>63.050580050876398</v>
      </c>
      <c r="S165" s="675">
        <f t="shared" si="313"/>
        <v>65.525097243083792</v>
      </c>
      <c r="T165" s="675">
        <f t="shared" si="313"/>
        <v>66.735376625750931</v>
      </c>
      <c r="U165" s="675">
        <f t="shared" si="313"/>
        <v>67.134247840724143</v>
      </c>
      <c r="V165" s="675">
        <f t="shared" si="313"/>
        <v>67.01216692582733</v>
      </c>
      <c r="W165" s="675">
        <f t="shared" si="313"/>
        <v>66.935278408608127</v>
      </c>
      <c r="X165" s="675">
        <f t="shared" si="313"/>
        <v>66.885894172463338</v>
      </c>
      <c r="Y165" s="675">
        <f t="shared" si="313"/>
        <v>66.843599180906921</v>
      </c>
      <c r="Z165" s="675">
        <f t="shared" si="313"/>
        <v>66.828440496044607</v>
      </c>
      <c r="AA165" s="675">
        <f t="shared" si="313"/>
        <v>66.824305220819767</v>
      </c>
      <c r="AB165" s="675">
        <f t="shared" si="313"/>
        <v>66.916476676296767</v>
      </c>
      <c r="AC165" s="675">
        <f t="shared" si="313"/>
        <v>67.008648131773768</v>
      </c>
      <c r="AD165" s="675">
        <f t="shared" si="313"/>
        <v>67.100819587250754</v>
      </c>
      <c r="AE165" s="675">
        <f t="shared" si="313"/>
        <v>67.192991042727741</v>
      </c>
      <c r="AF165" s="675">
        <f t="shared" si="313"/>
        <v>67.285162498204755</v>
      </c>
      <c r="AG165" s="675">
        <f t="shared" si="313"/>
        <v>67.377333953681756</v>
      </c>
      <c r="AH165" s="675">
        <f t="shared" si="313"/>
        <v>67.469505409158728</v>
      </c>
      <c r="AI165" s="675">
        <f t="shared" si="313"/>
        <v>67.561676864635729</v>
      </c>
      <c r="AJ165" s="675">
        <f t="shared" si="313"/>
        <v>67.653848320112701</v>
      </c>
      <c r="AK165" s="675">
        <f t="shared" si="313"/>
        <v>67.746019775589701</v>
      </c>
      <c r="AL165" s="675">
        <f t="shared" si="313"/>
        <v>67.838191231066702</v>
      </c>
      <c r="AM165" s="675">
        <f t="shared" si="313"/>
        <v>67.930362686543688</v>
      </c>
      <c r="AN165" s="675">
        <f t="shared" si="313"/>
        <v>68.022534142020675</v>
      </c>
      <c r="AO165" s="675">
        <f t="shared" si="313"/>
        <v>68.114705597497675</v>
      </c>
      <c r="AP165" s="675">
        <f t="shared" si="313"/>
        <v>68.206877052974676</v>
      </c>
      <c r="AQ165" s="675">
        <f t="shared" si="313"/>
        <v>68.299048508451676</v>
      </c>
      <c r="AR165" s="675">
        <f t="shared" si="313"/>
        <v>68.391219963928648</v>
      </c>
      <c r="AS165" s="675">
        <f t="shared" si="313"/>
        <v>68.483391419405663</v>
      </c>
      <c r="AT165" s="675">
        <f>AT142*2</f>
        <v>68.575562874882635</v>
      </c>
      <c r="AU165" s="675">
        <f t="shared" ref="AU165" si="314">AU142*2</f>
        <v>68.66773433035965</v>
      </c>
    </row>
    <row r="166" spans="4:47">
      <c r="D166" s="452" t="s">
        <v>891</v>
      </c>
      <c r="E166" s="452" t="s">
        <v>100</v>
      </c>
      <c r="F166" s="571" t="s">
        <v>210</v>
      </c>
      <c r="G166" s="675">
        <f>G142*2</f>
        <v>88.8</v>
      </c>
      <c r="H166" s="675">
        <f t="shared" ref="H166:AS166" si="315">H142*2</f>
        <v>92.2</v>
      </c>
      <c r="I166" s="675">
        <f t="shared" si="315"/>
        <v>110.2</v>
      </c>
      <c r="J166" s="675">
        <f t="shared" si="315"/>
        <v>108.4</v>
      </c>
      <c r="K166" s="675">
        <f t="shared" si="315"/>
        <v>91.4</v>
      </c>
      <c r="L166" s="675">
        <f t="shared" si="315"/>
        <v>88</v>
      </c>
      <c r="M166" s="675">
        <f t="shared" si="315"/>
        <v>73.599999999999994</v>
      </c>
      <c r="N166" s="675">
        <f t="shared" si="315"/>
        <v>73.8</v>
      </c>
      <c r="O166" s="675">
        <f t="shared" si="315"/>
        <v>106.84436676370051</v>
      </c>
      <c r="P166" s="675">
        <f t="shared" si="315"/>
        <v>68.522022481240924</v>
      </c>
      <c r="Q166" s="675">
        <f t="shared" si="315"/>
        <v>66.795699972964513</v>
      </c>
      <c r="R166" s="675">
        <f t="shared" si="315"/>
        <v>63.050580050876398</v>
      </c>
      <c r="S166" s="675">
        <f t="shared" si="315"/>
        <v>65.525097243083792</v>
      </c>
      <c r="T166" s="675">
        <f t="shared" si="315"/>
        <v>66.735376625750931</v>
      </c>
      <c r="U166" s="675">
        <f t="shared" si="315"/>
        <v>67.134247840724143</v>
      </c>
      <c r="V166" s="675">
        <f t="shared" si="315"/>
        <v>67.01216692582733</v>
      </c>
      <c r="W166" s="675">
        <f t="shared" si="315"/>
        <v>66.935278408608127</v>
      </c>
      <c r="X166" s="675">
        <f t="shared" si="315"/>
        <v>66.885894172463338</v>
      </c>
      <c r="Y166" s="675">
        <f t="shared" si="315"/>
        <v>66.843599180906921</v>
      </c>
      <c r="Z166" s="675">
        <f t="shared" si="315"/>
        <v>66.828440496044607</v>
      </c>
      <c r="AA166" s="675">
        <f t="shared" si="315"/>
        <v>66.824305220819767</v>
      </c>
      <c r="AB166" s="675">
        <f t="shared" si="315"/>
        <v>66.916476676296767</v>
      </c>
      <c r="AC166" s="675">
        <f t="shared" si="315"/>
        <v>67.008648131773768</v>
      </c>
      <c r="AD166" s="675">
        <f t="shared" si="315"/>
        <v>67.100819587250754</v>
      </c>
      <c r="AE166" s="675">
        <f t="shared" si="315"/>
        <v>67.192991042727741</v>
      </c>
      <c r="AF166" s="675">
        <f t="shared" si="315"/>
        <v>67.285162498204755</v>
      </c>
      <c r="AG166" s="675">
        <f t="shared" si="315"/>
        <v>67.377333953681756</v>
      </c>
      <c r="AH166" s="675">
        <f t="shared" si="315"/>
        <v>67.469505409158728</v>
      </c>
      <c r="AI166" s="675">
        <f t="shared" si="315"/>
        <v>67.561676864635729</v>
      </c>
      <c r="AJ166" s="675">
        <f t="shared" si="315"/>
        <v>67.653848320112701</v>
      </c>
      <c r="AK166" s="675">
        <f t="shared" si="315"/>
        <v>67.746019775589701</v>
      </c>
      <c r="AL166" s="675">
        <f t="shared" si="315"/>
        <v>67.838191231066702</v>
      </c>
      <c r="AM166" s="675">
        <f t="shared" si="315"/>
        <v>67.930362686543688</v>
      </c>
      <c r="AN166" s="675">
        <f t="shared" si="315"/>
        <v>68.022534142020675</v>
      </c>
      <c r="AO166" s="675">
        <f t="shared" si="315"/>
        <v>68.114705597497675</v>
      </c>
      <c r="AP166" s="675">
        <f t="shared" si="315"/>
        <v>68.206877052974676</v>
      </c>
      <c r="AQ166" s="675">
        <f t="shared" si="315"/>
        <v>68.299048508451676</v>
      </c>
      <c r="AR166" s="675">
        <f t="shared" si="315"/>
        <v>68.391219963928648</v>
      </c>
      <c r="AS166" s="675">
        <f t="shared" si="315"/>
        <v>68.483391419405663</v>
      </c>
      <c r="AT166" s="675">
        <f>AT142*2</f>
        <v>68.575562874882635</v>
      </c>
      <c r="AU166" s="675">
        <f t="shared" ref="AU166" si="316">AU142*2</f>
        <v>68.66773433035965</v>
      </c>
    </row>
    <row r="167" spans="4:47">
      <c r="D167" s="452" t="s">
        <v>892</v>
      </c>
      <c r="E167" s="452" t="s">
        <v>732</v>
      </c>
      <c r="F167" s="262" t="str">
        <f>F166</f>
        <v>MKr14</v>
      </c>
      <c r="G167" s="675">
        <v>0.01</v>
      </c>
      <c r="H167" s="675">
        <v>0.01</v>
      </c>
      <c r="I167" s="675">
        <v>0.01</v>
      </c>
      <c r="J167" s="675">
        <v>0.01</v>
      </c>
      <c r="K167" s="675">
        <v>0.01</v>
      </c>
      <c r="L167" s="675">
        <v>0.01</v>
      </c>
      <c r="M167" s="675">
        <v>0.01</v>
      </c>
      <c r="N167" s="675">
        <v>0.01</v>
      </c>
      <c r="O167" s="675">
        <v>0.01</v>
      </c>
      <c r="P167" s="675">
        <v>0.01</v>
      </c>
      <c r="Q167" s="675">
        <v>0.01</v>
      </c>
      <c r="R167" s="675">
        <v>0.01</v>
      </c>
      <c r="S167" s="675">
        <v>0.01</v>
      </c>
      <c r="T167" s="675">
        <v>0.01</v>
      </c>
      <c r="U167" s="675">
        <v>0.01</v>
      </c>
      <c r="V167" s="675">
        <v>0.01</v>
      </c>
      <c r="W167" s="675">
        <v>0.01</v>
      </c>
      <c r="X167" s="675">
        <v>0.01</v>
      </c>
      <c r="Y167" s="675">
        <v>0.01</v>
      </c>
      <c r="Z167" s="675">
        <v>0.01</v>
      </c>
      <c r="AA167" s="675">
        <v>0.01</v>
      </c>
      <c r="AB167" s="675">
        <v>0.01</v>
      </c>
      <c r="AC167" s="675">
        <v>0.01</v>
      </c>
      <c r="AD167" s="675">
        <v>0.01</v>
      </c>
      <c r="AE167" s="675">
        <v>0.01</v>
      </c>
      <c r="AF167" s="675">
        <v>0.01</v>
      </c>
      <c r="AG167" s="675">
        <v>0.01</v>
      </c>
      <c r="AH167" s="675">
        <v>0.01</v>
      </c>
      <c r="AI167" s="675">
        <v>0.01</v>
      </c>
      <c r="AJ167" s="675">
        <v>0.01</v>
      </c>
      <c r="AK167" s="675">
        <v>0.01</v>
      </c>
      <c r="AL167" s="675">
        <v>0.01</v>
      </c>
      <c r="AM167" s="675">
        <v>0.01</v>
      </c>
      <c r="AN167" s="675">
        <v>0.01</v>
      </c>
      <c r="AO167" s="675">
        <v>0.01</v>
      </c>
      <c r="AP167" s="675">
        <v>0.01</v>
      </c>
      <c r="AQ167" s="675">
        <v>0.01</v>
      </c>
      <c r="AR167" s="675">
        <v>0.01</v>
      </c>
      <c r="AS167" s="675">
        <v>0.01</v>
      </c>
      <c r="AT167" s="675">
        <v>0.01</v>
      </c>
      <c r="AU167" s="675">
        <v>0.01</v>
      </c>
    </row>
    <row r="168" spans="4:47">
      <c r="D168" s="452" t="s">
        <v>894</v>
      </c>
      <c r="E168" s="452" t="s">
        <v>795</v>
      </c>
      <c r="F168" s="262" t="str">
        <f>F167</f>
        <v>MKr14</v>
      </c>
      <c r="G168" s="675">
        <v>0.01</v>
      </c>
      <c r="H168" s="675">
        <v>0.01</v>
      </c>
      <c r="I168" s="675">
        <v>0.01</v>
      </c>
      <c r="J168" s="675">
        <v>0.01</v>
      </c>
      <c r="K168" s="675">
        <v>0.01</v>
      </c>
      <c r="L168" s="675">
        <v>0.01</v>
      </c>
      <c r="M168" s="675">
        <v>0.01</v>
      </c>
      <c r="N168" s="675">
        <v>0.01</v>
      </c>
      <c r="O168" s="675">
        <v>0.01</v>
      </c>
      <c r="P168" s="675">
        <v>0.01</v>
      </c>
      <c r="Q168" s="675">
        <v>0.01</v>
      </c>
      <c r="R168" s="675">
        <v>0.01</v>
      </c>
      <c r="S168" s="675">
        <v>0.01</v>
      </c>
      <c r="T168" s="675">
        <v>0.01</v>
      </c>
      <c r="U168" s="675">
        <v>0.01</v>
      </c>
      <c r="V168" s="675">
        <v>0.01</v>
      </c>
      <c r="W168" s="675">
        <v>0.01</v>
      </c>
      <c r="X168" s="675">
        <v>0.01</v>
      </c>
      <c r="Y168" s="675">
        <v>0.01</v>
      </c>
      <c r="Z168" s="675">
        <v>0.01</v>
      </c>
      <c r="AA168" s="675">
        <v>0.01</v>
      </c>
      <c r="AB168" s="675">
        <v>0.01</v>
      </c>
      <c r="AC168" s="675">
        <v>0.01</v>
      </c>
      <c r="AD168" s="675">
        <v>0.01</v>
      </c>
      <c r="AE168" s="675">
        <v>0.01</v>
      </c>
      <c r="AF168" s="675">
        <v>0.01</v>
      </c>
      <c r="AG168" s="675">
        <v>0.01</v>
      </c>
      <c r="AH168" s="675">
        <v>0.01</v>
      </c>
      <c r="AI168" s="675">
        <v>0.01</v>
      </c>
      <c r="AJ168" s="675">
        <v>0.01</v>
      </c>
      <c r="AK168" s="675">
        <v>0.01</v>
      </c>
      <c r="AL168" s="675">
        <v>0.01</v>
      </c>
      <c r="AM168" s="675">
        <v>0.01</v>
      </c>
      <c r="AN168" s="675">
        <v>0.01</v>
      </c>
      <c r="AO168" s="675">
        <v>0.01</v>
      </c>
      <c r="AP168" s="675">
        <v>0.01</v>
      </c>
      <c r="AQ168" s="675">
        <v>0.01</v>
      </c>
      <c r="AR168" s="675">
        <v>0.01</v>
      </c>
      <c r="AS168" s="675">
        <v>0.01</v>
      </c>
      <c r="AT168" s="675">
        <v>0.01</v>
      </c>
      <c r="AU168" s="675">
        <v>0.01</v>
      </c>
    </row>
    <row r="169" spans="4:47">
      <c r="D169" s="452" t="s">
        <v>895</v>
      </c>
      <c r="E169" s="452" t="s">
        <v>771</v>
      </c>
      <c r="F169" s="262" t="str">
        <f>F168</f>
        <v>MKr14</v>
      </c>
      <c r="G169" s="653">
        <f t="shared" ref="G169:AU169" si="317">G150*0.25</f>
        <v>11.5</v>
      </c>
      <c r="H169" s="653">
        <f t="shared" si="317"/>
        <v>11.5</v>
      </c>
      <c r="I169" s="653">
        <f t="shared" si="317"/>
        <v>11.5</v>
      </c>
      <c r="J169" s="653">
        <f t="shared" si="317"/>
        <v>11.425000000000001</v>
      </c>
      <c r="K169" s="653">
        <f t="shared" si="317"/>
        <v>11.324999999999999</v>
      </c>
      <c r="L169" s="653">
        <f t="shared" si="317"/>
        <v>11.225</v>
      </c>
      <c r="M169" s="653">
        <f t="shared" si="317"/>
        <v>11.35</v>
      </c>
      <c r="N169" s="653">
        <f t="shared" si="317"/>
        <v>11.475</v>
      </c>
      <c r="O169" s="653">
        <f t="shared" si="317"/>
        <v>11.294868050622464</v>
      </c>
      <c r="P169" s="653">
        <f t="shared" si="317"/>
        <v>11.279400140745098</v>
      </c>
      <c r="Q169" s="653">
        <f t="shared" si="317"/>
        <v>11.312097425783408</v>
      </c>
      <c r="R169" s="653">
        <f t="shared" si="317"/>
        <v>11.297562531899668</v>
      </c>
      <c r="S169" s="653">
        <f t="shared" si="317"/>
        <v>11.348030368434129</v>
      </c>
      <c r="T169" s="653">
        <f t="shared" si="317"/>
        <v>11.41110848141796</v>
      </c>
      <c r="U169" s="653">
        <f t="shared" si="317"/>
        <v>11.480753774525216</v>
      </c>
      <c r="V169" s="653">
        <f t="shared" si="317"/>
        <v>11.551750361101513</v>
      </c>
      <c r="W169" s="653">
        <f t="shared" si="317"/>
        <v>11.604932745066808</v>
      </c>
      <c r="X169" s="653">
        <f t="shared" si="317"/>
        <v>11.657764830956497</v>
      </c>
      <c r="Y169" s="653">
        <f t="shared" si="317"/>
        <v>11.709981130768291</v>
      </c>
      <c r="Z169" s="653">
        <f t="shared" si="317"/>
        <v>11.763510976689322</v>
      </c>
      <c r="AA169" s="653">
        <f t="shared" si="317"/>
        <v>11.815776596049293</v>
      </c>
      <c r="AB169" s="653">
        <f t="shared" si="317"/>
        <v>11.840792317093445</v>
      </c>
      <c r="AC169" s="653">
        <f t="shared" si="317"/>
        <v>11.865762206921538</v>
      </c>
      <c r="AD169" s="653">
        <f t="shared" si="317"/>
        <v>11.890686557801363</v>
      </c>
      <c r="AE169" s="653">
        <f t="shared" si="317"/>
        <v>11.915565657391058</v>
      </c>
      <c r="AF169" s="653">
        <f t="shared" si="317"/>
        <v>11.940399788787957</v>
      </c>
      <c r="AG169" s="653">
        <f t="shared" si="317"/>
        <v>11.96538942725668</v>
      </c>
      <c r="AH169" s="653">
        <f t="shared" si="317"/>
        <v>11.99030602162429</v>
      </c>
      <c r="AI169" s="653">
        <f t="shared" si="317"/>
        <v>12.015150055072155</v>
      </c>
      <c r="AJ169" s="653">
        <f t="shared" si="317"/>
        <v>12.039922004208098</v>
      </c>
      <c r="AK169" s="653">
        <f t="shared" si="317"/>
        <v>12.064622339136843</v>
      </c>
      <c r="AL169" s="653">
        <f t="shared" si="317"/>
        <v>12.094406678579805</v>
      </c>
      <c r="AM169" s="653">
        <f t="shared" si="317"/>
        <v>12.124078924136491</v>
      </c>
      <c r="AN169" s="653">
        <f t="shared" si="317"/>
        <v>12.153639783922587</v>
      </c>
      <c r="AO169" s="653">
        <f t="shared" si="317"/>
        <v>12.183089957138392</v>
      </c>
      <c r="AP169" s="653">
        <f t="shared" si="317"/>
        <v>12.212430134165137</v>
      </c>
      <c r="AQ169" s="653">
        <f t="shared" si="317"/>
        <v>12.256143704717205</v>
      </c>
      <c r="AR169" s="653">
        <f t="shared" si="317"/>
        <v>12.299679871973648</v>
      </c>
      <c r="AS169" s="653">
        <f t="shared" si="317"/>
        <v>12.343039610164922</v>
      </c>
      <c r="AT169" s="653">
        <f t="shared" si="317"/>
        <v>12.386223881805252</v>
      </c>
      <c r="AU169" s="653">
        <f t="shared" si="317"/>
        <v>12.429233637820181</v>
      </c>
    </row>
    <row r="170" spans="4:47">
      <c r="D170" s="452" t="s">
        <v>917</v>
      </c>
      <c r="E170" s="452" t="s">
        <v>828</v>
      </c>
      <c r="F170" s="571" t="s">
        <v>1103</v>
      </c>
      <c r="G170" s="653">
        <f t="shared" ref="G170:AU170" si="318">G150</f>
        <v>46</v>
      </c>
      <c r="H170" s="653">
        <f t="shared" si="318"/>
        <v>46</v>
      </c>
      <c r="I170" s="653">
        <f t="shared" si="318"/>
        <v>46</v>
      </c>
      <c r="J170" s="653">
        <f t="shared" si="318"/>
        <v>45.7</v>
      </c>
      <c r="K170" s="653">
        <f t="shared" si="318"/>
        <v>45.3</v>
      </c>
      <c r="L170" s="653">
        <f t="shared" si="318"/>
        <v>44.9</v>
      </c>
      <c r="M170" s="653">
        <f t="shared" si="318"/>
        <v>45.4</v>
      </c>
      <c r="N170" s="653">
        <f t="shared" si="318"/>
        <v>45.9</v>
      </c>
      <c r="O170" s="653">
        <f t="shared" si="318"/>
        <v>45.179472202489855</v>
      </c>
      <c r="P170" s="653">
        <f t="shared" si="318"/>
        <v>45.117600562980392</v>
      </c>
      <c r="Q170" s="653">
        <f t="shared" si="318"/>
        <v>45.248389703133633</v>
      </c>
      <c r="R170" s="653">
        <f t="shared" si="318"/>
        <v>45.190250127598674</v>
      </c>
      <c r="S170" s="653">
        <f t="shared" si="318"/>
        <v>45.392121473736516</v>
      </c>
      <c r="T170" s="653">
        <f t="shared" si="318"/>
        <v>45.644433925671841</v>
      </c>
      <c r="U170" s="653">
        <f t="shared" si="318"/>
        <v>45.923015098100862</v>
      </c>
      <c r="V170" s="653">
        <f t="shared" si="318"/>
        <v>46.207001444406053</v>
      </c>
      <c r="W170" s="653">
        <f t="shared" si="318"/>
        <v>46.419730980267232</v>
      </c>
      <c r="X170" s="653">
        <f t="shared" si="318"/>
        <v>46.631059323825987</v>
      </c>
      <c r="Y170" s="653">
        <f t="shared" si="318"/>
        <v>46.839924523073165</v>
      </c>
      <c r="Z170" s="653">
        <f t="shared" si="318"/>
        <v>47.054043906757286</v>
      </c>
      <c r="AA170" s="653">
        <f t="shared" si="318"/>
        <v>47.263106384197172</v>
      </c>
      <c r="AB170" s="653">
        <f t="shared" si="318"/>
        <v>47.363169268373781</v>
      </c>
      <c r="AC170" s="653">
        <f t="shared" si="318"/>
        <v>47.463048827686151</v>
      </c>
      <c r="AD170" s="653">
        <f t="shared" si="318"/>
        <v>47.562746231205452</v>
      </c>
      <c r="AE170" s="653">
        <f t="shared" si="318"/>
        <v>47.662262629564232</v>
      </c>
      <c r="AF170" s="653">
        <f t="shared" si="318"/>
        <v>47.761599155151828</v>
      </c>
      <c r="AG170" s="653">
        <f t="shared" si="318"/>
        <v>47.861557709026719</v>
      </c>
      <c r="AH170" s="653">
        <f t="shared" si="318"/>
        <v>47.961224086497161</v>
      </c>
      <c r="AI170" s="653">
        <f t="shared" si="318"/>
        <v>48.06060022028862</v>
      </c>
      <c r="AJ170" s="653">
        <f t="shared" si="318"/>
        <v>48.159688016832391</v>
      </c>
      <c r="AK170" s="653">
        <f t="shared" si="318"/>
        <v>48.258489356547372</v>
      </c>
      <c r="AL170" s="653">
        <f t="shared" si="318"/>
        <v>48.37762671431922</v>
      </c>
      <c r="AM170" s="653">
        <f t="shared" si="318"/>
        <v>48.496315696545963</v>
      </c>
      <c r="AN170" s="653">
        <f t="shared" si="318"/>
        <v>48.614559135690349</v>
      </c>
      <c r="AO170" s="653">
        <f t="shared" si="318"/>
        <v>48.73235982855357</v>
      </c>
      <c r="AP170" s="653">
        <f t="shared" si="318"/>
        <v>48.849720536660548</v>
      </c>
      <c r="AQ170" s="653">
        <f t="shared" si="318"/>
        <v>49.024574818868821</v>
      </c>
      <c r="AR170" s="653">
        <f t="shared" si="318"/>
        <v>49.198719487894593</v>
      </c>
      <c r="AS170" s="653">
        <f t="shared" si="318"/>
        <v>49.372158440659689</v>
      </c>
      <c r="AT170" s="653">
        <f t="shared" si="318"/>
        <v>49.544895527221009</v>
      </c>
      <c r="AU170" s="653">
        <f t="shared" si="318"/>
        <v>49.716934551280723</v>
      </c>
    </row>
    <row r="171" spans="4:47">
      <c r="D171" s="8"/>
      <c r="E171" s="452" t="s">
        <v>833</v>
      </c>
      <c r="F171" s="571" t="s">
        <v>1103</v>
      </c>
      <c r="G171" s="653">
        <f t="shared" ref="G171:AU171" si="319">$E$195*G121</f>
        <v>11.55</v>
      </c>
      <c r="H171" s="653">
        <f t="shared" si="319"/>
        <v>13.85</v>
      </c>
      <c r="I171" s="653">
        <f t="shared" si="319"/>
        <v>11.95</v>
      </c>
      <c r="J171" s="653">
        <f t="shared" si="319"/>
        <v>10.15</v>
      </c>
      <c r="K171" s="653">
        <f t="shared" si="319"/>
        <v>8.6</v>
      </c>
      <c r="L171" s="653">
        <f t="shared" si="319"/>
        <v>7.85</v>
      </c>
      <c r="M171" s="653">
        <f t="shared" si="319"/>
        <v>6.1</v>
      </c>
      <c r="N171" s="653">
        <f t="shared" si="319"/>
        <v>5.85</v>
      </c>
      <c r="O171" s="653">
        <f t="shared" si="319"/>
        <v>11.467898064011884</v>
      </c>
      <c r="P171" s="653">
        <f t="shared" si="319"/>
        <v>7.7663830030950765</v>
      </c>
      <c r="Q171" s="653">
        <f t="shared" si="319"/>
        <v>6.4647759447939386</v>
      </c>
      <c r="R171" s="653">
        <f t="shared" si="319"/>
        <v>6.5830294771624471</v>
      </c>
      <c r="S171" s="653">
        <f t="shared" si="319"/>
        <v>6.8367367407151214</v>
      </c>
      <c r="T171" s="653">
        <f t="shared" si="319"/>
        <v>7.0869633419431945</v>
      </c>
      <c r="U171" s="653">
        <f t="shared" si="319"/>
        <v>7.3237003604902249</v>
      </c>
      <c r="V171" s="653">
        <f t="shared" si="319"/>
        <v>7.2904494140519214</v>
      </c>
      <c r="W171" s="653">
        <f t="shared" si="319"/>
        <v>7.2658292469417001</v>
      </c>
      <c r="X171" s="653">
        <f t="shared" si="319"/>
        <v>7.2386152965441681</v>
      </c>
      <c r="Y171" s="653">
        <f t="shared" si="319"/>
        <v>7.2065953240946836</v>
      </c>
      <c r="Z171" s="653">
        <f t="shared" si="319"/>
        <v>7.1719818027432378</v>
      </c>
      <c r="AA171" s="653">
        <f t="shared" si="319"/>
        <v>7.1332515760414905</v>
      </c>
      <c r="AB171" s="653">
        <f t="shared" si="319"/>
        <v>7.1153465320667548</v>
      </c>
      <c r="AC171" s="653">
        <f t="shared" si="319"/>
        <v>7.097518632127068</v>
      </c>
      <c r="AD171" s="653">
        <f t="shared" si="319"/>
        <v>7.0795572350830023</v>
      </c>
      <c r="AE171" s="653">
        <f t="shared" si="319"/>
        <v>7.0616767132396783</v>
      </c>
      <c r="AF171" s="653">
        <f t="shared" si="319"/>
        <v>7.0437860033118742</v>
      </c>
      <c r="AG171" s="653">
        <f t="shared" si="319"/>
        <v>7.0259928453493545</v>
      </c>
      <c r="AH171" s="653">
        <f t="shared" si="319"/>
        <v>7.0080856252282011</v>
      </c>
      <c r="AI171" s="653">
        <f t="shared" si="319"/>
        <v>6.990255369175598</v>
      </c>
      <c r="AJ171" s="653">
        <f t="shared" si="319"/>
        <v>6.9723272493975728</v>
      </c>
      <c r="AK171" s="653">
        <f t="shared" si="319"/>
        <v>6.9544309358125274</v>
      </c>
      <c r="AL171" s="653">
        <f t="shared" si="319"/>
        <v>6.9365345690910853</v>
      </c>
      <c r="AM171" s="653">
        <f t="shared" si="319"/>
        <v>6.9183052264039517</v>
      </c>
      <c r="AN171" s="653">
        <f t="shared" si="319"/>
        <v>6.900075278683218</v>
      </c>
      <c r="AO171" s="653">
        <f t="shared" si="319"/>
        <v>6.8818447251553092</v>
      </c>
      <c r="AP171" s="653">
        <f t="shared" si="319"/>
        <v>6.8636135650456671</v>
      </c>
      <c r="AQ171" s="653">
        <f t="shared" si="319"/>
        <v>6.8453817975787317</v>
      </c>
      <c r="AR171" s="653">
        <f t="shared" si="319"/>
        <v>6.8271494219779587</v>
      </c>
      <c r="AS171" s="653">
        <f t="shared" si="319"/>
        <v>6.808916437465812</v>
      </c>
      <c r="AT171" s="653">
        <f t="shared" si="319"/>
        <v>6.7906828432637569</v>
      </c>
      <c r="AU171" s="653">
        <f t="shared" si="319"/>
        <v>6.7724486385922678</v>
      </c>
    </row>
    <row r="172" spans="4:47">
      <c r="D172" s="8"/>
      <c r="E172" s="452" t="s">
        <v>837</v>
      </c>
      <c r="F172" s="571" t="s">
        <v>1103</v>
      </c>
      <c r="G172" s="653">
        <f>$E$197</f>
        <v>4.1805555555555554</v>
      </c>
      <c r="H172" s="653">
        <f t="shared" ref="H172:AU172" si="320">$E$197</f>
        <v>4.1805555555555554</v>
      </c>
      <c r="I172" s="653">
        <f t="shared" si="320"/>
        <v>4.1805555555555554</v>
      </c>
      <c r="J172" s="653">
        <f t="shared" si="320"/>
        <v>4.1805555555555554</v>
      </c>
      <c r="K172" s="653">
        <f t="shared" si="320"/>
        <v>4.1805555555555554</v>
      </c>
      <c r="L172" s="653">
        <f t="shared" si="320"/>
        <v>4.1805555555555554</v>
      </c>
      <c r="M172" s="653">
        <f t="shared" si="320"/>
        <v>4.1805555555555554</v>
      </c>
      <c r="N172" s="653">
        <f t="shared" si="320"/>
        <v>4.1805555555555554</v>
      </c>
      <c r="O172" s="653">
        <f t="shared" si="320"/>
        <v>4.1805555555555554</v>
      </c>
      <c r="P172" s="653">
        <f t="shared" si="320"/>
        <v>4.1805555555555554</v>
      </c>
      <c r="Q172" s="653">
        <f t="shared" si="320"/>
        <v>4.1805555555555554</v>
      </c>
      <c r="R172" s="653">
        <f t="shared" si="320"/>
        <v>4.1805555555555554</v>
      </c>
      <c r="S172" s="653">
        <f t="shared" si="320"/>
        <v>4.1805555555555554</v>
      </c>
      <c r="T172" s="653">
        <f t="shared" si="320"/>
        <v>4.1805555555555554</v>
      </c>
      <c r="U172" s="653">
        <f t="shared" si="320"/>
        <v>4.1805555555555554</v>
      </c>
      <c r="V172" s="653">
        <f t="shared" si="320"/>
        <v>4.1805555555555554</v>
      </c>
      <c r="W172" s="653">
        <f t="shared" si="320"/>
        <v>4.1805555555555554</v>
      </c>
      <c r="X172" s="653">
        <f t="shared" si="320"/>
        <v>4.1805555555555554</v>
      </c>
      <c r="Y172" s="653">
        <f t="shared" si="320"/>
        <v>4.1805555555555554</v>
      </c>
      <c r="Z172" s="653">
        <f t="shared" si="320"/>
        <v>4.1805555555555554</v>
      </c>
      <c r="AA172" s="653">
        <f t="shared" si="320"/>
        <v>4.1805555555555554</v>
      </c>
      <c r="AB172" s="653">
        <f t="shared" si="320"/>
        <v>4.1805555555555554</v>
      </c>
      <c r="AC172" s="653">
        <f t="shared" si="320"/>
        <v>4.1805555555555554</v>
      </c>
      <c r="AD172" s="653">
        <f t="shared" si="320"/>
        <v>4.1805555555555554</v>
      </c>
      <c r="AE172" s="653">
        <f t="shared" si="320"/>
        <v>4.1805555555555554</v>
      </c>
      <c r="AF172" s="653">
        <f t="shared" si="320"/>
        <v>4.1805555555555554</v>
      </c>
      <c r="AG172" s="653">
        <f t="shared" si="320"/>
        <v>4.1805555555555554</v>
      </c>
      <c r="AH172" s="653">
        <f t="shared" si="320"/>
        <v>4.1805555555555554</v>
      </c>
      <c r="AI172" s="653">
        <f t="shared" si="320"/>
        <v>4.1805555555555554</v>
      </c>
      <c r="AJ172" s="653">
        <f t="shared" si="320"/>
        <v>4.1805555555555554</v>
      </c>
      <c r="AK172" s="653">
        <f t="shared" si="320"/>
        <v>4.1805555555555554</v>
      </c>
      <c r="AL172" s="653">
        <f t="shared" si="320"/>
        <v>4.1805555555555554</v>
      </c>
      <c r="AM172" s="653">
        <f t="shared" si="320"/>
        <v>4.1805555555555554</v>
      </c>
      <c r="AN172" s="653">
        <f t="shared" si="320"/>
        <v>4.1805555555555554</v>
      </c>
      <c r="AO172" s="653">
        <f t="shared" si="320"/>
        <v>4.1805555555555554</v>
      </c>
      <c r="AP172" s="653">
        <f t="shared" si="320"/>
        <v>4.1805555555555554</v>
      </c>
      <c r="AQ172" s="653">
        <f t="shared" si="320"/>
        <v>4.1805555555555554</v>
      </c>
      <c r="AR172" s="653">
        <f t="shared" si="320"/>
        <v>4.1805555555555554</v>
      </c>
      <c r="AS172" s="653">
        <f t="shared" si="320"/>
        <v>4.1805555555555554</v>
      </c>
      <c r="AT172" s="653">
        <f t="shared" si="320"/>
        <v>4.1805555555555554</v>
      </c>
      <c r="AU172" s="653">
        <f t="shared" si="320"/>
        <v>4.1805555555555554</v>
      </c>
    </row>
    <row r="173" spans="4:47">
      <c r="D173" s="452" t="s">
        <v>918</v>
      </c>
      <c r="E173" s="452" t="s">
        <v>839</v>
      </c>
      <c r="F173" s="571" t="s">
        <v>1103</v>
      </c>
      <c r="G173" s="653">
        <f>$E$178</f>
        <v>0.1</v>
      </c>
      <c r="H173" s="653">
        <f t="shared" ref="H173:AU173" si="321">$E$178</f>
        <v>0.1</v>
      </c>
      <c r="I173" s="653">
        <f t="shared" si="321"/>
        <v>0.1</v>
      </c>
      <c r="J173" s="653">
        <f t="shared" si="321"/>
        <v>0.1</v>
      </c>
      <c r="K173" s="653">
        <f t="shared" si="321"/>
        <v>0.1</v>
      </c>
      <c r="L173" s="653">
        <f t="shared" si="321"/>
        <v>0.1</v>
      </c>
      <c r="M173" s="653">
        <f t="shared" si="321"/>
        <v>0.1</v>
      </c>
      <c r="N173" s="653">
        <f t="shared" si="321"/>
        <v>0.1</v>
      </c>
      <c r="O173" s="653">
        <f t="shared" si="321"/>
        <v>0.1</v>
      </c>
      <c r="P173" s="653">
        <f t="shared" si="321"/>
        <v>0.1</v>
      </c>
      <c r="Q173" s="653">
        <f t="shared" si="321"/>
        <v>0.1</v>
      </c>
      <c r="R173" s="653">
        <f t="shared" si="321"/>
        <v>0.1</v>
      </c>
      <c r="S173" s="653">
        <f t="shared" si="321"/>
        <v>0.1</v>
      </c>
      <c r="T173" s="653">
        <f t="shared" si="321"/>
        <v>0.1</v>
      </c>
      <c r="U173" s="653">
        <f t="shared" si="321"/>
        <v>0.1</v>
      </c>
      <c r="V173" s="653">
        <f t="shared" si="321"/>
        <v>0.1</v>
      </c>
      <c r="W173" s="653">
        <f t="shared" si="321"/>
        <v>0.1</v>
      </c>
      <c r="X173" s="653">
        <f t="shared" si="321"/>
        <v>0.1</v>
      </c>
      <c r="Y173" s="653">
        <f t="shared" si="321"/>
        <v>0.1</v>
      </c>
      <c r="Z173" s="653">
        <f t="shared" si="321"/>
        <v>0.1</v>
      </c>
      <c r="AA173" s="653">
        <f t="shared" si="321"/>
        <v>0.1</v>
      </c>
      <c r="AB173" s="653">
        <f t="shared" si="321"/>
        <v>0.1</v>
      </c>
      <c r="AC173" s="653">
        <f t="shared" si="321"/>
        <v>0.1</v>
      </c>
      <c r="AD173" s="653">
        <f t="shared" si="321"/>
        <v>0.1</v>
      </c>
      <c r="AE173" s="653">
        <f t="shared" si="321"/>
        <v>0.1</v>
      </c>
      <c r="AF173" s="653">
        <f t="shared" si="321"/>
        <v>0.1</v>
      </c>
      <c r="AG173" s="653">
        <f t="shared" si="321"/>
        <v>0.1</v>
      </c>
      <c r="AH173" s="653">
        <f t="shared" si="321"/>
        <v>0.1</v>
      </c>
      <c r="AI173" s="653">
        <f t="shared" si="321"/>
        <v>0.1</v>
      </c>
      <c r="AJ173" s="653">
        <f t="shared" si="321"/>
        <v>0.1</v>
      </c>
      <c r="AK173" s="653">
        <f t="shared" si="321"/>
        <v>0.1</v>
      </c>
      <c r="AL173" s="653">
        <f t="shared" si="321"/>
        <v>0.1</v>
      </c>
      <c r="AM173" s="653">
        <f t="shared" si="321"/>
        <v>0.1</v>
      </c>
      <c r="AN173" s="653">
        <f t="shared" si="321"/>
        <v>0.1</v>
      </c>
      <c r="AO173" s="653">
        <f t="shared" si="321"/>
        <v>0.1</v>
      </c>
      <c r="AP173" s="653">
        <f t="shared" si="321"/>
        <v>0.1</v>
      </c>
      <c r="AQ173" s="653">
        <f t="shared" si="321"/>
        <v>0.1</v>
      </c>
      <c r="AR173" s="653">
        <f t="shared" si="321"/>
        <v>0.1</v>
      </c>
      <c r="AS173" s="653">
        <f t="shared" si="321"/>
        <v>0.1</v>
      </c>
      <c r="AT173" s="653">
        <f t="shared" si="321"/>
        <v>0.1</v>
      </c>
      <c r="AU173" s="653">
        <f t="shared" si="321"/>
        <v>0.1</v>
      </c>
    </row>
    <row r="174" spans="4:47">
      <c r="D174" s="8"/>
      <c r="E174" s="8"/>
      <c r="F174" s="262"/>
      <c r="G174" s="452"/>
      <c r="H174" s="103"/>
    </row>
    <row r="175" spans="4:47">
      <c r="D175" s="8"/>
      <c r="E175" s="8"/>
      <c r="F175" s="262"/>
      <c r="G175" s="452"/>
      <c r="H175" s="103"/>
    </row>
    <row r="176" spans="4:47" ht="13.8" thickBot="1">
      <c r="D176" s="8"/>
      <c r="E176" s="8"/>
      <c r="F176" s="262"/>
      <c r="G176" s="452"/>
      <c r="H176" s="103"/>
    </row>
    <row r="177" spans="3:9" ht="13.8" thickBot="1">
      <c r="C177" s="268" t="s">
        <v>358</v>
      </c>
      <c r="D177" s="269" t="s">
        <v>351</v>
      </c>
      <c r="E177" s="269"/>
      <c r="F177" s="269" t="s">
        <v>361</v>
      </c>
      <c r="G177" s="269" t="s">
        <v>352</v>
      </c>
      <c r="H177" s="269" t="s">
        <v>462</v>
      </c>
      <c r="I177" s="270" t="s">
        <v>177</v>
      </c>
    </row>
    <row r="178" spans="3:9">
      <c r="C178" s="265" t="s">
        <v>362</v>
      </c>
      <c r="D178" s="1" t="s">
        <v>363</v>
      </c>
      <c r="E178" s="1">
        <v>0.1</v>
      </c>
      <c r="F178" s="1" t="s">
        <v>355</v>
      </c>
      <c r="G178" s="1" t="s">
        <v>364</v>
      </c>
      <c r="H178" s="1"/>
      <c r="I178" s="254"/>
    </row>
    <row r="179" spans="3:9">
      <c r="C179" s="265" t="s">
        <v>345</v>
      </c>
      <c r="D179" s="1" t="s">
        <v>1097</v>
      </c>
      <c r="E179" s="290">
        <v>3</v>
      </c>
      <c r="F179" s="1" t="s">
        <v>356</v>
      </c>
      <c r="G179" s="1" t="s">
        <v>353</v>
      </c>
      <c r="H179" s="1"/>
      <c r="I179" s="254"/>
    </row>
    <row r="180" spans="3:9">
      <c r="C180" s="265" t="s">
        <v>346</v>
      </c>
      <c r="D180" s="1" t="s">
        <v>1098</v>
      </c>
      <c r="E180" s="1">
        <v>3</v>
      </c>
      <c r="F180" s="1" t="s">
        <v>356</v>
      </c>
      <c r="G180" s="1" t="s">
        <v>353</v>
      </c>
      <c r="H180" s="1"/>
      <c r="I180" s="254"/>
    </row>
    <row r="181" spans="3:9">
      <c r="C181" s="265" t="s">
        <v>350</v>
      </c>
      <c r="D181" s="1" t="s">
        <v>1098</v>
      </c>
      <c r="E181" s="1">
        <v>3</v>
      </c>
      <c r="F181" s="1" t="s">
        <v>356</v>
      </c>
      <c r="G181" s="13" t="s">
        <v>353</v>
      </c>
      <c r="H181" s="13"/>
      <c r="I181" s="254"/>
    </row>
    <row r="182" spans="3:9">
      <c r="C182" s="265" t="s">
        <v>727</v>
      </c>
      <c r="D182" s="563" t="s">
        <v>728</v>
      </c>
      <c r="E182" s="3">
        <v>1.1000000000000001</v>
      </c>
      <c r="F182" s="3" t="s">
        <v>356</v>
      </c>
      <c r="G182" s="564" t="s">
        <v>353</v>
      </c>
      <c r="H182" s="13"/>
      <c r="I182" s="1"/>
    </row>
    <row r="183" spans="3:9">
      <c r="C183" s="265" t="s">
        <v>347</v>
      </c>
      <c r="D183" s="13" t="s">
        <v>600</v>
      </c>
      <c r="E183" s="267">
        <v>63.673753033597997</v>
      </c>
      <c r="F183" s="1" t="s">
        <v>355</v>
      </c>
      <c r="G183" s="1" t="s">
        <v>354</v>
      </c>
      <c r="I183" s="522">
        <v>41640</v>
      </c>
    </row>
    <row r="184" spans="3:9">
      <c r="C184" s="265" t="s">
        <v>348</v>
      </c>
      <c r="D184" s="13" t="s">
        <v>601</v>
      </c>
      <c r="E184" s="267">
        <v>99.186998923418699</v>
      </c>
      <c r="F184" s="1" t="s">
        <v>355</v>
      </c>
      <c r="G184" s="1" t="s">
        <v>354</v>
      </c>
      <c r="I184" s="522">
        <v>41640</v>
      </c>
    </row>
    <row r="185" spans="3:9">
      <c r="C185" s="265" t="s">
        <v>349</v>
      </c>
      <c r="D185" s="1" t="s">
        <v>357</v>
      </c>
      <c r="E185" s="1"/>
      <c r="F185" s="1"/>
      <c r="G185" s="1" t="s">
        <v>353</v>
      </c>
      <c r="H185" s="1"/>
      <c r="I185" s="254"/>
    </row>
    <row r="186" spans="3:9">
      <c r="C186" s="520" t="s">
        <v>896</v>
      </c>
      <c r="D186" s="695" t="s">
        <v>1099</v>
      </c>
      <c r="E186" s="695">
        <v>1.5</v>
      </c>
      <c r="F186" s="564" t="s">
        <v>897</v>
      </c>
      <c r="G186" s="483" t="s">
        <v>898</v>
      </c>
      <c r="H186" s="1"/>
      <c r="I186" s="254"/>
    </row>
    <row r="187" spans="3:9">
      <c r="C187" s="265" t="s">
        <v>359</v>
      </c>
      <c r="D187" s="13" t="str">
        <f>E187*100&amp;"% of imported crude oil cost"</f>
        <v>95% of imported crude oil cost</v>
      </c>
      <c r="E187" s="271">
        <v>0.95</v>
      </c>
      <c r="F187" s="1"/>
      <c r="G187" s="1" t="s">
        <v>642</v>
      </c>
      <c r="H187" s="483" t="s">
        <v>643</v>
      </c>
      <c r="I187" s="254"/>
    </row>
    <row r="188" spans="3:9">
      <c r="C188" s="265" t="s">
        <v>343</v>
      </c>
      <c r="D188" s="1" t="str">
        <f>E188*100&amp;"% of imported natural gas cost"</f>
        <v>95% of imported natural gas cost</v>
      </c>
      <c r="E188" s="271">
        <v>0.95</v>
      </c>
      <c r="F188" s="1"/>
      <c r="G188" s="1" t="s">
        <v>642</v>
      </c>
      <c r="H188" s="1" t="s">
        <v>643</v>
      </c>
      <c r="I188" s="254"/>
    </row>
    <row r="189" spans="3:9">
      <c r="C189" s="274" t="s">
        <v>596</v>
      </c>
      <c r="D189" s="1" t="str">
        <f>E189*100&amp;"% of imported crude oil cost"</f>
        <v>95% of imported crude oil cost</v>
      </c>
      <c r="E189" s="271">
        <v>0.95</v>
      </c>
      <c r="F189" s="1"/>
      <c r="G189" s="1" t="s">
        <v>353</v>
      </c>
      <c r="H189" s="1"/>
      <c r="I189" s="254"/>
    </row>
    <row r="190" spans="3:9">
      <c r="C190" s="274" t="s">
        <v>595</v>
      </c>
      <c r="D190" s="1" t="str">
        <f>E190*100&amp;"% of imported natural gas cost"</f>
        <v>95% of imported natural gas cost</v>
      </c>
      <c r="E190" s="271">
        <v>0.95</v>
      </c>
      <c r="F190" s="1"/>
      <c r="G190" s="1" t="s">
        <v>353</v>
      </c>
      <c r="H190" s="1"/>
      <c r="I190" s="254"/>
    </row>
    <row r="191" spans="3:9">
      <c r="C191" s="520" t="s">
        <v>664</v>
      </c>
      <c r="D191" s="483" t="s">
        <v>889</v>
      </c>
      <c r="E191" s="674" t="s">
        <v>888</v>
      </c>
      <c r="F191" s="1"/>
      <c r="G191" s="1" t="s">
        <v>642</v>
      </c>
      <c r="H191" s="1"/>
      <c r="I191" s="254"/>
    </row>
    <row r="192" spans="3:9" ht="13.8" thickBot="1">
      <c r="C192" s="266" t="s">
        <v>360</v>
      </c>
      <c r="D192" s="273" t="str">
        <f>E192*100&amp;"% of import technology price (set low to avoid export)"</f>
        <v>95% of import technology price (set low to avoid export)</v>
      </c>
      <c r="E192" s="272">
        <v>0.95</v>
      </c>
      <c r="F192" s="255"/>
      <c r="G192" s="255" t="s">
        <v>642</v>
      </c>
      <c r="H192" s="255"/>
      <c r="I192" s="256"/>
    </row>
    <row r="193" spans="2:28" s="685" customFormat="1">
      <c r="C193" s="685" t="str">
        <f>C209</f>
        <v>Export technology - Bio Naphtha (Petroleoum)</v>
      </c>
      <c r="D193" s="685" t="s">
        <v>911</v>
      </c>
      <c r="E193" s="688">
        <v>1</v>
      </c>
      <c r="G193" s="685" t="s">
        <v>912</v>
      </c>
    </row>
    <row r="194" spans="2:28" s="685" customFormat="1">
      <c r="C194" s="685" t="str">
        <f t="shared" ref="C194:C198" si="322">C210</f>
        <v>Export technology - Rape Cake</v>
      </c>
      <c r="E194" s="685">
        <f>E178</f>
        <v>0.1</v>
      </c>
      <c r="G194" s="685" t="s">
        <v>913</v>
      </c>
    </row>
    <row r="195" spans="2:28" s="685" customFormat="1">
      <c r="C195" s="685" t="str">
        <f t="shared" si="322"/>
        <v>Export technology - Sugar Beet Pulp</v>
      </c>
      <c r="D195" s="685" t="s">
        <v>914</v>
      </c>
      <c r="E195" s="688">
        <v>0.5</v>
      </c>
      <c r="G195" s="685" t="s">
        <v>353</v>
      </c>
    </row>
    <row r="196" spans="2:28" s="685" customFormat="1">
      <c r="C196" s="685">
        <f t="shared" si="322"/>
        <v>0</v>
      </c>
      <c r="E196" s="685">
        <v>0</v>
      </c>
      <c r="G196" s="685" t="s">
        <v>915</v>
      </c>
      <c r="Z196" s="689"/>
      <c r="AB196" s="689"/>
    </row>
    <row r="197" spans="2:28" s="685" customFormat="1">
      <c r="C197" s="685" t="str">
        <f t="shared" si="322"/>
        <v>Fossile fuel prices (CIF import price)</v>
      </c>
      <c r="E197" s="685">
        <f>43*0.35/3.6</f>
        <v>4.1805555555555554</v>
      </c>
      <c r="G197" s="685" t="s">
        <v>916</v>
      </c>
    </row>
    <row r="198" spans="2:28" s="685" customFormat="1">
      <c r="C198" s="685">
        <f t="shared" si="322"/>
        <v>0</v>
      </c>
      <c r="E198" s="685">
        <f>E178</f>
        <v>0.1</v>
      </c>
      <c r="G198" s="685" t="s">
        <v>913</v>
      </c>
    </row>
    <row r="199" spans="2:28">
      <c r="C199" s="1"/>
      <c r="D199" s="13"/>
      <c r="E199" s="271"/>
      <c r="F199" s="1"/>
      <c r="G199" s="1"/>
      <c r="H199" s="1"/>
      <c r="I199" s="1"/>
    </row>
    <row r="200" spans="2:28" ht="18" thickBot="1">
      <c r="B200" s="8"/>
      <c r="C200" s="227" t="s">
        <v>602</v>
      </c>
      <c r="D200" s="262"/>
      <c r="E200" s="8"/>
      <c r="F200" s="103"/>
    </row>
    <row r="201" spans="2:28" ht="14.4" thickTop="1" thickBot="1">
      <c r="B201" s="8"/>
      <c r="C201" s="268" t="s">
        <v>358</v>
      </c>
      <c r="D201" s="269" t="s">
        <v>351</v>
      </c>
      <c r="E201" s="269"/>
      <c r="F201" s="269" t="s">
        <v>361</v>
      </c>
      <c r="G201" s="269" t="s">
        <v>352</v>
      </c>
      <c r="H201" s="270" t="s">
        <v>177</v>
      </c>
    </row>
    <row r="202" spans="2:28">
      <c r="B202" s="8"/>
      <c r="C202" s="306" t="s">
        <v>403</v>
      </c>
      <c r="D202" s="13" t="s">
        <v>531</v>
      </c>
      <c r="E202" s="305">
        <f>BiomassCost!G30</f>
        <v>72.400000000000006</v>
      </c>
      <c r="F202" s="1" t="s">
        <v>597</v>
      </c>
      <c r="G202" s="1"/>
      <c r="H202" s="254"/>
    </row>
    <row r="203" spans="2:28">
      <c r="B203" s="8"/>
      <c r="C203" s="306" t="s">
        <v>404</v>
      </c>
      <c r="D203" s="13" t="s">
        <v>532</v>
      </c>
      <c r="E203" s="305">
        <f>BiomassCost!G33</f>
        <v>101.7</v>
      </c>
      <c r="F203" s="1" t="s">
        <v>597</v>
      </c>
      <c r="G203" s="1"/>
      <c r="H203" s="254"/>
    </row>
    <row r="204" spans="2:28">
      <c r="B204" s="8"/>
      <c r="C204" s="306" t="s">
        <v>405</v>
      </c>
      <c r="D204" s="13" t="s">
        <v>533</v>
      </c>
      <c r="E204" s="305">
        <f>BiomassCost!G31</f>
        <v>10.6</v>
      </c>
      <c r="F204" s="1" t="s">
        <v>597</v>
      </c>
      <c r="G204" s="1"/>
      <c r="H204" s="254"/>
    </row>
    <row r="205" spans="2:28">
      <c r="B205" s="8"/>
      <c r="C205" s="306" t="s">
        <v>406</v>
      </c>
      <c r="D205" s="13" t="s">
        <v>534</v>
      </c>
      <c r="E205" s="305">
        <f>BiomassCost!$G$43</f>
        <v>207.6</v>
      </c>
      <c r="F205" s="1" t="s">
        <v>597</v>
      </c>
      <c r="G205" s="1"/>
      <c r="H205" s="254"/>
    </row>
    <row r="206" spans="2:28">
      <c r="B206" s="8"/>
      <c r="C206" s="306" t="s">
        <v>407</v>
      </c>
      <c r="D206" s="13" t="s">
        <v>534</v>
      </c>
      <c r="E206" s="305">
        <f>BiomassCost!$G$43</f>
        <v>207.6</v>
      </c>
      <c r="F206" s="1" t="s">
        <v>597</v>
      </c>
      <c r="G206" s="1"/>
      <c r="H206" s="254"/>
    </row>
    <row r="207" spans="2:28">
      <c r="B207" s="8"/>
      <c r="C207" s="306" t="s">
        <v>590</v>
      </c>
      <c r="D207" s="13" t="s">
        <v>598</v>
      </c>
      <c r="E207" s="305">
        <v>10</v>
      </c>
      <c r="F207" s="1" t="s">
        <v>597</v>
      </c>
      <c r="G207" s="1"/>
      <c r="H207" s="254"/>
    </row>
    <row r="208" spans="2:28">
      <c r="B208" s="8"/>
      <c r="C208" s="306" t="s">
        <v>591</v>
      </c>
      <c r="D208" s="13" t="s">
        <v>598</v>
      </c>
      <c r="E208" s="305">
        <v>10</v>
      </c>
      <c r="F208" s="1" t="s">
        <v>597</v>
      </c>
      <c r="G208" s="1"/>
      <c r="H208" s="254"/>
    </row>
    <row r="209" spans="2:48">
      <c r="B209" s="8"/>
      <c r="C209" s="306" t="s">
        <v>592</v>
      </c>
      <c r="D209" s="13" t="s">
        <v>598</v>
      </c>
      <c r="E209" s="305">
        <v>10</v>
      </c>
      <c r="F209" s="1" t="s">
        <v>597</v>
      </c>
      <c r="G209" s="1"/>
      <c r="H209" s="254"/>
    </row>
    <row r="210" spans="2:48">
      <c r="B210" s="8"/>
      <c r="C210" s="306" t="s">
        <v>593</v>
      </c>
      <c r="D210" s="13" t="s">
        <v>598</v>
      </c>
      <c r="E210" s="305">
        <v>10</v>
      </c>
      <c r="F210" s="1" t="s">
        <v>597</v>
      </c>
      <c r="G210" s="1"/>
      <c r="H210" s="254"/>
    </row>
    <row r="211" spans="2:48" ht="13.8" thickBot="1">
      <c r="B211" s="1"/>
      <c r="C211" s="304" t="s">
        <v>594</v>
      </c>
      <c r="D211" s="273" t="s">
        <v>598</v>
      </c>
      <c r="E211" s="303">
        <v>10</v>
      </c>
      <c r="F211" s="255" t="s">
        <v>597</v>
      </c>
      <c r="G211" s="255"/>
      <c r="H211" s="256"/>
    </row>
    <row r="212" spans="2:48">
      <c r="B212" s="1"/>
      <c r="D212" s="1"/>
      <c r="E212" s="6"/>
      <c r="F212" s="4"/>
    </row>
    <row r="213" spans="2:48" ht="18" thickBot="1">
      <c r="B213" s="102"/>
      <c r="C213" s="227" t="s">
        <v>340</v>
      </c>
      <c r="D213" s="227"/>
      <c r="E213" s="227"/>
      <c r="F213" s="227"/>
      <c r="G213" s="227"/>
      <c r="H213" s="227"/>
      <c r="I213" s="227"/>
      <c r="J213" s="227"/>
      <c r="K213" s="227"/>
      <c r="L213" s="227"/>
      <c r="M213" s="227"/>
      <c r="N213" s="227"/>
      <c r="O213" s="227"/>
      <c r="P213" s="227"/>
      <c r="Q213" s="227"/>
      <c r="R213" s="227"/>
      <c r="S213" s="227"/>
      <c r="T213" s="227"/>
      <c r="U213" s="227"/>
      <c r="V213" s="227"/>
      <c r="W213" s="227"/>
      <c r="X213" s="227"/>
      <c r="Y213" s="227"/>
      <c r="Z213" s="227"/>
      <c r="AA213" s="227"/>
      <c r="AB213" s="227"/>
      <c r="AC213" s="227"/>
      <c r="AD213" s="227"/>
      <c r="AE213" s="227"/>
      <c r="AF213" s="227"/>
      <c r="AG213" s="227"/>
      <c r="AH213" s="227"/>
      <c r="AI213" s="227"/>
      <c r="AJ213" s="227"/>
      <c r="AK213" s="227"/>
      <c r="AL213" s="227"/>
      <c r="AM213" s="227"/>
      <c r="AN213" s="227"/>
      <c r="AO213" s="227"/>
      <c r="AP213" s="227"/>
      <c r="AQ213" s="227"/>
      <c r="AR213" s="227"/>
      <c r="AS213" s="227"/>
      <c r="AT213" s="227"/>
      <c r="AU213" s="227"/>
    </row>
    <row r="214" spans="2:48" ht="15" thickTop="1">
      <c r="B214" s="102"/>
      <c r="C214" s="246"/>
      <c r="D214" s="243"/>
      <c r="E214" s="243"/>
      <c r="F214" s="243"/>
      <c r="G214" s="246">
        <v>2010</v>
      </c>
      <c r="H214" s="246">
        <v>2011</v>
      </c>
      <c r="I214" s="246">
        <v>2012</v>
      </c>
      <c r="J214" s="246">
        <v>2013</v>
      </c>
      <c r="K214" s="246">
        <v>2014</v>
      </c>
      <c r="L214" s="246">
        <v>2015</v>
      </c>
      <c r="M214" s="246">
        <v>2016</v>
      </c>
      <c r="N214" s="246">
        <v>2017</v>
      </c>
      <c r="O214" s="246">
        <v>2018</v>
      </c>
      <c r="P214" s="246">
        <v>2019</v>
      </c>
      <c r="Q214" s="246">
        <v>2020</v>
      </c>
      <c r="R214" s="246">
        <v>2021</v>
      </c>
      <c r="S214" s="246">
        <v>2022</v>
      </c>
      <c r="T214" s="246">
        <v>2023</v>
      </c>
      <c r="U214" s="246">
        <v>2024</v>
      </c>
      <c r="V214" s="246">
        <v>2025</v>
      </c>
      <c r="W214" s="246">
        <v>2026</v>
      </c>
      <c r="X214" s="246">
        <v>2027</v>
      </c>
      <c r="Y214" s="246">
        <v>2028</v>
      </c>
      <c r="Z214" s="246">
        <v>2029</v>
      </c>
      <c r="AA214" s="246">
        <v>2030</v>
      </c>
      <c r="AB214" s="246">
        <v>2031</v>
      </c>
      <c r="AC214" s="246">
        <v>2032</v>
      </c>
      <c r="AD214" s="246">
        <v>2033</v>
      </c>
      <c r="AE214" s="246">
        <v>2034</v>
      </c>
      <c r="AF214" s="246">
        <v>2035</v>
      </c>
      <c r="AG214" s="246">
        <v>2036</v>
      </c>
      <c r="AH214" s="246">
        <v>2037</v>
      </c>
      <c r="AI214" s="246">
        <v>2038</v>
      </c>
      <c r="AJ214" s="246">
        <v>2039</v>
      </c>
      <c r="AK214" s="246">
        <v>2040</v>
      </c>
      <c r="AL214" s="246">
        <v>2041</v>
      </c>
      <c r="AM214" s="246">
        <v>2042</v>
      </c>
      <c r="AN214" s="246">
        <v>2043</v>
      </c>
      <c r="AO214" s="246">
        <v>2044</v>
      </c>
      <c r="AP214" s="246">
        <v>2045</v>
      </c>
      <c r="AQ214" s="246">
        <v>2046</v>
      </c>
      <c r="AR214" s="246">
        <v>2047</v>
      </c>
      <c r="AS214" s="246">
        <v>2048</v>
      </c>
      <c r="AT214" s="246">
        <v>2049</v>
      </c>
      <c r="AU214" s="246">
        <v>2050</v>
      </c>
    </row>
    <row r="215" spans="2:48" ht="14.4">
      <c r="B215" s="102"/>
      <c r="C215" s="249" t="s">
        <v>335</v>
      </c>
      <c r="D215" s="250"/>
      <c r="E215" s="252" t="s">
        <v>336</v>
      </c>
      <c r="F215" s="252" t="s">
        <v>198</v>
      </c>
      <c r="G215" s="251">
        <v>23.1</v>
      </c>
      <c r="H215" s="251">
        <v>27.7</v>
      </c>
      <c r="I215" s="251">
        <v>23.9</v>
      </c>
      <c r="J215" s="251">
        <v>20.3</v>
      </c>
      <c r="K215" s="251">
        <v>17.2</v>
      </c>
      <c r="L215" s="251">
        <v>15.7</v>
      </c>
      <c r="M215" s="251">
        <v>12.2</v>
      </c>
      <c r="N215" s="251">
        <v>11.7</v>
      </c>
      <c r="O215" s="251">
        <v>12.8</v>
      </c>
      <c r="P215" s="667">
        <v>23.406929880021178</v>
      </c>
      <c r="Q215" s="667">
        <v>22.320750500826144</v>
      </c>
      <c r="R215" s="667">
        <v>22.415233779280271</v>
      </c>
      <c r="S215" s="667">
        <v>21.958696459631067</v>
      </c>
      <c r="T215" s="667">
        <v>21.264781225277929</v>
      </c>
      <c r="U215" s="667">
        <v>20.867962592605565</v>
      </c>
      <c r="V215" s="667">
        <v>20.782407107600484</v>
      </c>
      <c r="W215" s="667">
        <v>20.995445244296899</v>
      </c>
      <c r="X215" s="667">
        <v>21.195931843995432</v>
      </c>
      <c r="Y215" s="667">
        <v>21.376250794374826</v>
      </c>
      <c r="Z215" s="667">
        <v>21.548170886437006</v>
      </c>
      <c r="AA215" s="667">
        <v>21.695318201462513</v>
      </c>
      <c r="AB215" s="667">
        <v>21.767199086953433</v>
      </c>
      <c r="AC215" s="667">
        <v>21.825017030148729</v>
      </c>
      <c r="AD215" s="667">
        <v>21.878276139633737</v>
      </c>
      <c r="AE215" s="667">
        <v>21.917992887383534</v>
      </c>
      <c r="AF215" s="667">
        <v>21.9556878669204</v>
      </c>
      <c r="AG215" s="667">
        <v>22.029714738820417</v>
      </c>
      <c r="AH215" s="667">
        <v>22.099296654325173</v>
      </c>
      <c r="AI215" s="667">
        <v>22.153632116105896</v>
      </c>
      <c r="AJ215" s="667">
        <v>22.203402762241502</v>
      </c>
      <c r="AK215" s="667">
        <v>22.241349337329673</v>
      </c>
      <c r="AL215" s="670">
        <f>($AK$215-$AB$215)/10+AK215</f>
        <v>22.288764362367296</v>
      </c>
      <c r="AM215" s="670">
        <f t="shared" ref="AM215:AU219" si="323">($AK$215-$AB$215)/10+AL215</f>
        <v>22.336179387404918</v>
      </c>
      <c r="AN215" s="670">
        <f t="shared" si="323"/>
        <v>22.383594412442541</v>
      </c>
      <c r="AO215" s="670">
        <f t="shared" si="323"/>
        <v>22.431009437480164</v>
      </c>
      <c r="AP215" s="670">
        <f t="shared" si="323"/>
        <v>22.478424462517786</v>
      </c>
      <c r="AQ215" s="670">
        <f t="shared" si="323"/>
        <v>22.525839487555409</v>
      </c>
      <c r="AR215" s="670">
        <f t="shared" si="323"/>
        <v>22.573254512593032</v>
      </c>
      <c r="AS215" s="670">
        <f t="shared" si="323"/>
        <v>22.620669537630654</v>
      </c>
      <c r="AT215" s="670">
        <f t="shared" si="323"/>
        <v>22.668084562668277</v>
      </c>
      <c r="AU215" s="670">
        <f t="shared" si="323"/>
        <v>22.715499587705899</v>
      </c>
    </row>
    <row r="216" spans="2:48" ht="14.4">
      <c r="B216" s="102"/>
      <c r="C216" s="246" t="s">
        <v>142</v>
      </c>
      <c r="D216" s="242"/>
      <c r="E216" s="248" t="s">
        <v>336</v>
      </c>
      <c r="F216" s="248" t="s">
        <v>198</v>
      </c>
      <c r="G216" s="243">
        <v>76.2</v>
      </c>
      <c r="H216" s="243">
        <v>106.1</v>
      </c>
      <c r="I216" s="243">
        <v>112.9</v>
      </c>
      <c r="J216" s="243">
        <v>100.3</v>
      </c>
      <c r="K216" s="243">
        <v>97.3</v>
      </c>
      <c r="L216" s="243">
        <v>62.7</v>
      </c>
      <c r="M216" s="243">
        <v>59.9</v>
      </c>
      <c r="N216" s="243">
        <v>63.9</v>
      </c>
      <c r="O216" s="243">
        <v>63.7</v>
      </c>
      <c r="P216" s="665">
        <v>73.880467131059874</v>
      </c>
      <c r="Q216" s="665">
        <v>75.931459523916047</v>
      </c>
      <c r="R216" s="665">
        <v>77.701364104651802</v>
      </c>
      <c r="S216" s="665">
        <v>79.289025348102882</v>
      </c>
      <c r="T216" s="665">
        <v>81.023644009316811</v>
      </c>
      <c r="U216" s="665">
        <v>82.712910272747436</v>
      </c>
      <c r="V216" s="665">
        <v>84.053105996878713</v>
      </c>
      <c r="W216" s="665">
        <v>86.676571233184688</v>
      </c>
      <c r="X216" s="665">
        <v>88.186071195293991</v>
      </c>
      <c r="Y216" s="665">
        <v>89.586356147981405</v>
      </c>
      <c r="Z216" s="665">
        <v>90.92803677830058</v>
      </c>
      <c r="AA216" s="665">
        <v>92.141387034323401</v>
      </c>
      <c r="AB216" s="665">
        <v>93.692750413107319</v>
      </c>
      <c r="AC216" s="665">
        <v>95.558328708367895</v>
      </c>
      <c r="AD216" s="665">
        <v>97.341047888333435</v>
      </c>
      <c r="AE216" s="665">
        <v>99.002693402790925</v>
      </c>
      <c r="AF216" s="665">
        <v>100.59799469913287</v>
      </c>
      <c r="AG216" s="665">
        <v>102.09020115332861</v>
      </c>
      <c r="AH216" s="665">
        <v>103.53602848432692</v>
      </c>
      <c r="AI216" s="665">
        <v>104.86648319780612</v>
      </c>
      <c r="AJ216" s="665">
        <v>106.13404097693454</v>
      </c>
      <c r="AK216" s="665">
        <v>107.30502693993807</v>
      </c>
      <c r="AL216" s="671">
        <f>($AK$215-$AB$215)/10+AK216</f>
        <v>107.3524419649757</v>
      </c>
      <c r="AM216" s="671">
        <f t="shared" si="323"/>
        <v>107.39985699001332</v>
      </c>
      <c r="AN216" s="671">
        <f t="shared" si="323"/>
        <v>107.44727201505094</v>
      </c>
      <c r="AO216" s="671">
        <f t="shared" si="323"/>
        <v>107.49468704008856</v>
      </c>
      <c r="AP216" s="671">
        <f t="shared" si="323"/>
        <v>107.54210206512619</v>
      </c>
      <c r="AQ216" s="671">
        <f t="shared" si="323"/>
        <v>107.58951709016381</v>
      </c>
      <c r="AR216" s="671">
        <f t="shared" si="323"/>
        <v>107.63693211520143</v>
      </c>
      <c r="AS216" s="671">
        <f t="shared" si="323"/>
        <v>107.68434714023905</v>
      </c>
      <c r="AT216" s="671">
        <f t="shared" si="323"/>
        <v>107.73176216527668</v>
      </c>
      <c r="AU216" s="671">
        <f t="shared" si="323"/>
        <v>107.7791771903143</v>
      </c>
    </row>
    <row r="217" spans="2:48" ht="14.4">
      <c r="B217" s="102"/>
      <c r="C217" s="246" t="s">
        <v>337</v>
      </c>
      <c r="D217" s="242"/>
      <c r="E217" s="248" t="s">
        <v>336</v>
      </c>
      <c r="F217" s="248" t="s">
        <v>198</v>
      </c>
      <c r="G217" s="243">
        <v>92.8</v>
      </c>
      <c r="H217" s="243">
        <v>122.9</v>
      </c>
      <c r="I217" s="243">
        <v>136.69999999999999</v>
      </c>
      <c r="J217" s="243">
        <v>122</v>
      </c>
      <c r="K217" s="243">
        <v>114.8</v>
      </c>
      <c r="L217" s="243">
        <v>78.2</v>
      </c>
      <c r="M217" s="243">
        <v>75.3</v>
      </c>
      <c r="N217" s="243">
        <v>79.400000000000006</v>
      </c>
      <c r="O217" s="243">
        <v>79.3</v>
      </c>
      <c r="P217" s="668">
        <v>95.583697574109408</v>
      </c>
      <c r="Q217" s="668">
        <v>97.634689966965581</v>
      </c>
      <c r="R217" s="668">
        <v>99.404594547701336</v>
      </c>
      <c r="S217" s="668">
        <v>100.99225579115242</v>
      </c>
      <c r="T217" s="668">
        <v>102.72687445236635</v>
      </c>
      <c r="U217" s="668">
        <v>104.41614071579697</v>
      </c>
      <c r="V217" s="668">
        <v>105.75633643992825</v>
      </c>
      <c r="W217" s="668">
        <v>108.37980167623422</v>
      </c>
      <c r="X217" s="668">
        <v>109.88930163834353</v>
      </c>
      <c r="Y217" s="668">
        <v>111.28958659103094</v>
      </c>
      <c r="Z217" s="668">
        <v>112.63126722135011</v>
      </c>
      <c r="AA217" s="668">
        <v>113.84461747737294</v>
      </c>
      <c r="AB217" s="668">
        <v>115.39598085615685</v>
      </c>
      <c r="AC217" s="668">
        <v>117.26155915141743</v>
      </c>
      <c r="AD217" s="668">
        <v>119.04427833138297</v>
      </c>
      <c r="AE217" s="668">
        <v>120.70592384584046</v>
      </c>
      <c r="AF217" s="668">
        <v>122.3012251421824</v>
      </c>
      <c r="AG217" s="668">
        <v>123.79343159637814</v>
      </c>
      <c r="AH217" s="668">
        <v>125.23925892737645</v>
      </c>
      <c r="AI217" s="668">
        <v>126.56971364085565</v>
      </c>
      <c r="AJ217" s="668">
        <v>127.83727141998408</v>
      </c>
      <c r="AK217" s="668">
        <v>129.00825738298761</v>
      </c>
      <c r="AL217" s="672">
        <f>($AK$215-$AB$215)/10+AK217</f>
        <v>129.05567240802523</v>
      </c>
      <c r="AM217" s="672">
        <f t="shared" si="323"/>
        <v>129.10308743306285</v>
      </c>
      <c r="AN217" s="672">
        <f t="shared" si="323"/>
        <v>129.15050245810048</v>
      </c>
      <c r="AO217" s="672">
        <f t="shared" si="323"/>
        <v>129.1979174831381</v>
      </c>
      <c r="AP217" s="672">
        <f t="shared" si="323"/>
        <v>129.24533250817572</v>
      </c>
      <c r="AQ217" s="672">
        <f t="shared" si="323"/>
        <v>129.29274753321334</v>
      </c>
      <c r="AR217" s="672">
        <f t="shared" si="323"/>
        <v>129.34016255825097</v>
      </c>
      <c r="AS217" s="672">
        <f t="shared" si="323"/>
        <v>129.38757758328859</v>
      </c>
      <c r="AT217" s="672">
        <f t="shared" si="323"/>
        <v>129.43499260832621</v>
      </c>
      <c r="AU217" s="672">
        <f t="shared" si="323"/>
        <v>129.48240763336383</v>
      </c>
    </row>
    <row r="218" spans="2:48" ht="14.4">
      <c r="B218" s="102"/>
      <c r="C218" s="246" t="s">
        <v>51</v>
      </c>
      <c r="D218" s="242"/>
      <c r="E218" s="248" t="s">
        <v>336</v>
      </c>
      <c r="F218" s="248" t="s">
        <v>198</v>
      </c>
      <c r="G218" s="243">
        <v>105.4</v>
      </c>
      <c r="H218" s="243">
        <v>117.4</v>
      </c>
      <c r="I218" s="243">
        <v>134.19999999999999</v>
      </c>
      <c r="J218" s="243">
        <v>123.2</v>
      </c>
      <c r="K218" s="243">
        <v>113.5</v>
      </c>
      <c r="L218" s="243">
        <v>77</v>
      </c>
      <c r="M218" s="243">
        <v>74</v>
      </c>
      <c r="N218" s="243">
        <v>78.2</v>
      </c>
      <c r="O218" s="243">
        <v>78</v>
      </c>
      <c r="P218" s="668">
        <v>93.420285058277415</v>
      </c>
      <c r="Q218" s="668">
        <v>95.471277451133588</v>
      </c>
      <c r="R218" s="668">
        <v>97.241182031869343</v>
      </c>
      <c r="S218" s="668">
        <v>98.828843275320423</v>
      </c>
      <c r="T218" s="668">
        <v>100.56346193653435</v>
      </c>
      <c r="U218" s="668">
        <v>102.25272819996498</v>
      </c>
      <c r="V218" s="668">
        <v>103.59292392409625</v>
      </c>
      <c r="W218" s="668">
        <v>106.21638916040223</v>
      </c>
      <c r="X218" s="668">
        <v>107.72588912251153</v>
      </c>
      <c r="Y218" s="668">
        <v>109.12617407519895</v>
      </c>
      <c r="Z218" s="668">
        <v>110.46785470551812</v>
      </c>
      <c r="AA218" s="668">
        <v>111.68120496154094</v>
      </c>
      <c r="AB218" s="668">
        <v>113.23256834032486</v>
      </c>
      <c r="AC218" s="668">
        <v>115.09814663558544</v>
      </c>
      <c r="AD218" s="668">
        <v>116.88086581555098</v>
      </c>
      <c r="AE218" s="668">
        <v>118.54251133000847</v>
      </c>
      <c r="AF218" s="668">
        <v>120.13781262635041</v>
      </c>
      <c r="AG218" s="668">
        <v>121.63001908054615</v>
      </c>
      <c r="AH218" s="668">
        <v>123.07584641154446</v>
      </c>
      <c r="AI218" s="668">
        <v>124.40630112502366</v>
      </c>
      <c r="AJ218" s="668">
        <v>125.67385890415208</v>
      </c>
      <c r="AK218" s="668">
        <v>126.84484486715562</v>
      </c>
      <c r="AL218" s="672">
        <f>($AK$215-$AB$215)/10+AK218</f>
        <v>126.89225989219324</v>
      </c>
      <c r="AM218" s="672">
        <f t="shared" si="323"/>
        <v>126.93967491723086</v>
      </c>
      <c r="AN218" s="672">
        <f t="shared" si="323"/>
        <v>126.98708994226848</v>
      </c>
      <c r="AO218" s="672">
        <f t="shared" si="323"/>
        <v>127.03450496730611</v>
      </c>
      <c r="AP218" s="672">
        <f t="shared" si="323"/>
        <v>127.08191999234373</v>
      </c>
      <c r="AQ218" s="672">
        <f t="shared" si="323"/>
        <v>127.12933501738135</v>
      </c>
      <c r="AR218" s="672">
        <f t="shared" si="323"/>
        <v>127.17675004241897</v>
      </c>
      <c r="AS218" s="672">
        <f t="shared" si="323"/>
        <v>127.2241650674566</v>
      </c>
      <c r="AT218" s="672">
        <f t="shared" si="323"/>
        <v>127.27158009249422</v>
      </c>
      <c r="AU218" s="672">
        <f t="shared" si="323"/>
        <v>127.31899511753184</v>
      </c>
    </row>
    <row r="219" spans="2:48" ht="14.4">
      <c r="B219" s="102"/>
      <c r="C219" s="246" t="s">
        <v>199</v>
      </c>
      <c r="D219" s="242"/>
      <c r="E219" s="248" t="s">
        <v>336</v>
      </c>
      <c r="F219" s="248" t="s">
        <v>198</v>
      </c>
      <c r="G219" s="243">
        <v>76.5</v>
      </c>
      <c r="H219" s="243">
        <v>112.4</v>
      </c>
      <c r="I219" s="243">
        <v>116.3</v>
      </c>
      <c r="J219" s="243">
        <v>118.6</v>
      </c>
      <c r="K219" s="243">
        <v>110.1</v>
      </c>
      <c r="L219" s="243">
        <v>73.5</v>
      </c>
      <c r="M219" s="243">
        <v>70.599999999999994</v>
      </c>
      <c r="N219" s="243">
        <v>74.7</v>
      </c>
      <c r="O219" s="243">
        <v>74.599999999999994</v>
      </c>
      <c r="P219" s="668">
        <v>90.831954056376134</v>
      </c>
      <c r="Q219" s="668">
        <v>92.882946449232307</v>
      </c>
      <c r="R219" s="668">
        <v>94.652851029968062</v>
      </c>
      <c r="S219" s="668">
        <v>96.240512273419142</v>
      </c>
      <c r="T219" s="668">
        <v>97.975130934633071</v>
      </c>
      <c r="U219" s="668">
        <v>99.664397198063696</v>
      </c>
      <c r="V219" s="668">
        <v>101.00459292219497</v>
      </c>
      <c r="W219" s="668">
        <v>103.62805815850095</v>
      </c>
      <c r="X219" s="668">
        <v>105.13755812061025</v>
      </c>
      <c r="Y219" s="668">
        <v>106.53784307329767</v>
      </c>
      <c r="Z219" s="668">
        <v>107.87952370361684</v>
      </c>
      <c r="AA219" s="668">
        <v>109.09287395963966</v>
      </c>
      <c r="AB219" s="668">
        <v>110.64423733842358</v>
      </c>
      <c r="AC219" s="668">
        <v>112.50981563368416</v>
      </c>
      <c r="AD219" s="668">
        <v>114.2925348136497</v>
      </c>
      <c r="AE219" s="668">
        <v>115.95418032810719</v>
      </c>
      <c r="AF219" s="668">
        <v>117.54948162444913</v>
      </c>
      <c r="AG219" s="668">
        <v>119.04168807864487</v>
      </c>
      <c r="AH219" s="668">
        <v>120.48751540964318</v>
      </c>
      <c r="AI219" s="668">
        <v>121.81797012312238</v>
      </c>
      <c r="AJ219" s="668">
        <v>123.0855279022508</v>
      </c>
      <c r="AK219" s="668">
        <v>124.25651386525433</v>
      </c>
      <c r="AL219" s="672">
        <f>($AK$215-$AB$215)/10+AK219</f>
        <v>124.30392889029196</v>
      </c>
      <c r="AM219" s="672">
        <f t="shared" si="323"/>
        <v>124.35134391532958</v>
      </c>
      <c r="AN219" s="672">
        <f t="shared" si="323"/>
        <v>124.3987589403672</v>
      </c>
      <c r="AO219" s="672">
        <f t="shared" si="323"/>
        <v>124.44617396540482</v>
      </c>
      <c r="AP219" s="672">
        <f t="shared" si="323"/>
        <v>124.49358899044245</v>
      </c>
      <c r="AQ219" s="672">
        <f t="shared" si="323"/>
        <v>124.54100401548007</v>
      </c>
      <c r="AR219" s="672">
        <f t="shared" si="323"/>
        <v>124.58841904051769</v>
      </c>
      <c r="AS219" s="672">
        <f t="shared" si="323"/>
        <v>124.63583406555531</v>
      </c>
      <c r="AT219" s="672">
        <f t="shared" si="323"/>
        <v>124.68324909059294</v>
      </c>
      <c r="AU219" s="672">
        <f t="shared" si="323"/>
        <v>124.73066411563056</v>
      </c>
    </row>
    <row r="220" spans="2:48" ht="14.4">
      <c r="B220" s="102"/>
      <c r="C220" s="246" t="s">
        <v>200</v>
      </c>
      <c r="D220" s="242"/>
      <c r="E220" s="248" t="s">
        <v>336</v>
      </c>
      <c r="F220" s="248" t="s">
        <v>198</v>
      </c>
      <c r="G220" s="243">
        <v>110.4</v>
      </c>
      <c r="H220" s="243">
        <v>120.9</v>
      </c>
      <c r="I220" s="243">
        <v>127.5</v>
      </c>
      <c r="J220" s="243">
        <v>123.2</v>
      </c>
      <c r="K220" s="243">
        <v>113.5</v>
      </c>
      <c r="L220" s="243">
        <v>77</v>
      </c>
      <c r="M220" s="243">
        <v>74</v>
      </c>
      <c r="N220" s="243">
        <v>78.2</v>
      </c>
      <c r="O220" s="243">
        <v>78</v>
      </c>
      <c r="P220" s="243">
        <v>76.400000000000006</v>
      </c>
      <c r="Q220" s="243">
        <v>74.2</v>
      </c>
      <c r="R220" s="243">
        <v>74.099999999999994</v>
      </c>
      <c r="S220" s="243">
        <v>74.599999999999994</v>
      </c>
      <c r="T220" s="243">
        <v>76.3</v>
      </c>
      <c r="U220" s="243">
        <v>77.900000000000006</v>
      </c>
      <c r="V220" s="243">
        <v>79.5</v>
      </c>
      <c r="W220" s="243">
        <v>81</v>
      </c>
      <c r="X220" s="243">
        <v>82.4</v>
      </c>
      <c r="Y220" s="243">
        <v>83.7</v>
      </c>
      <c r="Z220" s="243">
        <v>84.9</v>
      </c>
      <c r="AA220" s="243">
        <v>86.1</v>
      </c>
      <c r="AB220" s="243">
        <v>88</v>
      </c>
      <c r="AC220" s="243">
        <v>89.9</v>
      </c>
      <c r="AD220" s="243">
        <v>91.6</v>
      </c>
      <c r="AE220" s="243">
        <v>93.2</v>
      </c>
      <c r="AF220" s="243">
        <v>94.8</v>
      </c>
      <c r="AG220" s="243">
        <v>96.2</v>
      </c>
      <c r="AH220" s="243">
        <v>97.6</v>
      </c>
      <c r="AI220" s="243">
        <v>98.9</v>
      </c>
      <c r="AJ220" s="243">
        <v>100.2</v>
      </c>
      <c r="AK220" s="243">
        <v>101.3</v>
      </c>
      <c r="AL220" s="243">
        <v>103</v>
      </c>
      <c r="AM220" s="243">
        <v>104.6</v>
      </c>
      <c r="AN220" s="243">
        <v>106.1</v>
      </c>
      <c r="AO220" s="243">
        <v>107.5</v>
      </c>
      <c r="AP220" s="243">
        <v>108.8</v>
      </c>
      <c r="AQ220" s="243">
        <v>110.4</v>
      </c>
      <c r="AR220" s="243">
        <v>111.9</v>
      </c>
      <c r="AS220" s="243">
        <v>113.3</v>
      </c>
      <c r="AT220" s="243">
        <v>114.6</v>
      </c>
      <c r="AU220" s="243">
        <v>115.8</v>
      </c>
    </row>
    <row r="221" spans="2:48" ht="14.4">
      <c r="B221" s="102"/>
      <c r="C221" s="246" t="s">
        <v>201</v>
      </c>
      <c r="D221" s="242"/>
      <c r="E221" s="248" t="s">
        <v>336</v>
      </c>
      <c r="F221" s="248" t="s">
        <v>198</v>
      </c>
      <c r="G221" s="243">
        <v>105.4</v>
      </c>
      <c r="H221" s="243">
        <v>117.4</v>
      </c>
      <c r="I221" s="243">
        <v>134.19999999999999</v>
      </c>
      <c r="J221" s="243">
        <v>123.2</v>
      </c>
      <c r="K221" s="243">
        <v>113.5</v>
      </c>
      <c r="L221" s="243">
        <v>77</v>
      </c>
      <c r="M221" s="243">
        <v>74</v>
      </c>
      <c r="N221" s="243">
        <v>78.2</v>
      </c>
      <c r="O221" s="243">
        <v>78</v>
      </c>
      <c r="P221" s="243">
        <v>76.400000000000006</v>
      </c>
      <c r="Q221" s="243">
        <v>74.2</v>
      </c>
      <c r="R221" s="243">
        <v>74.099999999999994</v>
      </c>
      <c r="S221" s="243">
        <v>74.599999999999994</v>
      </c>
      <c r="T221" s="243">
        <v>76.3</v>
      </c>
      <c r="U221" s="243">
        <v>77.900000000000006</v>
      </c>
      <c r="V221" s="243">
        <v>79.5</v>
      </c>
      <c r="W221" s="243">
        <v>81</v>
      </c>
      <c r="X221" s="243">
        <v>82.4</v>
      </c>
      <c r="Y221" s="243">
        <v>83.7</v>
      </c>
      <c r="Z221" s="243">
        <v>84.9</v>
      </c>
      <c r="AA221" s="243">
        <v>86.1</v>
      </c>
      <c r="AB221" s="243">
        <v>88</v>
      </c>
      <c r="AC221" s="243">
        <v>89.9</v>
      </c>
      <c r="AD221" s="243">
        <v>91.6</v>
      </c>
      <c r="AE221" s="243">
        <v>93.2</v>
      </c>
      <c r="AF221" s="243">
        <v>94.8</v>
      </c>
      <c r="AG221" s="243">
        <v>96.2</v>
      </c>
      <c r="AH221" s="243">
        <v>97.6</v>
      </c>
      <c r="AI221" s="243">
        <v>98.9</v>
      </c>
      <c r="AJ221" s="243">
        <v>100.2</v>
      </c>
      <c r="AK221" s="243">
        <v>101.3</v>
      </c>
      <c r="AL221" s="243">
        <v>103</v>
      </c>
      <c r="AM221" s="243">
        <v>104.6</v>
      </c>
      <c r="AN221" s="243">
        <v>106.1</v>
      </c>
      <c r="AO221" s="243">
        <v>107.5</v>
      </c>
      <c r="AP221" s="243">
        <v>108.8</v>
      </c>
      <c r="AQ221" s="243">
        <v>110.4</v>
      </c>
      <c r="AR221" s="243">
        <v>111.9</v>
      </c>
      <c r="AS221" s="243">
        <v>113.3</v>
      </c>
      <c r="AT221" s="243">
        <v>114.6</v>
      </c>
      <c r="AU221" s="243">
        <v>115.8</v>
      </c>
    </row>
    <row r="222" spans="2:48" ht="14.4">
      <c r="B222" s="102"/>
      <c r="C222" s="245" t="s">
        <v>99</v>
      </c>
      <c r="D222" s="244"/>
      <c r="E222" s="253" t="s">
        <v>336</v>
      </c>
      <c r="F222" s="253" t="s">
        <v>198</v>
      </c>
      <c r="G222" s="247">
        <v>68.2</v>
      </c>
      <c r="H222" s="247">
        <v>102</v>
      </c>
      <c r="I222" s="247">
        <v>96.2</v>
      </c>
      <c r="J222" s="247">
        <v>91.7</v>
      </c>
      <c r="K222" s="247">
        <v>84</v>
      </c>
      <c r="L222" s="247">
        <v>47.5</v>
      </c>
      <c r="M222" s="247">
        <v>44.5</v>
      </c>
      <c r="N222" s="247">
        <v>48.7</v>
      </c>
      <c r="O222" s="247">
        <v>48.5</v>
      </c>
      <c r="P222" s="247">
        <v>46.9</v>
      </c>
      <c r="Q222" s="247">
        <v>44.7</v>
      </c>
      <c r="R222" s="247">
        <v>44.6</v>
      </c>
      <c r="S222" s="247">
        <v>45.1</v>
      </c>
      <c r="T222" s="247">
        <v>46.8</v>
      </c>
      <c r="U222" s="247">
        <v>48.4</v>
      </c>
      <c r="V222" s="247">
        <v>50</v>
      </c>
      <c r="W222" s="247">
        <v>51.5</v>
      </c>
      <c r="X222" s="247">
        <v>52.9</v>
      </c>
      <c r="Y222" s="247">
        <v>54.2</v>
      </c>
      <c r="Z222" s="247">
        <v>55.4</v>
      </c>
      <c r="AA222" s="247">
        <v>56.6</v>
      </c>
      <c r="AB222" s="247">
        <v>58.5</v>
      </c>
      <c r="AC222" s="247">
        <v>60.4</v>
      </c>
      <c r="AD222" s="247">
        <v>62.1</v>
      </c>
      <c r="AE222" s="247">
        <v>63.7</v>
      </c>
      <c r="AF222" s="247">
        <v>65.3</v>
      </c>
      <c r="AG222" s="247">
        <v>66.7</v>
      </c>
      <c r="AH222" s="247">
        <v>68.099999999999994</v>
      </c>
      <c r="AI222" s="247">
        <v>69.400000000000006</v>
      </c>
      <c r="AJ222" s="247">
        <v>70.7</v>
      </c>
      <c r="AK222" s="247">
        <v>71.8</v>
      </c>
      <c r="AL222" s="247">
        <v>73.5</v>
      </c>
      <c r="AM222" s="247">
        <v>75.099999999999994</v>
      </c>
      <c r="AN222" s="247">
        <v>76.599999999999994</v>
      </c>
      <c r="AO222" s="247">
        <v>78</v>
      </c>
      <c r="AP222" s="247">
        <v>79.3</v>
      </c>
      <c r="AQ222" s="247">
        <v>80.900000000000006</v>
      </c>
      <c r="AR222" s="247">
        <v>82.4</v>
      </c>
      <c r="AS222" s="247">
        <v>83.8</v>
      </c>
      <c r="AT222" s="247">
        <v>85.1</v>
      </c>
      <c r="AU222" s="247">
        <v>86.3</v>
      </c>
    </row>
    <row r="223" spans="2:48" ht="14.4">
      <c r="B223" s="102"/>
      <c r="C223" s="245" t="s">
        <v>338</v>
      </c>
      <c r="D223" s="244"/>
      <c r="E223" s="253" t="s">
        <v>336</v>
      </c>
      <c r="F223" s="253" t="s">
        <v>198</v>
      </c>
      <c r="G223" s="247">
        <v>44.4</v>
      </c>
      <c r="H223" s="247">
        <v>46.1</v>
      </c>
      <c r="I223" s="247">
        <v>55.1</v>
      </c>
      <c r="J223" s="247">
        <v>54.2</v>
      </c>
      <c r="K223" s="247">
        <v>45.7</v>
      </c>
      <c r="L223" s="247">
        <v>44</v>
      </c>
      <c r="M223" s="247">
        <v>36.799999999999997</v>
      </c>
      <c r="N223" s="247">
        <v>36.9</v>
      </c>
      <c r="O223" s="247">
        <v>35.1</v>
      </c>
      <c r="P223" s="666">
        <v>53.94529046338949</v>
      </c>
      <c r="Q223" s="666">
        <v>48.049648253621314</v>
      </c>
      <c r="R223" s="666">
        <v>40.610335042675715</v>
      </c>
      <c r="S223" s="666">
        <v>40.251302428954361</v>
      </c>
      <c r="T223" s="666">
        <v>41.309391764519106</v>
      </c>
      <c r="U223" s="666">
        <v>42.384105929912252</v>
      </c>
      <c r="V223" s="666">
        <v>43.418156429745736</v>
      </c>
      <c r="W223" s="666">
        <v>44.641031928073701</v>
      </c>
      <c r="X223" s="666">
        <v>45.825085716990088</v>
      </c>
      <c r="Y223" s="666">
        <v>46.950294651080164</v>
      </c>
      <c r="Z223" s="666">
        <v>48.047984271449039</v>
      </c>
      <c r="AA223" s="666">
        <v>49.074729484141251</v>
      </c>
      <c r="AB223" s="666">
        <v>50.22027708112531</v>
      </c>
      <c r="AC223" s="666">
        <v>51.310437783572709</v>
      </c>
      <c r="AD223" s="666">
        <v>52.371455269436716</v>
      </c>
      <c r="AE223" s="666">
        <v>53.379487378305292</v>
      </c>
      <c r="AF223" s="666">
        <v>54.366646432213557</v>
      </c>
      <c r="AG223" s="666">
        <v>56.021566478043873</v>
      </c>
      <c r="AH223" s="666">
        <v>56.643484305507364</v>
      </c>
      <c r="AI223" s="666">
        <v>57.206292482675018</v>
      </c>
      <c r="AJ223" s="666">
        <v>57.740541471904386</v>
      </c>
      <c r="AK223" s="666">
        <v>58.226230553747364</v>
      </c>
      <c r="AL223" s="673">
        <f>($AK$215-$AB$215)/10+AK223</f>
        <v>58.273645578784986</v>
      </c>
      <c r="AM223" s="673">
        <f t="shared" ref="AM223:AU223" si="324">($AK$215-$AB$215)/10+AL223</f>
        <v>58.321060603822609</v>
      </c>
      <c r="AN223" s="673">
        <f t="shared" si="324"/>
        <v>58.368475628860232</v>
      </c>
      <c r="AO223" s="673">
        <f t="shared" si="324"/>
        <v>58.415890653897854</v>
      </c>
      <c r="AP223" s="673">
        <f t="shared" si="324"/>
        <v>58.463305678935477</v>
      </c>
      <c r="AQ223" s="673">
        <f t="shared" si="324"/>
        <v>58.510720703973099</v>
      </c>
      <c r="AR223" s="673">
        <f t="shared" si="324"/>
        <v>58.558135729010722</v>
      </c>
      <c r="AS223" s="673">
        <f t="shared" si="324"/>
        <v>58.605550754048345</v>
      </c>
      <c r="AT223" s="673">
        <f t="shared" si="324"/>
        <v>58.652965779085967</v>
      </c>
      <c r="AU223" s="673">
        <f t="shared" si="324"/>
        <v>58.70038080412359</v>
      </c>
    </row>
    <row r="224" spans="2:48">
      <c r="B224" s="102"/>
      <c r="C224" s="521" t="s">
        <v>665</v>
      </c>
      <c r="D224" s="102"/>
      <c r="E224" s="102"/>
      <c r="F224" s="102"/>
      <c r="G224" s="102"/>
      <c r="H224" s="102"/>
      <c r="I224" s="102"/>
      <c r="J224" s="102"/>
      <c r="K224" s="102"/>
      <c r="L224" s="102"/>
      <c r="M224" s="102"/>
      <c r="N224" s="102"/>
      <c r="O224" s="102"/>
      <c r="P224" s="102"/>
      <c r="Q224" s="102"/>
      <c r="R224" s="102"/>
      <c r="S224" s="102"/>
      <c r="T224" s="102"/>
      <c r="U224" s="102"/>
      <c r="V224" s="102"/>
      <c r="W224" s="102"/>
      <c r="X224" s="102"/>
      <c r="Y224" s="102"/>
      <c r="Z224" s="102"/>
      <c r="AA224" s="102"/>
      <c r="AB224" s="102"/>
      <c r="AC224" s="102"/>
      <c r="AD224" s="102"/>
      <c r="AE224" s="102"/>
      <c r="AF224" s="102"/>
      <c r="AG224" s="102"/>
      <c r="AH224" s="102"/>
      <c r="AI224" s="102"/>
      <c r="AJ224" s="102"/>
      <c r="AK224" s="102"/>
      <c r="AL224" s="102"/>
      <c r="AM224" s="102"/>
      <c r="AN224" s="102"/>
      <c r="AO224" s="102"/>
      <c r="AP224" s="102"/>
      <c r="AQ224" s="102"/>
      <c r="AR224" s="102"/>
      <c r="AS224" s="102"/>
      <c r="AT224" s="102"/>
      <c r="AU224" s="102"/>
      <c r="AV224" s="1"/>
    </row>
    <row r="225" spans="2:48">
      <c r="B225" s="102"/>
      <c r="C225" s="521" t="s">
        <v>670</v>
      </c>
      <c r="D225" s="102"/>
      <c r="E225" s="102"/>
      <c r="F225" s="102"/>
      <c r="G225" s="102"/>
      <c r="H225" s="102"/>
      <c r="I225" s="102"/>
      <c r="J225" s="102"/>
      <c r="K225" s="102"/>
      <c r="L225" s="102"/>
      <c r="M225" s="102"/>
      <c r="N225" s="102"/>
      <c r="O225" s="102"/>
      <c r="P225" s="102"/>
      <c r="Q225" s="102"/>
      <c r="R225" s="102"/>
      <c r="S225" s="102"/>
      <c r="T225" s="102"/>
      <c r="U225" s="102"/>
      <c r="V225" s="102"/>
      <c r="W225" s="102"/>
      <c r="X225" s="102"/>
      <c r="Y225" s="102"/>
      <c r="Z225" s="102"/>
      <c r="AA225" s="102"/>
      <c r="AB225" s="102"/>
      <c r="AC225" s="102"/>
      <c r="AD225" s="102"/>
      <c r="AE225" s="102"/>
      <c r="AF225" s="102"/>
      <c r="AG225" s="102"/>
      <c r="AH225" s="102"/>
      <c r="AI225" s="102"/>
      <c r="AJ225" s="102"/>
      <c r="AK225" s="102"/>
      <c r="AL225" s="102"/>
      <c r="AM225" s="102"/>
      <c r="AN225" s="102"/>
      <c r="AO225" s="102"/>
      <c r="AP225" s="102"/>
      <c r="AQ225" s="102"/>
      <c r="AR225" s="102"/>
      <c r="AS225" s="102"/>
      <c r="AT225" s="102"/>
      <c r="AU225" s="102"/>
      <c r="AV225" s="1"/>
    </row>
    <row r="226" spans="2:48">
      <c r="B226" s="102"/>
      <c r="C226" s="521" t="s">
        <v>669</v>
      </c>
      <c r="D226" s="102"/>
      <c r="E226" s="102"/>
      <c r="F226" s="102"/>
      <c r="G226" s="102"/>
      <c r="H226" s="102"/>
      <c r="I226" s="102"/>
      <c r="J226" s="102"/>
      <c r="K226" s="102"/>
      <c r="L226" s="102"/>
      <c r="M226" s="102"/>
      <c r="N226" s="102"/>
      <c r="O226" s="102"/>
      <c r="P226" s="102"/>
      <c r="Q226" s="102"/>
      <c r="R226" s="102"/>
      <c r="S226" s="102"/>
      <c r="T226" s="102"/>
      <c r="U226" s="102"/>
      <c r="V226" s="102"/>
      <c r="W226" s="102"/>
      <c r="X226" s="102"/>
      <c r="Y226" s="102"/>
      <c r="Z226" s="102"/>
      <c r="AA226" s="102"/>
      <c r="AB226" s="102"/>
      <c r="AC226" s="102"/>
      <c r="AD226" s="102"/>
      <c r="AE226" s="102"/>
      <c r="AF226" s="102"/>
      <c r="AG226" s="102"/>
      <c r="AH226" s="102"/>
      <c r="AI226" s="102"/>
      <c r="AJ226" s="102"/>
      <c r="AK226" s="102"/>
      <c r="AL226" s="102"/>
      <c r="AM226" s="102"/>
      <c r="AN226" s="102"/>
      <c r="AO226" s="102"/>
      <c r="AP226" s="102"/>
      <c r="AQ226" s="102"/>
      <c r="AR226" s="102"/>
      <c r="AS226" s="102"/>
      <c r="AT226" s="102"/>
      <c r="AU226" s="102"/>
      <c r="AV226" s="1"/>
    </row>
    <row r="227" spans="2:48">
      <c r="B227" s="1"/>
      <c r="C227" s="1"/>
      <c r="D227" s="1"/>
      <c r="E227" s="6"/>
      <c r="F227" s="4"/>
    </row>
    <row r="228" spans="2:48" ht="20.399999999999999" thickBot="1">
      <c r="B228" s="1"/>
      <c r="C228" s="230" t="s">
        <v>280</v>
      </c>
      <c r="D228" s="230"/>
      <c r="E228" s="230"/>
      <c r="F228" s="230"/>
      <c r="G228" s="230"/>
      <c r="H228" s="230"/>
      <c r="I228" s="230"/>
      <c r="J228" s="230"/>
      <c r="K228" s="230"/>
      <c r="L228" s="230"/>
      <c r="M228" s="230"/>
      <c r="N228" s="230"/>
      <c r="O228" s="230"/>
      <c r="P228" s="230"/>
      <c r="Q228" s="230"/>
      <c r="R228" s="230"/>
      <c r="S228" s="230"/>
      <c r="T228" s="230"/>
      <c r="U228" s="230"/>
      <c r="V228" s="230"/>
      <c r="W228" s="230"/>
      <c r="X228" s="230"/>
      <c r="Y228" s="230"/>
      <c r="Z228" s="230"/>
      <c r="AA228" s="230"/>
      <c r="AB228" s="230"/>
      <c r="AC228" s="230"/>
      <c r="AD228" s="230"/>
      <c r="AE228" s="230"/>
      <c r="AF228" s="230"/>
      <c r="AG228" s="230"/>
      <c r="AH228" s="230"/>
      <c r="AI228" s="230"/>
      <c r="AJ228" s="230"/>
      <c r="AK228" s="230"/>
      <c r="AL228" s="230"/>
      <c r="AM228" s="230"/>
      <c r="AN228" s="230"/>
      <c r="AO228" s="230"/>
      <c r="AP228" s="230"/>
      <c r="AQ228" s="230"/>
      <c r="AR228" s="230"/>
      <c r="AS228" s="230"/>
      <c r="AT228" s="230"/>
      <c r="AU228" s="230"/>
    </row>
    <row r="229" spans="2:48" ht="18.600000000000001" thickTop="1" thickBot="1">
      <c r="B229" s="1"/>
      <c r="C229" s="227" t="s">
        <v>266</v>
      </c>
      <c r="D229" s="227"/>
      <c r="E229" s="227"/>
      <c r="F229" s="227"/>
      <c r="G229" s="227"/>
      <c r="H229" s="227"/>
      <c r="I229" s="227"/>
      <c r="J229" s="227"/>
      <c r="K229" s="227"/>
      <c r="L229" s="227"/>
      <c r="M229" s="227"/>
      <c r="N229" s="227"/>
      <c r="O229" s="227"/>
      <c r="P229" s="227"/>
      <c r="Q229" s="227"/>
      <c r="R229" s="227"/>
      <c r="S229" s="227"/>
      <c r="T229" s="227"/>
      <c r="U229" s="227"/>
      <c r="V229" s="227"/>
      <c r="W229" s="227"/>
      <c r="X229" s="227"/>
      <c r="Y229" s="227"/>
      <c r="Z229" s="227"/>
      <c r="AA229" s="227"/>
      <c r="AB229" s="227"/>
      <c r="AC229" s="227"/>
      <c r="AD229" s="227"/>
      <c r="AE229" s="227"/>
      <c r="AF229" s="227"/>
      <c r="AG229" s="227"/>
      <c r="AH229" s="227"/>
      <c r="AI229" s="227"/>
      <c r="AJ229" s="227"/>
      <c r="AK229" s="227"/>
      <c r="AL229" s="227"/>
      <c r="AM229" s="227"/>
      <c r="AN229" s="227"/>
      <c r="AO229" s="227"/>
      <c r="AP229" s="227"/>
      <c r="AQ229" s="227"/>
      <c r="AR229" s="227"/>
      <c r="AS229" s="227"/>
      <c r="AT229" s="227"/>
      <c r="AU229" s="227"/>
    </row>
    <row r="230" spans="2:48" ht="15" thickTop="1">
      <c r="B230" s="1"/>
      <c r="C230" s="228" t="s">
        <v>267</v>
      </c>
      <c r="D230" s="228"/>
      <c r="E230" s="228"/>
      <c r="F230" s="228"/>
      <c r="G230" s="651">
        <v>2010</v>
      </c>
      <c r="H230" s="651">
        <v>2011</v>
      </c>
      <c r="I230" s="229">
        <v>2012</v>
      </c>
      <c r="J230" s="229">
        <v>2013</v>
      </c>
      <c r="K230" s="229">
        <v>2014</v>
      </c>
      <c r="L230" s="229">
        <v>2015</v>
      </c>
      <c r="M230" s="229">
        <v>2016</v>
      </c>
      <c r="N230" s="229">
        <v>2017</v>
      </c>
      <c r="O230" s="229">
        <v>2018</v>
      </c>
      <c r="P230" s="229">
        <v>2019</v>
      </c>
      <c r="Q230" s="229">
        <v>2020</v>
      </c>
      <c r="R230" s="229">
        <v>2021</v>
      </c>
      <c r="S230" s="229">
        <v>2022</v>
      </c>
      <c r="T230" s="229">
        <v>2023</v>
      </c>
      <c r="U230" s="229">
        <v>2024</v>
      </c>
      <c r="V230" s="229">
        <v>2025</v>
      </c>
      <c r="W230" s="229">
        <v>2026</v>
      </c>
      <c r="X230" s="229">
        <v>2027</v>
      </c>
      <c r="Y230" s="229">
        <v>2028</v>
      </c>
      <c r="Z230" s="229">
        <v>2029</v>
      </c>
      <c r="AA230" s="229">
        <v>2030</v>
      </c>
      <c r="AB230" s="229">
        <v>2031</v>
      </c>
      <c r="AC230" s="229">
        <v>2032</v>
      </c>
      <c r="AD230" s="229">
        <v>2033</v>
      </c>
      <c r="AE230" s="229">
        <v>2034</v>
      </c>
      <c r="AF230" s="229">
        <v>2035</v>
      </c>
      <c r="AG230" s="229">
        <v>2036</v>
      </c>
      <c r="AH230" s="229">
        <v>2037</v>
      </c>
      <c r="AI230" s="229">
        <v>2038</v>
      </c>
      <c r="AJ230" s="229">
        <v>2039</v>
      </c>
      <c r="AK230" s="229">
        <v>2040</v>
      </c>
      <c r="AL230" s="229">
        <v>2041</v>
      </c>
      <c r="AM230" s="229">
        <v>2042</v>
      </c>
      <c r="AN230" s="229">
        <v>2043</v>
      </c>
      <c r="AO230" s="229">
        <v>2044</v>
      </c>
      <c r="AP230" s="229">
        <v>2045</v>
      </c>
      <c r="AQ230" s="229">
        <v>2046</v>
      </c>
      <c r="AR230" s="229">
        <v>2047</v>
      </c>
      <c r="AS230" s="229">
        <v>2048</v>
      </c>
      <c r="AT230" s="229">
        <v>2049</v>
      </c>
      <c r="AU230" s="229">
        <v>2050</v>
      </c>
    </row>
    <row r="231" spans="2:48" ht="14.4">
      <c r="B231" s="483"/>
      <c r="D231" s="569" t="s">
        <v>268</v>
      </c>
      <c r="E231" s="231">
        <v>2014</v>
      </c>
      <c r="F231" s="570" t="s">
        <v>412</v>
      </c>
      <c r="G231" s="652">
        <f>I231</f>
        <v>46</v>
      </c>
      <c r="H231" s="652">
        <f>I231</f>
        <v>46</v>
      </c>
      <c r="I231" s="232">
        <v>46</v>
      </c>
      <c r="J231" s="232">
        <v>45.7</v>
      </c>
      <c r="K231" s="232">
        <v>45.3</v>
      </c>
      <c r="L231" s="232">
        <v>44.9</v>
      </c>
      <c r="M231" s="232">
        <v>45.4</v>
      </c>
      <c r="N231" s="232">
        <v>45.9</v>
      </c>
      <c r="O231" s="232">
        <v>46.5</v>
      </c>
      <c r="P231" s="669">
        <v>43.426265623811808</v>
      </c>
      <c r="Q231" s="669">
        <v>43.65253654619243</v>
      </c>
      <c r="R231" s="669">
        <v>43.928999158791825</v>
      </c>
      <c r="S231" s="669">
        <v>44.205082849585672</v>
      </c>
      <c r="T231" s="669">
        <v>44.480789827031863</v>
      </c>
      <c r="U231" s="669">
        <v>44.75612229958827</v>
      </c>
      <c r="V231" s="669">
        <v>45.031082475712807</v>
      </c>
      <c r="W231" s="669">
        <v>45.279976467601358</v>
      </c>
      <c r="X231" s="669">
        <v>45.528796659727412</v>
      </c>
      <c r="Y231" s="669">
        <v>45.777543052090969</v>
      </c>
      <c r="Z231" s="669">
        <v>46.02621564469203</v>
      </c>
      <c r="AA231" s="669">
        <v>46.274814437530587</v>
      </c>
      <c r="AB231" s="669">
        <v>46.428246784204831</v>
      </c>
      <c r="AC231" s="669">
        <v>46.581596106146264</v>
      </c>
      <c r="AD231" s="669">
        <v>46.73486240335491</v>
      </c>
      <c r="AE231" s="669">
        <v>46.888045675830739</v>
      </c>
      <c r="AF231" s="669">
        <v>47.041145923573744</v>
      </c>
      <c r="AG231" s="669">
        <v>47.184184641373889</v>
      </c>
      <c r="AH231" s="669">
        <v>47.327158784381858</v>
      </c>
      <c r="AI231" s="669">
        <v>47.470068352597629</v>
      </c>
      <c r="AJ231" s="669">
        <v>47.612913346021223</v>
      </c>
      <c r="AK231" s="669">
        <v>47.755693764652648</v>
      </c>
      <c r="AL231" s="672">
        <f>($AK$215-$AB$215)/10+AK231</f>
        <v>47.80310878969027</v>
      </c>
      <c r="AM231" s="672">
        <f t="shared" ref="AM231:AU231" si="325">($AK$215-$AB$215)/10+AL231</f>
        <v>47.850523814727893</v>
      </c>
      <c r="AN231" s="672">
        <f t="shared" si="325"/>
        <v>47.897938839765516</v>
      </c>
      <c r="AO231" s="672">
        <f t="shared" si="325"/>
        <v>47.945353864803138</v>
      </c>
      <c r="AP231" s="672">
        <f t="shared" si="325"/>
        <v>47.992768889840761</v>
      </c>
      <c r="AQ231" s="672">
        <f t="shared" si="325"/>
        <v>48.040183914878384</v>
      </c>
      <c r="AR231" s="672">
        <f t="shared" si="325"/>
        <v>48.087598939916006</v>
      </c>
      <c r="AS231" s="672">
        <f t="shared" si="325"/>
        <v>48.135013964953629</v>
      </c>
      <c r="AT231" s="672">
        <f t="shared" si="325"/>
        <v>48.182428989991251</v>
      </c>
      <c r="AU231" s="672">
        <f t="shared" si="325"/>
        <v>48.229844015028874</v>
      </c>
    </row>
    <row r="232" spans="2:48" ht="14.4">
      <c r="B232" s="1"/>
      <c r="D232" s="569" t="s">
        <v>341</v>
      </c>
      <c r="E232" s="231">
        <v>2014</v>
      </c>
      <c r="F232" s="570" t="s">
        <v>412</v>
      </c>
      <c r="G232" s="652">
        <f t="shared" ref="G232:G244" si="326">I232</f>
        <v>41</v>
      </c>
      <c r="H232" s="652">
        <f t="shared" ref="H232:H244" si="327">I232</f>
        <v>41</v>
      </c>
      <c r="I232" s="232">
        <v>41</v>
      </c>
      <c r="J232" s="232">
        <v>41.1</v>
      </c>
      <c r="K232" s="232">
        <v>41.2</v>
      </c>
      <c r="L232" s="232">
        <v>41.4</v>
      </c>
      <c r="M232" s="232">
        <v>41.6</v>
      </c>
      <c r="N232" s="232">
        <v>41.8</v>
      </c>
      <c r="O232" s="232">
        <v>42</v>
      </c>
      <c r="P232" s="232">
        <v>42.2</v>
      </c>
      <c r="Q232" s="232">
        <v>42.4</v>
      </c>
      <c r="R232" s="232">
        <v>42.7</v>
      </c>
      <c r="S232" s="232">
        <v>42.9</v>
      </c>
      <c r="T232" s="232">
        <v>43.2</v>
      </c>
      <c r="U232" s="232">
        <v>43.4</v>
      </c>
      <c r="V232" s="232">
        <v>43.7</v>
      </c>
      <c r="W232" s="232">
        <v>43.9</v>
      </c>
      <c r="X232" s="232">
        <v>44.1</v>
      </c>
      <c r="Y232" s="232">
        <v>44.4</v>
      </c>
      <c r="Z232" s="232">
        <v>44.6</v>
      </c>
      <c r="AA232" s="232">
        <v>44.8</v>
      </c>
      <c r="AB232" s="232">
        <v>45</v>
      </c>
      <c r="AC232" s="232">
        <v>45.1</v>
      </c>
      <c r="AD232" s="232">
        <v>45.2</v>
      </c>
      <c r="AE232" s="232">
        <v>45.4</v>
      </c>
      <c r="AF232" s="232">
        <v>45.5</v>
      </c>
      <c r="AG232" s="232">
        <v>45.6</v>
      </c>
      <c r="AH232" s="232">
        <v>45.8</v>
      </c>
      <c r="AI232" s="232">
        <v>45.9</v>
      </c>
      <c r="AJ232" s="232">
        <v>46</v>
      </c>
      <c r="AK232" s="232">
        <v>46.1</v>
      </c>
      <c r="AL232" s="232">
        <v>46.3</v>
      </c>
      <c r="AM232" s="232">
        <v>46.4</v>
      </c>
      <c r="AN232" s="232">
        <v>46.6</v>
      </c>
      <c r="AO232" s="232">
        <v>46.8</v>
      </c>
      <c r="AP232" s="232">
        <v>46.9</v>
      </c>
      <c r="AQ232" s="232">
        <v>47.1</v>
      </c>
      <c r="AR232" s="232">
        <v>47.4</v>
      </c>
      <c r="AS232" s="232">
        <v>47.6</v>
      </c>
      <c r="AT232" s="232">
        <v>47.8</v>
      </c>
      <c r="AU232" s="232">
        <v>48</v>
      </c>
    </row>
    <row r="233" spans="2:48" ht="14.4">
      <c r="B233" s="1"/>
      <c r="D233" s="569" t="s">
        <v>269</v>
      </c>
      <c r="E233" s="231">
        <v>2014</v>
      </c>
      <c r="F233" s="570" t="s">
        <v>412</v>
      </c>
      <c r="G233" s="652">
        <f t="shared" si="326"/>
        <v>48.5</v>
      </c>
      <c r="H233" s="652">
        <f t="shared" si="327"/>
        <v>48.5</v>
      </c>
      <c r="I233" s="232">
        <v>48.5</v>
      </c>
      <c r="J233" s="232">
        <v>48.1</v>
      </c>
      <c r="K233" s="232">
        <v>47.7</v>
      </c>
      <c r="L233" s="232">
        <v>47.3</v>
      </c>
      <c r="M233" s="232">
        <v>47.8</v>
      </c>
      <c r="N233" s="232">
        <v>48.3</v>
      </c>
      <c r="O233" s="232">
        <v>48.8</v>
      </c>
      <c r="P233" s="232">
        <v>49.4</v>
      </c>
      <c r="Q233" s="232">
        <v>49.9</v>
      </c>
      <c r="R233" s="232">
        <v>50.6</v>
      </c>
      <c r="S233" s="232">
        <v>51.3</v>
      </c>
      <c r="T233" s="232">
        <v>51.9</v>
      </c>
      <c r="U233" s="232">
        <v>52.6</v>
      </c>
      <c r="V233" s="232">
        <v>53.3</v>
      </c>
      <c r="W233" s="232">
        <v>53.9</v>
      </c>
      <c r="X233" s="232">
        <v>54.4</v>
      </c>
      <c r="Y233" s="232">
        <v>55</v>
      </c>
      <c r="Z233" s="232">
        <v>55.6</v>
      </c>
      <c r="AA233" s="232">
        <v>56.1</v>
      </c>
      <c r="AB233" s="232">
        <v>56.6</v>
      </c>
      <c r="AC233" s="232">
        <v>57.1</v>
      </c>
      <c r="AD233" s="232">
        <v>57.5</v>
      </c>
      <c r="AE233" s="232">
        <v>58</v>
      </c>
      <c r="AF233" s="232">
        <v>58.4</v>
      </c>
      <c r="AG233" s="232">
        <v>58.9</v>
      </c>
      <c r="AH233" s="232">
        <v>59.3</v>
      </c>
      <c r="AI233" s="232">
        <v>59.7</v>
      </c>
      <c r="AJ233" s="232">
        <v>60.1</v>
      </c>
      <c r="AK233" s="232">
        <v>60.6</v>
      </c>
      <c r="AL233" s="232">
        <v>61</v>
      </c>
      <c r="AM233" s="232">
        <v>61.4</v>
      </c>
      <c r="AN233" s="232">
        <v>61.8</v>
      </c>
      <c r="AO233" s="232">
        <v>62.3</v>
      </c>
      <c r="AP233" s="232">
        <v>62.7</v>
      </c>
      <c r="AQ233" s="232">
        <v>63.2</v>
      </c>
      <c r="AR233" s="232">
        <v>63.6</v>
      </c>
      <c r="AS233" s="232">
        <v>64.099999999999994</v>
      </c>
      <c r="AT233" s="232">
        <v>64.599999999999994</v>
      </c>
      <c r="AU233" s="232">
        <v>65</v>
      </c>
    </row>
    <row r="234" spans="2:48" ht="14.4">
      <c r="B234" s="1"/>
      <c r="D234" s="569" t="s">
        <v>270</v>
      </c>
      <c r="E234" s="231">
        <v>2014</v>
      </c>
      <c r="F234" s="570" t="s">
        <v>412</v>
      </c>
      <c r="G234" s="652">
        <f t="shared" si="326"/>
        <v>47.6</v>
      </c>
      <c r="H234" s="652">
        <f t="shared" si="327"/>
        <v>47.6</v>
      </c>
      <c r="I234" s="232">
        <v>47.6</v>
      </c>
      <c r="J234" s="232">
        <v>47.5</v>
      </c>
      <c r="K234" s="232">
        <v>47.5</v>
      </c>
      <c r="L234" s="232">
        <v>47.4</v>
      </c>
      <c r="M234" s="232">
        <v>47.7</v>
      </c>
      <c r="N234" s="232">
        <v>47.9</v>
      </c>
      <c r="O234" s="232">
        <v>48.2</v>
      </c>
      <c r="P234" s="232">
        <v>48.5</v>
      </c>
      <c r="Q234" s="232">
        <v>48.7</v>
      </c>
      <c r="R234" s="232">
        <v>49.1</v>
      </c>
      <c r="S234" s="232">
        <v>49.4</v>
      </c>
      <c r="T234" s="232">
        <v>49.7</v>
      </c>
      <c r="U234" s="232">
        <v>50.1</v>
      </c>
      <c r="V234" s="232">
        <v>50.4</v>
      </c>
      <c r="W234" s="232">
        <v>50.7</v>
      </c>
      <c r="X234" s="232">
        <v>51</v>
      </c>
      <c r="Y234" s="232">
        <v>51.3</v>
      </c>
      <c r="Z234" s="232">
        <v>51.7</v>
      </c>
      <c r="AA234" s="232">
        <v>52.2</v>
      </c>
      <c r="AB234" s="232">
        <v>52.6</v>
      </c>
      <c r="AC234" s="232">
        <v>53.1</v>
      </c>
      <c r="AD234" s="232">
        <v>53.5</v>
      </c>
      <c r="AE234" s="232">
        <v>53.9</v>
      </c>
      <c r="AF234" s="232">
        <v>54.4</v>
      </c>
      <c r="AG234" s="232">
        <v>54.8</v>
      </c>
      <c r="AH234" s="232">
        <v>55.1</v>
      </c>
      <c r="AI234" s="232">
        <v>55.5</v>
      </c>
      <c r="AJ234" s="232">
        <v>55.9</v>
      </c>
      <c r="AK234" s="232">
        <v>56.3</v>
      </c>
      <c r="AL234" s="232">
        <v>56.7</v>
      </c>
      <c r="AM234" s="232">
        <v>57.1</v>
      </c>
      <c r="AN234" s="232">
        <v>57.5</v>
      </c>
      <c r="AO234" s="232">
        <v>57.9</v>
      </c>
      <c r="AP234" s="232">
        <v>58.3</v>
      </c>
      <c r="AQ234" s="232">
        <v>58.8</v>
      </c>
      <c r="AR234" s="232">
        <v>59.2</v>
      </c>
      <c r="AS234" s="232">
        <v>59.6</v>
      </c>
      <c r="AT234" s="232">
        <v>60.1</v>
      </c>
      <c r="AU234" s="232">
        <v>60.5</v>
      </c>
    </row>
    <row r="235" spans="2:48" ht="14.4">
      <c r="B235" s="1"/>
      <c r="C235" s="228" t="s">
        <v>271</v>
      </c>
      <c r="E235" s="569"/>
      <c r="G235" s="652">
        <f t="shared" si="326"/>
        <v>0</v>
      </c>
      <c r="H235" s="652">
        <f t="shared" si="327"/>
        <v>0</v>
      </c>
      <c r="I235" s="570"/>
      <c r="J235" s="570"/>
      <c r="K235" s="570"/>
      <c r="L235" s="570"/>
      <c r="M235" s="570"/>
      <c r="N235" s="570"/>
      <c r="O235" s="570"/>
      <c r="P235" s="570"/>
      <c r="Q235" s="570"/>
      <c r="R235" s="570"/>
      <c r="S235" s="570"/>
      <c r="T235" s="570"/>
      <c r="U235" s="570"/>
      <c r="V235" s="570"/>
      <c r="W235" s="570"/>
      <c r="X235" s="570"/>
      <c r="Y235" s="570"/>
      <c r="Z235" s="570"/>
      <c r="AA235" s="570"/>
      <c r="AB235" s="570"/>
      <c r="AC235" s="570"/>
      <c r="AD235" s="570"/>
      <c r="AE235" s="570"/>
      <c r="AF235" s="570"/>
      <c r="AG235" s="570"/>
      <c r="AH235" s="570"/>
      <c r="AI235" s="570"/>
      <c r="AJ235" s="570"/>
      <c r="AK235" s="570"/>
      <c r="AL235" s="570"/>
      <c r="AM235" s="570"/>
      <c r="AN235" s="570"/>
      <c r="AO235" s="570"/>
      <c r="AP235" s="570"/>
      <c r="AQ235" s="570"/>
      <c r="AR235" s="570"/>
      <c r="AS235" s="570"/>
      <c r="AT235" s="570"/>
      <c r="AU235" s="570"/>
    </row>
    <row r="236" spans="2:48" ht="14.4">
      <c r="B236" s="483"/>
      <c r="D236" s="569" t="s">
        <v>272</v>
      </c>
      <c r="E236" s="231">
        <v>2014</v>
      </c>
      <c r="F236" s="570" t="s">
        <v>412</v>
      </c>
      <c r="G236" s="652">
        <f t="shared" si="326"/>
        <v>64.099999999999994</v>
      </c>
      <c r="H236" s="652">
        <f t="shared" si="327"/>
        <v>64.099999999999994</v>
      </c>
      <c r="I236" s="232">
        <v>64.099999999999994</v>
      </c>
      <c r="J236" s="232">
        <v>63.2</v>
      </c>
      <c r="K236" s="232">
        <v>62.4</v>
      </c>
      <c r="L236" s="232">
        <v>61.5</v>
      </c>
      <c r="M236" s="232">
        <v>61.9</v>
      </c>
      <c r="N236" s="232">
        <v>62.3</v>
      </c>
      <c r="O236" s="232">
        <v>62.7</v>
      </c>
      <c r="P236" s="668">
        <v>65.821840433738927</v>
      </c>
      <c r="Q236" s="668">
        <v>65.047767429918196</v>
      </c>
      <c r="R236" s="668">
        <v>64.835608715110197</v>
      </c>
      <c r="S236" s="668">
        <v>64.697208823830636</v>
      </c>
      <c r="T236" s="668">
        <v>64.59290976534399</v>
      </c>
      <c r="U236" s="668">
        <v>64.531892471531364</v>
      </c>
      <c r="V236" s="668">
        <v>64.464339558720255</v>
      </c>
      <c r="W236" s="668">
        <v>64.710015549840818</v>
      </c>
      <c r="X236" s="668">
        <v>64.955304437852263</v>
      </c>
      <c r="Y236" s="668">
        <v>65.200194985641772</v>
      </c>
      <c r="Z236" s="668">
        <v>65.444676055494327</v>
      </c>
      <c r="AA236" s="668">
        <v>65.688736608355271</v>
      </c>
      <c r="AB236" s="668">
        <v>65.884596633860156</v>
      </c>
      <c r="AC236" s="668">
        <v>66.08036338926722</v>
      </c>
      <c r="AD236" s="668">
        <v>66.276021603357506</v>
      </c>
      <c r="AE236" s="668">
        <v>66.471556138902102</v>
      </c>
      <c r="AF236" s="668">
        <v>66.66695199165018</v>
      </c>
      <c r="AG236" s="668">
        <v>66.829694828730965</v>
      </c>
      <c r="AH236" s="668">
        <v>66.992074665035901</v>
      </c>
      <c r="AI236" s="668">
        <v>67.154082323490499</v>
      </c>
      <c r="AJ236" s="668">
        <v>67.315708706874133</v>
      </c>
      <c r="AK236" s="668">
        <v>67.476944797280851</v>
      </c>
      <c r="AL236" s="672">
        <f>($AK$215-$AB$215)/10+AK236</f>
        <v>67.524359822318473</v>
      </c>
      <c r="AM236" s="672">
        <f t="shared" ref="AM236:AU236" si="328">($AK$215-$AB$215)/10+AL236</f>
        <v>67.571774847356096</v>
      </c>
      <c r="AN236" s="672">
        <f t="shared" si="328"/>
        <v>67.619189872393719</v>
      </c>
      <c r="AO236" s="672">
        <f t="shared" si="328"/>
        <v>67.666604897431341</v>
      </c>
      <c r="AP236" s="672">
        <f t="shared" si="328"/>
        <v>67.714019922468964</v>
      </c>
      <c r="AQ236" s="672">
        <f t="shared" si="328"/>
        <v>67.761434947506586</v>
      </c>
      <c r="AR236" s="672">
        <f t="shared" si="328"/>
        <v>67.808849972544209</v>
      </c>
      <c r="AS236" s="672">
        <f t="shared" si="328"/>
        <v>67.856264997581832</v>
      </c>
      <c r="AT236" s="672">
        <f t="shared" si="328"/>
        <v>67.903680022619454</v>
      </c>
      <c r="AU236" s="672">
        <f t="shared" si="328"/>
        <v>67.951095047657077</v>
      </c>
    </row>
    <row r="237" spans="2:48" ht="14.4">
      <c r="B237" s="1"/>
      <c r="D237" s="569" t="s">
        <v>273</v>
      </c>
      <c r="E237" s="231">
        <v>2014</v>
      </c>
      <c r="F237" s="570" t="s">
        <v>412</v>
      </c>
      <c r="G237" s="652">
        <f t="shared" si="326"/>
        <v>66.3</v>
      </c>
      <c r="H237" s="652">
        <f t="shared" si="327"/>
        <v>66.3</v>
      </c>
      <c r="I237" s="232">
        <v>66.3</v>
      </c>
      <c r="J237" s="232">
        <v>65.400000000000006</v>
      </c>
      <c r="K237" s="232">
        <v>64.5</v>
      </c>
      <c r="L237" s="232">
        <v>63.6</v>
      </c>
      <c r="M237" s="232">
        <v>64</v>
      </c>
      <c r="N237" s="232">
        <v>64.400000000000006</v>
      </c>
      <c r="O237" s="232">
        <v>64.8</v>
      </c>
      <c r="P237" s="232">
        <v>65.099999999999994</v>
      </c>
      <c r="Q237" s="232">
        <v>65.5</v>
      </c>
      <c r="R237" s="232">
        <v>66</v>
      </c>
      <c r="S237" s="232">
        <v>66.599999999999994</v>
      </c>
      <c r="T237" s="232">
        <v>67.099999999999994</v>
      </c>
      <c r="U237" s="232">
        <v>67.7</v>
      </c>
      <c r="V237" s="232">
        <v>68.2</v>
      </c>
      <c r="W237" s="232">
        <v>68.599999999999994</v>
      </c>
      <c r="X237" s="232">
        <v>69</v>
      </c>
      <c r="Y237" s="232">
        <v>69.5</v>
      </c>
      <c r="Z237" s="232">
        <v>69.900000000000006</v>
      </c>
      <c r="AA237" s="232">
        <v>70.3</v>
      </c>
      <c r="AB237" s="232">
        <v>70.599999999999994</v>
      </c>
      <c r="AC237" s="232">
        <v>70.900000000000006</v>
      </c>
      <c r="AD237" s="232">
        <v>71.3</v>
      </c>
      <c r="AE237" s="232">
        <v>71.599999999999994</v>
      </c>
      <c r="AF237" s="232">
        <v>71.900000000000006</v>
      </c>
      <c r="AG237" s="232">
        <v>72.2</v>
      </c>
      <c r="AH237" s="232">
        <v>72.5</v>
      </c>
      <c r="AI237" s="232">
        <v>72.8</v>
      </c>
      <c r="AJ237" s="232">
        <v>73.099999999999994</v>
      </c>
      <c r="AK237" s="232">
        <v>73.3</v>
      </c>
      <c r="AL237" s="232">
        <v>73.599999999999994</v>
      </c>
      <c r="AM237" s="232">
        <v>73.900000000000006</v>
      </c>
      <c r="AN237" s="232">
        <v>74.2</v>
      </c>
      <c r="AO237" s="232">
        <v>74.400000000000006</v>
      </c>
      <c r="AP237" s="232">
        <v>74.7</v>
      </c>
      <c r="AQ237" s="232">
        <v>75.099999999999994</v>
      </c>
      <c r="AR237" s="232">
        <v>75.5</v>
      </c>
      <c r="AS237" s="232">
        <v>75.8</v>
      </c>
      <c r="AT237" s="232">
        <v>76.2</v>
      </c>
      <c r="AU237" s="232">
        <v>76.5</v>
      </c>
    </row>
    <row r="238" spans="2:48" ht="14.4">
      <c r="B238" s="1"/>
      <c r="D238" s="569" t="s">
        <v>274</v>
      </c>
      <c r="E238" s="231">
        <v>2014</v>
      </c>
      <c r="F238" s="570" t="s">
        <v>412</v>
      </c>
      <c r="G238" s="652">
        <f t="shared" si="326"/>
        <v>70.900000000000006</v>
      </c>
      <c r="H238" s="652">
        <f t="shared" si="327"/>
        <v>70.900000000000006</v>
      </c>
      <c r="I238" s="232">
        <v>70.900000000000006</v>
      </c>
      <c r="J238" s="232">
        <v>69.900000000000006</v>
      </c>
      <c r="K238" s="232">
        <v>68.900000000000006</v>
      </c>
      <c r="L238" s="232">
        <v>67.900000000000006</v>
      </c>
      <c r="M238" s="232">
        <v>68.3</v>
      </c>
      <c r="N238" s="232">
        <v>68.7</v>
      </c>
      <c r="O238" s="232">
        <v>69.099999999999994</v>
      </c>
      <c r="P238" s="232">
        <v>69.5</v>
      </c>
      <c r="Q238" s="232">
        <v>69.900000000000006</v>
      </c>
      <c r="R238" s="232">
        <v>70.400000000000006</v>
      </c>
      <c r="S238" s="232">
        <v>71</v>
      </c>
      <c r="T238" s="232">
        <v>71.599999999999994</v>
      </c>
      <c r="U238" s="232">
        <v>72.2</v>
      </c>
      <c r="V238" s="232">
        <v>72.8</v>
      </c>
      <c r="W238" s="232">
        <v>73.2</v>
      </c>
      <c r="X238" s="232">
        <v>73.599999999999994</v>
      </c>
      <c r="Y238" s="232">
        <v>74</v>
      </c>
      <c r="Z238" s="232">
        <v>74.5</v>
      </c>
      <c r="AA238" s="232">
        <v>74.900000000000006</v>
      </c>
      <c r="AB238" s="232">
        <v>75.2</v>
      </c>
      <c r="AC238" s="232">
        <v>75.599999999999994</v>
      </c>
      <c r="AD238" s="232">
        <v>75.900000000000006</v>
      </c>
      <c r="AE238" s="232">
        <v>76.3</v>
      </c>
      <c r="AF238" s="232">
        <v>76.599999999999994</v>
      </c>
      <c r="AG238" s="232">
        <v>76.900000000000006</v>
      </c>
      <c r="AH238" s="232">
        <v>77.2</v>
      </c>
      <c r="AI238" s="232">
        <v>77.5</v>
      </c>
      <c r="AJ238" s="232">
        <v>77.8</v>
      </c>
      <c r="AK238" s="232">
        <v>78.099999999999994</v>
      </c>
      <c r="AL238" s="232">
        <v>78.3</v>
      </c>
      <c r="AM238" s="232">
        <v>78.599999999999994</v>
      </c>
      <c r="AN238" s="232">
        <v>78.900000000000006</v>
      </c>
      <c r="AO238" s="232">
        <v>79.2</v>
      </c>
      <c r="AP238" s="232">
        <v>79.5</v>
      </c>
      <c r="AQ238" s="232">
        <v>79.8</v>
      </c>
      <c r="AR238" s="232">
        <v>80.2</v>
      </c>
      <c r="AS238" s="232">
        <v>80.599999999999994</v>
      </c>
      <c r="AT238" s="232">
        <v>80.900000000000006</v>
      </c>
      <c r="AU238" s="232">
        <v>81.3</v>
      </c>
    </row>
    <row r="239" spans="2:48" ht="14.4">
      <c r="B239" s="1"/>
      <c r="C239" s="228" t="s">
        <v>275</v>
      </c>
      <c r="E239" s="569"/>
      <c r="G239" s="652">
        <f t="shared" si="326"/>
        <v>0</v>
      </c>
      <c r="H239" s="652">
        <f t="shared" si="327"/>
        <v>0</v>
      </c>
    </row>
    <row r="240" spans="2:48" ht="14.4">
      <c r="B240" s="1"/>
      <c r="C240" s="228"/>
      <c r="D240" s="569" t="s">
        <v>342</v>
      </c>
      <c r="E240" s="231">
        <v>2014</v>
      </c>
      <c r="F240" s="570" t="s">
        <v>412</v>
      </c>
      <c r="G240" s="652">
        <f t="shared" si="326"/>
        <v>73.7</v>
      </c>
      <c r="H240" s="652">
        <f t="shared" si="327"/>
        <v>73.7</v>
      </c>
      <c r="I240" s="232">
        <v>73.7</v>
      </c>
      <c r="J240" s="232">
        <v>72.7</v>
      </c>
      <c r="K240" s="232">
        <v>71.8</v>
      </c>
      <c r="L240" s="232">
        <v>70.8</v>
      </c>
      <c r="M240" s="232">
        <v>71.2</v>
      </c>
      <c r="N240" s="232">
        <v>71.599999999999994</v>
      </c>
      <c r="O240" s="232">
        <v>72.099999999999994</v>
      </c>
      <c r="P240" s="669">
        <v>76.091254383044159</v>
      </c>
      <c r="Q240" s="669">
        <v>75.196411798020051</v>
      </c>
      <c r="R240" s="669">
        <v>74.951152433777779</v>
      </c>
      <c r="S240" s="669">
        <v>74.791159621900391</v>
      </c>
      <c r="T240" s="669">
        <v>74.670587997969449</v>
      </c>
      <c r="U240" s="669">
        <v>74.600050887571641</v>
      </c>
      <c r="V240" s="669">
        <v>74.521958481781198</v>
      </c>
      <c r="W240" s="669">
        <v>74.805964431979135</v>
      </c>
      <c r="X240" s="669">
        <v>75.089522883885408</v>
      </c>
      <c r="Y240" s="669">
        <v>75.372620847191584</v>
      </c>
      <c r="Z240" s="669">
        <v>75.65524544649486</v>
      </c>
      <c r="AA240" s="669">
        <v>75.937383920445654</v>
      </c>
      <c r="AB240" s="669">
        <v>76.163801701017505</v>
      </c>
      <c r="AC240" s="669">
        <v>76.390111659646166</v>
      </c>
      <c r="AD240" s="669">
        <v>76.616296142522543</v>
      </c>
      <c r="AE240" s="669">
        <v>76.842337650732446</v>
      </c>
      <c r="AF240" s="669">
        <v>77.068218839086825</v>
      </c>
      <c r="AG240" s="669">
        <v>77.256352542637686</v>
      </c>
      <c r="AH240" s="669">
        <v>77.444066610636042</v>
      </c>
      <c r="AI240" s="669">
        <v>77.631350434215534</v>
      </c>
      <c r="AJ240" s="669">
        <v>77.818193496822346</v>
      </c>
      <c r="AK240" s="669">
        <v>78.004585373591794</v>
      </c>
      <c r="AL240" s="672">
        <f>($AK$215-$AB$215)/10+AK240</f>
        <v>78.052000398629417</v>
      </c>
      <c r="AM240" s="672">
        <f t="shared" ref="AM240:AU240" si="329">($AK$215-$AB$215)/10+AL240</f>
        <v>78.09941542366704</v>
      </c>
      <c r="AN240" s="672">
        <f t="shared" si="329"/>
        <v>78.146830448704662</v>
      </c>
      <c r="AO240" s="672">
        <f t="shared" si="329"/>
        <v>78.194245473742285</v>
      </c>
      <c r="AP240" s="672">
        <f t="shared" si="329"/>
        <v>78.241660498779908</v>
      </c>
      <c r="AQ240" s="672">
        <f t="shared" si="329"/>
        <v>78.28907552381753</v>
      </c>
      <c r="AR240" s="672">
        <f t="shared" si="329"/>
        <v>78.336490548855153</v>
      </c>
      <c r="AS240" s="672">
        <f t="shared" si="329"/>
        <v>78.383905573892775</v>
      </c>
      <c r="AT240" s="672">
        <f t="shared" si="329"/>
        <v>78.431320598930398</v>
      </c>
      <c r="AU240" s="672">
        <f t="shared" si="329"/>
        <v>78.478735623968021</v>
      </c>
    </row>
    <row r="241" spans="2:47" ht="14.4">
      <c r="B241" s="1"/>
      <c r="D241" s="3" t="s">
        <v>276</v>
      </c>
      <c r="E241" s="231">
        <v>2014</v>
      </c>
      <c r="F241" s="570" t="s">
        <v>412</v>
      </c>
      <c r="G241" s="652">
        <f t="shared" si="326"/>
        <v>106.1</v>
      </c>
      <c r="H241" s="652">
        <f t="shared" si="327"/>
        <v>106.1</v>
      </c>
      <c r="I241" s="232">
        <v>106.1</v>
      </c>
      <c r="J241" s="232">
        <v>104.4</v>
      </c>
      <c r="K241" s="232">
        <v>102.6</v>
      </c>
      <c r="L241" s="232">
        <v>100.9</v>
      </c>
      <c r="M241" s="232">
        <v>101.4</v>
      </c>
      <c r="N241" s="232">
        <v>102</v>
      </c>
      <c r="O241" s="232">
        <v>102.6</v>
      </c>
      <c r="P241" s="232">
        <v>103.1</v>
      </c>
      <c r="Q241" s="232">
        <v>103.7</v>
      </c>
      <c r="R241" s="232">
        <v>104.5</v>
      </c>
      <c r="S241" s="232">
        <v>105.3</v>
      </c>
      <c r="T241" s="232">
        <v>106.2</v>
      </c>
      <c r="U241" s="232">
        <v>107</v>
      </c>
      <c r="V241" s="232">
        <v>107.9</v>
      </c>
      <c r="W241" s="232">
        <v>108.5</v>
      </c>
      <c r="X241" s="232">
        <v>109</v>
      </c>
      <c r="Y241" s="232">
        <v>109.6</v>
      </c>
      <c r="Z241" s="232">
        <v>110.2</v>
      </c>
      <c r="AA241" s="232">
        <v>110.8</v>
      </c>
      <c r="AB241" s="232">
        <v>111.3</v>
      </c>
      <c r="AC241" s="232">
        <v>111.7</v>
      </c>
      <c r="AD241" s="232">
        <v>112.1</v>
      </c>
      <c r="AE241" s="232">
        <v>112.6</v>
      </c>
      <c r="AF241" s="232">
        <v>113</v>
      </c>
      <c r="AG241" s="232">
        <v>113.4</v>
      </c>
      <c r="AH241" s="232">
        <v>113.8</v>
      </c>
      <c r="AI241" s="232">
        <v>114.2</v>
      </c>
      <c r="AJ241" s="232">
        <v>114.5</v>
      </c>
      <c r="AK241" s="232">
        <v>114.9</v>
      </c>
      <c r="AL241" s="232">
        <v>115.3</v>
      </c>
      <c r="AM241" s="232">
        <v>115.6</v>
      </c>
      <c r="AN241" s="232">
        <v>116</v>
      </c>
      <c r="AO241" s="232">
        <v>116.3</v>
      </c>
      <c r="AP241" s="232">
        <v>116.7</v>
      </c>
      <c r="AQ241" s="232">
        <v>117.1</v>
      </c>
      <c r="AR241" s="232">
        <v>117.6</v>
      </c>
      <c r="AS241" s="232">
        <v>118</v>
      </c>
      <c r="AT241" s="232">
        <v>118.5</v>
      </c>
      <c r="AU241" s="232">
        <v>118.9</v>
      </c>
    </row>
    <row r="242" spans="2:47" ht="14.4">
      <c r="B242" s="1"/>
      <c r="C242" s="228" t="s">
        <v>277</v>
      </c>
      <c r="E242" s="569"/>
      <c r="G242" s="652">
        <f t="shared" si="326"/>
        <v>0</v>
      </c>
      <c r="H242" s="652">
        <f t="shared" si="327"/>
        <v>0</v>
      </c>
      <c r="I242" s="570"/>
      <c r="J242" s="570"/>
      <c r="K242" s="570"/>
      <c r="L242" s="570"/>
      <c r="M242" s="570"/>
      <c r="N242" s="570"/>
      <c r="O242" s="570"/>
      <c r="P242" s="570"/>
      <c r="Q242" s="570"/>
      <c r="R242" s="570"/>
      <c r="S242" s="570"/>
      <c r="T242" s="570"/>
      <c r="U242" s="570"/>
      <c r="V242" s="570"/>
      <c r="W242" s="570"/>
      <c r="X242" s="570"/>
      <c r="Y242" s="570"/>
      <c r="Z242" s="570"/>
      <c r="AA242" s="570"/>
      <c r="AB242" s="570"/>
      <c r="AC242" s="570"/>
      <c r="AD242" s="570"/>
      <c r="AE242" s="570"/>
      <c r="AF242" s="570"/>
      <c r="AG242" s="570"/>
      <c r="AH242" s="570"/>
      <c r="AI242" s="570"/>
      <c r="AJ242" s="570"/>
      <c r="AK242" s="570"/>
      <c r="AL242" s="570"/>
      <c r="AM242" s="570"/>
      <c r="AN242" s="570"/>
      <c r="AO242" s="570"/>
      <c r="AP242" s="570"/>
      <c r="AQ242" s="570"/>
      <c r="AR242" s="570"/>
      <c r="AS242" s="570"/>
      <c r="AT242" s="570"/>
      <c r="AU242" s="570"/>
    </row>
    <row r="243" spans="2:47" ht="14.4">
      <c r="B243" s="483"/>
      <c r="D243" s="3" t="s">
        <v>278</v>
      </c>
      <c r="E243" s="231">
        <v>2014</v>
      </c>
      <c r="F243" s="570" t="s">
        <v>412</v>
      </c>
      <c r="G243" s="652">
        <f t="shared" si="326"/>
        <v>41.5</v>
      </c>
      <c r="H243" s="652">
        <f t="shared" si="327"/>
        <v>41.5</v>
      </c>
      <c r="I243" s="232">
        <v>41.5</v>
      </c>
      <c r="J243" s="232">
        <v>41.2</v>
      </c>
      <c r="K243" s="232">
        <v>40.799999999999997</v>
      </c>
      <c r="L243" s="232">
        <v>40.5</v>
      </c>
      <c r="M243" s="232">
        <v>40.9</v>
      </c>
      <c r="N243" s="232">
        <v>41.4</v>
      </c>
      <c r="O243" s="232">
        <v>41.8</v>
      </c>
      <c r="P243" s="232">
        <v>42.3</v>
      </c>
      <c r="Q243" s="232">
        <v>42.7</v>
      </c>
      <c r="R243" s="232">
        <v>43.3</v>
      </c>
      <c r="S243" s="232">
        <v>43.9</v>
      </c>
      <c r="T243" s="232">
        <v>44.5</v>
      </c>
      <c r="U243" s="232">
        <v>45</v>
      </c>
      <c r="V243" s="232">
        <v>45.6</v>
      </c>
      <c r="W243" s="232">
        <v>46.1</v>
      </c>
      <c r="X243" s="232">
        <v>46.6</v>
      </c>
      <c r="Y243" s="232">
        <v>47.1</v>
      </c>
      <c r="Z243" s="232">
        <v>47.6</v>
      </c>
      <c r="AA243" s="232">
        <v>48.1</v>
      </c>
      <c r="AB243" s="232">
        <v>48.4</v>
      </c>
      <c r="AC243" s="232">
        <v>48.8</v>
      </c>
      <c r="AD243" s="232">
        <v>49.2</v>
      </c>
      <c r="AE243" s="232">
        <v>49.6</v>
      </c>
      <c r="AF243" s="232">
        <v>50</v>
      </c>
      <c r="AG243" s="232">
        <v>50.4</v>
      </c>
      <c r="AH243" s="232">
        <v>50.7</v>
      </c>
      <c r="AI243" s="232">
        <v>51.1</v>
      </c>
      <c r="AJ243" s="232">
        <v>51.5</v>
      </c>
      <c r="AK243" s="232">
        <v>51.8</v>
      </c>
      <c r="AL243" s="232">
        <v>52.2</v>
      </c>
      <c r="AM243" s="232">
        <v>52.6</v>
      </c>
      <c r="AN243" s="232">
        <v>52.9</v>
      </c>
      <c r="AO243" s="232">
        <v>53.3</v>
      </c>
      <c r="AP243" s="232">
        <v>53.7</v>
      </c>
      <c r="AQ243" s="232">
        <v>54.1</v>
      </c>
      <c r="AR243" s="232">
        <v>54.5</v>
      </c>
      <c r="AS243" s="232">
        <v>54.9</v>
      </c>
      <c r="AT243" s="232">
        <v>55.3</v>
      </c>
      <c r="AU243" s="232">
        <v>55.7</v>
      </c>
    </row>
    <row r="244" spans="2:47" ht="14.4">
      <c r="B244" s="1"/>
      <c r="D244" s="3" t="s">
        <v>279</v>
      </c>
      <c r="E244" s="231">
        <v>2014</v>
      </c>
      <c r="F244" s="570" t="s">
        <v>412</v>
      </c>
      <c r="G244" s="652">
        <f t="shared" si="326"/>
        <v>39.9</v>
      </c>
      <c r="H244" s="652">
        <f t="shared" si="327"/>
        <v>39.9</v>
      </c>
      <c r="I244" s="232">
        <v>39.9</v>
      </c>
      <c r="J244" s="232">
        <v>39.5</v>
      </c>
      <c r="K244" s="232">
        <v>39.200000000000003</v>
      </c>
      <c r="L244" s="232">
        <v>38.799999999999997</v>
      </c>
      <c r="M244" s="232">
        <v>39.299999999999997</v>
      </c>
      <c r="N244" s="232">
        <v>39.700000000000003</v>
      </c>
      <c r="O244" s="232">
        <v>40.1</v>
      </c>
      <c r="P244" s="232">
        <v>40.6</v>
      </c>
      <c r="Q244" s="232">
        <v>41</v>
      </c>
      <c r="R244" s="232">
        <v>41.6</v>
      </c>
      <c r="S244" s="232">
        <v>42.1</v>
      </c>
      <c r="T244" s="232">
        <v>42.6</v>
      </c>
      <c r="U244" s="232">
        <v>42.9</v>
      </c>
      <c r="V244" s="232">
        <v>43.2</v>
      </c>
      <c r="W244" s="232">
        <v>43.4</v>
      </c>
      <c r="X244" s="232">
        <v>43.6</v>
      </c>
      <c r="Y244" s="232">
        <v>43.9</v>
      </c>
      <c r="Z244" s="232">
        <v>44.3</v>
      </c>
      <c r="AA244" s="232">
        <v>44.7</v>
      </c>
      <c r="AB244" s="232">
        <v>45.1</v>
      </c>
      <c r="AC244" s="232">
        <v>45.4</v>
      </c>
      <c r="AD244" s="232">
        <v>45.8</v>
      </c>
      <c r="AE244" s="232">
        <v>46.2</v>
      </c>
      <c r="AF244" s="232">
        <v>46.5</v>
      </c>
      <c r="AG244" s="232">
        <v>46.9</v>
      </c>
      <c r="AH244" s="232">
        <v>47.2</v>
      </c>
      <c r="AI244" s="232">
        <v>47.5</v>
      </c>
      <c r="AJ244" s="232">
        <v>47.9</v>
      </c>
      <c r="AK244" s="232">
        <v>48.2</v>
      </c>
      <c r="AL244" s="232">
        <v>48.6</v>
      </c>
      <c r="AM244" s="232">
        <v>48.9</v>
      </c>
      <c r="AN244" s="232">
        <v>49.2</v>
      </c>
      <c r="AO244" s="232">
        <v>49.6</v>
      </c>
      <c r="AP244" s="232">
        <v>49.9</v>
      </c>
      <c r="AQ244" s="232">
        <v>50.3</v>
      </c>
      <c r="AR244" s="232">
        <v>50.7</v>
      </c>
      <c r="AS244" s="232">
        <v>51</v>
      </c>
      <c r="AT244" s="232">
        <v>51.4</v>
      </c>
      <c r="AU244" s="232">
        <v>51.8</v>
      </c>
    </row>
    <row r="245" spans="2:47">
      <c r="B245" s="1"/>
      <c r="C245" s="521" t="s">
        <v>671</v>
      </c>
      <c r="D245" s="1"/>
      <c r="E245" s="6"/>
      <c r="F245" s="4"/>
    </row>
    <row r="246" spans="2:47">
      <c r="B246" s="1"/>
      <c r="C246" s="521" t="s">
        <v>672</v>
      </c>
      <c r="D246" s="1"/>
      <c r="E246" s="6"/>
      <c r="F246" s="4"/>
    </row>
    <row r="247" spans="2:47">
      <c r="B247" s="1"/>
      <c r="C247" s="1"/>
      <c r="D247" s="1"/>
      <c r="E247" s="6"/>
      <c r="F247" s="4"/>
    </row>
    <row r="248" spans="2:47">
      <c r="B248" s="1"/>
      <c r="C248" s="1"/>
      <c r="D248" s="1"/>
      <c r="E248" s="6"/>
      <c r="F248" s="4"/>
    </row>
    <row r="249" spans="2:47">
      <c r="B249" s="1"/>
      <c r="C249" s="1"/>
      <c r="D249" s="1"/>
      <c r="E249" s="6"/>
      <c r="F249" s="4"/>
    </row>
    <row r="250" spans="2:47">
      <c r="B250" s="1"/>
      <c r="C250" s="483" t="s">
        <v>886</v>
      </c>
      <c r="D250" s="1"/>
      <c r="E250" s="6"/>
      <c r="F250" s="4"/>
    </row>
    <row r="251" spans="2:47" ht="19.8">
      <c r="B251" s="1"/>
      <c r="C251" s="657" t="s">
        <v>875</v>
      </c>
      <c r="D251" s="658"/>
      <c r="E251" s="658"/>
      <c r="F251" s="658"/>
      <c r="G251" s="658"/>
      <c r="H251" s="658"/>
      <c r="I251" s="658"/>
      <c r="J251" s="658"/>
      <c r="K251" s="658"/>
      <c r="L251" s="658"/>
      <c r="M251" s="658"/>
      <c r="N251" s="658"/>
      <c r="O251" s="658"/>
    </row>
    <row r="252" spans="2:47">
      <c r="B252" s="1"/>
      <c r="C252" s="567"/>
      <c r="D252" s="570"/>
      <c r="E252" s="570"/>
      <c r="G252" s="570"/>
      <c r="H252" s="570"/>
      <c r="I252" s="570"/>
      <c r="J252" s="570"/>
      <c r="K252" s="570"/>
      <c r="L252" s="570"/>
      <c r="M252" s="570"/>
      <c r="N252" s="570"/>
      <c r="O252" s="570"/>
    </row>
    <row r="253" spans="2:47">
      <c r="B253" s="1"/>
      <c r="C253" s="827" t="s">
        <v>876</v>
      </c>
      <c r="D253" s="828" t="s">
        <v>877</v>
      </c>
      <c r="E253" s="829"/>
      <c r="F253" s="829"/>
      <c r="G253" s="829"/>
      <c r="H253" s="829"/>
      <c r="I253" s="829"/>
      <c r="J253" s="829"/>
      <c r="K253" s="829"/>
      <c r="L253" s="829"/>
      <c r="M253" s="829"/>
      <c r="N253" s="829"/>
      <c r="O253" s="659" t="s">
        <v>878</v>
      </c>
    </row>
    <row r="254" spans="2:47" ht="24">
      <c r="B254" s="1"/>
      <c r="C254" s="827"/>
      <c r="D254" s="660" t="s">
        <v>444</v>
      </c>
      <c r="E254" s="661" t="s">
        <v>438</v>
      </c>
      <c r="F254" s="660" t="s">
        <v>443</v>
      </c>
      <c r="G254" s="660" t="s">
        <v>879</v>
      </c>
      <c r="H254" s="660" t="s">
        <v>880</v>
      </c>
      <c r="I254" s="660" t="s">
        <v>51</v>
      </c>
      <c r="J254" s="660" t="s">
        <v>881</v>
      </c>
      <c r="K254" s="660" t="s">
        <v>199</v>
      </c>
      <c r="L254" s="661" t="s">
        <v>882</v>
      </c>
      <c r="M254" s="661" t="s">
        <v>883</v>
      </c>
      <c r="N254" s="661" t="s">
        <v>884</v>
      </c>
      <c r="O254" s="661" t="s">
        <v>884</v>
      </c>
    </row>
    <row r="255" spans="2:47">
      <c r="B255" s="1"/>
      <c r="C255" s="662">
        <v>2019</v>
      </c>
      <c r="D255" s="663">
        <v>73.880467131059874</v>
      </c>
      <c r="E255" s="663">
        <v>53.94529046338949</v>
      </c>
      <c r="F255" s="663">
        <v>23.406929880021178</v>
      </c>
      <c r="G255" s="663">
        <v>59.650894850098339</v>
      </c>
      <c r="H255" s="663">
        <v>93.420285058277415</v>
      </c>
      <c r="I255" s="663">
        <v>93.420285058277415</v>
      </c>
      <c r="J255" s="663">
        <v>95.583697574109408</v>
      </c>
      <c r="K255" s="663">
        <v>90.831954056376134</v>
      </c>
      <c r="L255" s="663">
        <v>65.821840433738927</v>
      </c>
      <c r="M255" s="663">
        <v>76.091254383044159</v>
      </c>
      <c r="N255" s="663">
        <v>48.13702532536383</v>
      </c>
      <c r="O255" s="663">
        <v>43.426265623811808</v>
      </c>
    </row>
    <row r="256" spans="2:47">
      <c r="B256" s="1"/>
      <c r="C256" s="662">
        <v>2020</v>
      </c>
      <c r="D256" s="663">
        <v>75.931459523916047</v>
      </c>
      <c r="E256" s="663">
        <v>48.049648253621314</v>
      </c>
      <c r="F256" s="663">
        <v>22.320750500826144</v>
      </c>
      <c r="G256" s="663">
        <v>61.701887242954513</v>
      </c>
      <c r="H256" s="663">
        <v>95.471277451133588</v>
      </c>
      <c r="I256" s="663">
        <v>95.471277451133588</v>
      </c>
      <c r="J256" s="663">
        <v>97.634689966965581</v>
      </c>
      <c r="K256" s="663">
        <v>92.882946449232307</v>
      </c>
      <c r="L256" s="663">
        <v>65.047767429918196</v>
      </c>
      <c r="M256" s="663">
        <v>75.196411798020051</v>
      </c>
      <c r="N256" s="663">
        <v>48.528146948789889</v>
      </c>
      <c r="O256" s="663">
        <v>43.65253654619243</v>
      </c>
    </row>
    <row r="257" spans="2:15">
      <c r="B257" s="1"/>
      <c r="C257" s="662">
        <v>2021</v>
      </c>
      <c r="D257" s="663">
        <v>77.701364104651802</v>
      </c>
      <c r="E257" s="663">
        <v>40.610335042675715</v>
      </c>
      <c r="F257" s="663">
        <v>22.4152337792803</v>
      </c>
      <c r="G257" s="663">
        <v>63.471791823690268</v>
      </c>
      <c r="H257" s="663">
        <v>97.241182031869343</v>
      </c>
      <c r="I257" s="663">
        <v>97.241182031869343</v>
      </c>
      <c r="J257" s="663">
        <v>99.404594547701336</v>
      </c>
      <c r="K257" s="663">
        <v>94.652851029968062</v>
      </c>
      <c r="L257" s="663">
        <v>64.835608715110197</v>
      </c>
      <c r="M257" s="663">
        <v>74.951152433777779</v>
      </c>
      <c r="N257" s="663">
        <v>49.029117231990426</v>
      </c>
      <c r="O257" s="663">
        <v>43.928999158791825</v>
      </c>
    </row>
    <row r="258" spans="2:15">
      <c r="B258" s="1"/>
      <c r="C258" s="662">
        <v>2022</v>
      </c>
      <c r="D258" s="663">
        <v>79.289025348102882</v>
      </c>
      <c r="E258" s="663">
        <v>40.251302428954361</v>
      </c>
      <c r="F258" s="663">
        <v>21.958696459631067</v>
      </c>
      <c r="G258" s="663">
        <v>65.059453067141348</v>
      </c>
      <c r="H258" s="663">
        <v>98.828843275320423</v>
      </c>
      <c r="I258" s="663">
        <v>98.828843275320423</v>
      </c>
      <c r="J258" s="663">
        <v>100.99225579115242</v>
      </c>
      <c r="K258" s="663">
        <v>96.240512273419142</v>
      </c>
      <c r="L258" s="663">
        <v>64.697208823830636</v>
      </c>
      <c r="M258" s="663">
        <v>74.791159621900391</v>
      </c>
      <c r="N258" s="663">
        <v>49.532405602008467</v>
      </c>
      <c r="O258" s="663">
        <v>44.205082849585672</v>
      </c>
    </row>
    <row r="259" spans="2:15">
      <c r="B259" s="1"/>
      <c r="C259" s="662">
        <v>2023</v>
      </c>
      <c r="D259" s="663">
        <v>81.023644009316811</v>
      </c>
      <c r="E259" s="663">
        <v>41.309391764519106</v>
      </c>
      <c r="F259" s="663">
        <v>21.264781225277929</v>
      </c>
      <c r="G259" s="663">
        <v>66.794071728355277</v>
      </c>
      <c r="H259" s="663">
        <v>100.56346193653435</v>
      </c>
      <c r="I259" s="663">
        <v>100.56346193653435</v>
      </c>
      <c r="J259" s="663">
        <v>102.72687445236635</v>
      </c>
      <c r="K259" s="663">
        <v>97.975130934633071</v>
      </c>
      <c r="L259" s="663">
        <v>64.59290976534399</v>
      </c>
      <c r="M259" s="663">
        <v>74.670587997969449</v>
      </c>
      <c r="N259" s="663">
        <v>50.037858127615173</v>
      </c>
      <c r="O259" s="663">
        <v>44.480789827031863</v>
      </c>
    </row>
    <row r="260" spans="2:15">
      <c r="B260" s="1"/>
      <c r="C260" s="662">
        <v>2024</v>
      </c>
      <c r="D260" s="663">
        <v>82.712910272747436</v>
      </c>
      <c r="E260" s="663">
        <v>42.384105929912252</v>
      </c>
      <c r="F260" s="663">
        <v>20.867962592605565</v>
      </c>
      <c r="G260" s="663">
        <v>68.483337991785902</v>
      </c>
      <c r="H260" s="663">
        <v>102.25272819996498</v>
      </c>
      <c r="I260" s="663">
        <v>102.25272819996498</v>
      </c>
      <c r="J260" s="663">
        <v>104.41614071579697</v>
      </c>
      <c r="K260" s="663">
        <v>99.664397198063696</v>
      </c>
      <c r="L260" s="663">
        <v>64.531892471531364</v>
      </c>
      <c r="M260" s="663">
        <v>74.600050887571641</v>
      </c>
      <c r="N260" s="663">
        <v>50.545323014619093</v>
      </c>
      <c r="O260" s="663">
        <v>44.75612229958827</v>
      </c>
    </row>
    <row r="261" spans="2:15">
      <c r="B261" s="1"/>
      <c r="C261" s="662">
        <v>2025</v>
      </c>
      <c r="D261" s="663">
        <v>84.053105996878713</v>
      </c>
      <c r="E261" s="663">
        <v>43.418156429745736</v>
      </c>
      <c r="F261" s="663">
        <v>20.782407107600484</v>
      </c>
      <c r="G261" s="663">
        <v>69.823533715917179</v>
      </c>
      <c r="H261" s="663">
        <v>103.59292392409625</v>
      </c>
      <c r="I261" s="663">
        <v>103.59292392409625</v>
      </c>
      <c r="J261" s="663">
        <v>105.75633643992825</v>
      </c>
      <c r="K261" s="663">
        <v>101.00459292219497</v>
      </c>
      <c r="L261" s="663">
        <v>64.464339558720255</v>
      </c>
      <c r="M261" s="663">
        <v>74.521958481781198</v>
      </c>
      <c r="N261" s="663">
        <v>51.054650583706497</v>
      </c>
      <c r="O261" s="663">
        <v>45.031082475712807</v>
      </c>
    </row>
    <row r="262" spans="2:15">
      <c r="B262" s="1"/>
      <c r="C262" s="662">
        <v>2026</v>
      </c>
      <c r="D262" s="663">
        <v>86.676571233184688</v>
      </c>
      <c r="E262" s="663">
        <v>44.641031928073701</v>
      </c>
      <c r="F262" s="663">
        <v>20.995445244296899</v>
      </c>
      <c r="G262" s="663">
        <v>72.446998952223154</v>
      </c>
      <c r="H262" s="663">
        <v>106.21638916040223</v>
      </c>
      <c r="I262" s="663">
        <v>106.21638916040223</v>
      </c>
      <c r="J262" s="663">
        <v>108.37980167623422</v>
      </c>
      <c r="K262" s="663">
        <v>103.62805815850095</v>
      </c>
      <c r="L262" s="663">
        <v>64.710015549840818</v>
      </c>
      <c r="M262" s="663">
        <v>74.805964431979135</v>
      </c>
      <c r="N262" s="663">
        <v>51.365726036392111</v>
      </c>
      <c r="O262" s="663">
        <v>45.279976467601358</v>
      </c>
    </row>
    <row r="263" spans="2:15">
      <c r="B263" s="1"/>
      <c r="C263" s="662">
        <v>2027</v>
      </c>
      <c r="D263" s="663">
        <v>88.186071195293991</v>
      </c>
      <c r="E263" s="663">
        <v>45.825085716990088</v>
      </c>
      <c r="F263" s="663">
        <v>21.195931843995432</v>
      </c>
      <c r="G263" s="663">
        <v>73.956498914332457</v>
      </c>
      <c r="H263" s="663">
        <v>107.72588912251153</v>
      </c>
      <c r="I263" s="663">
        <v>107.72588912251153</v>
      </c>
      <c r="J263" s="663">
        <v>109.88930163834353</v>
      </c>
      <c r="K263" s="663">
        <v>105.13755812061025</v>
      </c>
      <c r="L263" s="663">
        <v>64.955304437852263</v>
      </c>
      <c r="M263" s="663">
        <v>75.089522883885408</v>
      </c>
      <c r="N263" s="663">
        <v>51.677058261479885</v>
      </c>
      <c r="O263" s="663">
        <v>45.528796659727412</v>
      </c>
    </row>
    <row r="264" spans="2:15">
      <c r="B264" s="1"/>
      <c r="C264" s="662">
        <v>2028</v>
      </c>
      <c r="D264" s="663">
        <v>89.586356147981405</v>
      </c>
      <c r="E264" s="663">
        <v>46.950294651080164</v>
      </c>
      <c r="F264" s="663">
        <v>21.376250794374826</v>
      </c>
      <c r="G264" s="663">
        <v>75.356783867019871</v>
      </c>
      <c r="H264" s="663">
        <v>109.12617407519895</v>
      </c>
      <c r="I264" s="663">
        <v>109.12617407519895</v>
      </c>
      <c r="J264" s="663">
        <v>111.28958659103094</v>
      </c>
      <c r="K264" s="663">
        <v>106.53784307329767</v>
      </c>
      <c r="L264" s="663">
        <v>65.200194985641772</v>
      </c>
      <c r="M264" s="663">
        <v>75.372620847191584</v>
      </c>
      <c r="N264" s="663">
        <v>51.988642280065065</v>
      </c>
      <c r="O264" s="663">
        <v>45.777543052090969</v>
      </c>
    </row>
    <row r="265" spans="2:15">
      <c r="B265" s="1"/>
      <c r="C265" s="662">
        <v>2029</v>
      </c>
      <c r="D265" s="663">
        <v>90.92803677830058</v>
      </c>
      <c r="E265" s="663">
        <v>48.047984271449039</v>
      </c>
      <c r="F265" s="663">
        <v>21.548170886437006</v>
      </c>
      <c r="G265" s="663">
        <v>76.698464497339046</v>
      </c>
      <c r="H265" s="663">
        <v>110.46785470551812</v>
      </c>
      <c r="I265" s="663">
        <v>110.46785470551812</v>
      </c>
      <c r="J265" s="663">
        <v>112.63126722135011</v>
      </c>
      <c r="K265" s="663">
        <v>107.87952370361684</v>
      </c>
      <c r="L265" s="663">
        <v>65.444676055494327</v>
      </c>
      <c r="M265" s="663">
        <v>75.65524544649486</v>
      </c>
      <c r="N265" s="663">
        <v>52.300473165558273</v>
      </c>
      <c r="O265" s="663">
        <v>46.02621564469203</v>
      </c>
    </row>
    <row r="266" spans="2:15">
      <c r="B266" s="1"/>
      <c r="C266" s="662">
        <v>2030</v>
      </c>
      <c r="D266" s="663">
        <v>92.141387034323401</v>
      </c>
      <c r="E266" s="663">
        <v>49.074729484141251</v>
      </c>
      <c r="F266" s="663">
        <v>21.695318201462513</v>
      </c>
      <c r="G266" s="663">
        <v>77.911814753361867</v>
      </c>
      <c r="H266" s="663">
        <v>111.68120496154094</v>
      </c>
      <c r="I266" s="663">
        <v>111.68120496154094</v>
      </c>
      <c r="J266" s="663">
        <v>113.84461747737294</v>
      </c>
      <c r="K266" s="663">
        <v>109.09287395963966</v>
      </c>
      <c r="L266" s="663">
        <v>65.688736608355271</v>
      </c>
      <c r="M266" s="663">
        <v>75.937383920445654</v>
      </c>
      <c r="N266" s="663">
        <v>52.612546043058984</v>
      </c>
      <c r="O266" s="663">
        <v>46.274814437530587</v>
      </c>
    </row>
    <row r="267" spans="2:15">
      <c r="B267" s="1"/>
      <c r="C267" s="662">
        <v>2031</v>
      </c>
      <c r="D267" s="663">
        <v>93.692750413107319</v>
      </c>
      <c r="E267" s="663">
        <v>50.22027708112531</v>
      </c>
      <c r="F267" s="663">
        <v>21.767199086953433</v>
      </c>
      <c r="G267" s="663">
        <v>79.463178132145785</v>
      </c>
      <c r="H267" s="663">
        <v>113.23256834032486</v>
      </c>
      <c r="I267" s="663">
        <v>113.23256834032486</v>
      </c>
      <c r="J267" s="663">
        <v>115.39598085615685</v>
      </c>
      <c r="K267" s="663">
        <v>110.64423733842358</v>
      </c>
      <c r="L267" s="663">
        <v>65.884596633860156</v>
      </c>
      <c r="M267" s="663">
        <v>76.163801701017505</v>
      </c>
      <c r="N267" s="663">
        <v>52.875302226231177</v>
      </c>
      <c r="O267" s="663">
        <v>46.428246784204831</v>
      </c>
    </row>
    <row r="268" spans="2:15">
      <c r="B268" s="1"/>
      <c r="C268" s="662">
        <v>2032</v>
      </c>
      <c r="D268" s="663">
        <v>95.558328708367895</v>
      </c>
      <c r="E268" s="663">
        <v>51.310437783572709</v>
      </c>
      <c r="F268" s="663">
        <v>21.825017030148729</v>
      </c>
      <c r="G268" s="663">
        <v>81.328756427406361</v>
      </c>
      <c r="H268" s="663">
        <v>115.09814663558544</v>
      </c>
      <c r="I268" s="663">
        <v>115.09814663558544</v>
      </c>
      <c r="J268" s="663">
        <v>117.26155915141743</v>
      </c>
      <c r="K268" s="663">
        <v>112.50981563368416</v>
      </c>
      <c r="L268" s="663">
        <v>66.08036338926722</v>
      </c>
      <c r="M268" s="663">
        <v>76.390111659646166</v>
      </c>
      <c r="N268" s="663">
        <v>53.138403281373272</v>
      </c>
      <c r="O268" s="663">
        <v>46.581596106146264</v>
      </c>
    </row>
    <row r="269" spans="2:15">
      <c r="B269" s="1"/>
      <c r="C269" s="662">
        <v>2033</v>
      </c>
      <c r="D269" s="663">
        <v>97.341047888333435</v>
      </c>
      <c r="E269" s="663">
        <v>52.371455269436716</v>
      </c>
      <c r="F269" s="663">
        <v>21.878276139633737</v>
      </c>
      <c r="G269" s="663">
        <v>83.111475607371901</v>
      </c>
      <c r="H269" s="663">
        <v>116.88086581555098</v>
      </c>
      <c r="I269" s="663">
        <v>116.88086581555098</v>
      </c>
      <c r="J269" s="663">
        <v>119.04427833138297</v>
      </c>
      <c r="K269" s="663">
        <v>114.2925348136497</v>
      </c>
      <c r="L269" s="663">
        <v>66.276021603357506</v>
      </c>
      <c r="M269" s="663">
        <v>76.616296142522543</v>
      </c>
      <c r="N269" s="663">
        <v>53.40184179508779</v>
      </c>
      <c r="O269" s="663">
        <v>46.73486240335491</v>
      </c>
    </row>
    <row r="270" spans="2:15">
      <c r="B270" s="1"/>
      <c r="C270" s="662">
        <v>2034</v>
      </c>
      <c r="D270" s="663">
        <v>99.002693402790925</v>
      </c>
      <c r="E270" s="663">
        <v>53.379487378305292</v>
      </c>
      <c r="F270" s="663">
        <v>21.917992887383534</v>
      </c>
      <c r="G270" s="663">
        <v>84.773121121829391</v>
      </c>
      <c r="H270" s="663">
        <v>118.54251133000847</v>
      </c>
      <c r="I270" s="663">
        <v>118.54251133000847</v>
      </c>
      <c r="J270" s="663">
        <v>120.70592384584046</v>
      </c>
      <c r="K270" s="663">
        <v>115.95418032810719</v>
      </c>
      <c r="L270" s="663">
        <v>66.471556138902102</v>
      </c>
      <c r="M270" s="663">
        <v>76.842337650732446</v>
      </c>
      <c r="N270" s="663">
        <v>53.665610427022969</v>
      </c>
      <c r="O270" s="663">
        <v>46.888045675830739</v>
      </c>
    </row>
    <row r="271" spans="2:15">
      <c r="B271" s="1"/>
      <c r="C271" s="662">
        <v>2035</v>
      </c>
      <c r="D271" s="663">
        <v>100.59799469913287</v>
      </c>
      <c r="E271" s="663">
        <v>54.366646432213557</v>
      </c>
      <c r="F271" s="663">
        <v>21.9556878669204</v>
      </c>
      <c r="G271" s="663">
        <v>86.368422418171335</v>
      </c>
      <c r="H271" s="663">
        <v>120.13781262635041</v>
      </c>
      <c r="I271" s="663">
        <v>120.13781262635041</v>
      </c>
      <c r="J271" s="663">
        <v>122.3012251421824</v>
      </c>
      <c r="K271" s="663">
        <v>117.54948162444913</v>
      </c>
      <c r="L271" s="663">
        <v>66.66695199165018</v>
      </c>
      <c r="M271" s="663">
        <v>77.068218839086825</v>
      </c>
      <c r="N271" s="663">
        <v>53.929701909080514</v>
      </c>
      <c r="O271" s="663">
        <v>47.041145923573744</v>
      </c>
    </row>
    <row r="272" spans="2:15">
      <c r="B272" s="1"/>
      <c r="C272" s="662">
        <v>2036</v>
      </c>
      <c r="D272" s="663">
        <v>102.09020115332861</v>
      </c>
      <c r="E272" s="663">
        <v>56.021566478043873</v>
      </c>
      <c r="F272" s="663">
        <v>22.029714738820417</v>
      </c>
      <c r="G272" s="663">
        <v>87.860628872367073</v>
      </c>
      <c r="H272" s="663">
        <v>121.63001908054615</v>
      </c>
      <c r="I272" s="663">
        <v>121.63001908054615</v>
      </c>
      <c r="J272" s="663">
        <v>123.79343159637814</v>
      </c>
      <c r="K272" s="663">
        <v>119.04168807864487</v>
      </c>
      <c r="L272" s="663">
        <v>66.829694828730965</v>
      </c>
      <c r="M272" s="663">
        <v>77.256352542637686</v>
      </c>
      <c r="N272" s="663">
        <v>54.174250889852274</v>
      </c>
      <c r="O272" s="663">
        <v>47.184184641373889</v>
      </c>
    </row>
    <row r="273" spans="2:16">
      <c r="B273" s="1"/>
      <c r="C273" s="662">
        <v>2037</v>
      </c>
      <c r="D273" s="663">
        <v>103.53602848432692</v>
      </c>
      <c r="E273" s="663">
        <v>56.643484305507364</v>
      </c>
      <c r="F273" s="663">
        <v>22.099296654325173</v>
      </c>
      <c r="G273" s="663">
        <v>89.306456203365386</v>
      </c>
      <c r="H273" s="663">
        <v>123.07584641154446</v>
      </c>
      <c r="I273" s="663">
        <v>123.07584641154446</v>
      </c>
      <c r="J273" s="663">
        <v>125.23925892737645</v>
      </c>
      <c r="K273" s="663">
        <v>120.48751540964318</v>
      </c>
      <c r="L273" s="663">
        <v>66.992074665035901</v>
      </c>
      <c r="M273" s="663">
        <v>77.444066610636042</v>
      </c>
      <c r="N273" s="663">
        <v>54.41888572733636</v>
      </c>
      <c r="O273" s="663">
        <v>47.327158784381858</v>
      </c>
    </row>
    <row r="274" spans="2:16">
      <c r="B274" s="1"/>
      <c r="C274" s="662">
        <v>2038</v>
      </c>
      <c r="D274" s="663">
        <v>104.86648319780612</v>
      </c>
      <c r="E274" s="663">
        <v>57.206292482675018</v>
      </c>
      <c r="F274" s="663">
        <v>22.153632116105896</v>
      </c>
      <c r="G274" s="663">
        <v>90.636910916844585</v>
      </c>
      <c r="H274" s="663">
        <v>124.40630112502366</v>
      </c>
      <c r="I274" s="663">
        <v>124.40630112502366</v>
      </c>
      <c r="J274" s="663">
        <v>126.56971364085565</v>
      </c>
      <c r="K274" s="663">
        <v>121.81797012312238</v>
      </c>
      <c r="L274" s="663">
        <v>67.154082323490499</v>
      </c>
      <c r="M274" s="663">
        <v>77.631350434215534</v>
      </c>
      <c r="N274" s="663">
        <v>54.663599201289209</v>
      </c>
      <c r="O274" s="663">
        <v>47.470068352597629</v>
      </c>
    </row>
    <row r="275" spans="2:16">
      <c r="B275" s="1"/>
      <c r="C275" s="662">
        <v>2039</v>
      </c>
      <c r="D275" s="663">
        <v>106.13404097693454</v>
      </c>
      <c r="E275" s="663">
        <v>57.740541471904386</v>
      </c>
      <c r="F275" s="663">
        <v>22.203402762241502</v>
      </c>
      <c r="G275" s="663">
        <v>91.904468695973009</v>
      </c>
      <c r="H275" s="663">
        <v>125.67385890415208</v>
      </c>
      <c r="I275" s="663">
        <v>125.67385890415208</v>
      </c>
      <c r="J275" s="663">
        <v>127.83727141998408</v>
      </c>
      <c r="K275" s="663">
        <v>123.0855279022508</v>
      </c>
      <c r="L275" s="663">
        <v>67.315708706874133</v>
      </c>
      <c r="M275" s="663">
        <v>77.818193496822346</v>
      </c>
      <c r="N275" s="663">
        <v>54.908384160416688</v>
      </c>
      <c r="O275" s="663">
        <v>47.612913346021223</v>
      </c>
    </row>
    <row r="276" spans="2:16">
      <c r="B276" s="1"/>
      <c r="C276" s="662">
        <v>2040</v>
      </c>
      <c r="D276" s="663">
        <v>107.30502693993807</v>
      </c>
      <c r="E276" s="663">
        <v>58.226230553747364</v>
      </c>
      <c r="F276" s="663">
        <v>22.241349337329673</v>
      </c>
      <c r="G276" s="663">
        <v>93.07545465897654</v>
      </c>
      <c r="H276" s="663">
        <v>126.84484486715562</v>
      </c>
      <c r="I276" s="663">
        <v>126.84484486715562</v>
      </c>
      <c r="J276" s="663">
        <v>129.00825738298761</v>
      </c>
      <c r="K276" s="663">
        <v>124.25651386525433</v>
      </c>
      <c r="L276" s="663">
        <v>67.476944797280851</v>
      </c>
      <c r="M276" s="663">
        <v>78.004585373591794</v>
      </c>
      <c r="N276" s="663">
        <v>55.153233521655096</v>
      </c>
      <c r="O276" s="663">
        <v>47.755693764652648</v>
      </c>
    </row>
    <row r="277" spans="2:16" ht="13.8">
      <c r="B277" s="1"/>
      <c r="C277" s="664" t="s">
        <v>885</v>
      </c>
      <c r="D277" s="570"/>
      <c r="E277" s="570"/>
      <c r="G277" s="570"/>
      <c r="H277" s="570"/>
      <c r="I277" s="570"/>
      <c r="J277" s="570"/>
      <c r="K277" s="570"/>
      <c r="L277" s="570"/>
      <c r="M277" s="570"/>
      <c r="N277" s="570"/>
      <c r="O277" s="570"/>
    </row>
    <row r="278" spans="2:16">
      <c r="B278" s="1"/>
      <c r="C278" s="567"/>
      <c r="D278" s="570"/>
      <c r="E278" s="570"/>
      <c r="G278" s="570"/>
      <c r="H278" s="570"/>
      <c r="I278" s="570"/>
      <c r="J278" s="570"/>
      <c r="K278" s="570"/>
      <c r="L278" s="570"/>
      <c r="M278" s="570"/>
      <c r="N278" s="570"/>
      <c r="O278" s="570"/>
    </row>
    <row r="279" spans="2:16">
      <c r="B279" s="1"/>
      <c r="C279" s="1"/>
      <c r="D279" s="1"/>
      <c r="E279" s="6"/>
      <c r="F279" s="4"/>
    </row>
    <row r="280" spans="2:16">
      <c r="B280" s="1"/>
      <c r="C280" s="1"/>
      <c r="D280" s="1"/>
      <c r="E280" s="6"/>
      <c r="F280" s="4"/>
    </row>
    <row r="281" spans="2:16" ht="21">
      <c r="B281" s="1"/>
      <c r="C281" s="808" t="s">
        <v>1100</v>
      </c>
      <c r="D281" s="695" t="s">
        <v>93</v>
      </c>
      <c r="E281" s="695" t="s">
        <v>41</v>
      </c>
      <c r="F281" s="695" t="s">
        <v>40</v>
      </c>
      <c r="G281" s="695" t="s">
        <v>44</v>
      </c>
      <c r="H281" s="695"/>
      <c r="I281" s="695" t="s">
        <v>45</v>
      </c>
      <c r="J281" s="695" t="s">
        <v>76</v>
      </c>
      <c r="K281" s="695" t="s">
        <v>79</v>
      </c>
      <c r="L281" s="695"/>
      <c r="M281" s="695" t="s">
        <v>72</v>
      </c>
      <c r="N281" s="695" t="s">
        <v>73</v>
      </c>
      <c r="O281" s="695" t="s">
        <v>43</v>
      </c>
      <c r="P281" s="695"/>
    </row>
    <row r="282" spans="2:16">
      <c r="B282" s="1"/>
      <c r="C282" s="809" t="s">
        <v>876</v>
      </c>
      <c r="D282" s="806"/>
      <c r="E282" s="810"/>
      <c r="F282" s="810"/>
      <c r="G282" s="810"/>
      <c r="H282" s="810"/>
      <c r="I282" s="810"/>
      <c r="J282" s="810"/>
      <c r="K282" s="810"/>
      <c r="L282" s="810"/>
      <c r="M282" s="810"/>
      <c r="N282" s="811"/>
      <c r="O282" s="812"/>
      <c r="P282" s="695"/>
    </row>
    <row r="283" spans="2:16" ht="24.6" thickBot="1">
      <c r="B283" s="1"/>
      <c r="C283" s="809"/>
      <c r="D283" s="813" t="s">
        <v>444</v>
      </c>
      <c r="E283" s="814" t="s">
        <v>438</v>
      </c>
      <c r="F283" s="813" t="s">
        <v>443</v>
      </c>
      <c r="G283" s="813" t="s">
        <v>879</v>
      </c>
      <c r="H283" s="813" t="s">
        <v>880</v>
      </c>
      <c r="I283" s="813" t="s">
        <v>51</v>
      </c>
      <c r="J283" s="813" t="s">
        <v>881</v>
      </c>
      <c r="K283" s="813" t="s">
        <v>199</v>
      </c>
      <c r="L283" s="814" t="s">
        <v>882</v>
      </c>
      <c r="M283" s="814" t="s">
        <v>883</v>
      </c>
      <c r="N283" s="814" t="s">
        <v>884</v>
      </c>
      <c r="O283" s="812" t="s">
        <v>436</v>
      </c>
      <c r="P283" s="814" t="s">
        <v>1101</v>
      </c>
    </row>
    <row r="284" spans="2:16" ht="13.8" thickBot="1">
      <c r="B284" s="1"/>
      <c r="C284" s="815">
        <v>2018</v>
      </c>
      <c r="D284" s="816">
        <v>78.592912119302227</v>
      </c>
      <c r="E284" s="817">
        <v>53.422183381850253</v>
      </c>
      <c r="F284" s="817">
        <v>22.935796128023767</v>
      </c>
      <c r="G284" s="817">
        <v>67.735141438725293</v>
      </c>
      <c r="H284" s="817">
        <v>101.50107579472352</v>
      </c>
      <c r="I284" s="816">
        <v>101.50107579472352</v>
      </c>
      <c r="J284" s="816">
        <v>102.40107579472352</v>
      </c>
      <c r="K284" s="816">
        <v>99.501075794723519</v>
      </c>
      <c r="L284" s="816">
        <v>69.494890781791952</v>
      </c>
      <c r="M284" s="816">
        <v>69.494890781791952</v>
      </c>
      <c r="N284" s="816">
        <v>45.179472202489855</v>
      </c>
      <c r="O284" s="818">
        <v>41.634898055339931</v>
      </c>
      <c r="P284" s="816">
        <v>1.018306654608963</v>
      </c>
    </row>
    <row r="285" spans="2:16">
      <c r="B285" s="1"/>
      <c r="C285" s="815">
        <v>2019</v>
      </c>
      <c r="D285" s="816">
        <v>72.66780821917807</v>
      </c>
      <c r="E285" s="817">
        <v>34.261011240620462</v>
      </c>
      <c r="F285" s="817">
        <v>15.532766006190153</v>
      </c>
      <c r="G285" s="817">
        <v>61.821029259474152</v>
      </c>
      <c r="H285" s="817">
        <v>95.586963615472371</v>
      </c>
      <c r="I285" s="816">
        <v>95.586963615472371</v>
      </c>
      <c r="J285" s="816">
        <v>97.746963615472367</v>
      </c>
      <c r="K285" s="816">
        <v>92.996963615472367</v>
      </c>
      <c r="L285" s="816">
        <v>69.433019142282461</v>
      </c>
      <c r="M285" s="816">
        <v>79.702433091587693</v>
      </c>
      <c r="N285" s="816">
        <v>45.117600562980392</v>
      </c>
      <c r="O285" s="818">
        <v>41.634898055339931</v>
      </c>
      <c r="P285" s="816">
        <v>0.99989766317485917</v>
      </c>
    </row>
    <row r="286" spans="2:16">
      <c r="B286" s="1"/>
      <c r="C286" s="815">
        <v>2020</v>
      </c>
      <c r="D286" s="816">
        <v>71.191547947610658</v>
      </c>
      <c r="E286" s="817">
        <v>33.397849986482257</v>
      </c>
      <c r="F286" s="817">
        <v>12.929551889587877</v>
      </c>
      <c r="G286" s="817">
        <v>60.341090730548601</v>
      </c>
      <c r="H286" s="817">
        <v>94.107025086546813</v>
      </c>
      <c r="I286" s="816">
        <v>94.107025086546813</v>
      </c>
      <c r="J286" s="816">
        <v>96.267025086546809</v>
      </c>
      <c r="K286" s="816">
        <v>91.517025086546809</v>
      </c>
      <c r="L286" s="816">
        <v>59.910194122791161</v>
      </c>
      <c r="M286" s="816">
        <v>70.05883849089301</v>
      </c>
      <c r="N286" s="816">
        <v>45.248389703133633</v>
      </c>
      <c r="O286" s="819">
        <v>41.962449107096752</v>
      </c>
      <c r="P286" s="816">
        <v>0.97786502855281787</v>
      </c>
    </row>
    <row r="287" spans="2:16">
      <c r="B287" s="1"/>
      <c r="C287" s="815">
        <v>2021</v>
      </c>
      <c r="D287" s="816">
        <v>49.181117057429148</v>
      </c>
      <c r="E287" s="817">
        <v>31.525290025438199</v>
      </c>
      <c r="F287" s="817">
        <v>13.166058954324894</v>
      </c>
      <c r="G287" s="817">
        <v>38.35700531918522</v>
      </c>
      <c r="H287" s="817">
        <v>72.122939675183432</v>
      </c>
      <c r="I287" s="816">
        <v>72.122939675183432</v>
      </c>
      <c r="J287" s="816">
        <v>74.282939675183428</v>
      </c>
      <c r="K287" s="816">
        <v>69.532939675183428</v>
      </c>
      <c r="L287" s="816">
        <v>62.854344413402906</v>
      </c>
      <c r="M287" s="816">
        <v>72.96988813207048</v>
      </c>
      <c r="N287" s="816">
        <v>45.190250127598674</v>
      </c>
      <c r="O287" s="819">
        <v>42.37591413450582</v>
      </c>
      <c r="P287" s="816">
        <v>0.96452741381447771</v>
      </c>
    </row>
    <row r="288" spans="2:16">
      <c r="B288" s="1"/>
      <c r="C288" s="815">
        <v>2022</v>
      </c>
      <c r="D288" s="816">
        <v>52.581323432074825</v>
      </c>
      <c r="E288" s="817">
        <v>32.762548621541896</v>
      </c>
      <c r="F288" s="817">
        <v>13.673473481430243</v>
      </c>
      <c r="G288" s="817">
        <v>41.765504189889249</v>
      </c>
      <c r="H288" s="817">
        <v>75.531438545887454</v>
      </c>
      <c r="I288" s="816">
        <v>75.531438545887454</v>
      </c>
      <c r="J288" s="816">
        <v>77.691438545887451</v>
      </c>
      <c r="K288" s="816">
        <v>72.941438545887451</v>
      </c>
      <c r="L288" s="816">
        <v>63.172513966646889</v>
      </c>
      <c r="M288" s="816">
        <v>73.266464764716645</v>
      </c>
      <c r="N288" s="816">
        <v>45.392121473736516</v>
      </c>
      <c r="O288" s="819">
        <v>42.791201303703261</v>
      </c>
      <c r="P288" s="816">
        <v>0.94807328173912164</v>
      </c>
    </row>
    <row r="289" spans="2:16">
      <c r="B289" s="1"/>
      <c r="C289" s="815">
        <v>2023</v>
      </c>
      <c r="D289" s="816">
        <v>54.889966476332738</v>
      </c>
      <c r="E289" s="817">
        <v>33.367688312875465</v>
      </c>
      <c r="F289" s="817">
        <v>14.173926683886389</v>
      </c>
      <c r="G289" s="817">
        <v>44.088588085044584</v>
      </c>
      <c r="H289" s="817">
        <v>77.854522441042789</v>
      </c>
      <c r="I289" s="816">
        <v>77.854522441042789</v>
      </c>
      <c r="J289" s="816">
        <v>80.014522441042786</v>
      </c>
      <c r="K289" s="816">
        <v>75.264522441042786</v>
      </c>
      <c r="L289" s="816">
        <v>62.478874618815077</v>
      </c>
      <c r="M289" s="816">
        <v>72.556552851440529</v>
      </c>
      <c r="N289" s="816">
        <v>45.644433925671841</v>
      </c>
      <c r="O289" s="819">
        <v>43.208184541451871</v>
      </c>
      <c r="P289" s="816">
        <v>0.93311916436423892</v>
      </c>
    </row>
    <row r="290" spans="2:16">
      <c r="B290" s="1"/>
      <c r="C290" s="815">
        <v>2024</v>
      </c>
      <c r="D290" s="816">
        <v>56.568388062461416</v>
      </c>
      <c r="E290" s="817">
        <v>33.567123920362071</v>
      </c>
      <c r="F290" s="817">
        <v>14.64740072098045</v>
      </c>
      <c r="G290" s="817">
        <v>45.786797230009718</v>
      </c>
      <c r="H290" s="817">
        <v>79.552731586007937</v>
      </c>
      <c r="I290" s="816">
        <v>79.552731586007937</v>
      </c>
      <c r="J290" s="816">
        <v>81.712731586007934</v>
      </c>
      <c r="K290" s="816">
        <v>76.962731586007934</v>
      </c>
      <c r="L290" s="816">
        <v>62.142339464339834</v>
      </c>
      <c r="M290" s="816">
        <v>72.210497880380103</v>
      </c>
      <c r="N290" s="816">
        <v>45.923015098100862</v>
      </c>
      <c r="O290" s="819">
        <v>43.626739530646304</v>
      </c>
      <c r="P290" s="816">
        <v>0.92005871726274913</v>
      </c>
    </row>
    <row r="291" spans="2:16">
      <c r="B291" s="1"/>
      <c r="C291" s="815">
        <v>2025</v>
      </c>
      <c r="D291" s="816">
        <v>57.786429057350325</v>
      </c>
      <c r="E291" s="817">
        <v>33.506083462913665</v>
      </c>
      <c r="F291" s="817">
        <v>14.580898828103843</v>
      </c>
      <c r="G291" s="817">
        <v>47.023275056537912</v>
      </c>
      <c r="H291" s="817">
        <v>80.789209412536124</v>
      </c>
      <c r="I291" s="816">
        <v>80.789209412536124</v>
      </c>
      <c r="J291" s="816">
        <v>82.949209412536121</v>
      </c>
      <c r="K291" s="816">
        <v>78.199209412536121</v>
      </c>
      <c r="L291" s="816">
        <v>61.840436911371611</v>
      </c>
      <c r="M291" s="816">
        <v>71.898055834432554</v>
      </c>
      <c r="N291" s="816">
        <v>46.207001444406053</v>
      </c>
      <c r="O291" s="819">
        <v>44.046743692103149</v>
      </c>
      <c r="P291" s="816">
        <v>0.90676241471011532</v>
      </c>
    </row>
    <row r="292" spans="2:16">
      <c r="B292" s="1"/>
      <c r="C292" s="815">
        <v>2026</v>
      </c>
      <c r="D292" s="816">
        <v>59.146270171698553</v>
      </c>
      <c r="E292" s="817">
        <v>33.467639204304064</v>
      </c>
      <c r="F292" s="817">
        <v>14.5316584938834</v>
      </c>
      <c r="G292" s="817">
        <v>48.388738394847046</v>
      </c>
      <c r="H292" s="817">
        <v>82.154672750845265</v>
      </c>
      <c r="I292" s="816">
        <v>82.154672750845265</v>
      </c>
      <c r="J292" s="816">
        <v>84.314672750845261</v>
      </c>
      <c r="K292" s="816">
        <v>79.564672750845261</v>
      </c>
      <c r="L292" s="816">
        <v>61.559038676176264</v>
      </c>
      <c r="M292" s="816">
        <v>71.654987558314588</v>
      </c>
      <c r="N292" s="816">
        <v>46.419730980267232</v>
      </c>
      <c r="O292" s="819">
        <v>44.303492323512977</v>
      </c>
      <c r="P292" s="816">
        <v>0.89032177619719322</v>
      </c>
    </row>
    <row r="293" spans="2:16">
      <c r="B293" s="1"/>
      <c r="C293" s="815">
        <v>2027</v>
      </c>
      <c r="D293" s="816">
        <v>60.478046986869018</v>
      </c>
      <c r="E293" s="817">
        <v>33.442947086231669</v>
      </c>
      <c r="F293" s="817">
        <v>14.477230593088336</v>
      </c>
      <c r="G293" s="817">
        <v>49.726877161691675</v>
      </c>
      <c r="H293" s="817">
        <v>83.492811517689887</v>
      </c>
      <c r="I293" s="816">
        <v>83.492811517689887</v>
      </c>
      <c r="J293" s="816">
        <v>85.652811517689884</v>
      </c>
      <c r="K293" s="816">
        <v>80.902811517689884</v>
      </c>
      <c r="L293" s="816">
        <v>61.304552221855602</v>
      </c>
      <c r="M293" s="816">
        <v>71.438770667888747</v>
      </c>
      <c r="N293" s="816">
        <v>46.631059323825987</v>
      </c>
      <c r="O293" s="819">
        <v>44.56044844066794</v>
      </c>
      <c r="P293" s="816">
        <v>0.87425828973292308</v>
      </c>
    </row>
    <row r="294" spans="2:16">
      <c r="B294" s="1"/>
      <c r="C294" s="815">
        <v>2028</v>
      </c>
      <c r="D294" s="816">
        <v>61.703174257304624</v>
      </c>
      <c r="E294" s="817">
        <v>33.42179959045346</v>
      </c>
      <c r="F294" s="817">
        <v>14.413190648189367</v>
      </c>
      <c r="G294" s="817">
        <v>50.957998458731836</v>
      </c>
      <c r="H294" s="817">
        <v>84.723932814730048</v>
      </c>
      <c r="I294" s="816">
        <v>84.723932814730048</v>
      </c>
      <c r="J294" s="816">
        <v>86.883932814730045</v>
      </c>
      <c r="K294" s="816">
        <v>82.133932814730045</v>
      </c>
      <c r="L294" s="816">
        <v>61.075127920444082</v>
      </c>
      <c r="M294" s="816">
        <v>71.247553781993901</v>
      </c>
      <c r="N294" s="816">
        <v>46.839924523073165</v>
      </c>
      <c r="O294" s="819">
        <v>44.817607952103295</v>
      </c>
      <c r="P294" s="816">
        <v>0.85823047344328252</v>
      </c>
    </row>
    <row r="295" spans="2:16">
      <c r="B295" s="1"/>
      <c r="C295" s="815">
        <v>2029</v>
      </c>
      <c r="D295" s="816">
        <v>62.989602327697277</v>
      </c>
      <c r="E295" s="817">
        <v>33.414220248022303</v>
      </c>
      <c r="F295" s="817">
        <v>14.343963605486476</v>
      </c>
      <c r="G295" s="817">
        <v>52.250750345664912</v>
      </c>
      <c r="H295" s="817">
        <v>86.016684701663124</v>
      </c>
      <c r="I295" s="816">
        <v>86.016684701663124</v>
      </c>
      <c r="J295" s="816">
        <v>88.17668470166312</v>
      </c>
      <c r="K295" s="816">
        <v>83.42668470166312</v>
      </c>
      <c r="L295" s="816">
        <v>60.879811326662022</v>
      </c>
      <c r="M295" s="816">
        <v>71.090380717662555</v>
      </c>
      <c r="N295" s="816">
        <v>47.054043906757286</v>
      </c>
      <c r="O295" s="819">
        <v>45.074966809344929</v>
      </c>
      <c r="P295" s="816">
        <v>0.84270389124070177</v>
      </c>
    </row>
    <row r="296" spans="2:16">
      <c r="B296" s="1"/>
      <c r="C296" s="815">
        <v>2030</v>
      </c>
      <c r="D296" s="816">
        <v>64.209121548162642</v>
      </c>
      <c r="E296" s="817">
        <v>33.412152610409883</v>
      </c>
      <c r="F296" s="817">
        <v>14.266503152082981</v>
      </c>
      <c r="G296" s="817">
        <v>53.473940246602353</v>
      </c>
      <c r="H296" s="817">
        <v>87.239874602600565</v>
      </c>
      <c r="I296" s="816">
        <v>87.239874602600565</v>
      </c>
      <c r="J296" s="816">
        <v>89.399874602600562</v>
      </c>
      <c r="K296" s="816">
        <v>84.649874602600562</v>
      </c>
      <c r="L296" s="816">
        <v>60.705878120268423</v>
      </c>
      <c r="M296" s="816">
        <v>70.954525432358807</v>
      </c>
      <c r="N296" s="816">
        <v>47.263106384197172</v>
      </c>
      <c r="O296" s="819">
        <v>45.332521006394593</v>
      </c>
      <c r="P296" s="816">
        <v>0.8270052796536449</v>
      </c>
    </row>
    <row r="297" spans="2:16">
      <c r="B297" s="1"/>
      <c r="C297" s="815">
        <v>2031</v>
      </c>
      <c r="D297" s="816">
        <v>63.901532941943884</v>
      </c>
      <c r="E297" s="817">
        <v>33.458238338148384</v>
      </c>
      <c r="F297" s="817">
        <v>14.23069306413351</v>
      </c>
      <c r="G297" s="817">
        <v>53.16779648439951</v>
      </c>
      <c r="H297" s="817">
        <v>86.933730840397715</v>
      </c>
      <c r="I297" s="816">
        <v>86.933730840397715</v>
      </c>
      <c r="J297" s="816">
        <v>89.093730840397711</v>
      </c>
      <c r="K297" s="816">
        <v>84.343730840397711</v>
      </c>
      <c r="L297" s="816">
        <v>60.70433047636952</v>
      </c>
      <c r="M297" s="816">
        <v>70.98353554352687</v>
      </c>
      <c r="N297" s="816">
        <v>47.363169268373781</v>
      </c>
      <c r="O297" s="819">
        <v>45.549544275390517</v>
      </c>
      <c r="P297" s="816">
        <v>0.81075933244600917</v>
      </c>
    </row>
    <row r="298" spans="2:16">
      <c r="B298" s="1"/>
      <c r="C298" s="815">
        <v>2032</v>
      </c>
      <c r="D298" s="816">
        <v>63.593944335725141</v>
      </c>
      <c r="E298" s="817">
        <v>33.504324065886884</v>
      </c>
      <c r="F298" s="817">
        <v>14.195037264254136</v>
      </c>
      <c r="G298" s="817">
        <v>52.860920537900107</v>
      </c>
      <c r="H298" s="817">
        <v>86.626854893898326</v>
      </c>
      <c r="I298" s="816">
        <v>86.626854893898326</v>
      </c>
      <c r="J298" s="816">
        <v>88.786854893898322</v>
      </c>
      <c r="K298" s="816">
        <v>84.036854893898322</v>
      </c>
      <c r="L298" s="816">
        <v>60.702548817291905</v>
      </c>
      <c r="M298" s="816">
        <v>71.012297087670845</v>
      </c>
      <c r="N298" s="816">
        <v>47.463048827686151</v>
      </c>
      <c r="O298" s="819">
        <v>45.766845997017583</v>
      </c>
      <c r="P298" s="816">
        <v>0.79472100056409223</v>
      </c>
    </row>
    <row r="299" spans="2:16">
      <c r="B299" s="1"/>
      <c r="C299" s="815">
        <v>2033</v>
      </c>
      <c r="D299" s="816">
        <v>63.286355729506404</v>
      </c>
      <c r="E299" s="817">
        <v>33.550409793625377</v>
      </c>
      <c r="F299" s="817">
        <v>14.159114470166005</v>
      </c>
      <c r="G299" s="817">
        <v>52.55531163017308</v>
      </c>
      <c r="H299" s="817">
        <v>86.321245986171292</v>
      </c>
      <c r="I299" s="816">
        <v>86.321245986171292</v>
      </c>
      <c r="J299" s="816">
        <v>88.481245986171288</v>
      </c>
      <c r="K299" s="816">
        <v>83.731245986171288</v>
      </c>
      <c r="L299" s="816">
        <v>60.700536499539886</v>
      </c>
      <c r="M299" s="816">
        <v>71.040811038704931</v>
      </c>
      <c r="N299" s="816">
        <v>47.562746231205452</v>
      </c>
      <c r="O299" s="819">
        <v>45.93621057509371</v>
      </c>
      <c r="P299" s="816">
        <v>0.77922098994212197</v>
      </c>
    </row>
    <row r="300" spans="2:16">
      <c r="B300" s="1"/>
      <c r="C300" s="815">
        <v>2034</v>
      </c>
      <c r="D300" s="816">
        <v>62.978767123287653</v>
      </c>
      <c r="E300" s="817">
        <v>33.59649552136387</v>
      </c>
      <c r="F300" s="817">
        <v>14.123353426479357</v>
      </c>
      <c r="G300" s="817">
        <v>52.248935125159633</v>
      </c>
      <c r="H300" s="817">
        <v>86.014869481157845</v>
      </c>
      <c r="I300" s="816">
        <v>86.014869481157845</v>
      </c>
      <c r="J300" s="816">
        <v>88.174869481157842</v>
      </c>
      <c r="K300" s="816">
        <v>83.424869481157842</v>
      </c>
      <c r="L300" s="816">
        <v>60.698296822060883</v>
      </c>
      <c r="M300" s="816">
        <v>71.069078333891227</v>
      </c>
      <c r="N300" s="816">
        <v>47.662262629564232</v>
      </c>
      <c r="O300" s="819">
        <v>46.091987325464736</v>
      </c>
      <c r="P300" s="816">
        <v>0.76390612340968655</v>
      </c>
    </row>
    <row r="301" spans="2:16">
      <c r="B301" s="1"/>
      <c r="C301" s="815">
        <v>2035</v>
      </c>
      <c r="D301" s="816">
        <v>62.671178517068917</v>
      </c>
      <c r="E301" s="817">
        <v>33.642581249102378</v>
      </c>
      <c r="F301" s="817">
        <v>14.087572006623748</v>
      </c>
      <c r="G301" s="817">
        <v>51.942655316610988</v>
      </c>
      <c r="H301" s="817">
        <v>85.708589672609207</v>
      </c>
      <c r="I301" s="816">
        <v>85.708589672609207</v>
      </c>
      <c r="J301" s="816">
        <v>87.868589672609204</v>
      </c>
      <c r="K301" s="816">
        <v>83.118589672609204</v>
      </c>
      <c r="L301" s="816">
        <v>60.695833026853684</v>
      </c>
      <c r="M301" s="816">
        <v>71.097099874290336</v>
      </c>
      <c r="N301" s="816">
        <v>47.761599155151828</v>
      </c>
      <c r="O301" s="819">
        <v>46.247727566987081</v>
      </c>
      <c r="P301" s="816">
        <v>0.74916462069632617</v>
      </c>
    </row>
    <row r="302" spans="2:16">
      <c r="B302" s="1"/>
      <c r="C302" s="815">
        <v>2036</v>
      </c>
      <c r="D302" s="816">
        <v>62.363589910850173</v>
      </c>
      <c r="E302" s="817">
        <v>33.688666976840878</v>
      </c>
      <c r="F302" s="817">
        <v>14.051985690698709</v>
      </c>
      <c r="G302" s="817">
        <v>51.635449629385747</v>
      </c>
      <c r="H302" s="817">
        <v>85.401383985383958</v>
      </c>
      <c r="I302" s="816">
        <v>85.401383985383958</v>
      </c>
      <c r="J302" s="816">
        <v>87.561383985383955</v>
      </c>
      <c r="K302" s="816">
        <v>82.811383985383955</v>
      </c>
      <c r="L302" s="816">
        <v>60.689945389690699</v>
      </c>
      <c r="M302" s="816">
        <v>71.116603103597413</v>
      </c>
      <c r="N302" s="816">
        <v>47.861557709026719</v>
      </c>
      <c r="O302" s="819">
        <v>46.390503884981669</v>
      </c>
      <c r="P302" s="816">
        <v>0.73451354156952464</v>
      </c>
    </row>
    <row r="303" spans="2:16">
      <c r="B303" s="1"/>
      <c r="C303" s="815">
        <v>2037</v>
      </c>
      <c r="D303" s="816">
        <v>62.056001304631437</v>
      </c>
      <c r="E303" s="817">
        <v>33.734752704579364</v>
      </c>
      <c r="F303" s="817">
        <v>14.016171250456402</v>
      </c>
      <c r="G303" s="817">
        <v>51.329326521277956</v>
      </c>
      <c r="H303" s="817">
        <v>85.095260877276161</v>
      </c>
      <c r="I303" s="816">
        <v>85.095260877276161</v>
      </c>
      <c r="J303" s="816">
        <v>87.255260877276157</v>
      </c>
      <c r="K303" s="816">
        <v>82.505260877276157</v>
      </c>
      <c r="L303" s="816">
        <v>60.683892039969457</v>
      </c>
      <c r="M303" s="816">
        <v>71.135883985569592</v>
      </c>
      <c r="N303" s="816">
        <v>47.961224086497161</v>
      </c>
      <c r="O303" s="819">
        <v>46.533237561648519</v>
      </c>
      <c r="P303" s="816">
        <v>0.7203713017339497</v>
      </c>
    </row>
    <row r="304" spans="2:16">
      <c r="B304" s="1"/>
      <c r="C304" s="815">
        <v>2038</v>
      </c>
      <c r="D304" s="816">
        <v>61.7484126984127</v>
      </c>
      <c r="E304" s="817">
        <v>33.780838432317864</v>
      </c>
      <c r="F304" s="817">
        <v>13.980510738351196</v>
      </c>
      <c r="G304" s="817">
        <v>51.022472936959623</v>
      </c>
      <c r="H304" s="817">
        <v>84.788407292957842</v>
      </c>
      <c r="I304" s="816">
        <v>84.788407292957842</v>
      </c>
      <c r="J304" s="816">
        <v>86.948407292957839</v>
      </c>
      <c r="K304" s="816">
        <v>82.198407292957839</v>
      </c>
      <c r="L304" s="816">
        <v>60.677675969854107</v>
      </c>
      <c r="M304" s="816">
        <v>71.154944080579142</v>
      </c>
      <c r="N304" s="816">
        <v>48.06060022028862</v>
      </c>
      <c r="O304" s="819">
        <v>46.675927978934773</v>
      </c>
      <c r="P304" s="816">
        <v>0.70635417245409327</v>
      </c>
    </row>
    <row r="305" spans="2:16">
      <c r="B305" s="1"/>
      <c r="C305" s="815">
        <v>2039</v>
      </c>
      <c r="D305" s="816">
        <v>61.440824092193949</v>
      </c>
      <c r="E305" s="817">
        <v>33.82692416005635</v>
      </c>
      <c r="F305" s="817">
        <v>13.944654498795146</v>
      </c>
      <c r="G305" s="817">
        <v>50.716548190274779</v>
      </c>
      <c r="H305" s="817">
        <v>84.48248254627299</v>
      </c>
      <c r="I305" s="816">
        <v>84.48248254627299</v>
      </c>
      <c r="J305" s="816">
        <v>86.642482546272987</v>
      </c>
      <c r="K305" s="816">
        <v>81.892482546272987</v>
      </c>
      <c r="L305" s="816">
        <v>60.671300113152753</v>
      </c>
      <c r="M305" s="816">
        <v>71.173784903100966</v>
      </c>
      <c r="N305" s="816">
        <v>48.159688016832391</v>
      </c>
      <c r="O305" s="819">
        <v>46.818574524689666</v>
      </c>
      <c r="P305" s="816">
        <v>0.69279308789802307</v>
      </c>
    </row>
    <row r="306" spans="2:16" ht="13.8" thickBot="1">
      <c r="B306" s="1"/>
      <c r="C306" s="815">
        <v>2040</v>
      </c>
      <c r="D306" s="816">
        <v>61.133235485975206</v>
      </c>
      <c r="E306" s="817">
        <v>33.873009887794851</v>
      </c>
      <c r="F306" s="817">
        <v>13.908861871625055</v>
      </c>
      <c r="G306" s="817">
        <v>50.410321566782294</v>
      </c>
      <c r="H306" s="817">
        <v>84.176255922780513</v>
      </c>
      <c r="I306" s="816">
        <v>84.176255922780513</v>
      </c>
      <c r="J306" s="816">
        <v>86.336255922780509</v>
      </c>
      <c r="K306" s="816">
        <v>81.586255922780509</v>
      </c>
      <c r="L306" s="816">
        <v>60.664767346129707</v>
      </c>
      <c r="M306" s="816">
        <v>71.192407922440651</v>
      </c>
      <c r="N306" s="816">
        <v>48.258489356547372</v>
      </c>
      <c r="O306" s="820">
        <v>46.961176592602918</v>
      </c>
      <c r="P306" s="816">
        <v>0.67943380134157572</v>
      </c>
    </row>
    <row r="307" spans="2:16" ht="13.8" thickBot="1">
      <c r="B307" s="1"/>
      <c r="C307" s="815">
        <v>2041</v>
      </c>
      <c r="D307" s="816">
        <v>60.825646879756469</v>
      </c>
      <c r="E307" s="817">
        <v>33.919095615533351</v>
      </c>
      <c r="F307" s="817">
        <v>13.873069138182171</v>
      </c>
      <c r="G307" s="817">
        <v>50.104095447614391</v>
      </c>
      <c r="H307" s="817">
        <v>83.87002980361261</v>
      </c>
      <c r="I307" s="816">
        <v>83.87002980361261</v>
      </c>
      <c r="J307" s="816">
        <v>86.030029803612607</v>
      </c>
      <c r="K307" s="816">
        <v>81.280029803612607</v>
      </c>
      <c r="L307" s="816">
        <v>60.675957923099851</v>
      </c>
      <c r="M307" s="816">
        <v>60.675957923099851</v>
      </c>
      <c r="N307" s="816">
        <v>48.37762671431922</v>
      </c>
      <c r="O307" s="820">
        <v>46.961176592602918</v>
      </c>
      <c r="P307" s="816">
        <v>0.66633212494379612</v>
      </c>
    </row>
    <row r="308" spans="2:16" ht="13.8" thickBot="1">
      <c r="B308" s="1"/>
      <c r="C308" s="815">
        <v>2042</v>
      </c>
      <c r="D308" s="816">
        <v>60.518058273537719</v>
      </c>
      <c r="E308" s="817">
        <v>33.965181343271844</v>
      </c>
      <c r="F308" s="817">
        <v>13.836610452807903</v>
      </c>
      <c r="G308" s="817">
        <v>49.801029647621633</v>
      </c>
      <c r="H308" s="817">
        <v>83.566964003619859</v>
      </c>
      <c r="I308" s="816">
        <v>83.566964003619859</v>
      </c>
      <c r="J308" s="816">
        <v>85.726964003619855</v>
      </c>
      <c r="K308" s="816">
        <v>80.976964003619855</v>
      </c>
      <c r="L308" s="816">
        <v>60.68702193291076</v>
      </c>
      <c r="M308" s="816">
        <v>60.68702193291076</v>
      </c>
      <c r="N308" s="816">
        <v>48.496315696545963</v>
      </c>
      <c r="O308" s="820">
        <v>46.961176592602918</v>
      </c>
      <c r="P308" s="816">
        <v>0.65407068774474553</v>
      </c>
    </row>
    <row r="309" spans="2:16" ht="13.8" thickBot="1">
      <c r="B309" s="1"/>
      <c r="C309" s="815">
        <v>2043</v>
      </c>
      <c r="D309" s="816">
        <v>60.210469667318975</v>
      </c>
      <c r="E309" s="817">
        <v>34.011267071010337</v>
      </c>
      <c r="F309" s="817">
        <v>13.800150557366436</v>
      </c>
      <c r="G309" s="817">
        <v>49.497969590083216</v>
      </c>
      <c r="H309" s="817">
        <v>83.263903946081427</v>
      </c>
      <c r="I309" s="816">
        <v>83.263903946081427</v>
      </c>
      <c r="J309" s="816">
        <v>85.423903946081424</v>
      </c>
      <c r="K309" s="816">
        <v>80.673903946081424</v>
      </c>
      <c r="L309" s="816">
        <v>60.697960969252613</v>
      </c>
      <c r="M309" s="816">
        <v>60.697960969252613</v>
      </c>
      <c r="N309" s="816">
        <v>48.614559135690349</v>
      </c>
      <c r="O309" s="820">
        <v>46.961176592602918</v>
      </c>
      <c r="P309" s="816">
        <v>0.64203487803168602</v>
      </c>
    </row>
    <row r="310" spans="2:16" ht="13.8" thickBot="1">
      <c r="B310" s="1"/>
      <c r="C310" s="815">
        <v>2044</v>
      </c>
      <c r="D310" s="816">
        <v>59.902881061100238</v>
      </c>
      <c r="E310" s="817">
        <v>34.057352798748838</v>
      </c>
      <c r="F310" s="817">
        <v>13.763689450310618</v>
      </c>
      <c r="G310" s="817">
        <v>49.19491528234127</v>
      </c>
      <c r="H310" s="817">
        <v>82.960849638339482</v>
      </c>
      <c r="I310" s="816">
        <v>82.960849638339482</v>
      </c>
      <c r="J310" s="816">
        <v>85.120849638339479</v>
      </c>
      <c r="K310" s="816">
        <v>80.370849638339479</v>
      </c>
      <c r="L310" s="816">
        <v>60.70877659234629</v>
      </c>
      <c r="M310" s="816">
        <v>60.70877659234629</v>
      </c>
      <c r="N310" s="816">
        <v>48.73235982855357</v>
      </c>
      <c r="O310" s="820">
        <v>46.961176592602918</v>
      </c>
      <c r="P310" s="816">
        <v>0.63022054394528793</v>
      </c>
    </row>
    <row r="311" spans="2:16" ht="13.8" thickBot="1">
      <c r="B311" s="1"/>
      <c r="C311" s="815">
        <v>2045</v>
      </c>
      <c r="D311" s="816">
        <v>59.595292454881495</v>
      </c>
      <c r="E311" s="817">
        <v>34.103438526487338</v>
      </c>
      <c r="F311" s="817">
        <v>13.727227130091334</v>
      </c>
      <c r="G311" s="817">
        <v>48.89186673174725</v>
      </c>
      <c r="H311" s="817">
        <v>82.657801087745469</v>
      </c>
      <c r="I311" s="816">
        <v>82.657801087745469</v>
      </c>
      <c r="J311" s="816">
        <v>84.817801087745465</v>
      </c>
      <c r="K311" s="816">
        <v>80.067801087745465</v>
      </c>
      <c r="L311" s="816">
        <v>60.719470329291362</v>
      </c>
      <c r="M311" s="816">
        <v>60.719470329291362</v>
      </c>
      <c r="N311" s="816">
        <v>48.849720536660548</v>
      </c>
      <c r="O311" s="820">
        <v>46.961176592602918</v>
      </c>
      <c r="P311" s="816">
        <v>0.61862361002620292</v>
      </c>
    </row>
    <row r="312" spans="2:16" ht="13.8" thickBot="1">
      <c r="B312" s="1"/>
      <c r="C312" s="815">
        <v>2046</v>
      </c>
      <c r="D312" s="816">
        <v>59.287703848662751</v>
      </c>
      <c r="E312" s="817">
        <v>34.149524254225838</v>
      </c>
      <c r="F312" s="817">
        <v>13.690763595157463</v>
      </c>
      <c r="G312" s="817">
        <v>48.588823945662064</v>
      </c>
      <c r="H312" s="817">
        <v>82.354758301660269</v>
      </c>
      <c r="I312" s="816">
        <v>82.354758301660269</v>
      </c>
      <c r="J312" s="816">
        <v>84.514758301660265</v>
      </c>
      <c r="K312" s="816">
        <v>79.764758301660265</v>
      </c>
      <c r="L312" s="816">
        <v>60.774302670903623</v>
      </c>
      <c r="M312" s="816">
        <v>60.774302670903623</v>
      </c>
      <c r="N312" s="816">
        <v>49.024574818868821</v>
      </c>
      <c r="O312" s="820">
        <v>46.961176592602918</v>
      </c>
      <c r="P312" s="816">
        <v>0.60724007580919959</v>
      </c>
    </row>
    <row r="313" spans="2:16" ht="13.8" thickBot="1">
      <c r="B313" s="1"/>
      <c r="C313" s="815">
        <v>2047</v>
      </c>
      <c r="D313" s="816">
        <v>58.980115242444008</v>
      </c>
      <c r="E313" s="817">
        <v>34.195609981964324</v>
      </c>
      <c r="F313" s="817">
        <v>13.654298843955917</v>
      </c>
      <c r="G313" s="817">
        <v>48.285786931455988</v>
      </c>
      <c r="H313" s="817">
        <v>82.0517212874542</v>
      </c>
      <c r="I313" s="816">
        <v>82.0517212874542</v>
      </c>
      <c r="J313" s="816">
        <v>84.211721287454196</v>
      </c>
      <c r="K313" s="816">
        <v>79.461721287454196</v>
      </c>
      <c r="L313" s="816">
        <v>60.828784329157571</v>
      </c>
      <c r="M313" s="816">
        <v>60.828784329157571</v>
      </c>
      <c r="N313" s="816">
        <v>49.198719487894593</v>
      </c>
      <c r="O313" s="820">
        <v>46.961176592602918</v>
      </c>
      <c r="P313" s="816">
        <v>0.59606601444316643</v>
      </c>
    </row>
    <row r="314" spans="2:16" ht="13.8" thickBot="1">
      <c r="B314" s="1"/>
      <c r="C314" s="815">
        <v>2048</v>
      </c>
      <c r="D314" s="816">
        <v>58.672526636225271</v>
      </c>
      <c r="E314" s="817">
        <v>34.241695709702832</v>
      </c>
      <c r="F314" s="817">
        <v>13.617832874931624</v>
      </c>
      <c r="G314" s="817">
        <v>47.982755696508768</v>
      </c>
      <c r="H314" s="817">
        <v>81.748690052506987</v>
      </c>
      <c r="I314" s="816">
        <v>81.748690052506987</v>
      </c>
      <c r="J314" s="816">
        <v>83.908690052506984</v>
      </c>
      <c r="K314" s="816">
        <v>79.158690052506984</v>
      </c>
      <c r="L314" s="816">
        <v>60.882916997101603</v>
      </c>
      <c r="M314" s="816">
        <v>60.882916997101603</v>
      </c>
      <c r="N314" s="816">
        <v>49.372158440659689</v>
      </c>
      <c r="O314" s="820">
        <v>46.961176592602918</v>
      </c>
      <c r="P314" s="816">
        <v>0.58509757133651041</v>
      </c>
    </row>
    <row r="315" spans="2:16" ht="13.8" thickBot="1">
      <c r="B315" s="1"/>
      <c r="C315" s="815">
        <v>2049</v>
      </c>
      <c r="D315" s="816">
        <v>58.364938030006527</v>
      </c>
      <c r="E315" s="817">
        <v>34.287781437441318</v>
      </c>
      <c r="F315" s="817">
        <v>13.581365686527514</v>
      </c>
      <c r="G315" s="817">
        <v>47.679730248209545</v>
      </c>
      <c r="H315" s="817">
        <v>81.445664604207764</v>
      </c>
      <c r="I315" s="816">
        <v>81.445664604207764</v>
      </c>
      <c r="J315" s="816">
        <v>83.60566460420776</v>
      </c>
      <c r="K315" s="816">
        <v>78.85566460420776</v>
      </c>
      <c r="L315" s="816">
        <v>60.936702331670006</v>
      </c>
      <c r="M315" s="816">
        <v>60.936702331670006</v>
      </c>
      <c r="N315" s="816">
        <v>49.544895527221009</v>
      </c>
      <c r="O315" s="820">
        <v>46.961176592602918</v>
      </c>
      <c r="P315" s="816">
        <v>0.57433096282748075</v>
      </c>
    </row>
    <row r="316" spans="2:16" ht="13.8" thickBot="1">
      <c r="B316" s="1"/>
      <c r="C316" s="815">
        <v>2050</v>
      </c>
      <c r="D316" s="816">
        <v>58.057349423787784</v>
      </c>
      <c r="E316" s="817">
        <v>34.333867165179825</v>
      </c>
      <c r="F316" s="817">
        <v>13.544897277184536</v>
      </c>
      <c r="G316" s="817">
        <v>47.376710593956936</v>
      </c>
      <c r="H316" s="817">
        <v>81.142644949955155</v>
      </c>
      <c r="I316" s="816">
        <v>81.142644949955155</v>
      </c>
      <c r="J316" s="816">
        <v>83.302644949955152</v>
      </c>
      <c r="K316" s="816">
        <v>78.552644949955152</v>
      </c>
      <c r="L316" s="816">
        <v>60.990141954059872</v>
      </c>
      <c r="M316" s="816">
        <v>60.990141954059872</v>
      </c>
      <c r="N316" s="816">
        <v>49.716934551280723</v>
      </c>
      <c r="O316" s="820">
        <v>46.961176592602918</v>
      </c>
      <c r="P316" s="816">
        <v>0.56376247487896203</v>
      </c>
    </row>
    <row r="317" spans="2:16">
      <c r="B317" s="1"/>
      <c r="C317" s="1"/>
      <c r="D317" s="1"/>
      <c r="E317" s="6"/>
      <c r="F317" s="4"/>
    </row>
    <row r="318" spans="2:16">
      <c r="B318" s="1"/>
      <c r="C318" s="1"/>
      <c r="D318" s="1"/>
      <c r="E318" s="6"/>
      <c r="F318" s="4"/>
    </row>
    <row r="319" spans="2:16">
      <c r="B319" s="1"/>
      <c r="C319" s="1"/>
      <c r="D319" s="1"/>
      <c r="E319" s="6"/>
      <c r="F319" s="4"/>
    </row>
    <row r="320" spans="2:16">
      <c r="B320" s="1"/>
      <c r="C320" s="1"/>
      <c r="D320" s="1"/>
      <c r="E320" s="6"/>
      <c r="F320" s="4"/>
    </row>
    <row r="321" spans="2:6">
      <c r="B321" s="1"/>
      <c r="C321" s="1"/>
      <c r="D321" s="1"/>
      <c r="E321" s="6"/>
      <c r="F321" s="4"/>
    </row>
    <row r="322" spans="2:6">
      <c r="B322" s="1"/>
      <c r="C322" s="1"/>
      <c r="D322" s="1"/>
      <c r="E322" s="6"/>
      <c r="F322" s="4"/>
    </row>
    <row r="323" spans="2:6">
      <c r="B323" s="1"/>
      <c r="C323" s="1"/>
      <c r="D323" s="1"/>
      <c r="E323" s="6"/>
      <c r="F323" s="4"/>
    </row>
    <row r="324" spans="2:6">
      <c r="B324" s="1"/>
      <c r="C324" s="1"/>
      <c r="D324" s="1"/>
      <c r="E324" s="6"/>
      <c r="F324" s="4"/>
    </row>
    <row r="325" spans="2:6">
      <c r="B325" s="1"/>
      <c r="C325" s="1"/>
      <c r="D325" s="1"/>
      <c r="E325" s="6"/>
      <c r="F325" s="4"/>
    </row>
    <row r="326" spans="2:6">
      <c r="B326" s="1"/>
      <c r="C326" s="1"/>
      <c r="D326" s="1"/>
      <c r="E326" s="6"/>
      <c r="F326" s="4"/>
    </row>
    <row r="327" spans="2:6">
      <c r="B327" s="1"/>
      <c r="C327" s="1"/>
      <c r="D327" s="1"/>
      <c r="E327" s="6"/>
      <c r="F327" s="4"/>
    </row>
    <row r="328" spans="2:6">
      <c r="B328" s="1"/>
      <c r="C328" s="1"/>
      <c r="D328" s="1"/>
      <c r="E328" s="6"/>
      <c r="F328" s="4"/>
    </row>
    <row r="329" spans="2:6">
      <c r="B329" s="1"/>
      <c r="C329" s="1"/>
      <c r="D329" s="1"/>
      <c r="E329" s="6"/>
      <c r="F329" s="4"/>
    </row>
    <row r="330" spans="2:6">
      <c r="B330" s="1"/>
      <c r="C330" s="1"/>
      <c r="D330" s="1"/>
      <c r="E330" s="6"/>
      <c r="F330" s="4"/>
    </row>
    <row r="331" spans="2:6">
      <c r="B331" s="1"/>
      <c r="C331" s="1"/>
      <c r="D331" s="1"/>
      <c r="E331" s="6"/>
      <c r="F331" s="4"/>
    </row>
    <row r="332" spans="2:6">
      <c r="B332" s="1"/>
      <c r="C332" s="1"/>
      <c r="D332" s="1"/>
      <c r="E332" s="6"/>
      <c r="F332" s="4"/>
    </row>
    <row r="333" spans="2:6">
      <c r="B333" s="1"/>
      <c r="C333" s="1"/>
      <c r="D333" s="1"/>
      <c r="E333" s="6"/>
      <c r="F333" s="4"/>
    </row>
    <row r="334" spans="2:6">
      <c r="B334" s="1"/>
      <c r="C334" s="1"/>
      <c r="D334" s="1"/>
      <c r="E334" s="6"/>
      <c r="F334" s="4"/>
    </row>
    <row r="335" spans="2:6">
      <c r="B335" s="1"/>
      <c r="C335" s="1"/>
      <c r="D335" s="1"/>
      <c r="E335" s="6"/>
      <c r="F335" s="4"/>
    </row>
    <row r="336" spans="2:6">
      <c r="B336" s="1"/>
      <c r="C336" s="1"/>
      <c r="D336" s="1"/>
      <c r="E336" s="6"/>
      <c r="F336" s="4"/>
    </row>
    <row r="337" spans="2:6">
      <c r="B337" s="1"/>
      <c r="C337" s="1"/>
      <c r="D337" s="1"/>
      <c r="E337" s="6"/>
      <c r="F337" s="4"/>
    </row>
    <row r="338" spans="2:6">
      <c r="B338" s="1"/>
      <c r="C338" s="1"/>
      <c r="D338" s="1"/>
      <c r="E338" s="6"/>
      <c r="F338" s="4"/>
    </row>
    <row r="339" spans="2:6">
      <c r="B339" s="1"/>
      <c r="C339" s="1"/>
      <c r="D339" s="1"/>
      <c r="E339" s="6"/>
      <c r="F339" s="4"/>
    </row>
    <row r="340" spans="2:6">
      <c r="B340" s="1"/>
      <c r="C340" s="1"/>
      <c r="D340" s="1"/>
      <c r="E340" s="6"/>
      <c r="F340" s="4"/>
    </row>
    <row r="341" spans="2:6">
      <c r="B341" s="1"/>
      <c r="C341" s="1"/>
      <c r="D341" s="1"/>
      <c r="E341" s="6"/>
      <c r="F341" s="4"/>
    </row>
    <row r="342" spans="2:6">
      <c r="B342" s="1"/>
      <c r="C342" s="1"/>
      <c r="D342" s="1"/>
      <c r="E342" s="6"/>
      <c r="F342" s="4"/>
    </row>
    <row r="343" spans="2:6">
      <c r="B343" s="1"/>
      <c r="C343" s="1"/>
      <c r="D343" s="1"/>
      <c r="E343" s="6"/>
      <c r="F343" s="4"/>
    </row>
    <row r="344" spans="2:6">
      <c r="B344" s="1"/>
      <c r="C344" s="1"/>
      <c r="D344" s="1"/>
      <c r="E344" s="6"/>
      <c r="F344" s="4"/>
    </row>
    <row r="345" spans="2:6">
      <c r="B345" s="1"/>
      <c r="C345" s="1"/>
      <c r="D345" s="1"/>
      <c r="E345" s="6"/>
      <c r="F345" s="4"/>
    </row>
    <row r="346" spans="2:6">
      <c r="B346" s="1"/>
      <c r="C346" s="1"/>
      <c r="D346" s="1"/>
      <c r="E346" s="6"/>
      <c r="F346" s="4"/>
    </row>
    <row r="347" spans="2:6">
      <c r="B347" s="1"/>
      <c r="C347" s="1"/>
      <c r="D347" s="1"/>
      <c r="E347" s="6"/>
      <c r="F347" s="4"/>
    </row>
    <row r="348" spans="2:6">
      <c r="B348" s="1"/>
      <c r="C348" s="1"/>
      <c r="D348" s="1"/>
      <c r="E348" s="6"/>
      <c r="F348" s="4"/>
    </row>
    <row r="349" spans="2:6">
      <c r="B349" s="1"/>
      <c r="C349" s="1"/>
      <c r="D349" s="1"/>
      <c r="E349" s="6"/>
      <c r="F349" s="4"/>
    </row>
    <row r="350" spans="2:6">
      <c r="B350" s="1"/>
      <c r="C350" s="1"/>
      <c r="D350" s="1"/>
      <c r="E350" s="6"/>
      <c r="F350" s="4"/>
    </row>
    <row r="351" spans="2:6">
      <c r="B351" s="1"/>
      <c r="C351" s="1"/>
      <c r="D351" s="1"/>
      <c r="E351" s="6"/>
      <c r="F351" s="4"/>
    </row>
    <row r="352" spans="2:6">
      <c r="B352" s="1"/>
      <c r="C352" s="1"/>
      <c r="D352" s="1"/>
      <c r="E352" s="6"/>
      <c r="F352" s="4"/>
    </row>
    <row r="353" spans="2:6">
      <c r="B353" s="1"/>
      <c r="C353" s="1"/>
      <c r="D353" s="1"/>
      <c r="E353" s="6"/>
      <c r="F353" s="4"/>
    </row>
    <row r="354" spans="2:6">
      <c r="B354" s="1"/>
      <c r="C354" s="1"/>
      <c r="D354" s="1"/>
      <c r="E354" s="6"/>
      <c r="F354" s="4"/>
    </row>
    <row r="355" spans="2:6">
      <c r="B355" s="1"/>
      <c r="C355" s="1"/>
      <c r="D355" s="1"/>
      <c r="E355" s="6"/>
      <c r="F355" s="4"/>
    </row>
    <row r="356" spans="2:6">
      <c r="B356" s="1"/>
      <c r="C356" s="1"/>
      <c r="D356" s="1"/>
      <c r="E356" s="6"/>
      <c r="F356" s="4"/>
    </row>
    <row r="357" spans="2:6">
      <c r="B357" s="1"/>
      <c r="C357" s="1"/>
      <c r="D357" s="1"/>
      <c r="E357" s="6"/>
      <c r="F357" s="4"/>
    </row>
    <row r="358" spans="2:6">
      <c r="B358" s="1"/>
      <c r="C358" s="1"/>
      <c r="D358" s="1"/>
      <c r="E358" s="6"/>
      <c r="F358" s="4"/>
    </row>
    <row r="359" spans="2:6">
      <c r="B359" s="1"/>
      <c r="C359" s="1"/>
      <c r="D359" s="1"/>
      <c r="E359" s="6"/>
      <c r="F359" s="4"/>
    </row>
    <row r="360" spans="2:6">
      <c r="B360" s="1"/>
      <c r="C360" s="1"/>
      <c r="D360" s="1"/>
      <c r="E360" s="6"/>
      <c r="F360" s="4"/>
    </row>
    <row r="361" spans="2:6">
      <c r="B361" s="1"/>
      <c r="C361" s="1"/>
      <c r="D361" s="1"/>
      <c r="E361" s="6"/>
      <c r="F361" s="4"/>
    </row>
    <row r="362" spans="2:6">
      <c r="B362" s="1"/>
      <c r="C362" s="1"/>
      <c r="D362" s="1"/>
      <c r="E362" s="6"/>
      <c r="F362" s="4"/>
    </row>
    <row r="363" spans="2:6">
      <c r="B363" s="1"/>
      <c r="C363" s="1"/>
      <c r="D363" s="1"/>
      <c r="E363" s="6"/>
      <c r="F363" s="4"/>
    </row>
    <row r="364" spans="2:6">
      <c r="B364" s="1"/>
      <c r="C364" s="1"/>
      <c r="D364" s="1"/>
      <c r="E364" s="6"/>
      <c r="F364" s="4"/>
    </row>
    <row r="365" spans="2:6">
      <c r="B365" s="1"/>
      <c r="C365" s="1"/>
      <c r="D365" s="1"/>
      <c r="E365" s="6"/>
      <c r="F365" s="4"/>
    </row>
    <row r="366" spans="2:6">
      <c r="B366" s="1"/>
      <c r="C366" s="1"/>
      <c r="D366" s="1"/>
      <c r="E366" s="6"/>
      <c r="F366" s="4"/>
    </row>
    <row r="367" spans="2:6">
      <c r="B367" s="1"/>
      <c r="C367" s="1"/>
      <c r="D367" s="1"/>
      <c r="E367" s="6"/>
      <c r="F367" s="4"/>
    </row>
    <row r="368" spans="2:6">
      <c r="B368" s="1"/>
      <c r="C368" s="1"/>
      <c r="D368" s="1"/>
      <c r="E368" s="6"/>
      <c r="F368" s="4"/>
    </row>
    <row r="369" spans="2:6">
      <c r="B369" s="1"/>
      <c r="C369" s="1"/>
      <c r="D369" s="1"/>
      <c r="E369" s="6"/>
      <c r="F369" s="4"/>
    </row>
    <row r="370" spans="2:6">
      <c r="B370" s="1"/>
      <c r="C370" s="1"/>
      <c r="D370" s="1"/>
      <c r="E370" s="6"/>
      <c r="F370" s="4"/>
    </row>
    <row r="371" spans="2:6">
      <c r="B371" s="1"/>
      <c r="C371" s="1"/>
      <c r="D371" s="1"/>
      <c r="E371" s="6"/>
      <c r="F371" s="4"/>
    </row>
    <row r="372" spans="2:6">
      <c r="B372" s="1"/>
      <c r="C372" s="1"/>
      <c r="D372" s="1"/>
      <c r="E372" s="6"/>
      <c r="F372" s="4"/>
    </row>
    <row r="373" spans="2:6">
      <c r="B373" s="1"/>
      <c r="C373" s="1"/>
      <c r="D373" s="1"/>
      <c r="E373" s="6"/>
      <c r="F373" s="4"/>
    </row>
    <row r="374" spans="2:6">
      <c r="B374" s="1"/>
      <c r="C374" s="1"/>
      <c r="D374" s="1"/>
      <c r="E374" s="6"/>
      <c r="F374" s="4"/>
    </row>
    <row r="375" spans="2:6">
      <c r="B375" s="1"/>
      <c r="C375" s="1"/>
      <c r="D375" s="1"/>
      <c r="E375" s="6"/>
      <c r="F375" s="4"/>
    </row>
    <row r="376" spans="2:6">
      <c r="B376" s="1"/>
      <c r="C376" s="1"/>
      <c r="D376" s="1"/>
      <c r="E376" s="6"/>
      <c r="F376" s="4"/>
    </row>
    <row r="377" spans="2:6">
      <c r="B377" s="1"/>
      <c r="C377" s="1"/>
      <c r="D377" s="1"/>
      <c r="E377" s="6"/>
      <c r="F377" s="4"/>
    </row>
    <row r="378" spans="2:6">
      <c r="B378" s="1"/>
      <c r="C378" s="1"/>
      <c r="D378" s="1"/>
      <c r="E378" s="6"/>
      <c r="F378" s="4"/>
    </row>
    <row r="379" spans="2:6">
      <c r="B379" s="1"/>
      <c r="C379" s="1"/>
      <c r="D379" s="1"/>
      <c r="E379" s="6"/>
      <c r="F379" s="4"/>
    </row>
    <row r="380" spans="2:6">
      <c r="B380" s="1"/>
      <c r="C380" s="1"/>
      <c r="D380" s="1"/>
      <c r="E380" s="6"/>
      <c r="F380" s="4"/>
    </row>
    <row r="381" spans="2:6">
      <c r="B381" s="1"/>
      <c r="C381" s="1"/>
      <c r="D381" s="1"/>
      <c r="E381" s="6"/>
      <c r="F381" s="4"/>
    </row>
    <row r="382" spans="2:6">
      <c r="B382" s="1"/>
      <c r="C382" s="1"/>
      <c r="D382" s="1"/>
      <c r="E382" s="6"/>
      <c r="F382" s="4"/>
    </row>
    <row r="383" spans="2:6">
      <c r="B383" s="1"/>
      <c r="C383" s="1"/>
      <c r="D383" s="1"/>
      <c r="E383" s="6"/>
      <c r="F383" s="4"/>
    </row>
    <row r="384" spans="2:6">
      <c r="B384" s="1"/>
      <c r="C384" s="1"/>
      <c r="D384" s="1"/>
      <c r="E384" s="6"/>
      <c r="F384" s="4"/>
    </row>
    <row r="385" spans="2:6">
      <c r="B385" s="1"/>
      <c r="C385" s="1"/>
      <c r="D385" s="1"/>
      <c r="E385" s="6"/>
      <c r="F385" s="4"/>
    </row>
    <row r="386" spans="2:6">
      <c r="B386" s="1"/>
      <c r="C386" s="1"/>
      <c r="D386" s="1"/>
      <c r="E386" s="6"/>
      <c r="F386" s="4"/>
    </row>
    <row r="387" spans="2:6">
      <c r="B387" s="1"/>
      <c r="C387" s="1"/>
      <c r="D387" s="1"/>
      <c r="E387" s="6"/>
      <c r="F387" s="4"/>
    </row>
    <row r="388" spans="2:6">
      <c r="B388" s="1"/>
      <c r="C388" s="1"/>
      <c r="D388" s="1"/>
      <c r="E388" s="6"/>
      <c r="F388" s="4"/>
    </row>
    <row r="389" spans="2:6">
      <c r="B389" s="1"/>
      <c r="C389" s="1"/>
      <c r="D389" s="1"/>
      <c r="E389" s="6"/>
      <c r="F389" s="4"/>
    </row>
    <row r="390" spans="2:6">
      <c r="B390" s="1"/>
      <c r="C390" s="1"/>
      <c r="D390" s="1"/>
      <c r="E390" s="6"/>
      <c r="F390" s="4"/>
    </row>
    <row r="391" spans="2:6">
      <c r="B391" s="1"/>
      <c r="C391" s="1"/>
      <c r="D391" s="1"/>
      <c r="E391" s="6"/>
      <c r="F391" s="4"/>
    </row>
    <row r="392" spans="2:6">
      <c r="B392" s="1"/>
      <c r="C392" s="1"/>
      <c r="D392" s="1"/>
      <c r="E392" s="6"/>
      <c r="F392" s="4"/>
    </row>
    <row r="393" spans="2:6">
      <c r="B393" s="1"/>
      <c r="C393" s="1"/>
      <c r="D393" s="1"/>
      <c r="E393" s="6"/>
      <c r="F393" s="4"/>
    </row>
    <row r="394" spans="2:6">
      <c r="B394" s="1"/>
      <c r="C394" s="1"/>
      <c r="D394" s="1"/>
      <c r="E394" s="6"/>
      <c r="F394" s="4"/>
    </row>
    <row r="395" spans="2:6">
      <c r="B395" s="1"/>
      <c r="C395" s="1"/>
      <c r="D395" s="1"/>
      <c r="E395" s="6"/>
      <c r="F395" s="4"/>
    </row>
    <row r="396" spans="2:6">
      <c r="B396" s="1"/>
      <c r="C396" s="1"/>
      <c r="D396" s="1"/>
      <c r="E396" s="6"/>
      <c r="F396" s="4"/>
    </row>
    <row r="397" spans="2:6">
      <c r="B397" s="1"/>
      <c r="C397" s="1"/>
      <c r="D397" s="1"/>
      <c r="E397" s="6"/>
      <c r="F397" s="4"/>
    </row>
    <row r="398" spans="2:6">
      <c r="B398" s="1"/>
      <c r="C398" s="1"/>
      <c r="D398" s="1"/>
      <c r="E398" s="6"/>
      <c r="F398" s="4"/>
    </row>
    <row r="399" spans="2:6">
      <c r="B399" s="1"/>
      <c r="C399" s="1"/>
      <c r="D399" s="1"/>
      <c r="E399" s="6"/>
      <c r="F399" s="4"/>
    </row>
    <row r="400" spans="2:6">
      <c r="B400" s="1"/>
      <c r="C400" s="1"/>
      <c r="D400" s="1"/>
      <c r="E400" s="6"/>
      <c r="F400" s="4"/>
    </row>
    <row r="401" spans="2:6">
      <c r="B401" s="1"/>
      <c r="C401" s="1"/>
      <c r="D401" s="1"/>
      <c r="E401" s="6"/>
      <c r="F401" s="4"/>
    </row>
    <row r="402" spans="2:6">
      <c r="B402" s="1"/>
      <c r="C402" s="1"/>
      <c r="D402" s="1"/>
      <c r="E402" s="6"/>
      <c r="F402" s="4"/>
    </row>
    <row r="403" spans="2:6">
      <c r="B403" s="1"/>
      <c r="C403" s="1"/>
      <c r="D403" s="1"/>
      <c r="E403" s="6"/>
      <c r="F403" s="4"/>
    </row>
    <row r="404" spans="2:6">
      <c r="B404" s="1"/>
      <c r="C404" s="1"/>
      <c r="D404" s="1"/>
      <c r="E404" s="6"/>
      <c r="F404" s="4"/>
    </row>
    <row r="405" spans="2:6">
      <c r="B405" s="1"/>
      <c r="C405" s="1"/>
      <c r="D405" s="1"/>
      <c r="E405" s="6"/>
      <c r="F405" s="4"/>
    </row>
    <row r="406" spans="2:6">
      <c r="B406" s="1"/>
      <c r="C406" s="1"/>
      <c r="D406" s="1"/>
      <c r="E406" s="6"/>
      <c r="F406" s="4"/>
    </row>
    <row r="407" spans="2:6">
      <c r="B407" s="1"/>
      <c r="C407" s="1"/>
      <c r="D407" s="1"/>
      <c r="E407" s="6"/>
      <c r="F407" s="4"/>
    </row>
    <row r="408" spans="2:6">
      <c r="B408" s="1"/>
      <c r="C408" s="1"/>
      <c r="D408" s="1"/>
      <c r="E408" s="6"/>
      <c r="F408" s="4"/>
    </row>
    <row r="409" spans="2:6">
      <c r="B409" s="1"/>
      <c r="C409" s="1"/>
      <c r="D409" s="1"/>
      <c r="E409" s="6"/>
      <c r="F409" s="4"/>
    </row>
    <row r="410" spans="2:6">
      <c r="B410" s="1"/>
      <c r="C410" s="1"/>
      <c r="D410" s="1"/>
      <c r="E410" s="6"/>
      <c r="F410" s="4"/>
    </row>
    <row r="411" spans="2:6">
      <c r="B411" s="1"/>
      <c r="C411" s="1"/>
      <c r="D411" s="1"/>
      <c r="E411" s="6"/>
      <c r="F411" s="4"/>
    </row>
    <row r="412" spans="2:6">
      <c r="B412" s="1"/>
      <c r="C412" s="1"/>
      <c r="D412" s="1"/>
      <c r="E412" s="6"/>
      <c r="F412" s="4"/>
    </row>
    <row r="413" spans="2:6">
      <c r="B413" s="1"/>
      <c r="C413" s="1"/>
      <c r="D413" s="1"/>
      <c r="E413" s="6"/>
      <c r="F413" s="4"/>
    </row>
    <row r="414" spans="2:6">
      <c r="B414" s="1"/>
      <c r="C414" s="1"/>
      <c r="D414" s="1"/>
      <c r="E414" s="6"/>
      <c r="F414" s="4"/>
    </row>
    <row r="415" spans="2:6">
      <c r="B415" s="1"/>
      <c r="C415" s="1"/>
      <c r="D415" s="1"/>
      <c r="E415" s="6"/>
      <c r="F415" s="4"/>
    </row>
    <row r="416" spans="2:6">
      <c r="B416" s="1"/>
      <c r="C416" s="1"/>
      <c r="D416" s="1"/>
      <c r="E416" s="6"/>
      <c r="F416" s="4"/>
    </row>
    <row r="417" spans="2:6">
      <c r="B417" s="1"/>
      <c r="C417" s="1"/>
      <c r="D417" s="1"/>
      <c r="E417" s="6"/>
      <c r="F417" s="4"/>
    </row>
    <row r="418" spans="2:6">
      <c r="B418" s="1"/>
      <c r="C418" s="1"/>
      <c r="D418" s="1"/>
      <c r="E418" s="6"/>
      <c r="F418" s="4"/>
    </row>
    <row r="419" spans="2:6">
      <c r="B419" s="1"/>
      <c r="C419" s="1"/>
      <c r="D419" s="1"/>
      <c r="E419" s="6"/>
      <c r="F419" s="4"/>
    </row>
    <row r="420" spans="2:6">
      <c r="B420" s="1"/>
      <c r="C420" s="1"/>
      <c r="D420" s="1"/>
      <c r="E420" s="6"/>
      <c r="F420" s="4"/>
    </row>
    <row r="421" spans="2:6">
      <c r="B421" s="1"/>
      <c r="C421" s="1"/>
      <c r="D421" s="1"/>
      <c r="E421" s="6"/>
      <c r="F421" s="4"/>
    </row>
    <row r="422" spans="2:6">
      <c r="B422" s="1"/>
      <c r="C422" s="1"/>
      <c r="D422" s="1"/>
      <c r="E422" s="6"/>
      <c r="F422" s="4"/>
    </row>
    <row r="423" spans="2:6">
      <c r="B423" s="1"/>
      <c r="C423" s="1"/>
      <c r="D423" s="1"/>
      <c r="E423" s="6"/>
      <c r="F423" s="4"/>
    </row>
    <row r="424" spans="2:6">
      <c r="B424" s="1"/>
      <c r="C424" s="1"/>
      <c r="D424" s="1"/>
      <c r="E424" s="6"/>
      <c r="F424" s="4"/>
    </row>
    <row r="425" spans="2:6">
      <c r="B425" s="1"/>
      <c r="C425" s="1"/>
      <c r="D425" s="1"/>
      <c r="E425" s="6"/>
      <c r="F425" s="4"/>
    </row>
    <row r="426" spans="2:6">
      <c r="B426" s="1"/>
      <c r="C426" s="1"/>
      <c r="D426" s="1"/>
      <c r="E426" s="6"/>
      <c r="F426" s="4"/>
    </row>
    <row r="427" spans="2:6">
      <c r="B427" s="1"/>
      <c r="C427" s="1"/>
      <c r="D427" s="1"/>
      <c r="E427" s="6"/>
      <c r="F427" s="4"/>
    </row>
    <row r="428" spans="2:6">
      <c r="B428" s="1"/>
      <c r="C428" s="1"/>
      <c r="D428" s="1"/>
      <c r="E428" s="6"/>
      <c r="F428" s="4"/>
    </row>
    <row r="429" spans="2:6">
      <c r="B429" s="1"/>
      <c r="C429" s="1"/>
      <c r="D429" s="1"/>
      <c r="E429" s="6"/>
      <c r="F429" s="4"/>
    </row>
    <row r="430" spans="2:6">
      <c r="B430" s="1"/>
      <c r="C430" s="1"/>
      <c r="D430" s="1"/>
      <c r="E430" s="6"/>
      <c r="F430" s="4"/>
    </row>
    <row r="431" spans="2:6">
      <c r="B431" s="1"/>
      <c r="C431" s="1"/>
      <c r="D431" s="1"/>
      <c r="E431" s="6"/>
      <c r="F431" s="4"/>
    </row>
    <row r="432" spans="2:6">
      <c r="B432" s="1"/>
      <c r="C432" s="1"/>
      <c r="D432" s="1"/>
      <c r="E432" s="6"/>
      <c r="F432" s="4"/>
    </row>
    <row r="433" spans="2:6">
      <c r="B433" s="1"/>
      <c r="C433" s="1"/>
      <c r="D433" s="1"/>
      <c r="E433" s="6"/>
      <c r="F433" s="4"/>
    </row>
    <row r="434" spans="2:6">
      <c r="B434" s="1"/>
      <c r="C434" s="1"/>
      <c r="D434" s="1"/>
      <c r="E434" s="6"/>
      <c r="F434" s="4"/>
    </row>
    <row r="435" spans="2:6">
      <c r="B435" s="1"/>
      <c r="C435" s="1"/>
      <c r="D435" s="1"/>
      <c r="E435" s="6"/>
      <c r="F435" s="4"/>
    </row>
    <row r="436" spans="2:6">
      <c r="B436" s="1"/>
      <c r="C436" s="1"/>
      <c r="D436" s="1"/>
      <c r="E436" s="6"/>
      <c r="F436" s="4"/>
    </row>
    <row r="437" spans="2:6">
      <c r="B437" s="1"/>
      <c r="C437" s="1"/>
      <c r="D437" s="1"/>
      <c r="E437" s="6"/>
      <c r="F437" s="4"/>
    </row>
    <row r="438" spans="2:6">
      <c r="B438" s="1"/>
      <c r="C438" s="1"/>
      <c r="D438" s="1"/>
      <c r="E438" s="6"/>
      <c r="F438" s="4"/>
    </row>
    <row r="439" spans="2:6">
      <c r="B439" s="1"/>
      <c r="C439" s="1"/>
      <c r="D439" s="1"/>
      <c r="E439" s="6"/>
      <c r="F439" s="4"/>
    </row>
    <row r="440" spans="2:6">
      <c r="B440" s="1"/>
      <c r="C440" s="1"/>
      <c r="D440" s="1"/>
      <c r="E440" s="6"/>
      <c r="F440" s="4"/>
    </row>
    <row r="441" spans="2:6">
      <c r="B441" s="1"/>
      <c r="C441" s="1"/>
      <c r="D441" s="1"/>
      <c r="E441" s="6"/>
      <c r="F441" s="4"/>
    </row>
    <row r="442" spans="2:6">
      <c r="B442" s="1"/>
      <c r="C442" s="1"/>
      <c r="D442" s="1"/>
      <c r="E442" s="6"/>
      <c r="F442" s="4"/>
    </row>
    <row r="443" spans="2:6">
      <c r="B443" s="1"/>
      <c r="C443" s="1"/>
      <c r="D443" s="1"/>
      <c r="E443" s="6"/>
      <c r="F443" s="4"/>
    </row>
    <row r="444" spans="2:6">
      <c r="B444" s="1"/>
      <c r="C444" s="1"/>
      <c r="D444" s="1"/>
      <c r="E444" s="6"/>
      <c r="F444" s="4"/>
    </row>
    <row r="445" spans="2:6">
      <c r="B445" s="1"/>
      <c r="C445" s="1"/>
      <c r="D445" s="1"/>
      <c r="E445" s="6"/>
      <c r="F445" s="4"/>
    </row>
    <row r="446" spans="2:6">
      <c r="B446" s="1"/>
      <c r="C446" s="1"/>
      <c r="D446" s="1"/>
      <c r="E446" s="6"/>
      <c r="F446" s="4"/>
    </row>
    <row r="447" spans="2:6">
      <c r="B447" s="1"/>
      <c r="C447" s="1"/>
      <c r="D447" s="1"/>
      <c r="E447" s="6"/>
      <c r="F447" s="4"/>
    </row>
    <row r="448" spans="2:6">
      <c r="B448" s="1"/>
      <c r="C448" s="1"/>
      <c r="D448" s="1"/>
      <c r="E448" s="6"/>
      <c r="F448" s="4"/>
    </row>
    <row r="449" spans="2:6">
      <c r="B449" s="1"/>
      <c r="C449" s="1"/>
      <c r="D449" s="1"/>
      <c r="E449" s="6"/>
      <c r="F449" s="4"/>
    </row>
    <row r="450" spans="2:6">
      <c r="B450" s="1"/>
      <c r="C450" s="1"/>
      <c r="D450" s="1"/>
      <c r="E450" s="6"/>
      <c r="F450" s="4"/>
    </row>
    <row r="451" spans="2:6">
      <c r="B451" s="1"/>
      <c r="C451" s="1"/>
      <c r="D451" s="1"/>
      <c r="E451" s="6"/>
      <c r="F451" s="4"/>
    </row>
    <row r="452" spans="2:6">
      <c r="B452" s="1"/>
      <c r="C452" s="1"/>
      <c r="D452" s="1"/>
      <c r="E452" s="6"/>
      <c r="F452" s="4"/>
    </row>
    <row r="453" spans="2:6">
      <c r="B453" s="1"/>
      <c r="C453" s="1"/>
      <c r="D453" s="1"/>
      <c r="E453" s="6"/>
      <c r="F453" s="4"/>
    </row>
    <row r="454" spans="2:6">
      <c r="B454" s="1"/>
      <c r="C454" s="1"/>
      <c r="D454" s="1"/>
      <c r="E454" s="6"/>
      <c r="F454" s="4"/>
    </row>
    <row r="455" spans="2:6">
      <c r="B455" s="1"/>
      <c r="C455" s="1"/>
      <c r="D455" s="1"/>
      <c r="E455" s="6"/>
      <c r="F455" s="4"/>
    </row>
    <row r="456" spans="2:6">
      <c r="B456" s="1"/>
      <c r="C456" s="1"/>
      <c r="D456" s="1"/>
      <c r="E456" s="6"/>
      <c r="F456" s="4"/>
    </row>
    <row r="457" spans="2:6">
      <c r="B457" s="1"/>
      <c r="C457" s="1"/>
      <c r="D457" s="1"/>
      <c r="E457" s="6"/>
      <c r="F457" s="4"/>
    </row>
    <row r="458" spans="2:6">
      <c r="B458" s="1"/>
      <c r="C458" s="1"/>
      <c r="D458" s="1"/>
      <c r="E458" s="6"/>
      <c r="F458" s="4"/>
    </row>
    <row r="459" spans="2:6">
      <c r="B459" s="1"/>
      <c r="C459" s="1"/>
      <c r="D459" s="1"/>
      <c r="E459" s="6"/>
      <c r="F459" s="4"/>
    </row>
    <row r="460" spans="2:6">
      <c r="B460" s="1"/>
      <c r="C460" s="1"/>
      <c r="D460" s="1"/>
      <c r="E460" s="6"/>
      <c r="F460" s="4"/>
    </row>
    <row r="461" spans="2:6">
      <c r="B461" s="1"/>
      <c r="C461" s="1"/>
      <c r="D461" s="1"/>
      <c r="E461" s="6"/>
      <c r="F461" s="4"/>
    </row>
    <row r="462" spans="2:6">
      <c r="B462" s="1"/>
      <c r="C462" s="1"/>
      <c r="D462" s="1"/>
      <c r="E462" s="6"/>
      <c r="F462" s="4"/>
    </row>
    <row r="463" spans="2:6">
      <c r="B463" s="1"/>
      <c r="C463" s="1"/>
      <c r="D463" s="1"/>
      <c r="E463" s="6"/>
      <c r="F463" s="4"/>
    </row>
    <row r="464" spans="2:6">
      <c r="B464" s="1"/>
      <c r="C464" s="1"/>
      <c r="D464" s="1"/>
      <c r="E464" s="6"/>
      <c r="F464" s="4"/>
    </row>
    <row r="465" spans="2:6">
      <c r="B465" s="1"/>
      <c r="C465" s="1"/>
      <c r="D465" s="1"/>
      <c r="E465" s="6"/>
      <c r="F465" s="4"/>
    </row>
    <row r="466" spans="2:6">
      <c r="B466" s="1"/>
      <c r="C466" s="1"/>
      <c r="D466" s="1"/>
      <c r="E466" s="6"/>
      <c r="F466" s="4"/>
    </row>
    <row r="467" spans="2:6">
      <c r="B467" s="1"/>
      <c r="C467" s="1"/>
      <c r="D467" s="1"/>
      <c r="E467" s="6"/>
      <c r="F467" s="4"/>
    </row>
    <row r="468" spans="2:6">
      <c r="B468" s="1"/>
      <c r="C468" s="1"/>
      <c r="D468" s="1"/>
      <c r="E468" s="6"/>
      <c r="F468" s="4"/>
    </row>
    <row r="469" spans="2:6">
      <c r="B469" s="1"/>
      <c r="C469" s="1"/>
      <c r="D469" s="1"/>
      <c r="E469" s="6"/>
      <c r="F469" s="4"/>
    </row>
    <row r="470" spans="2:6">
      <c r="B470" s="1"/>
      <c r="C470" s="1"/>
      <c r="D470" s="1"/>
      <c r="E470" s="6"/>
      <c r="F470" s="4"/>
    </row>
    <row r="471" spans="2:6">
      <c r="B471" s="1"/>
      <c r="C471" s="1"/>
      <c r="D471" s="1"/>
      <c r="E471" s="6"/>
      <c r="F471" s="4"/>
    </row>
    <row r="472" spans="2:6">
      <c r="B472" s="1"/>
      <c r="C472" s="1"/>
      <c r="D472" s="1"/>
      <c r="E472" s="6"/>
      <c r="F472" s="4"/>
    </row>
    <row r="473" spans="2:6">
      <c r="B473" s="1"/>
      <c r="C473" s="1"/>
      <c r="D473" s="1"/>
      <c r="E473" s="6"/>
      <c r="F473" s="4"/>
    </row>
    <row r="474" spans="2:6">
      <c r="B474" s="1"/>
      <c r="C474" s="1"/>
      <c r="D474" s="1"/>
      <c r="E474" s="6"/>
      <c r="F474" s="4"/>
    </row>
    <row r="475" spans="2:6">
      <c r="B475" s="1"/>
      <c r="C475" s="1"/>
      <c r="D475" s="1"/>
      <c r="E475" s="6"/>
      <c r="F475" s="4"/>
    </row>
    <row r="476" spans="2:6">
      <c r="B476" s="1"/>
      <c r="C476" s="1"/>
      <c r="D476" s="1"/>
      <c r="E476" s="6"/>
      <c r="F476" s="4"/>
    </row>
    <row r="477" spans="2:6">
      <c r="B477" s="1"/>
      <c r="C477" s="1"/>
      <c r="D477" s="1"/>
      <c r="E477" s="6"/>
      <c r="F477" s="4"/>
    </row>
    <row r="478" spans="2:6">
      <c r="B478" s="1"/>
      <c r="C478" s="1"/>
      <c r="D478" s="1"/>
      <c r="E478" s="6"/>
      <c r="F478" s="4"/>
    </row>
    <row r="479" spans="2:6">
      <c r="B479" s="1"/>
      <c r="C479" s="1"/>
      <c r="D479" s="1"/>
      <c r="E479" s="6"/>
      <c r="F479" s="4"/>
    </row>
    <row r="480" spans="2:6">
      <c r="B480" s="1"/>
      <c r="C480" s="1"/>
      <c r="D480" s="1"/>
      <c r="E480" s="6"/>
      <c r="F480" s="4"/>
    </row>
    <row r="481" spans="2:6">
      <c r="B481" s="1"/>
      <c r="C481" s="1"/>
      <c r="D481" s="1"/>
      <c r="E481" s="6"/>
      <c r="F481" s="4"/>
    </row>
    <row r="482" spans="2:6">
      <c r="B482" s="1"/>
      <c r="C482" s="1"/>
      <c r="D482" s="1"/>
      <c r="E482" s="6"/>
      <c r="F482" s="4"/>
    </row>
    <row r="483" spans="2:6">
      <c r="B483" s="1"/>
      <c r="C483" s="1"/>
      <c r="D483" s="1"/>
      <c r="E483" s="6"/>
      <c r="F483" s="4"/>
    </row>
    <row r="484" spans="2:6">
      <c r="B484" s="1"/>
      <c r="C484" s="1"/>
      <c r="D484" s="1"/>
      <c r="E484" s="6"/>
      <c r="F484" s="4"/>
    </row>
    <row r="485" spans="2:6">
      <c r="B485" s="1"/>
      <c r="C485" s="1"/>
      <c r="D485" s="1"/>
      <c r="E485" s="6"/>
      <c r="F485" s="4"/>
    </row>
    <row r="486" spans="2:6">
      <c r="B486" s="1"/>
      <c r="C486" s="1"/>
      <c r="D486" s="1"/>
      <c r="E486" s="6"/>
      <c r="F486" s="4"/>
    </row>
    <row r="487" spans="2:6">
      <c r="B487" s="1"/>
      <c r="C487" s="1"/>
      <c r="D487" s="1"/>
      <c r="E487" s="6"/>
      <c r="F487" s="4"/>
    </row>
    <row r="488" spans="2:6">
      <c r="B488" s="1"/>
      <c r="C488" s="1"/>
      <c r="D488" s="1"/>
      <c r="E488" s="6"/>
      <c r="F488" s="4"/>
    </row>
    <row r="489" spans="2:6">
      <c r="B489" s="1"/>
      <c r="C489" s="1"/>
      <c r="D489" s="1"/>
      <c r="E489" s="6"/>
      <c r="F489" s="4"/>
    </row>
    <row r="490" spans="2:6">
      <c r="B490" s="1"/>
      <c r="C490" s="1"/>
      <c r="D490" s="1"/>
      <c r="E490" s="6"/>
      <c r="F490" s="4"/>
    </row>
    <row r="491" spans="2:6">
      <c r="B491" s="1"/>
      <c r="C491" s="1"/>
      <c r="D491" s="1"/>
      <c r="E491" s="6"/>
      <c r="F491" s="4"/>
    </row>
    <row r="492" spans="2:6">
      <c r="B492" s="1"/>
      <c r="C492" s="1"/>
      <c r="D492" s="1"/>
      <c r="E492" s="6"/>
      <c r="F492" s="4"/>
    </row>
    <row r="493" spans="2:6">
      <c r="B493" s="1"/>
      <c r="C493" s="1"/>
      <c r="D493" s="1"/>
      <c r="E493" s="6"/>
      <c r="F493" s="4"/>
    </row>
    <row r="494" spans="2:6">
      <c r="B494" s="1"/>
      <c r="C494" s="1"/>
      <c r="D494" s="1"/>
      <c r="E494" s="6"/>
      <c r="F494" s="4"/>
    </row>
    <row r="495" spans="2:6">
      <c r="B495" s="1"/>
      <c r="C495" s="1"/>
      <c r="D495" s="1"/>
      <c r="E495" s="6"/>
      <c r="F495" s="4"/>
    </row>
    <row r="496" spans="2:6">
      <c r="B496" s="1"/>
      <c r="C496" s="1"/>
      <c r="D496" s="1"/>
      <c r="E496" s="6"/>
      <c r="F496" s="4"/>
    </row>
    <row r="497" spans="2:6">
      <c r="B497" s="1"/>
      <c r="C497" s="1"/>
      <c r="D497" s="1"/>
      <c r="E497" s="6"/>
      <c r="F497" s="4"/>
    </row>
    <row r="498" spans="2:6">
      <c r="B498" s="1"/>
      <c r="C498" s="1"/>
      <c r="D498" s="1"/>
      <c r="E498" s="6"/>
      <c r="F498" s="4"/>
    </row>
    <row r="499" spans="2:6">
      <c r="B499" s="1"/>
      <c r="C499" s="1"/>
      <c r="D499" s="1"/>
      <c r="E499" s="6"/>
      <c r="F499" s="4"/>
    </row>
    <row r="500" spans="2:6">
      <c r="B500" s="1"/>
      <c r="C500" s="1"/>
      <c r="D500" s="1"/>
      <c r="E500" s="6"/>
      <c r="F500" s="4"/>
    </row>
    <row r="501" spans="2:6">
      <c r="B501" s="1"/>
      <c r="C501" s="1"/>
      <c r="D501" s="1"/>
      <c r="E501" s="6"/>
      <c r="F501" s="4"/>
    </row>
    <row r="502" spans="2:6">
      <c r="B502" s="1"/>
      <c r="C502" s="1"/>
      <c r="D502" s="1"/>
      <c r="E502" s="6"/>
      <c r="F502" s="4"/>
    </row>
    <row r="503" spans="2:6">
      <c r="B503" s="1"/>
      <c r="C503" s="1"/>
      <c r="D503" s="1"/>
      <c r="E503" s="6"/>
      <c r="F503" s="4"/>
    </row>
    <row r="504" spans="2:6">
      <c r="B504" s="1"/>
      <c r="C504" s="1"/>
      <c r="D504" s="1"/>
      <c r="E504" s="6"/>
      <c r="F504" s="4"/>
    </row>
    <row r="505" spans="2:6">
      <c r="B505" s="1"/>
      <c r="C505" s="1"/>
      <c r="D505" s="1"/>
      <c r="E505" s="6"/>
      <c r="F505" s="4"/>
    </row>
    <row r="506" spans="2:6">
      <c r="B506" s="1"/>
      <c r="C506" s="1"/>
      <c r="D506" s="1"/>
      <c r="E506" s="6"/>
      <c r="F506" s="4"/>
    </row>
    <row r="507" spans="2:6">
      <c r="B507" s="1"/>
      <c r="C507" s="1"/>
      <c r="D507" s="1"/>
      <c r="E507" s="6"/>
      <c r="F507" s="4"/>
    </row>
    <row r="508" spans="2:6">
      <c r="B508" s="1"/>
      <c r="C508" s="1"/>
      <c r="D508" s="1"/>
      <c r="E508" s="6"/>
      <c r="F508" s="4"/>
    </row>
    <row r="509" spans="2:6">
      <c r="B509" s="1"/>
      <c r="C509" s="1"/>
      <c r="D509" s="1"/>
      <c r="E509" s="6"/>
      <c r="F509" s="4"/>
    </row>
    <row r="510" spans="2:6">
      <c r="B510" s="1"/>
      <c r="C510" s="1"/>
      <c r="D510" s="1"/>
      <c r="E510" s="6"/>
      <c r="F510" s="4"/>
    </row>
    <row r="511" spans="2:6">
      <c r="B511" s="1"/>
      <c r="C511" s="1"/>
      <c r="D511" s="1"/>
      <c r="E511" s="6"/>
      <c r="F511" s="4"/>
    </row>
    <row r="512" spans="2:6">
      <c r="B512" s="1"/>
      <c r="C512" s="1"/>
      <c r="D512" s="1"/>
      <c r="E512" s="6"/>
      <c r="F512" s="4"/>
    </row>
    <row r="513" spans="2:6">
      <c r="B513" s="1"/>
      <c r="C513" s="1"/>
      <c r="D513" s="1"/>
      <c r="E513" s="6"/>
      <c r="F513" s="4"/>
    </row>
    <row r="514" spans="2:6">
      <c r="B514" s="1"/>
      <c r="C514" s="1"/>
      <c r="D514" s="1"/>
      <c r="E514" s="6"/>
      <c r="F514" s="4"/>
    </row>
    <row r="515" spans="2:6">
      <c r="B515" s="1"/>
      <c r="C515" s="1"/>
      <c r="D515" s="1"/>
      <c r="E515" s="6"/>
      <c r="F515" s="4"/>
    </row>
    <row r="516" spans="2:6">
      <c r="B516" s="1"/>
      <c r="C516" s="1"/>
      <c r="D516" s="1"/>
      <c r="E516" s="6"/>
      <c r="F516" s="4"/>
    </row>
    <row r="517" spans="2:6">
      <c r="B517" s="1"/>
      <c r="C517" s="1"/>
      <c r="D517" s="1"/>
      <c r="E517" s="6"/>
      <c r="F517" s="4"/>
    </row>
    <row r="518" spans="2:6">
      <c r="B518" s="1"/>
      <c r="C518" s="1"/>
      <c r="D518" s="1"/>
      <c r="E518" s="6"/>
      <c r="F518" s="4"/>
    </row>
    <row r="519" spans="2:6">
      <c r="B519" s="1"/>
      <c r="C519" s="1"/>
      <c r="D519" s="1"/>
      <c r="E519" s="6"/>
      <c r="F519" s="4"/>
    </row>
    <row r="520" spans="2:6">
      <c r="B520" s="1"/>
      <c r="C520" s="1"/>
      <c r="D520" s="1"/>
      <c r="E520" s="6"/>
      <c r="F520" s="4"/>
    </row>
    <row r="521" spans="2:6">
      <c r="B521" s="1"/>
      <c r="C521" s="1"/>
      <c r="D521" s="1"/>
      <c r="E521" s="6"/>
      <c r="F521" s="4"/>
    </row>
    <row r="522" spans="2:6">
      <c r="B522" s="1"/>
      <c r="C522" s="1"/>
      <c r="D522" s="1"/>
      <c r="E522" s="6"/>
      <c r="F522" s="4"/>
    </row>
    <row r="523" spans="2:6">
      <c r="B523" s="1"/>
      <c r="C523" s="1"/>
      <c r="D523" s="1"/>
      <c r="E523" s="6"/>
      <c r="F523" s="4"/>
    </row>
    <row r="524" spans="2:6">
      <c r="B524" s="1"/>
      <c r="C524" s="1"/>
      <c r="D524" s="1"/>
      <c r="E524" s="6"/>
      <c r="F524" s="4"/>
    </row>
    <row r="525" spans="2:6">
      <c r="B525" s="1"/>
      <c r="C525" s="1"/>
      <c r="D525" s="1"/>
      <c r="E525" s="6"/>
      <c r="F525" s="4"/>
    </row>
    <row r="526" spans="2:6">
      <c r="B526" s="1"/>
      <c r="C526" s="1"/>
      <c r="D526" s="1"/>
      <c r="E526" s="6"/>
      <c r="F526" s="4"/>
    </row>
    <row r="527" spans="2:6">
      <c r="B527" s="1"/>
      <c r="C527" s="1"/>
      <c r="D527" s="1"/>
      <c r="E527" s="6"/>
      <c r="F527" s="4"/>
    </row>
    <row r="528" spans="2:6">
      <c r="B528" s="1"/>
      <c r="C528" s="1"/>
      <c r="D528" s="1"/>
      <c r="E528" s="6"/>
      <c r="F528" s="4"/>
    </row>
    <row r="529" spans="2:6">
      <c r="B529" s="1"/>
      <c r="C529" s="1"/>
      <c r="D529" s="1"/>
      <c r="E529" s="6"/>
      <c r="F529" s="4"/>
    </row>
    <row r="530" spans="2:6">
      <c r="B530" s="1"/>
      <c r="C530" s="1"/>
      <c r="D530" s="1"/>
      <c r="E530" s="6"/>
      <c r="F530" s="4"/>
    </row>
    <row r="531" spans="2:6">
      <c r="B531" s="1"/>
      <c r="C531" s="1"/>
      <c r="D531" s="1"/>
      <c r="E531" s="6"/>
      <c r="F531" s="4"/>
    </row>
    <row r="532" spans="2:6">
      <c r="B532" s="1"/>
      <c r="C532" s="1"/>
      <c r="D532" s="1"/>
      <c r="E532" s="6"/>
      <c r="F532" s="4"/>
    </row>
    <row r="533" spans="2:6">
      <c r="B533" s="1"/>
      <c r="C533" s="1"/>
      <c r="D533" s="1"/>
      <c r="E533" s="6"/>
      <c r="F533" s="4"/>
    </row>
    <row r="534" spans="2:6">
      <c r="B534" s="1"/>
      <c r="C534" s="1"/>
      <c r="D534" s="1"/>
      <c r="E534" s="6"/>
      <c r="F534" s="4"/>
    </row>
    <row r="535" spans="2:6">
      <c r="B535" s="1"/>
      <c r="C535" s="1"/>
      <c r="D535" s="1"/>
      <c r="E535" s="6"/>
      <c r="F535" s="4"/>
    </row>
    <row r="536" spans="2:6">
      <c r="B536" s="1"/>
      <c r="C536" s="1"/>
      <c r="D536" s="1"/>
      <c r="E536" s="6"/>
      <c r="F536" s="4"/>
    </row>
    <row r="537" spans="2:6">
      <c r="B537" s="1"/>
      <c r="C537" s="1"/>
      <c r="D537" s="1"/>
      <c r="E537" s="6"/>
      <c r="F537" s="4"/>
    </row>
    <row r="538" spans="2:6">
      <c r="B538" s="1"/>
      <c r="C538" s="1"/>
      <c r="D538" s="1"/>
      <c r="E538" s="6"/>
      <c r="F538" s="4"/>
    </row>
    <row r="539" spans="2:6">
      <c r="B539" s="1"/>
      <c r="C539" s="1"/>
      <c r="D539" s="1"/>
      <c r="E539" s="6"/>
      <c r="F539" s="4"/>
    </row>
    <row r="540" spans="2:6">
      <c r="B540" s="1"/>
      <c r="C540" s="1"/>
      <c r="D540" s="1"/>
      <c r="E540" s="6"/>
      <c r="F540" s="4"/>
    </row>
    <row r="541" spans="2:6">
      <c r="B541" s="1"/>
      <c r="C541" s="1"/>
      <c r="D541" s="1"/>
      <c r="E541" s="6"/>
      <c r="F541" s="4"/>
    </row>
    <row r="542" spans="2:6">
      <c r="B542" s="1"/>
      <c r="C542" s="1"/>
      <c r="D542" s="1"/>
      <c r="E542" s="6"/>
      <c r="F542" s="4"/>
    </row>
    <row r="543" spans="2:6">
      <c r="B543" s="1"/>
      <c r="C543" s="1"/>
      <c r="D543" s="1"/>
      <c r="E543" s="6"/>
      <c r="F543" s="4"/>
    </row>
    <row r="544" spans="2:6">
      <c r="B544" s="1"/>
      <c r="C544" s="1"/>
      <c r="D544" s="1"/>
      <c r="E544" s="6"/>
      <c r="F544" s="4"/>
    </row>
    <row r="545" spans="2:6">
      <c r="B545" s="1"/>
      <c r="C545" s="1"/>
      <c r="D545" s="1"/>
      <c r="E545" s="6"/>
      <c r="F545" s="4"/>
    </row>
    <row r="546" spans="2:6">
      <c r="B546" s="1"/>
      <c r="C546" s="1"/>
      <c r="D546" s="1"/>
      <c r="E546" s="6"/>
      <c r="F546" s="4"/>
    </row>
    <row r="547" spans="2:6">
      <c r="B547" s="1"/>
      <c r="C547" s="1"/>
      <c r="D547" s="1"/>
      <c r="E547" s="6"/>
      <c r="F547" s="4"/>
    </row>
    <row r="548" spans="2:6">
      <c r="B548" s="1"/>
      <c r="C548" s="1"/>
      <c r="D548" s="1"/>
      <c r="E548" s="6"/>
      <c r="F548" s="4"/>
    </row>
    <row r="549" spans="2:6">
      <c r="B549" s="1"/>
      <c r="C549" s="1"/>
      <c r="D549" s="1"/>
      <c r="E549" s="6"/>
      <c r="F549" s="4"/>
    </row>
    <row r="550" spans="2:6">
      <c r="B550" s="1"/>
      <c r="C550" s="1"/>
      <c r="D550" s="1"/>
      <c r="E550" s="6"/>
      <c r="F550" s="4"/>
    </row>
    <row r="551" spans="2:6">
      <c r="B551" s="1"/>
      <c r="C551" s="1"/>
      <c r="D551" s="1"/>
      <c r="E551" s="6"/>
      <c r="F551" s="4"/>
    </row>
    <row r="552" spans="2:6">
      <c r="B552" s="1"/>
      <c r="C552" s="1"/>
      <c r="D552" s="1"/>
      <c r="E552" s="6"/>
      <c r="F552" s="4"/>
    </row>
    <row r="553" spans="2:6">
      <c r="B553" s="1"/>
      <c r="C553" s="1"/>
      <c r="D553" s="1"/>
      <c r="E553" s="6"/>
      <c r="F553" s="4"/>
    </row>
    <row r="554" spans="2:6">
      <c r="B554" s="1"/>
      <c r="C554" s="1"/>
      <c r="D554" s="1"/>
      <c r="E554" s="6"/>
      <c r="F554" s="4"/>
    </row>
    <row r="555" spans="2:6">
      <c r="B555" s="1"/>
      <c r="C555" s="1"/>
      <c r="D555" s="1"/>
      <c r="E555" s="6"/>
      <c r="F555" s="4"/>
    </row>
    <row r="556" spans="2:6">
      <c r="B556" s="1"/>
      <c r="C556" s="1"/>
      <c r="D556" s="1"/>
      <c r="E556" s="6"/>
      <c r="F556" s="4"/>
    </row>
    <row r="557" spans="2:6">
      <c r="B557" s="1"/>
      <c r="C557" s="1"/>
      <c r="D557" s="1"/>
      <c r="E557" s="6"/>
      <c r="F557" s="4"/>
    </row>
    <row r="558" spans="2:6">
      <c r="B558" s="1"/>
      <c r="C558" s="1"/>
      <c r="D558" s="1"/>
      <c r="E558" s="6"/>
      <c r="F558" s="4"/>
    </row>
    <row r="559" spans="2:6">
      <c r="B559" s="1"/>
      <c r="C559" s="1"/>
      <c r="D559" s="1"/>
      <c r="E559" s="6"/>
      <c r="F559" s="4"/>
    </row>
    <row r="560" spans="2:6">
      <c r="B560" s="1"/>
      <c r="C560" s="1"/>
      <c r="D560" s="1"/>
      <c r="E560" s="6"/>
      <c r="F560" s="4"/>
    </row>
    <row r="561" spans="2:6">
      <c r="B561" s="1"/>
      <c r="C561" s="1"/>
      <c r="D561" s="1"/>
      <c r="E561" s="6"/>
      <c r="F561" s="4"/>
    </row>
    <row r="562" spans="2:6">
      <c r="B562" s="1"/>
      <c r="C562" s="1"/>
      <c r="D562" s="1"/>
      <c r="E562" s="6"/>
      <c r="F562" s="4"/>
    </row>
    <row r="563" spans="2:6">
      <c r="B563" s="1"/>
      <c r="C563" s="1"/>
      <c r="D563" s="1"/>
      <c r="E563" s="6"/>
      <c r="F563" s="4"/>
    </row>
    <row r="564" spans="2:6">
      <c r="B564" s="1"/>
      <c r="C564" s="1"/>
      <c r="D564" s="1"/>
      <c r="E564" s="6"/>
      <c r="F564" s="4"/>
    </row>
    <row r="565" spans="2:6">
      <c r="B565" s="1"/>
      <c r="C565" s="1"/>
      <c r="D565" s="1"/>
      <c r="E565" s="6"/>
      <c r="F565" s="4"/>
    </row>
    <row r="566" spans="2:6">
      <c r="B566" s="1"/>
      <c r="C566" s="1"/>
      <c r="D566" s="1"/>
      <c r="E566" s="6"/>
      <c r="F566" s="4"/>
    </row>
    <row r="567" spans="2:6">
      <c r="B567" s="1"/>
      <c r="C567" s="1"/>
      <c r="D567" s="1"/>
      <c r="E567" s="6"/>
      <c r="F567" s="4"/>
    </row>
    <row r="568" spans="2:6">
      <c r="B568" s="1"/>
      <c r="C568" s="1"/>
      <c r="D568" s="1"/>
      <c r="E568" s="6"/>
      <c r="F568" s="4"/>
    </row>
    <row r="569" spans="2:6">
      <c r="B569" s="1"/>
      <c r="C569" s="1"/>
      <c r="D569" s="1"/>
      <c r="E569" s="6"/>
      <c r="F569" s="4"/>
    </row>
    <row r="570" spans="2:6">
      <c r="B570" s="1"/>
      <c r="C570" s="1"/>
      <c r="D570" s="1"/>
      <c r="E570" s="6"/>
      <c r="F570" s="4"/>
    </row>
    <row r="571" spans="2:6">
      <c r="B571" s="1"/>
      <c r="C571" s="1"/>
      <c r="D571" s="1"/>
      <c r="E571" s="6"/>
      <c r="F571" s="4"/>
    </row>
    <row r="572" spans="2:6">
      <c r="B572" s="1"/>
      <c r="C572" s="1"/>
      <c r="D572" s="1"/>
      <c r="E572" s="6"/>
      <c r="F572" s="4"/>
    </row>
    <row r="573" spans="2:6">
      <c r="B573" s="1"/>
      <c r="C573" s="1"/>
      <c r="D573" s="1"/>
      <c r="E573" s="6"/>
      <c r="F573" s="4"/>
    </row>
    <row r="574" spans="2:6">
      <c r="B574" s="1"/>
      <c r="C574" s="1"/>
      <c r="D574" s="1"/>
      <c r="E574" s="6"/>
      <c r="F574" s="4"/>
    </row>
    <row r="575" spans="2:6">
      <c r="B575" s="1"/>
      <c r="C575" s="1"/>
      <c r="D575" s="1"/>
      <c r="E575" s="6"/>
      <c r="F575" s="4"/>
    </row>
    <row r="576" spans="2:6">
      <c r="B576" s="1"/>
      <c r="C576" s="1"/>
      <c r="D576" s="1"/>
      <c r="E576" s="6"/>
      <c r="F576" s="4"/>
    </row>
    <row r="577" spans="2:6">
      <c r="B577" s="1"/>
      <c r="C577" s="1"/>
      <c r="D577" s="1"/>
      <c r="E577" s="6"/>
      <c r="F577" s="4"/>
    </row>
    <row r="578" spans="2:6">
      <c r="B578" s="1"/>
      <c r="C578" s="1"/>
      <c r="D578" s="1"/>
      <c r="E578" s="6"/>
      <c r="F578" s="4"/>
    </row>
    <row r="579" spans="2:6">
      <c r="B579" s="1"/>
      <c r="C579" s="1"/>
      <c r="D579" s="1"/>
      <c r="E579" s="6"/>
      <c r="F579" s="4"/>
    </row>
    <row r="580" spans="2:6">
      <c r="B580" s="1"/>
      <c r="C580" s="1"/>
      <c r="D580" s="1"/>
      <c r="E580" s="6"/>
      <c r="F580" s="4"/>
    </row>
    <row r="581" spans="2:6">
      <c r="B581" s="1"/>
      <c r="C581" s="1"/>
      <c r="D581" s="1"/>
      <c r="E581" s="6"/>
      <c r="F581" s="4"/>
    </row>
    <row r="582" spans="2:6">
      <c r="B582" s="1"/>
      <c r="C582" s="1"/>
      <c r="D582" s="1"/>
      <c r="E582" s="6"/>
      <c r="F582" s="4"/>
    </row>
    <row r="583" spans="2:6">
      <c r="B583" s="1"/>
      <c r="C583" s="1"/>
      <c r="D583" s="1"/>
      <c r="E583" s="6"/>
      <c r="F583" s="4"/>
    </row>
    <row r="584" spans="2:6">
      <c r="B584" s="1"/>
      <c r="C584" s="1"/>
      <c r="D584" s="1"/>
      <c r="E584" s="6"/>
      <c r="F584" s="4"/>
    </row>
    <row r="585" spans="2:6">
      <c r="B585" s="1"/>
      <c r="C585" s="1"/>
      <c r="D585" s="1"/>
      <c r="E585" s="6"/>
      <c r="F585" s="4"/>
    </row>
    <row r="586" spans="2:6">
      <c r="B586" s="1"/>
      <c r="C586" s="1"/>
      <c r="D586" s="1"/>
      <c r="E586" s="6"/>
      <c r="F586" s="4"/>
    </row>
    <row r="587" spans="2:6">
      <c r="B587" s="1"/>
      <c r="C587" s="1"/>
      <c r="D587" s="1"/>
      <c r="E587" s="6"/>
      <c r="F587" s="4"/>
    </row>
    <row r="588" spans="2:6">
      <c r="B588" s="1"/>
      <c r="C588" s="1"/>
      <c r="D588" s="1"/>
      <c r="E588" s="6"/>
      <c r="F588" s="4"/>
    </row>
    <row r="589" spans="2:6">
      <c r="B589" s="1"/>
      <c r="C589" s="1"/>
      <c r="D589" s="1"/>
      <c r="E589" s="6"/>
      <c r="F589" s="4"/>
    </row>
    <row r="590" spans="2:6">
      <c r="B590" s="1"/>
      <c r="C590" s="1"/>
      <c r="D590" s="1"/>
      <c r="E590" s="6"/>
      <c r="F590" s="4"/>
    </row>
    <row r="591" spans="2:6">
      <c r="B591" s="1"/>
      <c r="C591" s="1"/>
      <c r="D591" s="1"/>
      <c r="E591" s="6"/>
      <c r="F591" s="4"/>
    </row>
    <row r="592" spans="2:6">
      <c r="B592" s="1"/>
      <c r="C592" s="1"/>
      <c r="D592" s="1"/>
      <c r="E592" s="6"/>
      <c r="F592" s="4"/>
    </row>
    <row r="593" spans="2:6">
      <c r="B593" s="1"/>
      <c r="C593" s="1"/>
      <c r="D593" s="1"/>
      <c r="E593" s="6"/>
      <c r="F593" s="4"/>
    </row>
    <row r="594" spans="2:6">
      <c r="B594" s="1"/>
      <c r="C594" s="1"/>
      <c r="D594" s="1"/>
      <c r="E594" s="6"/>
      <c r="F594" s="4"/>
    </row>
    <row r="595" spans="2:6">
      <c r="B595" s="1"/>
      <c r="C595" s="1"/>
      <c r="D595" s="1"/>
      <c r="E595" s="6"/>
      <c r="F595" s="4"/>
    </row>
    <row r="596" spans="2:6">
      <c r="B596" s="1"/>
      <c r="C596" s="1"/>
      <c r="D596" s="1"/>
      <c r="E596" s="6"/>
      <c r="F596" s="4"/>
    </row>
    <row r="597" spans="2:6">
      <c r="B597" s="1"/>
      <c r="C597" s="1"/>
      <c r="D597" s="1"/>
      <c r="E597" s="6"/>
      <c r="F597" s="4"/>
    </row>
    <row r="598" spans="2:6">
      <c r="B598" s="1"/>
      <c r="C598" s="1"/>
      <c r="D598" s="1"/>
      <c r="E598" s="6"/>
      <c r="F598" s="4"/>
    </row>
    <row r="599" spans="2:6">
      <c r="B599" s="1"/>
      <c r="C599" s="1"/>
      <c r="D599" s="1"/>
      <c r="E599" s="6"/>
      <c r="F599" s="4"/>
    </row>
    <row r="600" spans="2:6">
      <c r="B600" s="1"/>
      <c r="C600" s="1"/>
      <c r="D600" s="1"/>
      <c r="E600" s="6"/>
      <c r="F600" s="4"/>
    </row>
    <row r="601" spans="2:6">
      <c r="B601" s="1"/>
      <c r="C601" s="1"/>
      <c r="D601" s="1"/>
      <c r="E601" s="6"/>
      <c r="F601" s="4"/>
    </row>
    <row r="602" spans="2:6">
      <c r="B602" s="1"/>
      <c r="C602" s="1"/>
      <c r="D602" s="1"/>
      <c r="E602" s="6"/>
      <c r="F602" s="4"/>
    </row>
    <row r="603" spans="2:6">
      <c r="B603" s="1"/>
      <c r="C603" s="1"/>
      <c r="D603" s="1"/>
      <c r="E603" s="6"/>
      <c r="F603" s="4"/>
    </row>
    <row r="604" spans="2:6">
      <c r="B604" s="1"/>
      <c r="C604" s="1"/>
      <c r="D604" s="1"/>
      <c r="E604" s="6"/>
      <c r="F604" s="4"/>
    </row>
    <row r="605" spans="2:6">
      <c r="B605" s="1"/>
      <c r="C605" s="1"/>
      <c r="D605" s="1"/>
      <c r="E605" s="6"/>
      <c r="F605" s="4"/>
    </row>
    <row r="606" spans="2:6">
      <c r="B606" s="1"/>
      <c r="C606" s="1"/>
      <c r="D606" s="1"/>
      <c r="E606" s="6"/>
      <c r="F606" s="4"/>
    </row>
    <row r="607" spans="2:6">
      <c r="B607" s="1"/>
      <c r="C607" s="1"/>
      <c r="D607" s="1"/>
      <c r="E607" s="6"/>
      <c r="F607" s="4"/>
    </row>
    <row r="608" spans="2:6">
      <c r="B608" s="1"/>
      <c r="C608" s="1"/>
      <c r="D608" s="1"/>
      <c r="E608" s="6"/>
      <c r="F608" s="4"/>
    </row>
    <row r="609" spans="2:6">
      <c r="B609" s="1"/>
      <c r="C609" s="1"/>
      <c r="D609" s="1"/>
      <c r="E609" s="6"/>
      <c r="F609" s="4"/>
    </row>
    <row r="610" spans="2:6">
      <c r="B610" s="1"/>
      <c r="C610" s="1"/>
      <c r="D610" s="1"/>
      <c r="E610" s="6"/>
      <c r="F610" s="4"/>
    </row>
    <row r="611" spans="2:6">
      <c r="B611" s="1"/>
      <c r="C611" s="1"/>
      <c r="D611" s="1"/>
      <c r="E611" s="6"/>
      <c r="F611" s="4"/>
    </row>
    <row r="612" spans="2:6">
      <c r="B612" s="1"/>
      <c r="C612" s="1"/>
      <c r="D612" s="1"/>
      <c r="E612" s="6"/>
      <c r="F612" s="4"/>
    </row>
    <row r="613" spans="2:6">
      <c r="B613" s="1"/>
      <c r="C613" s="1"/>
      <c r="D613" s="1"/>
      <c r="E613" s="6"/>
      <c r="F613" s="4"/>
    </row>
    <row r="614" spans="2:6">
      <c r="B614" s="1"/>
      <c r="C614" s="1"/>
      <c r="D614" s="1"/>
      <c r="E614" s="6"/>
      <c r="F614" s="4"/>
    </row>
    <row r="615" spans="2:6">
      <c r="B615" s="1"/>
      <c r="C615" s="1"/>
      <c r="D615" s="1"/>
      <c r="E615" s="6"/>
      <c r="F615" s="4"/>
    </row>
    <row r="616" spans="2:6">
      <c r="B616" s="1"/>
      <c r="C616" s="1"/>
      <c r="D616" s="1"/>
      <c r="E616" s="6"/>
      <c r="F616" s="4"/>
    </row>
    <row r="617" spans="2:6">
      <c r="B617" s="1"/>
      <c r="C617" s="1"/>
      <c r="D617" s="1"/>
      <c r="E617" s="6"/>
      <c r="F617" s="4"/>
    </row>
    <row r="618" spans="2:6">
      <c r="B618" s="1"/>
      <c r="C618" s="1"/>
      <c r="D618" s="1"/>
      <c r="E618" s="6"/>
      <c r="F618" s="4"/>
    </row>
    <row r="619" spans="2:6">
      <c r="B619" s="1"/>
      <c r="C619" s="1"/>
      <c r="D619" s="1"/>
      <c r="E619" s="6"/>
      <c r="F619" s="4"/>
    </row>
    <row r="620" spans="2:6">
      <c r="B620" s="1"/>
      <c r="C620" s="1"/>
      <c r="D620" s="1"/>
      <c r="E620" s="6"/>
      <c r="F620" s="4"/>
    </row>
    <row r="621" spans="2:6">
      <c r="B621" s="1"/>
      <c r="C621" s="1"/>
      <c r="D621" s="1"/>
      <c r="E621" s="6"/>
      <c r="F621" s="4"/>
    </row>
    <row r="622" spans="2:6">
      <c r="B622" s="1"/>
      <c r="C622" s="1"/>
      <c r="D622" s="1"/>
      <c r="E622" s="6"/>
      <c r="F622" s="4"/>
    </row>
    <row r="623" spans="2:6">
      <c r="B623" s="1"/>
      <c r="C623" s="1"/>
      <c r="D623" s="1"/>
      <c r="E623" s="6"/>
      <c r="F623" s="4"/>
    </row>
    <row r="624" spans="2:6">
      <c r="B624" s="1"/>
      <c r="C624" s="1"/>
      <c r="D624" s="1"/>
      <c r="E624" s="6"/>
      <c r="F624" s="4"/>
    </row>
    <row r="625" spans="2:6">
      <c r="B625" s="1"/>
      <c r="C625" s="1"/>
      <c r="D625" s="1"/>
      <c r="E625" s="6"/>
      <c r="F625" s="4"/>
    </row>
    <row r="626" spans="2:6">
      <c r="B626" s="1"/>
      <c r="C626" s="1"/>
      <c r="D626" s="1"/>
      <c r="E626" s="6"/>
      <c r="F626" s="4"/>
    </row>
    <row r="627" spans="2:6">
      <c r="B627" s="1"/>
      <c r="C627" s="1"/>
      <c r="D627" s="1"/>
      <c r="E627" s="6"/>
      <c r="F627" s="4"/>
    </row>
    <row r="628" spans="2:6">
      <c r="B628" s="1"/>
      <c r="C628" s="1"/>
      <c r="D628" s="1"/>
      <c r="E628" s="6"/>
      <c r="F628" s="4"/>
    </row>
    <row r="629" spans="2:6">
      <c r="B629" s="1"/>
      <c r="C629" s="1"/>
      <c r="D629" s="1"/>
      <c r="E629" s="6"/>
      <c r="F629" s="4"/>
    </row>
    <row r="630" spans="2:6">
      <c r="B630" s="1"/>
      <c r="C630" s="1"/>
      <c r="D630" s="1"/>
      <c r="E630" s="6"/>
      <c r="F630" s="4"/>
    </row>
    <row r="631" spans="2:6">
      <c r="B631" s="1"/>
      <c r="C631" s="1"/>
      <c r="D631" s="1"/>
      <c r="E631" s="6"/>
      <c r="F631" s="4"/>
    </row>
    <row r="632" spans="2:6">
      <c r="B632" s="1"/>
      <c r="C632" s="1"/>
      <c r="D632" s="1"/>
      <c r="E632" s="6"/>
      <c r="F632" s="4"/>
    </row>
    <row r="633" spans="2:6">
      <c r="B633" s="1"/>
      <c r="C633" s="1"/>
      <c r="D633" s="1"/>
      <c r="E633" s="6"/>
      <c r="F633" s="4"/>
    </row>
    <row r="634" spans="2:6">
      <c r="B634" s="1"/>
      <c r="C634" s="1"/>
      <c r="D634" s="1"/>
      <c r="E634" s="6"/>
      <c r="F634" s="4"/>
    </row>
    <row r="635" spans="2:6">
      <c r="B635" s="1"/>
      <c r="C635" s="1"/>
      <c r="D635" s="1"/>
      <c r="E635" s="6"/>
      <c r="F635" s="4"/>
    </row>
    <row r="636" spans="2:6">
      <c r="B636" s="1"/>
      <c r="C636" s="1"/>
      <c r="D636" s="1"/>
      <c r="E636" s="6"/>
      <c r="F636" s="4"/>
    </row>
    <row r="637" spans="2:6">
      <c r="B637" s="1"/>
      <c r="C637" s="1"/>
      <c r="D637" s="1"/>
      <c r="E637" s="6"/>
      <c r="F637" s="4"/>
    </row>
    <row r="638" spans="2:6">
      <c r="B638" s="1"/>
      <c r="C638" s="1"/>
      <c r="D638" s="1"/>
      <c r="E638" s="6"/>
      <c r="F638" s="4"/>
    </row>
    <row r="639" spans="2:6">
      <c r="B639" s="1"/>
      <c r="C639" s="1"/>
      <c r="D639" s="1"/>
      <c r="E639" s="6"/>
      <c r="F639" s="4"/>
    </row>
    <row r="640" spans="2:6">
      <c r="B640" s="1"/>
      <c r="C640" s="1"/>
      <c r="D640" s="1"/>
      <c r="E640" s="6"/>
      <c r="F640" s="4"/>
    </row>
    <row r="641" spans="2:6">
      <c r="B641" s="1"/>
      <c r="C641" s="1"/>
      <c r="D641" s="1"/>
      <c r="E641" s="6"/>
      <c r="F641" s="4"/>
    </row>
    <row r="642" spans="2:6">
      <c r="B642" s="1"/>
      <c r="C642" s="1"/>
      <c r="D642" s="1"/>
      <c r="E642" s="6"/>
      <c r="F642" s="4"/>
    </row>
    <row r="643" spans="2:6">
      <c r="B643" s="1"/>
      <c r="C643" s="1"/>
      <c r="D643" s="1"/>
      <c r="E643" s="6"/>
      <c r="F643" s="4"/>
    </row>
    <row r="644" spans="2:6">
      <c r="B644" s="1"/>
      <c r="C644" s="1"/>
      <c r="D644" s="1"/>
      <c r="E644" s="6"/>
      <c r="F644" s="4"/>
    </row>
    <row r="645" spans="2:6">
      <c r="B645" s="1"/>
      <c r="C645" s="1"/>
      <c r="D645" s="1"/>
      <c r="E645" s="6"/>
      <c r="F645" s="4"/>
    </row>
    <row r="646" spans="2:6">
      <c r="B646" s="1"/>
      <c r="C646" s="1"/>
      <c r="D646" s="1"/>
      <c r="E646" s="6"/>
      <c r="F646" s="4"/>
    </row>
    <row r="647" spans="2:6">
      <c r="B647" s="1"/>
      <c r="C647" s="1"/>
      <c r="D647" s="1"/>
      <c r="E647" s="6"/>
      <c r="F647" s="4"/>
    </row>
    <row r="648" spans="2:6">
      <c r="B648" s="1"/>
      <c r="C648" s="1"/>
      <c r="D648" s="1"/>
      <c r="E648" s="6"/>
      <c r="F648" s="4"/>
    </row>
    <row r="649" spans="2:6">
      <c r="B649" s="1"/>
      <c r="C649" s="1"/>
      <c r="D649" s="1"/>
      <c r="E649" s="6"/>
      <c r="F649" s="4"/>
    </row>
    <row r="650" spans="2:6">
      <c r="B650" s="1"/>
      <c r="C650" s="1"/>
      <c r="D650" s="1"/>
      <c r="E650" s="6"/>
      <c r="F650" s="4"/>
    </row>
    <row r="651" spans="2:6">
      <c r="B651" s="1"/>
      <c r="C651" s="1"/>
      <c r="D651" s="1"/>
      <c r="E651" s="6"/>
      <c r="F651" s="4"/>
    </row>
    <row r="652" spans="2:6">
      <c r="B652" s="1"/>
      <c r="C652" s="1"/>
      <c r="D652" s="1"/>
      <c r="E652" s="6"/>
      <c r="F652" s="4"/>
    </row>
    <row r="653" spans="2:6">
      <c r="B653" s="1"/>
      <c r="C653" s="1"/>
      <c r="D653" s="1"/>
      <c r="E653" s="6"/>
      <c r="F653" s="4"/>
    </row>
    <row r="654" spans="2:6">
      <c r="B654" s="1"/>
      <c r="C654" s="1"/>
      <c r="D654" s="1"/>
      <c r="E654" s="6"/>
      <c r="F654" s="4"/>
    </row>
    <row r="655" spans="2:6">
      <c r="B655" s="1"/>
      <c r="C655" s="1"/>
      <c r="D655" s="1"/>
      <c r="E655" s="6"/>
      <c r="F655" s="4"/>
    </row>
    <row r="656" spans="2:6">
      <c r="B656" s="1"/>
      <c r="C656" s="1"/>
      <c r="D656" s="1"/>
      <c r="E656" s="6"/>
      <c r="F656" s="4"/>
    </row>
    <row r="657" spans="2:6">
      <c r="B657" s="1"/>
      <c r="C657" s="1"/>
      <c r="D657" s="1"/>
      <c r="E657" s="6"/>
      <c r="F657" s="4"/>
    </row>
    <row r="658" spans="2:6">
      <c r="B658" s="1"/>
      <c r="C658" s="1"/>
      <c r="D658" s="1"/>
      <c r="E658" s="6"/>
      <c r="F658" s="4"/>
    </row>
    <row r="659" spans="2:6">
      <c r="B659" s="1"/>
      <c r="C659" s="1"/>
      <c r="D659" s="1"/>
      <c r="E659" s="6"/>
      <c r="F659" s="4"/>
    </row>
    <row r="660" spans="2:6">
      <c r="B660" s="1"/>
      <c r="C660" s="1"/>
      <c r="D660" s="1"/>
      <c r="E660" s="6"/>
      <c r="F660" s="4"/>
    </row>
    <row r="661" spans="2:6">
      <c r="B661" s="1"/>
      <c r="C661" s="1"/>
      <c r="D661" s="1"/>
      <c r="E661" s="6"/>
      <c r="F661" s="4"/>
    </row>
    <row r="662" spans="2:6">
      <c r="B662" s="1"/>
      <c r="C662" s="1"/>
      <c r="D662" s="1"/>
      <c r="E662" s="6"/>
      <c r="F662" s="4"/>
    </row>
    <row r="663" spans="2:6">
      <c r="B663" s="1"/>
      <c r="C663" s="1"/>
      <c r="D663" s="1"/>
      <c r="E663" s="6"/>
      <c r="F663" s="4"/>
    </row>
    <row r="664" spans="2:6">
      <c r="B664" s="1"/>
      <c r="C664" s="1"/>
      <c r="D664" s="1"/>
      <c r="E664" s="6"/>
      <c r="F664" s="4"/>
    </row>
    <row r="665" spans="2:6">
      <c r="B665" s="1"/>
      <c r="C665" s="1"/>
      <c r="D665" s="1"/>
      <c r="E665" s="6"/>
      <c r="F665" s="4"/>
    </row>
    <row r="666" spans="2:6">
      <c r="B666" s="1"/>
      <c r="C666" s="1"/>
      <c r="D666" s="1"/>
      <c r="E666" s="6"/>
      <c r="F666" s="4"/>
    </row>
    <row r="667" spans="2:6">
      <c r="B667" s="1"/>
      <c r="C667" s="1"/>
      <c r="D667" s="1"/>
      <c r="E667" s="6"/>
      <c r="F667" s="4"/>
    </row>
    <row r="668" spans="2:6">
      <c r="B668" s="1"/>
      <c r="C668" s="1"/>
      <c r="D668" s="1"/>
      <c r="E668" s="6"/>
      <c r="F668" s="4"/>
    </row>
    <row r="669" spans="2:6">
      <c r="B669" s="1"/>
      <c r="C669" s="1"/>
      <c r="D669" s="1"/>
      <c r="E669" s="6"/>
      <c r="F669" s="4"/>
    </row>
    <row r="670" spans="2:6">
      <c r="B670" s="1"/>
      <c r="C670" s="1"/>
      <c r="D670" s="1"/>
      <c r="E670" s="6"/>
      <c r="F670" s="4"/>
    </row>
    <row r="671" spans="2:6">
      <c r="B671" s="1"/>
      <c r="C671" s="1"/>
      <c r="D671" s="1"/>
      <c r="E671" s="6"/>
      <c r="F671" s="4"/>
    </row>
    <row r="672" spans="2:6">
      <c r="B672" s="1"/>
      <c r="C672" s="1"/>
      <c r="D672" s="1"/>
      <c r="E672" s="6"/>
      <c r="F672" s="4"/>
    </row>
    <row r="673" spans="2:6">
      <c r="B673" s="1"/>
      <c r="C673" s="1"/>
      <c r="D673" s="1"/>
      <c r="E673" s="6"/>
      <c r="F673" s="4"/>
    </row>
    <row r="674" spans="2:6">
      <c r="B674" s="1"/>
      <c r="C674" s="1"/>
      <c r="D674" s="1"/>
      <c r="E674" s="6"/>
      <c r="F674" s="4"/>
    </row>
    <row r="675" spans="2:6">
      <c r="B675" s="1"/>
      <c r="C675" s="1"/>
      <c r="D675" s="1"/>
      <c r="E675" s="6"/>
      <c r="F675" s="4"/>
    </row>
    <row r="676" spans="2:6">
      <c r="B676" s="1"/>
      <c r="C676" s="1"/>
      <c r="D676" s="1"/>
      <c r="E676" s="6"/>
      <c r="F676" s="4"/>
    </row>
    <row r="677" spans="2:6">
      <c r="B677" s="1"/>
      <c r="C677" s="1"/>
      <c r="D677" s="1"/>
      <c r="E677" s="6"/>
      <c r="F677" s="4"/>
    </row>
    <row r="678" spans="2:6">
      <c r="B678" s="1"/>
      <c r="C678" s="1"/>
      <c r="D678" s="1"/>
      <c r="E678" s="6"/>
      <c r="F678" s="4"/>
    </row>
    <row r="679" spans="2:6">
      <c r="B679" s="1"/>
      <c r="C679" s="1"/>
      <c r="D679" s="1"/>
      <c r="E679" s="6"/>
      <c r="F679" s="4"/>
    </row>
    <row r="680" spans="2:6">
      <c r="B680" s="1"/>
      <c r="C680" s="1"/>
      <c r="D680" s="1"/>
      <c r="E680" s="6"/>
      <c r="F680" s="4"/>
    </row>
    <row r="681" spans="2:6">
      <c r="B681" s="1"/>
      <c r="C681" s="1"/>
      <c r="D681" s="1"/>
      <c r="E681" s="6"/>
      <c r="F681" s="4"/>
    </row>
    <row r="682" spans="2:6">
      <c r="B682" s="1"/>
      <c r="C682" s="1"/>
      <c r="D682" s="1"/>
      <c r="E682" s="6"/>
      <c r="F682" s="4"/>
    </row>
    <row r="683" spans="2:6">
      <c r="B683" s="1"/>
      <c r="C683" s="1"/>
      <c r="D683" s="1"/>
      <c r="E683" s="6"/>
      <c r="F683" s="4"/>
    </row>
    <row r="684" spans="2:6">
      <c r="B684" s="1"/>
      <c r="C684" s="1"/>
      <c r="D684" s="1"/>
      <c r="E684" s="6"/>
      <c r="F684" s="4"/>
    </row>
    <row r="685" spans="2:6">
      <c r="B685" s="1"/>
      <c r="C685" s="1"/>
      <c r="D685" s="1"/>
      <c r="E685" s="6"/>
      <c r="F685" s="4"/>
    </row>
    <row r="686" spans="2:6">
      <c r="B686" s="1"/>
      <c r="C686" s="1"/>
      <c r="D686" s="1"/>
      <c r="E686" s="6"/>
      <c r="F686" s="4"/>
    </row>
    <row r="687" spans="2:6">
      <c r="B687" s="1"/>
      <c r="C687" s="1"/>
      <c r="D687" s="1"/>
      <c r="E687" s="6"/>
      <c r="F687" s="4"/>
    </row>
    <row r="688" spans="2:6">
      <c r="B688" s="1"/>
      <c r="C688" s="1"/>
      <c r="D688" s="1"/>
      <c r="E688" s="6"/>
      <c r="F688" s="4"/>
    </row>
    <row r="689" spans="2:6">
      <c r="B689" s="1"/>
      <c r="C689" s="1"/>
      <c r="D689" s="1"/>
      <c r="E689" s="6"/>
      <c r="F689" s="4"/>
    </row>
    <row r="690" spans="2:6">
      <c r="B690" s="1"/>
      <c r="C690" s="1"/>
      <c r="D690" s="1"/>
      <c r="E690" s="6"/>
      <c r="F690" s="4"/>
    </row>
    <row r="691" spans="2:6">
      <c r="B691" s="1"/>
      <c r="C691" s="1"/>
      <c r="D691" s="1"/>
      <c r="E691" s="6"/>
      <c r="F691" s="4"/>
    </row>
    <row r="692" spans="2:6">
      <c r="B692" s="1"/>
      <c r="C692" s="1"/>
      <c r="D692" s="1"/>
      <c r="E692" s="6"/>
      <c r="F692" s="4"/>
    </row>
    <row r="693" spans="2:6">
      <c r="B693" s="1"/>
      <c r="C693" s="1"/>
      <c r="D693" s="1"/>
      <c r="E693" s="6"/>
      <c r="F693" s="4"/>
    </row>
    <row r="694" spans="2:6">
      <c r="B694" s="1"/>
      <c r="C694" s="1"/>
      <c r="D694" s="1"/>
      <c r="E694" s="6"/>
      <c r="F694" s="4"/>
    </row>
    <row r="695" spans="2:6">
      <c r="B695" s="1"/>
      <c r="C695" s="1"/>
      <c r="D695" s="1"/>
      <c r="E695" s="6"/>
      <c r="F695" s="4"/>
    </row>
    <row r="696" spans="2:6">
      <c r="B696" s="1"/>
      <c r="C696" s="1"/>
      <c r="D696" s="1"/>
      <c r="E696" s="6"/>
      <c r="F696" s="4"/>
    </row>
    <row r="697" spans="2:6">
      <c r="B697" s="1"/>
      <c r="C697" s="1"/>
      <c r="D697" s="1"/>
      <c r="E697" s="6"/>
      <c r="F697" s="4"/>
    </row>
    <row r="698" spans="2:6">
      <c r="B698" s="1"/>
      <c r="C698" s="1"/>
      <c r="D698" s="1"/>
      <c r="E698" s="6"/>
      <c r="F698" s="4"/>
    </row>
    <row r="699" spans="2:6">
      <c r="B699" s="1"/>
      <c r="C699" s="1"/>
      <c r="D699" s="1"/>
      <c r="E699" s="6"/>
      <c r="F699" s="4"/>
    </row>
    <row r="700" spans="2:6">
      <c r="B700" s="1"/>
      <c r="C700" s="1"/>
      <c r="D700" s="1"/>
      <c r="E700" s="6"/>
      <c r="F700" s="4"/>
    </row>
    <row r="701" spans="2:6">
      <c r="B701" s="1"/>
      <c r="C701" s="1"/>
      <c r="D701" s="1"/>
      <c r="E701" s="6"/>
      <c r="F701" s="4"/>
    </row>
    <row r="702" spans="2:6">
      <c r="B702" s="1"/>
      <c r="C702" s="1"/>
      <c r="D702" s="1"/>
      <c r="E702" s="6"/>
      <c r="F702" s="4"/>
    </row>
    <row r="703" spans="2:6">
      <c r="B703" s="1"/>
      <c r="C703" s="1"/>
      <c r="D703" s="1"/>
      <c r="E703" s="6"/>
      <c r="F703" s="4"/>
    </row>
    <row r="704" spans="2:6">
      <c r="B704" s="1"/>
      <c r="C704" s="1"/>
      <c r="D704" s="1"/>
      <c r="E704" s="6"/>
      <c r="F704" s="4"/>
    </row>
    <row r="705" spans="2:6">
      <c r="B705" s="1"/>
      <c r="C705" s="1"/>
      <c r="D705" s="1"/>
      <c r="E705" s="6"/>
      <c r="F705" s="4"/>
    </row>
    <row r="706" spans="2:6">
      <c r="B706" s="1"/>
      <c r="C706" s="1"/>
      <c r="D706" s="1"/>
      <c r="E706" s="6"/>
      <c r="F706" s="4"/>
    </row>
    <row r="707" spans="2:6">
      <c r="B707" s="1"/>
      <c r="C707" s="1"/>
      <c r="D707" s="1"/>
      <c r="E707" s="6"/>
      <c r="F707" s="4"/>
    </row>
    <row r="708" spans="2:6">
      <c r="B708" s="1"/>
      <c r="C708" s="1"/>
      <c r="D708" s="1"/>
      <c r="E708" s="6"/>
      <c r="F708" s="4"/>
    </row>
    <row r="709" spans="2:6">
      <c r="B709" s="1"/>
      <c r="C709" s="1"/>
      <c r="D709" s="1"/>
      <c r="E709" s="6"/>
      <c r="F709" s="4"/>
    </row>
    <row r="710" spans="2:6">
      <c r="B710" s="1"/>
      <c r="C710" s="1"/>
      <c r="D710" s="1"/>
      <c r="E710" s="6"/>
      <c r="F710" s="4"/>
    </row>
    <row r="711" spans="2:6">
      <c r="B711" s="1"/>
      <c r="C711" s="1"/>
      <c r="D711" s="1"/>
      <c r="E711" s="6"/>
      <c r="F711" s="4"/>
    </row>
    <row r="712" spans="2:6">
      <c r="B712" s="1"/>
      <c r="C712" s="1"/>
      <c r="D712" s="1"/>
      <c r="E712" s="6"/>
      <c r="F712" s="4"/>
    </row>
    <row r="713" spans="2:6">
      <c r="B713" s="1"/>
      <c r="C713" s="1"/>
      <c r="D713" s="1"/>
      <c r="E713" s="6"/>
      <c r="F713" s="4"/>
    </row>
    <row r="714" spans="2:6">
      <c r="B714" s="1"/>
      <c r="C714" s="1"/>
      <c r="D714" s="1"/>
      <c r="E714" s="6"/>
      <c r="F714" s="4"/>
    </row>
    <row r="715" spans="2:6">
      <c r="B715" s="1"/>
      <c r="C715" s="1"/>
      <c r="D715" s="1"/>
      <c r="E715" s="6"/>
      <c r="F715" s="4"/>
    </row>
    <row r="716" spans="2:6">
      <c r="B716" s="1"/>
      <c r="C716" s="1"/>
      <c r="D716" s="1"/>
      <c r="E716" s="6"/>
      <c r="F716" s="4"/>
    </row>
    <row r="717" spans="2:6">
      <c r="B717" s="1"/>
      <c r="C717" s="1"/>
      <c r="D717" s="1"/>
      <c r="E717" s="6"/>
      <c r="F717" s="4"/>
    </row>
    <row r="718" spans="2:6">
      <c r="B718" s="1"/>
      <c r="C718" s="1"/>
      <c r="D718" s="1"/>
      <c r="E718" s="6"/>
      <c r="F718" s="4"/>
    </row>
    <row r="719" spans="2:6">
      <c r="B719" s="1"/>
      <c r="C719" s="1"/>
      <c r="D719" s="1"/>
      <c r="E719" s="6"/>
      <c r="F719" s="4"/>
    </row>
    <row r="720" spans="2:6">
      <c r="B720" s="1"/>
      <c r="C720" s="1"/>
      <c r="D720" s="1"/>
      <c r="E720" s="6"/>
      <c r="F720" s="4"/>
    </row>
    <row r="721" spans="2:6">
      <c r="B721" s="1"/>
      <c r="C721" s="1"/>
      <c r="D721" s="1"/>
      <c r="E721" s="6"/>
      <c r="F721" s="4"/>
    </row>
    <row r="722" spans="2:6">
      <c r="B722" s="1"/>
      <c r="C722" s="1"/>
      <c r="D722" s="1"/>
      <c r="E722" s="6"/>
      <c r="F722" s="4"/>
    </row>
    <row r="723" spans="2:6">
      <c r="B723" s="1"/>
      <c r="C723" s="1"/>
      <c r="D723" s="1"/>
      <c r="E723" s="6"/>
      <c r="F723" s="4"/>
    </row>
    <row r="724" spans="2:6">
      <c r="B724" s="1"/>
      <c r="C724" s="1"/>
      <c r="D724" s="1"/>
      <c r="E724" s="6"/>
      <c r="F724" s="4"/>
    </row>
    <row r="725" spans="2:6">
      <c r="B725" s="1"/>
      <c r="C725" s="1"/>
      <c r="D725" s="1"/>
      <c r="E725" s="6"/>
      <c r="F725" s="4"/>
    </row>
    <row r="726" spans="2:6">
      <c r="B726" s="1"/>
      <c r="C726" s="1"/>
      <c r="D726" s="1"/>
      <c r="E726" s="6"/>
      <c r="F726" s="4"/>
    </row>
    <row r="727" spans="2:6">
      <c r="B727" s="1"/>
      <c r="C727" s="1"/>
      <c r="D727" s="1"/>
      <c r="E727" s="6"/>
      <c r="F727" s="4"/>
    </row>
    <row r="728" spans="2:6">
      <c r="B728" s="1"/>
      <c r="C728" s="1"/>
      <c r="D728" s="1"/>
      <c r="E728" s="6"/>
      <c r="F728" s="4"/>
    </row>
    <row r="729" spans="2:6">
      <c r="B729" s="1"/>
      <c r="C729" s="1"/>
      <c r="D729" s="1"/>
      <c r="E729" s="6"/>
      <c r="F729" s="4"/>
    </row>
    <row r="730" spans="2:6">
      <c r="B730" s="1"/>
      <c r="C730" s="1"/>
      <c r="D730" s="1"/>
      <c r="E730" s="6"/>
      <c r="F730" s="4"/>
    </row>
    <row r="731" spans="2:6">
      <c r="B731" s="1"/>
      <c r="C731" s="1"/>
      <c r="D731" s="1"/>
      <c r="E731" s="6"/>
      <c r="F731" s="4"/>
    </row>
    <row r="732" spans="2:6">
      <c r="B732" s="1"/>
      <c r="C732" s="1"/>
      <c r="D732" s="1"/>
      <c r="E732" s="6"/>
      <c r="F732" s="4"/>
    </row>
    <row r="733" spans="2:6">
      <c r="B733" s="1"/>
      <c r="C733" s="1"/>
      <c r="D733" s="1"/>
      <c r="E733" s="6"/>
      <c r="F733" s="4"/>
    </row>
    <row r="734" spans="2:6">
      <c r="B734" s="1"/>
      <c r="C734" s="1"/>
      <c r="D734" s="1"/>
      <c r="E734" s="6"/>
      <c r="F734" s="4"/>
    </row>
    <row r="735" spans="2:6">
      <c r="B735" s="1"/>
      <c r="C735" s="1"/>
      <c r="D735" s="1"/>
      <c r="E735" s="6"/>
      <c r="F735" s="4"/>
    </row>
    <row r="736" spans="2:6">
      <c r="B736" s="1"/>
      <c r="C736" s="1"/>
      <c r="D736" s="1"/>
      <c r="E736" s="6"/>
      <c r="F736" s="4"/>
    </row>
    <row r="737" spans="2:6">
      <c r="B737" s="1"/>
      <c r="C737" s="1"/>
      <c r="D737" s="1"/>
      <c r="E737" s="6"/>
      <c r="F737" s="4"/>
    </row>
    <row r="738" spans="2:6">
      <c r="B738" s="1"/>
      <c r="C738" s="1"/>
      <c r="D738" s="1"/>
      <c r="E738" s="6"/>
      <c r="F738" s="4"/>
    </row>
    <row r="739" spans="2:6">
      <c r="B739" s="1"/>
      <c r="C739" s="1"/>
      <c r="D739" s="1"/>
      <c r="E739" s="6"/>
      <c r="F739" s="4"/>
    </row>
    <row r="740" spans="2:6">
      <c r="B740" s="1"/>
      <c r="C740" s="1"/>
      <c r="D740" s="1"/>
      <c r="E740" s="6"/>
      <c r="F740" s="4"/>
    </row>
    <row r="741" spans="2:6">
      <c r="B741" s="1"/>
      <c r="C741" s="1"/>
      <c r="D741" s="1"/>
      <c r="E741" s="6"/>
      <c r="F741" s="4"/>
    </row>
    <row r="742" spans="2:6">
      <c r="B742" s="1"/>
      <c r="C742" s="1"/>
      <c r="D742" s="1"/>
      <c r="E742" s="6"/>
      <c r="F742" s="4"/>
    </row>
    <row r="743" spans="2:6">
      <c r="B743" s="1"/>
      <c r="C743" s="1"/>
      <c r="D743" s="1"/>
      <c r="E743" s="6"/>
      <c r="F743" s="4"/>
    </row>
    <row r="744" spans="2:6">
      <c r="B744" s="1"/>
      <c r="C744" s="1"/>
      <c r="D744" s="1"/>
      <c r="E744" s="6"/>
      <c r="F744" s="4"/>
    </row>
    <row r="745" spans="2:6">
      <c r="B745" s="1"/>
      <c r="C745" s="1"/>
      <c r="D745" s="1"/>
      <c r="E745" s="6"/>
      <c r="F745" s="4"/>
    </row>
    <row r="746" spans="2:6">
      <c r="B746" s="1"/>
      <c r="C746" s="1"/>
      <c r="D746" s="1"/>
      <c r="E746" s="6"/>
      <c r="F746" s="4"/>
    </row>
    <row r="747" spans="2:6">
      <c r="B747" s="1"/>
      <c r="C747" s="1"/>
      <c r="D747" s="1"/>
      <c r="E747" s="6"/>
      <c r="F747" s="4"/>
    </row>
    <row r="748" spans="2:6">
      <c r="B748" s="1"/>
      <c r="C748" s="1"/>
      <c r="D748" s="1"/>
      <c r="E748" s="6"/>
      <c r="F748" s="4"/>
    </row>
    <row r="749" spans="2:6">
      <c r="B749" s="1"/>
      <c r="C749" s="1"/>
      <c r="D749" s="1"/>
      <c r="E749" s="6"/>
      <c r="F749" s="4"/>
    </row>
    <row r="750" spans="2:6">
      <c r="B750" s="1"/>
      <c r="C750" s="1"/>
      <c r="D750" s="1"/>
      <c r="E750" s="6"/>
      <c r="F750" s="4"/>
    </row>
    <row r="751" spans="2:6">
      <c r="B751" s="1"/>
      <c r="C751" s="1"/>
      <c r="D751" s="1"/>
      <c r="E751" s="6"/>
      <c r="F751" s="4"/>
    </row>
    <row r="752" spans="2:6">
      <c r="B752" s="1"/>
      <c r="C752" s="1"/>
      <c r="D752" s="1"/>
      <c r="E752" s="6"/>
      <c r="F752" s="4"/>
    </row>
    <row r="753" spans="2:6">
      <c r="B753" s="1"/>
      <c r="C753" s="1"/>
      <c r="D753" s="1"/>
      <c r="E753" s="6"/>
      <c r="F753" s="4"/>
    </row>
    <row r="754" spans="2:6">
      <c r="B754" s="1"/>
      <c r="C754" s="1"/>
      <c r="D754" s="1"/>
      <c r="E754" s="6"/>
      <c r="F754" s="4"/>
    </row>
    <row r="755" spans="2:6">
      <c r="B755" s="1"/>
      <c r="C755" s="1"/>
      <c r="D755" s="1"/>
      <c r="E755" s="6"/>
      <c r="F755" s="4"/>
    </row>
    <row r="756" spans="2:6">
      <c r="B756" s="1"/>
      <c r="C756" s="1"/>
      <c r="D756" s="1"/>
      <c r="E756" s="6"/>
      <c r="F756" s="4"/>
    </row>
    <row r="757" spans="2:6">
      <c r="B757" s="1"/>
      <c r="C757" s="1"/>
      <c r="D757" s="1"/>
      <c r="E757" s="6"/>
      <c r="F757" s="4"/>
    </row>
    <row r="758" spans="2:6">
      <c r="B758" s="1"/>
      <c r="C758" s="1"/>
      <c r="D758" s="1"/>
      <c r="E758" s="6"/>
      <c r="F758" s="4"/>
    </row>
    <row r="759" spans="2:6">
      <c r="B759" s="1"/>
      <c r="C759" s="1"/>
      <c r="D759" s="1"/>
      <c r="E759" s="6"/>
      <c r="F759" s="4"/>
    </row>
    <row r="760" spans="2:6">
      <c r="B760" s="1"/>
      <c r="C760" s="1"/>
      <c r="D760" s="1"/>
      <c r="E760" s="6"/>
      <c r="F760" s="4"/>
    </row>
    <row r="761" spans="2:6">
      <c r="B761" s="1"/>
      <c r="C761" s="1"/>
      <c r="D761" s="1"/>
      <c r="E761" s="6"/>
      <c r="F761" s="4"/>
    </row>
    <row r="762" spans="2:6">
      <c r="B762" s="1"/>
      <c r="C762" s="1"/>
      <c r="D762" s="1"/>
      <c r="E762" s="6"/>
      <c r="F762" s="4"/>
    </row>
    <row r="763" spans="2:6">
      <c r="B763" s="1"/>
      <c r="C763" s="1"/>
      <c r="D763" s="1"/>
      <c r="E763" s="6"/>
      <c r="F763" s="4"/>
    </row>
    <row r="764" spans="2:6">
      <c r="B764" s="1"/>
      <c r="C764" s="1"/>
      <c r="D764" s="1"/>
      <c r="E764" s="6"/>
      <c r="F764" s="4"/>
    </row>
    <row r="765" spans="2:6">
      <c r="B765" s="1"/>
      <c r="C765" s="1"/>
      <c r="D765" s="1"/>
      <c r="E765" s="6"/>
      <c r="F765" s="4"/>
    </row>
    <row r="766" spans="2:6">
      <c r="B766" s="1"/>
      <c r="C766" s="1"/>
      <c r="D766" s="1"/>
      <c r="E766" s="6"/>
      <c r="F766" s="4"/>
    </row>
    <row r="767" spans="2:6">
      <c r="B767" s="1"/>
      <c r="C767" s="1"/>
      <c r="D767" s="1"/>
      <c r="E767" s="6"/>
      <c r="F767" s="4"/>
    </row>
    <row r="768" spans="2:6">
      <c r="B768" s="1"/>
      <c r="C768" s="1"/>
      <c r="D768" s="1"/>
      <c r="E768" s="6"/>
      <c r="F768" s="4"/>
    </row>
    <row r="769" spans="2:6">
      <c r="B769" s="1"/>
      <c r="C769" s="1"/>
      <c r="D769" s="1"/>
      <c r="E769" s="6"/>
      <c r="F769" s="4"/>
    </row>
    <row r="770" spans="2:6">
      <c r="B770" s="1"/>
      <c r="C770" s="1"/>
      <c r="D770" s="1"/>
      <c r="E770" s="6"/>
      <c r="F770" s="4"/>
    </row>
    <row r="771" spans="2:6">
      <c r="B771" s="1"/>
      <c r="C771" s="1"/>
      <c r="D771" s="1"/>
      <c r="E771" s="6"/>
      <c r="F771" s="4"/>
    </row>
    <row r="772" spans="2:6">
      <c r="B772" s="1"/>
      <c r="C772" s="1"/>
      <c r="D772" s="1"/>
      <c r="E772" s="6"/>
      <c r="F772" s="4"/>
    </row>
    <row r="773" spans="2:6">
      <c r="B773" s="1"/>
      <c r="C773" s="1"/>
      <c r="D773" s="1"/>
      <c r="E773" s="6"/>
      <c r="F773" s="4"/>
    </row>
    <row r="774" spans="2:6">
      <c r="B774" s="1"/>
      <c r="C774" s="1"/>
      <c r="D774" s="1"/>
      <c r="E774" s="6"/>
      <c r="F774" s="4"/>
    </row>
    <row r="775" spans="2:6">
      <c r="B775" s="1"/>
      <c r="C775" s="1"/>
      <c r="D775" s="1"/>
      <c r="E775" s="6"/>
      <c r="F775" s="4"/>
    </row>
    <row r="776" spans="2:6">
      <c r="B776" s="1"/>
      <c r="C776" s="1"/>
      <c r="D776" s="1"/>
      <c r="E776" s="6"/>
      <c r="F776" s="4"/>
    </row>
    <row r="777" spans="2:6">
      <c r="B777" s="1"/>
      <c r="C777" s="1"/>
      <c r="D777" s="1"/>
      <c r="E777" s="6"/>
      <c r="F777" s="4"/>
    </row>
    <row r="778" spans="2:6">
      <c r="B778" s="1"/>
      <c r="C778" s="1"/>
      <c r="D778" s="1"/>
      <c r="E778" s="6"/>
      <c r="F778" s="4"/>
    </row>
    <row r="779" spans="2:6">
      <c r="B779" s="1"/>
      <c r="C779" s="1"/>
      <c r="D779" s="1"/>
      <c r="E779" s="6"/>
      <c r="F779" s="4"/>
    </row>
    <row r="780" spans="2:6">
      <c r="B780" s="1"/>
      <c r="C780" s="1"/>
      <c r="D780" s="1"/>
      <c r="E780" s="6"/>
      <c r="F780" s="4"/>
    </row>
    <row r="781" spans="2:6">
      <c r="B781" s="1"/>
      <c r="C781" s="1"/>
      <c r="D781" s="1"/>
      <c r="E781" s="6"/>
      <c r="F781" s="4"/>
    </row>
    <row r="782" spans="2:6">
      <c r="B782" s="1"/>
      <c r="C782" s="1"/>
      <c r="D782" s="1"/>
      <c r="E782" s="6"/>
      <c r="F782" s="4"/>
    </row>
    <row r="783" spans="2:6">
      <c r="B783" s="1"/>
      <c r="C783" s="1"/>
      <c r="D783" s="1"/>
      <c r="E783" s="6"/>
      <c r="F783" s="4"/>
    </row>
    <row r="784" spans="2:6">
      <c r="B784" s="1"/>
      <c r="C784" s="1"/>
      <c r="D784" s="1"/>
      <c r="E784" s="6"/>
      <c r="F784" s="4"/>
    </row>
    <row r="785" spans="2:6">
      <c r="B785" s="1"/>
      <c r="C785" s="1"/>
      <c r="D785" s="1"/>
      <c r="E785" s="6"/>
      <c r="F785" s="4"/>
    </row>
    <row r="786" spans="2:6">
      <c r="B786" s="1"/>
      <c r="C786" s="1"/>
      <c r="D786" s="1"/>
      <c r="E786" s="6"/>
      <c r="F786" s="4"/>
    </row>
    <row r="787" spans="2:6">
      <c r="B787" s="1"/>
      <c r="C787" s="1"/>
      <c r="D787" s="1"/>
      <c r="E787" s="6"/>
      <c r="F787" s="4"/>
    </row>
    <row r="788" spans="2:6">
      <c r="B788" s="1"/>
      <c r="C788" s="1"/>
      <c r="D788" s="1"/>
      <c r="E788" s="6"/>
      <c r="F788" s="4"/>
    </row>
    <row r="789" spans="2:6">
      <c r="B789" s="1"/>
      <c r="C789" s="1"/>
      <c r="D789" s="1"/>
      <c r="E789" s="6"/>
      <c r="F789" s="4"/>
    </row>
    <row r="790" spans="2:6">
      <c r="B790" s="1"/>
      <c r="C790" s="1"/>
      <c r="D790" s="1"/>
      <c r="E790" s="6"/>
      <c r="F790" s="4"/>
    </row>
    <row r="791" spans="2:6">
      <c r="B791" s="1"/>
      <c r="C791" s="1"/>
      <c r="D791" s="1"/>
      <c r="E791" s="6"/>
      <c r="F791" s="4"/>
    </row>
    <row r="792" spans="2:6">
      <c r="B792" s="1"/>
      <c r="C792" s="1"/>
      <c r="D792" s="1"/>
      <c r="E792" s="6"/>
      <c r="F792" s="4"/>
    </row>
    <row r="793" spans="2:6">
      <c r="B793" s="1"/>
      <c r="C793" s="1"/>
      <c r="D793" s="1"/>
      <c r="E793" s="6"/>
      <c r="F793" s="4"/>
    </row>
    <row r="794" spans="2:6">
      <c r="B794" s="1"/>
      <c r="C794" s="1"/>
      <c r="D794" s="1"/>
      <c r="E794" s="6"/>
      <c r="F794" s="4"/>
    </row>
    <row r="795" spans="2:6">
      <c r="B795" s="1"/>
      <c r="C795" s="1"/>
      <c r="D795" s="1"/>
      <c r="E795" s="6"/>
      <c r="F795" s="4"/>
    </row>
    <row r="796" spans="2:6">
      <c r="B796" s="1"/>
      <c r="C796" s="1"/>
      <c r="D796" s="1"/>
      <c r="E796" s="6"/>
      <c r="F796" s="4"/>
    </row>
    <row r="797" spans="2:6">
      <c r="B797" s="1"/>
      <c r="C797" s="1"/>
      <c r="D797" s="1"/>
      <c r="E797" s="6"/>
      <c r="F797" s="4"/>
    </row>
    <row r="798" spans="2:6">
      <c r="B798" s="1"/>
      <c r="C798" s="1"/>
      <c r="D798" s="1"/>
      <c r="E798" s="6"/>
      <c r="F798" s="4"/>
    </row>
    <row r="799" spans="2:6">
      <c r="B799" s="1"/>
      <c r="C799" s="1"/>
      <c r="D799" s="1"/>
      <c r="E799" s="6"/>
      <c r="F799" s="4"/>
    </row>
    <row r="800" spans="2:6">
      <c r="B800" s="1"/>
      <c r="C800" s="1"/>
      <c r="D800" s="1"/>
      <c r="E800" s="6"/>
      <c r="F800" s="4"/>
    </row>
    <row r="801" spans="2:6">
      <c r="B801" s="1"/>
      <c r="C801" s="1"/>
      <c r="D801" s="1"/>
      <c r="E801" s="6"/>
      <c r="F801" s="4"/>
    </row>
    <row r="802" spans="2:6">
      <c r="B802" s="1"/>
      <c r="C802" s="1"/>
      <c r="D802" s="1"/>
      <c r="E802" s="6"/>
      <c r="F802" s="4"/>
    </row>
    <row r="803" spans="2:6">
      <c r="B803" s="1"/>
      <c r="C803" s="1"/>
      <c r="D803" s="1"/>
      <c r="E803" s="6"/>
      <c r="F803" s="4"/>
    </row>
    <row r="804" spans="2:6">
      <c r="B804" s="1"/>
      <c r="C804" s="1"/>
      <c r="D804" s="1"/>
      <c r="E804" s="6"/>
      <c r="F804" s="4"/>
    </row>
    <row r="805" spans="2:6">
      <c r="B805" s="1"/>
      <c r="C805" s="1"/>
      <c r="D805" s="1"/>
      <c r="E805" s="6"/>
      <c r="F805" s="4"/>
    </row>
    <row r="806" spans="2:6">
      <c r="B806" s="1"/>
      <c r="C806" s="1"/>
      <c r="D806" s="1"/>
      <c r="E806" s="6"/>
      <c r="F806" s="4"/>
    </row>
    <row r="807" spans="2:6">
      <c r="B807" s="1"/>
      <c r="C807" s="1"/>
      <c r="D807" s="1"/>
      <c r="E807" s="6"/>
      <c r="F807" s="4"/>
    </row>
    <row r="808" spans="2:6">
      <c r="B808" s="1"/>
      <c r="C808" s="1"/>
      <c r="D808" s="1"/>
      <c r="E808" s="6"/>
      <c r="F808" s="4"/>
    </row>
    <row r="809" spans="2:6">
      <c r="B809" s="1"/>
      <c r="C809" s="1"/>
      <c r="D809" s="1"/>
      <c r="E809" s="6"/>
      <c r="F809" s="4"/>
    </row>
    <row r="810" spans="2:6">
      <c r="B810" s="1"/>
      <c r="C810" s="1"/>
      <c r="D810" s="1"/>
      <c r="E810" s="6"/>
      <c r="F810" s="4"/>
    </row>
    <row r="811" spans="2:6">
      <c r="B811" s="1"/>
      <c r="C811" s="1"/>
      <c r="D811" s="1"/>
      <c r="E811" s="6"/>
      <c r="F811" s="4"/>
    </row>
    <row r="812" spans="2:6">
      <c r="B812" s="1"/>
      <c r="C812" s="1"/>
      <c r="D812" s="1"/>
      <c r="E812" s="6"/>
      <c r="F812" s="4"/>
    </row>
    <row r="813" spans="2:6">
      <c r="B813" s="1"/>
      <c r="C813" s="1"/>
      <c r="D813" s="1"/>
      <c r="E813" s="6"/>
      <c r="F813" s="4"/>
    </row>
    <row r="814" spans="2:6">
      <c r="B814" s="1"/>
      <c r="C814" s="1"/>
      <c r="D814" s="1"/>
      <c r="E814" s="6"/>
      <c r="F814" s="4"/>
    </row>
    <row r="815" spans="2:6">
      <c r="B815" s="1"/>
      <c r="C815" s="1"/>
      <c r="D815" s="1"/>
      <c r="E815" s="6"/>
      <c r="F815" s="4"/>
    </row>
    <row r="816" spans="2:6">
      <c r="B816" s="1"/>
      <c r="C816" s="1"/>
      <c r="D816" s="1"/>
      <c r="E816" s="6"/>
      <c r="F816" s="4"/>
    </row>
    <row r="817" spans="2:6">
      <c r="B817" s="1"/>
      <c r="C817" s="1"/>
      <c r="D817" s="1"/>
      <c r="E817" s="6"/>
      <c r="F817" s="4"/>
    </row>
    <row r="818" spans="2:6">
      <c r="B818" s="1"/>
      <c r="C818" s="1"/>
      <c r="D818" s="1"/>
      <c r="E818" s="6"/>
      <c r="F818" s="4"/>
    </row>
    <row r="819" spans="2:6">
      <c r="B819" s="1"/>
      <c r="C819" s="1"/>
      <c r="D819" s="1"/>
      <c r="E819" s="6"/>
      <c r="F819" s="4"/>
    </row>
    <row r="820" spans="2:6">
      <c r="B820" s="1"/>
      <c r="C820" s="1"/>
      <c r="D820" s="1"/>
      <c r="E820" s="6"/>
      <c r="F820" s="4"/>
    </row>
    <row r="821" spans="2:6">
      <c r="B821" s="1"/>
      <c r="C821" s="1"/>
      <c r="D821" s="1"/>
      <c r="E821" s="6"/>
      <c r="F821" s="4"/>
    </row>
    <row r="822" spans="2:6">
      <c r="B822" s="1"/>
      <c r="C822" s="1"/>
      <c r="D822" s="1"/>
      <c r="E822" s="6"/>
      <c r="F822" s="4"/>
    </row>
    <row r="823" spans="2:6">
      <c r="B823" s="1"/>
      <c r="C823" s="1"/>
      <c r="D823" s="1"/>
      <c r="E823" s="6"/>
      <c r="F823" s="4"/>
    </row>
    <row r="824" spans="2:6">
      <c r="B824" s="1"/>
      <c r="C824" s="1"/>
      <c r="D824" s="1"/>
      <c r="E824" s="6"/>
      <c r="F824" s="4"/>
    </row>
    <row r="825" spans="2:6">
      <c r="B825" s="1"/>
      <c r="C825" s="1"/>
      <c r="D825" s="1"/>
      <c r="E825" s="6"/>
      <c r="F825" s="4"/>
    </row>
    <row r="826" spans="2:6">
      <c r="B826" s="1"/>
      <c r="C826" s="1"/>
      <c r="D826" s="1"/>
      <c r="E826" s="6"/>
      <c r="F826" s="4"/>
    </row>
    <row r="827" spans="2:6">
      <c r="B827" s="1"/>
      <c r="C827" s="1"/>
      <c r="D827" s="1"/>
      <c r="E827" s="6"/>
      <c r="F827" s="4"/>
    </row>
    <row r="828" spans="2:6">
      <c r="B828" s="1"/>
      <c r="C828" s="1"/>
      <c r="D828" s="1"/>
      <c r="E828" s="6"/>
      <c r="F828" s="4"/>
    </row>
    <row r="829" spans="2:6">
      <c r="B829" s="1"/>
      <c r="C829" s="1"/>
      <c r="D829" s="1"/>
      <c r="E829" s="6"/>
      <c r="F829" s="4"/>
    </row>
    <row r="830" spans="2:6">
      <c r="B830" s="1"/>
      <c r="C830" s="1"/>
      <c r="D830" s="1"/>
      <c r="E830" s="6"/>
      <c r="F830" s="4"/>
    </row>
    <row r="831" spans="2:6">
      <c r="B831" s="1"/>
      <c r="C831" s="1"/>
      <c r="D831" s="1"/>
      <c r="E831" s="6"/>
      <c r="F831" s="4"/>
    </row>
    <row r="832" spans="2:6">
      <c r="B832" s="1"/>
      <c r="C832" s="1"/>
      <c r="D832" s="1"/>
      <c r="E832" s="6"/>
      <c r="F832" s="4"/>
    </row>
    <row r="833" spans="2:6">
      <c r="B833" s="1"/>
      <c r="C833" s="1"/>
      <c r="D833" s="1"/>
      <c r="E833" s="6"/>
      <c r="F833" s="4"/>
    </row>
    <row r="834" spans="2:6">
      <c r="B834" s="1"/>
      <c r="C834" s="1"/>
      <c r="D834" s="1"/>
      <c r="E834" s="6"/>
      <c r="F834" s="4"/>
    </row>
    <row r="835" spans="2:6">
      <c r="B835" s="1"/>
      <c r="C835" s="1"/>
      <c r="D835" s="1"/>
      <c r="E835" s="6"/>
      <c r="F835" s="4"/>
    </row>
    <row r="836" spans="2:6">
      <c r="B836" s="1"/>
      <c r="C836" s="1"/>
      <c r="D836" s="1"/>
      <c r="E836" s="6"/>
      <c r="F836" s="4"/>
    </row>
    <row r="837" spans="2:6">
      <c r="B837" s="1"/>
      <c r="C837" s="1"/>
      <c r="D837" s="1"/>
      <c r="E837" s="6"/>
      <c r="F837" s="4"/>
    </row>
    <row r="838" spans="2:6">
      <c r="B838" s="1"/>
      <c r="C838" s="1"/>
      <c r="D838" s="1"/>
      <c r="E838" s="6"/>
      <c r="F838" s="4"/>
    </row>
    <row r="839" spans="2:6">
      <c r="B839" s="1"/>
      <c r="C839" s="1"/>
      <c r="D839" s="1"/>
      <c r="E839" s="6"/>
      <c r="F839" s="4"/>
    </row>
    <row r="840" spans="2:6">
      <c r="B840" s="1"/>
      <c r="C840" s="1"/>
      <c r="D840" s="1"/>
      <c r="E840" s="6"/>
      <c r="F840" s="4"/>
    </row>
    <row r="841" spans="2:6">
      <c r="B841" s="1"/>
      <c r="C841" s="1"/>
      <c r="D841" s="1"/>
      <c r="E841" s="6"/>
      <c r="F841" s="4"/>
    </row>
    <row r="842" spans="2:6">
      <c r="B842" s="1"/>
      <c r="C842" s="1"/>
      <c r="D842" s="1"/>
      <c r="E842" s="6"/>
      <c r="F842" s="4"/>
    </row>
    <row r="843" spans="2:6">
      <c r="B843" s="1"/>
      <c r="C843" s="1"/>
      <c r="D843" s="1"/>
      <c r="E843" s="6"/>
      <c r="F843" s="4"/>
    </row>
    <row r="844" spans="2:6">
      <c r="B844" s="1"/>
      <c r="C844" s="1"/>
      <c r="D844" s="1"/>
      <c r="E844" s="6"/>
      <c r="F844" s="4"/>
    </row>
    <row r="845" spans="2:6">
      <c r="B845" s="1"/>
      <c r="C845" s="1"/>
      <c r="D845" s="1"/>
      <c r="E845" s="6"/>
      <c r="F845" s="4"/>
    </row>
    <row r="846" spans="2:6">
      <c r="B846" s="1"/>
      <c r="C846" s="1"/>
      <c r="D846" s="1"/>
      <c r="E846" s="6"/>
      <c r="F846" s="4"/>
    </row>
    <row r="847" spans="2:6">
      <c r="B847" s="1"/>
      <c r="C847" s="1"/>
      <c r="D847" s="1"/>
      <c r="E847" s="6"/>
      <c r="F847" s="4"/>
    </row>
    <row r="848" spans="2:6">
      <c r="B848" s="1"/>
      <c r="C848" s="1"/>
      <c r="D848" s="1"/>
      <c r="E848" s="6"/>
      <c r="F848" s="4"/>
    </row>
    <row r="849" spans="2:6">
      <c r="B849" s="1"/>
      <c r="C849" s="1"/>
      <c r="D849" s="1"/>
      <c r="E849" s="6"/>
      <c r="F849" s="4"/>
    </row>
    <row r="850" spans="2:6">
      <c r="B850" s="1"/>
      <c r="C850" s="1"/>
      <c r="D850" s="1"/>
      <c r="E850" s="6"/>
      <c r="F850" s="4"/>
    </row>
    <row r="851" spans="2:6">
      <c r="B851" s="1"/>
      <c r="C851" s="1"/>
      <c r="D851" s="1"/>
      <c r="E851" s="6"/>
      <c r="F851" s="4"/>
    </row>
    <row r="852" spans="2:6">
      <c r="B852" s="1"/>
      <c r="C852" s="1"/>
      <c r="D852" s="1"/>
      <c r="E852" s="6"/>
      <c r="F852" s="4"/>
    </row>
    <row r="853" spans="2:6">
      <c r="B853" s="1"/>
      <c r="C853" s="1"/>
      <c r="D853" s="1"/>
      <c r="E853" s="6"/>
      <c r="F853" s="4"/>
    </row>
    <row r="854" spans="2:6">
      <c r="B854" s="1"/>
      <c r="C854" s="1"/>
      <c r="D854" s="1"/>
      <c r="E854" s="6"/>
      <c r="F854" s="4"/>
    </row>
    <row r="855" spans="2:6">
      <c r="B855" s="1"/>
      <c r="C855" s="1"/>
      <c r="D855" s="1"/>
      <c r="E855" s="6"/>
      <c r="F855" s="4"/>
    </row>
    <row r="856" spans="2:6">
      <c r="B856" s="1"/>
      <c r="C856" s="1"/>
      <c r="D856" s="1"/>
      <c r="E856" s="6"/>
      <c r="F856" s="4"/>
    </row>
    <row r="857" spans="2:6">
      <c r="B857" s="1"/>
      <c r="C857" s="1"/>
      <c r="D857" s="1"/>
      <c r="E857" s="6"/>
      <c r="F857" s="4"/>
    </row>
    <row r="858" spans="2:6">
      <c r="B858" s="1"/>
      <c r="C858" s="1"/>
      <c r="D858" s="1"/>
      <c r="E858" s="6"/>
      <c r="F858" s="4"/>
    </row>
    <row r="859" spans="2:6">
      <c r="B859" s="1"/>
      <c r="C859" s="1"/>
      <c r="D859" s="1"/>
      <c r="E859" s="6"/>
      <c r="F859" s="4"/>
    </row>
    <row r="860" spans="2:6">
      <c r="B860" s="1"/>
      <c r="C860" s="1"/>
      <c r="D860" s="1"/>
      <c r="E860" s="6"/>
      <c r="F860" s="4"/>
    </row>
    <row r="861" spans="2:6">
      <c r="B861" s="1"/>
      <c r="C861" s="1"/>
      <c r="D861" s="1"/>
      <c r="E861" s="6"/>
      <c r="F861" s="4"/>
    </row>
    <row r="862" spans="2:6">
      <c r="B862" s="1"/>
      <c r="C862" s="1"/>
      <c r="D862" s="1"/>
      <c r="E862" s="6"/>
      <c r="F862" s="4"/>
    </row>
    <row r="863" spans="2:6">
      <c r="B863" s="1"/>
      <c r="C863" s="1"/>
      <c r="D863" s="1"/>
      <c r="E863" s="6"/>
      <c r="F863" s="4"/>
    </row>
    <row r="864" spans="2:6">
      <c r="B864" s="1"/>
      <c r="C864" s="1"/>
      <c r="D864" s="1"/>
      <c r="E864" s="6"/>
      <c r="F864" s="4"/>
    </row>
    <row r="865" spans="2:6">
      <c r="B865" s="1"/>
      <c r="C865" s="1"/>
      <c r="D865" s="1"/>
      <c r="E865" s="6"/>
      <c r="F865" s="4"/>
    </row>
    <row r="866" spans="2:6">
      <c r="B866" s="1"/>
      <c r="C866" s="1"/>
      <c r="D866" s="1"/>
      <c r="E866" s="6"/>
      <c r="F866" s="4"/>
    </row>
    <row r="867" spans="2:6">
      <c r="B867" s="1"/>
      <c r="C867" s="1"/>
      <c r="D867" s="1"/>
      <c r="E867" s="6"/>
      <c r="F867" s="4"/>
    </row>
    <row r="868" spans="2:6">
      <c r="B868" s="1"/>
      <c r="C868" s="1"/>
      <c r="D868" s="1"/>
      <c r="E868" s="6"/>
      <c r="F868" s="4"/>
    </row>
    <row r="869" spans="2:6">
      <c r="B869" s="1"/>
      <c r="C869" s="1"/>
      <c r="D869" s="1"/>
      <c r="E869" s="6"/>
      <c r="F869" s="4"/>
    </row>
    <row r="870" spans="2:6">
      <c r="B870" s="1"/>
      <c r="C870" s="1"/>
      <c r="D870" s="1"/>
      <c r="E870" s="6"/>
      <c r="F870" s="4"/>
    </row>
    <row r="871" spans="2:6">
      <c r="B871" s="1"/>
      <c r="C871" s="1"/>
      <c r="D871" s="1"/>
      <c r="E871" s="6"/>
      <c r="F871" s="4"/>
    </row>
    <row r="872" spans="2:6">
      <c r="B872" s="1"/>
      <c r="C872" s="1"/>
      <c r="D872" s="1"/>
      <c r="E872" s="6"/>
      <c r="F872" s="4"/>
    </row>
    <row r="873" spans="2:6">
      <c r="B873" s="1"/>
      <c r="C873" s="1"/>
      <c r="D873" s="1"/>
      <c r="E873" s="6"/>
      <c r="F873" s="4"/>
    </row>
    <row r="874" spans="2:6">
      <c r="B874" s="1"/>
      <c r="C874" s="1"/>
      <c r="D874" s="1"/>
      <c r="E874" s="6"/>
      <c r="F874" s="4"/>
    </row>
    <row r="875" spans="2:6">
      <c r="B875" s="1"/>
      <c r="C875" s="1"/>
      <c r="D875" s="1"/>
      <c r="E875" s="6"/>
      <c r="F875" s="4"/>
    </row>
    <row r="876" spans="2:6">
      <c r="B876" s="1"/>
      <c r="C876" s="1"/>
      <c r="D876" s="1"/>
      <c r="E876" s="6"/>
      <c r="F876" s="4"/>
    </row>
    <row r="877" spans="2:6">
      <c r="B877" s="1"/>
      <c r="C877" s="1"/>
      <c r="D877" s="1"/>
      <c r="E877" s="6"/>
      <c r="F877" s="4"/>
    </row>
    <row r="878" spans="2:6">
      <c r="B878" s="1"/>
      <c r="C878" s="1"/>
      <c r="D878" s="1"/>
      <c r="E878" s="6"/>
      <c r="F878" s="4"/>
    </row>
    <row r="879" spans="2:6">
      <c r="B879" s="1"/>
      <c r="C879" s="1"/>
      <c r="D879" s="1"/>
      <c r="E879" s="6"/>
      <c r="F879" s="4"/>
    </row>
    <row r="880" spans="2:6">
      <c r="B880" s="1"/>
      <c r="C880" s="1"/>
      <c r="D880" s="1"/>
      <c r="E880" s="6"/>
      <c r="F880" s="4"/>
    </row>
    <row r="881" spans="2:6">
      <c r="B881" s="1"/>
      <c r="C881" s="1"/>
      <c r="D881" s="1"/>
      <c r="E881" s="6"/>
      <c r="F881" s="4"/>
    </row>
    <row r="882" spans="2:6">
      <c r="B882" s="1"/>
      <c r="C882" s="1"/>
      <c r="D882" s="1"/>
      <c r="E882" s="6"/>
      <c r="F882" s="4"/>
    </row>
    <row r="883" spans="2:6">
      <c r="B883" s="1"/>
      <c r="C883" s="1"/>
      <c r="D883" s="1"/>
      <c r="E883" s="6"/>
      <c r="F883" s="4"/>
    </row>
    <row r="884" spans="2:6">
      <c r="B884" s="1"/>
      <c r="C884" s="1"/>
      <c r="D884" s="1"/>
      <c r="E884" s="6"/>
      <c r="F884" s="4"/>
    </row>
    <row r="885" spans="2:6">
      <c r="B885" s="1"/>
      <c r="C885" s="1"/>
      <c r="D885" s="1"/>
      <c r="E885" s="6"/>
      <c r="F885" s="4"/>
    </row>
    <row r="886" spans="2:6">
      <c r="B886" s="1"/>
      <c r="C886" s="1"/>
      <c r="D886" s="1"/>
      <c r="E886" s="6"/>
      <c r="F886" s="4"/>
    </row>
    <row r="887" spans="2:6">
      <c r="B887" s="1"/>
      <c r="C887" s="1"/>
      <c r="D887" s="1"/>
      <c r="E887" s="6"/>
      <c r="F887" s="4"/>
    </row>
    <row r="888" spans="2:6">
      <c r="B888" s="1"/>
      <c r="C888" s="1"/>
      <c r="D888" s="1"/>
      <c r="E888" s="6"/>
      <c r="F888" s="4"/>
    </row>
    <row r="889" spans="2:6">
      <c r="B889" s="1"/>
      <c r="C889" s="1"/>
      <c r="D889" s="1"/>
      <c r="E889" s="6"/>
      <c r="F889" s="4"/>
    </row>
    <row r="890" spans="2:6">
      <c r="B890" s="1"/>
      <c r="C890" s="1"/>
      <c r="D890" s="1"/>
      <c r="E890" s="6"/>
      <c r="F890" s="4"/>
    </row>
    <row r="891" spans="2:6">
      <c r="B891" s="1"/>
      <c r="C891" s="1"/>
      <c r="D891" s="1"/>
      <c r="E891" s="6"/>
      <c r="F891" s="4"/>
    </row>
    <row r="892" spans="2:6">
      <c r="B892" s="1"/>
      <c r="C892" s="1"/>
      <c r="D892" s="1"/>
      <c r="E892" s="6"/>
      <c r="F892" s="4"/>
    </row>
    <row r="893" spans="2:6">
      <c r="B893" s="1"/>
      <c r="C893" s="1"/>
      <c r="D893" s="1"/>
      <c r="E893" s="6"/>
      <c r="F893" s="4"/>
    </row>
    <row r="894" spans="2:6">
      <c r="B894" s="1"/>
      <c r="C894" s="1"/>
      <c r="D894" s="1"/>
      <c r="E894" s="6"/>
      <c r="F894" s="4"/>
    </row>
    <row r="895" spans="2:6">
      <c r="B895" s="1"/>
      <c r="C895" s="1"/>
      <c r="D895" s="1"/>
      <c r="E895" s="6"/>
      <c r="F895" s="4"/>
    </row>
    <row r="896" spans="2:6">
      <c r="B896" s="1"/>
      <c r="C896" s="1"/>
      <c r="D896" s="1"/>
      <c r="E896" s="6"/>
      <c r="F896" s="4"/>
    </row>
    <row r="897" spans="2:6">
      <c r="B897" s="1"/>
      <c r="C897" s="1"/>
      <c r="D897" s="1"/>
      <c r="E897" s="6"/>
      <c r="F897" s="4"/>
    </row>
    <row r="898" spans="2:6">
      <c r="B898" s="1"/>
      <c r="C898" s="1"/>
      <c r="D898" s="1"/>
      <c r="E898" s="6"/>
      <c r="F898" s="4"/>
    </row>
    <row r="899" spans="2:6">
      <c r="B899" s="1"/>
      <c r="C899" s="1"/>
      <c r="D899" s="1"/>
      <c r="E899" s="6"/>
      <c r="F899" s="4"/>
    </row>
    <row r="900" spans="2:6">
      <c r="B900" s="1"/>
      <c r="C900" s="1"/>
      <c r="D900" s="1"/>
      <c r="E900" s="6"/>
      <c r="F900" s="4"/>
    </row>
    <row r="901" spans="2:6">
      <c r="B901" s="1"/>
      <c r="C901" s="1"/>
      <c r="D901" s="1"/>
      <c r="E901" s="6"/>
      <c r="F901" s="4"/>
    </row>
    <row r="902" spans="2:6">
      <c r="B902" s="1"/>
      <c r="C902" s="1"/>
      <c r="D902" s="1"/>
      <c r="E902" s="6"/>
      <c r="F902" s="4"/>
    </row>
    <row r="903" spans="2:6">
      <c r="B903" s="1"/>
      <c r="C903" s="1"/>
      <c r="D903" s="1"/>
      <c r="E903" s="6"/>
      <c r="F903" s="4"/>
    </row>
    <row r="904" spans="2:6">
      <c r="B904" s="1"/>
      <c r="C904" s="1"/>
      <c r="D904" s="1"/>
      <c r="E904" s="6"/>
      <c r="F904" s="4"/>
    </row>
    <row r="905" spans="2:6">
      <c r="B905" s="1"/>
      <c r="C905" s="1"/>
      <c r="D905" s="1"/>
      <c r="E905" s="6"/>
      <c r="F905" s="4"/>
    </row>
    <row r="906" spans="2:6">
      <c r="B906" s="1"/>
      <c r="C906" s="1"/>
      <c r="D906" s="1"/>
      <c r="E906" s="6"/>
      <c r="F906" s="4"/>
    </row>
    <row r="907" spans="2:6">
      <c r="B907" s="1"/>
      <c r="C907" s="1"/>
      <c r="D907" s="1"/>
      <c r="E907" s="6"/>
      <c r="F907" s="4"/>
    </row>
    <row r="908" spans="2:6">
      <c r="B908" s="1"/>
      <c r="C908" s="1"/>
      <c r="D908" s="1"/>
      <c r="E908" s="6"/>
      <c r="F908" s="4"/>
    </row>
    <row r="909" spans="2:6">
      <c r="B909" s="1"/>
      <c r="C909" s="1"/>
      <c r="D909" s="1"/>
      <c r="E909" s="6"/>
      <c r="F909" s="4"/>
    </row>
    <row r="910" spans="2:6">
      <c r="B910" s="1"/>
      <c r="C910" s="1"/>
      <c r="D910" s="1"/>
      <c r="E910" s="6"/>
      <c r="F910" s="4"/>
    </row>
    <row r="911" spans="2:6">
      <c r="B911" s="1"/>
      <c r="C911" s="1"/>
      <c r="D911" s="1"/>
      <c r="E911" s="6"/>
      <c r="F911" s="4"/>
    </row>
    <row r="912" spans="2:6">
      <c r="B912" s="1"/>
      <c r="C912" s="1"/>
      <c r="D912" s="1"/>
      <c r="E912" s="6"/>
      <c r="F912" s="4"/>
    </row>
    <row r="913" spans="2:6">
      <c r="B913" s="1"/>
      <c r="C913" s="1"/>
      <c r="D913" s="1"/>
      <c r="E913" s="6"/>
      <c r="F913" s="4"/>
    </row>
    <row r="914" spans="2:6">
      <c r="B914" s="1"/>
      <c r="C914" s="1"/>
      <c r="D914" s="1"/>
      <c r="E914" s="6"/>
      <c r="F914" s="4"/>
    </row>
    <row r="915" spans="2:6">
      <c r="B915" s="1"/>
      <c r="C915" s="1"/>
      <c r="D915" s="1"/>
      <c r="E915" s="6"/>
      <c r="F915" s="4"/>
    </row>
    <row r="916" spans="2:6">
      <c r="B916" s="1"/>
      <c r="C916" s="1"/>
      <c r="D916" s="1"/>
      <c r="E916" s="6"/>
      <c r="F916" s="4"/>
    </row>
    <row r="917" spans="2:6">
      <c r="B917" s="1"/>
      <c r="C917" s="1"/>
      <c r="D917" s="1"/>
      <c r="E917" s="6"/>
      <c r="F917" s="4"/>
    </row>
    <row r="918" spans="2:6">
      <c r="B918" s="1"/>
      <c r="C918" s="1"/>
      <c r="D918" s="1"/>
      <c r="E918" s="6"/>
      <c r="F918" s="4"/>
    </row>
    <row r="919" spans="2:6">
      <c r="B919" s="1"/>
      <c r="C919" s="1"/>
      <c r="D919" s="1"/>
      <c r="E919" s="6"/>
      <c r="F919" s="4"/>
    </row>
    <row r="920" spans="2:6">
      <c r="B920" s="1"/>
      <c r="C920" s="1"/>
      <c r="D920" s="1"/>
      <c r="E920" s="6"/>
      <c r="F920" s="4"/>
    </row>
    <row r="921" spans="2:6">
      <c r="B921" s="1"/>
      <c r="C921" s="1"/>
      <c r="D921" s="1"/>
      <c r="E921" s="6"/>
      <c r="F921" s="4"/>
    </row>
    <row r="922" spans="2:6">
      <c r="B922" s="1"/>
      <c r="C922" s="1"/>
      <c r="D922" s="1"/>
      <c r="E922" s="6"/>
      <c r="F922" s="4"/>
    </row>
    <row r="923" spans="2:6">
      <c r="B923" s="1"/>
      <c r="C923" s="1"/>
      <c r="D923" s="1"/>
      <c r="E923" s="6"/>
      <c r="F923" s="4"/>
    </row>
    <row r="924" spans="2:6">
      <c r="B924" s="1"/>
      <c r="C924" s="1"/>
      <c r="D924" s="1"/>
      <c r="E924" s="6"/>
      <c r="F924" s="4"/>
    </row>
    <row r="925" spans="2:6">
      <c r="B925" s="1"/>
      <c r="C925" s="1"/>
      <c r="D925" s="1"/>
      <c r="E925" s="6"/>
      <c r="F925" s="4"/>
    </row>
    <row r="926" spans="2:6">
      <c r="B926" s="1"/>
      <c r="C926" s="1"/>
      <c r="D926" s="1"/>
      <c r="E926" s="6"/>
      <c r="F926" s="4"/>
    </row>
    <row r="927" spans="2:6">
      <c r="B927" s="1"/>
      <c r="C927" s="1"/>
      <c r="D927" s="1"/>
      <c r="E927" s="6"/>
      <c r="F927" s="4"/>
    </row>
    <row r="928" spans="2:6">
      <c r="B928" s="1"/>
      <c r="C928" s="1"/>
      <c r="D928" s="1"/>
      <c r="E928" s="6"/>
      <c r="F928" s="4"/>
    </row>
    <row r="929" spans="2:6">
      <c r="B929" s="1"/>
      <c r="C929" s="1"/>
      <c r="D929" s="1"/>
      <c r="E929" s="6"/>
      <c r="F929" s="4"/>
    </row>
    <row r="930" spans="2:6">
      <c r="B930" s="1"/>
      <c r="C930" s="1"/>
      <c r="D930" s="1"/>
      <c r="E930" s="6"/>
      <c r="F930" s="4"/>
    </row>
    <row r="931" spans="2:6">
      <c r="B931" s="1"/>
      <c r="C931" s="1"/>
      <c r="D931" s="1"/>
      <c r="E931" s="6"/>
      <c r="F931" s="4"/>
    </row>
    <row r="932" spans="2:6">
      <c r="B932" s="1"/>
      <c r="C932" s="1"/>
      <c r="D932" s="1"/>
      <c r="E932" s="6"/>
      <c r="F932" s="4"/>
    </row>
    <row r="933" spans="2:6">
      <c r="B933" s="1"/>
      <c r="C933" s="1"/>
      <c r="D933" s="1"/>
      <c r="E933" s="6"/>
      <c r="F933" s="4"/>
    </row>
    <row r="934" spans="2:6">
      <c r="B934" s="1"/>
      <c r="C934" s="1"/>
      <c r="D934" s="1"/>
      <c r="E934" s="6"/>
      <c r="F934" s="4"/>
    </row>
    <row r="935" spans="2:6">
      <c r="B935" s="1"/>
      <c r="C935" s="1"/>
      <c r="D935" s="1"/>
      <c r="E935" s="6"/>
      <c r="F935" s="4"/>
    </row>
    <row r="936" spans="2:6">
      <c r="B936" s="1"/>
      <c r="C936" s="1"/>
      <c r="D936" s="1"/>
      <c r="E936" s="6"/>
      <c r="F936" s="4"/>
    </row>
    <row r="937" spans="2:6">
      <c r="B937" s="1"/>
      <c r="C937" s="1"/>
      <c r="D937" s="1"/>
      <c r="E937" s="6"/>
      <c r="F937" s="4"/>
    </row>
    <row r="938" spans="2:6">
      <c r="B938" s="1"/>
      <c r="C938" s="1"/>
      <c r="D938" s="1"/>
      <c r="E938" s="6"/>
      <c r="F938" s="4"/>
    </row>
    <row r="939" spans="2:6">
      <c r="B939" s="1"/>
      <c r="C939" s="1"/>
      <c r="D939" s="1"/>
      <c r="E939" s="6"/>
      <c r="F939" s="4"/>
    </row>
    <row r="940" spans="2:6">
      <c r="B940" s="1"/>
      <c r="C940" s="1"/>
      <c r="D940" s="1"/>
      <c r="E940" s="6"/>
      <c r="F940" s="4"/>
    </row>
    <row r="941" spans="2:6">
      <c r="B941" s="1"/>
      <c r="C941" s="1"/>
      <c r="D941" s="1"/>
      <c r="E941" s="6"/>
      <c r="F941" s="4"/>
    </row>
    <row r="942" spans="2:6">
      <c r="B942" s="1"/>
      <c r="C942" s="1"/>
      <c r="D942" s="1"/>
      <c r="E942" s="6"/>
      <c r="F942" s="4"/>
    </row>
    <row r="943" spans="2:6">
      <c r="B943" s="1"/>
      <c r="C943" s="1"/>
      <c r="D943" s="1"/>
      <c r="E943" s="6"/>
      <c r="F943" s="4"/>
    </row>
    <row r="944" spans="2:6">
      <c r="B944" s="1"/>
      <c r="C944" s="1"/>
      <c r="D944" s="1"/>
      <c r="E944" s="6"/>
      <c r="F944" s="4"/>
    </row>
    <row r="945" spans="2:6">
      <c r="B945" s="1"/>
      <c r="C945" s="1"/>
      <c r="D945" s="1"/>
      <c r="E945" s="6"/>
      <c r="F945" s="4"/>
    </row>
    <row r="946" spans="2:6">
      <c r="B946" s="1"/>
      <c r="C946" s="1"/>
      <c r="D946" s="1"/>
      <c r="E946" s="6"/>
      <c r="F946" s="4"/>
    </row>
    <row r="947" spans="2:6">
      <c r="B947" s="1"/>
      <c r="C947" s="1"/>
      <c r="D947" s="1"/>
      <c r="E947" s="6"/>
      <c r="F947" s="4"/>
    </row>
    <row r="948" spans="2:6">
      <c r="B948" s="1"/>
      <c r="C948" s="1"/>
      <c r="D948" s="1"/>
      <c r="E948" s="6"/>
      <c r="F948" s="4"/>
    </row>
    <row r="949" spans="2:6">
      <c r="B949" s="1"/>
      <c r="C949" s="1"/>
      <c r="D949" s="1"/>
      <c r="E949" s="6"/>
      <c r="F949" s="4"/>
    </row>
    <row r="950" spans="2:6">
      <c r="B950" s="1"/>
      <c r="C950" s="1"/>
      <c r="D950" s="1"/>
      <c r="E950" s="6"/>
      <c r="F950" s="4"/>
    </row>
    <row r="951" spans="2:6">
      <c r="B951" s="1"/>
      <c r="C951" s="1"/>
      <c r="D951" s="1"/>
      <c r="E951" s="6"/>
      <c r="F951" s="4"/>
    </row>
    <row r="952" spans="2:6">
      <c r="B952" s="1"/>
      <c r="C952" s="1"/>
      <c r="D952" s="1"/>
      <c r="E952" s="6"/>
      <c r="F952" s="4"/>
    </row>
    <row r="953" spans="2:6">
      <c r="B953" s="1"/>
      <c r="C953" s="1"/>
      <c r="D953" s="1"/>
      <c r="E953" s="6"/>
      <c r="F953" s="4"/>
    </row>
    <row r="954" spans="2:6">
      <c r="B954" s="1"/>
      <c r="C954" s="1"/>
      <c r="D954" s="1"/>
      <c r="E954" s="6"/>
      <c r="F954" s="4"/>
    </row>
    <row r="955" spans="2:6">
      <c r="B955" s="1"/>
      <c r="C955" s="1"/>
      <c r="D955" s="1"/>
      <c r="E955" s="6"/>
      <c r="F955" s="4"/>
    </row>
    <row r="956" spans="2:6">
      <c r="B956" s="1"/>
      <c r="C956" s="1"/>
      <c r="D956" s="1"/>
      <c r="E956" s="6"/>
      <c r="F956" s="4"/>
    </row>
    <row r="957" spans="2:6">
      <c r="B957" s="1"/>
      <c r="C957" s="1"/>
      <c r="D957" s="1"/>
      <c r="E957" s="6"/>
      <c r="F957" s="4"/>
    </row>
    <row r="958" spans="2:6">
      <c r="B958" s="1"/>
      <c r="C958" s="1"/>
      <c r="D958" s="1"/>
      <c r="E958" s="6"/>
      <c r="F958" s="4"/>
    </row>
    <row r="959" spans="2:6">
      <c r="B959" s="1"/>
      <c r="C959" s="1"/>
      <c r="D959" s="1"/>
      <c r="E959" s="6"/>
      <c r="F959" s="4"/>
    </row>
    <row r="960" spans="2:6">
      <c r="B960" s="1"/>
      <c r="C960" s="1"/>
      <c r="D960" s="1"/>
      <c r="E960" s="6"/>
      <c r="F960" s="4"/>
    </row>
    <row r="961" spans="2:6">
      <c r="B961" s="1"/>
      <c r="C961" s="1"/>
      <c r="D961" s="1"/>
      <c r="E961" s="6"/>
      <c r="F961" s="4"/>
    </row>
    <row r="962" spans="2:6">
      <c r="B962" s="1"/>
      <c r="C962" s="1"/>
      <c r="D962" s="1"/>
      <c r="E962" s="6"/>
      <c r="F962" s="4"/>
    </row>
    <row r="963" spans="2:6">
      <c r="B963" s="1"/>
      <c r="C963" s="1"/>
      <c r="D963" s="1"/>
      <c r="E963" s="6"/>
      <c r="F963" s="4"/>
    </row>
    <row r="964" spans="2:6">
      <c r="B964" s="1"/>
      <c r="C964" s="1"/>
      <c r="D964" s="1"/>
      <c r="E964" s="6"/>
      <c r="F964" s="4"/>
    </row>
    <row r="965" spans="2:6">
      <c r="B965" s="1"/>
      <c r="C965" s="1"/>
      <c r="D965" s="1"/>
      <c r="E965" s="6"/>
      <c r="F965" s="4"/>
    </row>
    <row r="966" spans="2:6">
      <c r="B966" s="1"/>
      <c r="C966" s="1"/>
      <c r="D966" s="1"/>
      <c r="E966" s="6"/>
      <c r="F966" s="4"/>
    </row>
    <row r="967" spans="2:6">
      <c r="B967" s="1"/>
      <c r="C967" s="1"/>
      <c r="D967" s="1"/>
      <c r="E967" s="6"/>
      <c r="F967" s="4"/>
    </row>
    <row r="968" spans="2:6">
      <c r="B968" s="1"/>
      <c r="C968" s="1"/>
      <c r="D968" s="1"/>
      <c r="E968" s="6"/>
      <c r="F968" s="4"/>
    </row>
    <row r="969" spans="2:6">
      <c r="B969" s="1"/>
      <c r="C969" s="1"/>
      <c r="D969" s="1"/>
      <c r="E969" s="6"/>
      <c r="F969" s="4"/>
    </row>
    <row r="970" spans="2:6">
      <c r="B970" s="1"/>
      <c r="C970" s="1"/>
      <c r="D970" s="1"/>
      <c r="E970" s="6"/>
      <c r="F970" s="4"/>
    </row>
    <row r="971" spans="2:6">
      <c r="B971" s="1"/>
      <c r="C971" s="1"/>
      <c r="D971" s="1"/>
      <c r="E971" s="6"/>
      <c r="F971" s="4"/>
    </row>
    <row r="972" spans="2:6">
      <c r="B972" s="1"/>
      <c r="C972" s="1"/>
      <c r="D972" s="1"/>
      <c r="E972" s="6"/>
      <c r="F972" s="4"/>
    </row>
    <row r="973" spans="2:6">
      <c r="B973" s="1"/>
      <c r="C973" s="1"/>
      <c r="D973" s="1"/>
      <c r="E973" s="6"/>
      <c r="F973" s="4"/>
    </row>
    <row r="974" spans="2:6">
      <c r="B974" s="1"/>
      <c r="C974" s="1"/>
      <c r="D974" s="1"/>
      <c r="E974" s="6"/>
      <c r="F974" s="4"/>
    </row>
    <row r="975" spans="2:6">
      <c r="B975" s="1"/>
      <c r="C975" s="1"/>
      <c r="D975" s="1"/>
      <c r="E975" s="6"/>
      <c r="F975" s="4"/>
    </row>
    <row r="976" spans="2:6">
      <c r="B976" s="1"/>
      <c r="C976" s="1"/>
      <c r="D976" s="1"/>
      <c r="E976" s="6"/>
      <c r="F976" s="4"/>
    </row>
    <row r="977" spans="2:6">
      <c r="B977" s="1"/>
      <c r="C977" s="1"/>
      <c r="D977" s="1"/>
      <c r="E977" s="6"/>
      <c r="F977" s="4"/>
    </row>
    <row r="978" spans="2:6">
      <c r="B978" s="1"/>
      <c r="C978" s="1"/>
      <c r="D978" s="1"/>
      <c r="E978" s="6"/>
      <c r="F978" s="4"/>
    </row>
    <row r="979" spans="2:6">
      <c r="B979" s="1"/>
      <c r="C979" s="1"/>
      <c r="D979" s="1"/>
      <c r="E979" s="6"/>
      <c r="F979" s="4"/>
    </row>
    <row r="980" spans="2:6">
      <c r="B980" s="1"/>
      <c r="C980" s="1"/>
      <c r="D980" s="1"/>
      <c r="E980" s="6"/>
      <c r="F980" s="4"/>
    </row>
    <row r="981" spans="2:6">
      <c r="B981" s="1"/>
      <c r="C981" s="1"/>
      <c r="D981" s="1"/>
      <c r="E981" s="6"/>
      <c r="F981" s="4"/>
    </row>
    <row r="982" spans="2:6">
      <c r="B982" s="1"/>
      <c r="C982" s="1"/>
      <c r="D982" s="1"/>
      <c r="E982" s="6"/>
      <c r="F982" s="4"/>
    </row>
    <row r="983" spans="2:6">
      <c r="B983" s="1"/>
      <c r="C983" s="1"/>
      <c r="D983" s="1"/>
      <c r="E983" s="6"/>
      <c r="F983" s="4"/>
    </row>
    <row r="984" spans="2:6">
      <c r="B984" s="1"/>
      <c r="C984" s="1"/>
      <c r="D984" s="1"/>
      <c r="E984" s="6"/>
      <c r="F984" s="4"/>
    </row>
    <row r="985" spans="2:6">
      <c r="B985" s="1"/>
      <c r="C985" s="1"/>
      <c r="D985" s="1"/>
      <c r="E985" s="6"/>
      <c r="F985" s="4"/>
    </row>
    <row r="986" spans="2:6">
      <c r="B986" s="1"/>
      <c r="C986" s="1"/>
      <c r="D986" s="1"/>
      <c r="E986" s="6"/>
      <c r="F986" s="4"/>
    </row>
    <row r="987" spans="2:6">
      <c r="B987" s="1"/>
      <c r="C987" s="1"/>
      <c r="D987" s="1"/>
      <c r="E987" s="6"/>
      <c r="F987" s="4"/>
    </row>
    <row r="988" spans="2:6">
      <c r="B988" s="1"/>
      <c r="C988" s="1"/>
      <c r="D988" s="1"/>
      <c r="E988" s="6"/>
      <c r="F988" s="4"/>
    </row>
    <row r="989" spans="2:6">
      <c r="B989" s="1"/>
      <c r="C989" s="1"/>
      <c r="D989" s="1"/>
      <c r="E989" s="6"/>
      <c r="F989" s="4"/>
    </row>
    <row r="990" spans="2:6">
      <c r="B990" s="1"/>
      <c r="C990" s="1"/>
      <c r="D990" s="1"/>
      <c r="E990" s="6"/>
      <c r="F990" s="4"/>
    </row>
    <row r="991" spans="2:6">
      <c r="B991" s="1"/>
      <c r="C991" s="1"/>
      <c r="D991" s="1"/>
      <c r="E991" s="6"/>
      <c r="F991" s="4"/>
    </row>
    <row r="992" spans="2:6">
      <c r="B992" s="1"/>
      <c r="C992" s="1"/>
      <c r="D992" s="1"/>
      <c r="E992" s="6"/>
      <c r="F992" s="4"/>
    </row>
    <row r="993" spans="2:6">
      <c r="B993" s="1"/>
      <c r="C993" s="1"/>
      <c r="D993" s="1"/>
      <c r="E993" s="6"/>
      <c r="F993" s="4"/>
    </row>
    <row r="994" spans="2:6">
      <c r="B994" s="1"/>
      <c r="C994" s="1"/>
      <c r="D994" s="1"/>
      <c r="E994" s="6"/>
      <c r="F994" s="4"/>
    </row>
    <row r="995" spans="2:6">
      <c r="B995" s="1"/>
      <c r="C995" s="1"/>
      <c r="D995" s="1"/>
      <c r="E995" s="6"/>
      <c r="F995" s="4"/>
    </row>
    <row r="996" spans="2:6">
      <c r="B996" s="1"/>
      <c r="C996" s="1"/>
      <c r="D996" s="1"/>
      <c r="E996" s="6"/>
      <c r="F996" s="4"/>
    </row>
    <row r="997" spans="2:6">
      <c r="B997" s="1"/>
      <c r="C997" s="1"/>
      <c r="D997" s="1"/>
      <c r="E997" s="6"/>
      <c r="F997" s="4"/>
    </row>
    <row r="998" spans="2:6">
      <c r="B998" s="1"/>
      <c r="C998" s="1"/>
      <c r="D998" s="1"/>
      <c r="E998" s="6"/>
      <c r="F998" s="4"/>
    </row>
    <row r="999" spans="2:6">
      <c r="B999" s="1"/>
      <c r="C999" s="1"/>
      <c r="D999" s="1"/>
      <c r="E999" s="6"/>
      <c r="F999" s="4"/>
    </row>
    <row r="1000" spans="2:6">
      <c r="B1000" s="1"/>
      <c r="C1000" s="1"/>
      <c r="D1000" s="1"/>
      <c r="E1000" s="6"/>
      <c r="F1000" s="4"/>
    </row>
    <row r="1001" spans="2:6">
      <c r="B1001" s="1"/>
      <c r="C1001" s="1"/>
      <c r="D1001" s="1"/>
      <c r="E1001" s="6"/>
      <c r="F1001" s="4"/>
    </row>
    <row r="1002" spans="2:6">
      <c r="B1002" s="1"/>
      <c r="C1002" s="1"/>
      <c r="D1002" s="1"/>
      <c r="E1002" s="6"/>
      <c r="F1002" s="4"/>
    </row>
    <row r="1003" spans="2:6">
      <c r="B1003" s="1"/>
      <c r="C1003" s="1"/>
      <c r="D1003" s="1"/>
      <c r="E1003" s="6"/>
      <c r="F1003" s="4"/>
    </row>
    <row r="1004" spans="2:6">
      <c r="B1004" s="1"/>
      <c r="C1004" s="1"/>
      <c r="D1004" s="1"/>
      <c r="E1004" s="6"/>
      <c r="F1004" s="4"/>
    </row>
    <row r="1005" spans="2:6">
      <c r="B1005" s="1"/>
      <c r="C1005" s="1"/>
      <c r="D1005" s="1"/>
      <c r="E1005" s="6"/>
      <c r="F1005" s="4"/>
    </row>
    <row r="1006" spans="2:6">
      <c r="B1006" s="1"/>
      <c r="C1006" s="1"/>
      <c r="D1006" s="1"/>
      <c r="E1006" s="6"/>
      <c r="F1006" s="4"/>
    </row>
    <row r="1007" spans="2:6">
      <c r="B1007" s="1"/>
      <c r="C1007" s="1"/>
      <c r="D1007" s="1"/>
      <c r="E1007" s="6"/>
      <c r="F1007" s="4"/>
    </row>
    <row r="1008" spans="2:6">
      <c r="B1008" s="1"/>
      <c r="C1008" s="1"/>
      <c r="D1008" s="1"/>
      <c r="E1008" s="6"/>
      <c r="F1008" s="4"/>
    </row>
    <row r="1009" spans="2:6">
      <c r="B1009" s="1"/>
      <c r="C1009" s="1"/>
      <c r="D1009" s="1"/>
      <c r="E1009" s="6"/>
      <c r="F1009" s="4"/>
    </row>
    <row r="1010" spans="2:6">
      <c r="B1010" s="1"/>
      <c r="C1010" s="1"/>
      <c r="D1010" s="1"/>
      <c r="E1010" s="6"/>
      <c r="F1010" s="4"/>
    </row>
    <row r="1011" spans="2:6">
      <c r="B1011" s="1"/>
      <c r="C1011" s="1"/>
      <c r="D1011" s="1"/>
      <c r="E1011" s="6"/>
      <c r="F1011" s="4"/>
    </row>
    <row r="1012" spans="2:6">
      <c r="B1012" s="1"/>
      <c r="C1012" s="1"/>
      <c r="D1012" s="1"/>
      <c r="E1012" s="6"/>
      <c r="F1012" s="4"/>
    </row>
    <row r="1013" spans="2:6">
      <c r="B1013" s="1"/>
      <c r="C1013" s="1"/>
      <c r="D1013" s="1"/>
      <c r="E1013" s="6"/>
      <c r="F1013" s="4"/>
    </row>
    <row r="1014" spans="2:6">
      <c r="B1014" s="1"/>
      <c r="C1014" s="1"/>
      <c r="D1014" s="1"/>
      <c r="E1014" s="6"/>
      <c r="F1014" s="4"/>
    </row>
    <row r="1015" spans="2:6">
      <c r="B1015" s="1"/>
      <c r="C1015" s="1"/>
      <c r="D1015" s="1"/>
      <c r="E1015" s="6"/>
      <c r="F1015" s="4"/>
    </row>
    <row r="1016" spans="2:6">
      <c r="B1016" s="1"/>
      <c r="C1016" s="1"/>
      <c r="D1016" s="1"/>
      <c r="E1016" s="6"/>
      <c r="F1016" s="4"/>
    </row>
    <row r="1017" spans="2:6">
      <c r="B1017" s="1"/>
      <c r="C1017" s="1"/>
      <c r="D1017" s="1"/>
      <c r="E1017" s="6"/>
      <c r="F1017" s="4"/>
    </row>
    <row r="1018" spans="2:6">
      <c r="B1018" s="1"/>
      <c r="C1018" s="1"/>
      <c r="D1018" s="1"/>
      <c r="E1018" s="6"/>
      <c r="F1018" s="4"/>
    </row>
    <row r="1019" spans="2:6">
      <c r="B1019" s="1"/>
      <c r="C1019" s="1"/>
      <c r="D1019" s="1"/>
      <c r="E1019" s="6"/>
      <c r="F1019" s="4"/>
    </row>
    <row r="1020" spans="2:6">
      <c r="B1020" s="1"/>
      <c r="C1020" s="1"/>
      <c r="D1020" s="1"/>
      <c r="E1020" s="6"/>
      <c r="F1020" s="4"/>
    </row>
    <row r="1021" spans="2:6">
      <c r="B1021" s="1"/>
      <c r="C1021" s="1"/>
      <c r="D1021" s="1"/>
      <c r="E1021" s="6"/>
      <c r="F1021" s="4"/>
    </row>
    <row r="1022" spans="2:6">
      <c r="B1022" s="1"/>
      <c r="C1022" s="1"/>
      <c r="D1022" s="1"/>
      <c r="E1022" s="6"/>
      <c r="F1022" s="4"/>
    </row>
    <row r="1023" spans="2:6">
      <c r="B1023" s="1"/>
      <c r="C1023" s="1"/>
      <c r="D1023" s="1"/>
      <c r="E1023" s="6"/>
      <c r="F1023" s="4"/>
    </row>
    <row r="1024" spans="2:6">
      <c r="B1024" s="1"/>
      <c r="C1024" s="1"/>
      <c r="D1024" s="1"/>
      <c r="E1024" s="6"/>
      <c r="F1024" s="4"/>
    </row>
    <row r="1025" spans="2:6">
      <c r="B1025" s="1"/>
      <c r="C1025" s="1"/>
      <c r="D1025" s="1"/>
      <c r="E1025" s="6"/>
      <c r="F1025" s="4"/>
    </row>
    <row r="1026" spans="2:6">
      <c r="B1026" s="1"/>
      <c r="C1026" s="1"/>
      <c r="D1026" s="1"/>
      <c r="E1026" s="6"/>
      <c r="F1026" s="4"/>
    </row>
    <row r="1027" spans="2:6">
      <c r="B1027" s="1"/>
      <c r="C1027" s="1"/>
      <c r="D1027" s="1"/>
      <c r="E1027" s="6"/>
      <c r="F1027" s="4"/>
    </row>
    <row r="1028" spans="2:6">
      <c r="B1028" s="1"/>
      <c r="C1028" s="1"/>
      <c r="D1028" s="1"/>
      <c r="E1028" s="6"/>
      <c r="F1028" s="4"/>
    </row>
    <row r="1029" spans="2:6">
      <c r="B1029" s="1"/>
      <c r="C1029" s="1"/>
      <c r="D1029" s="1"/>
      <c r="E1029" s="6"/>
      <c r="F1029" s="4"/>
    </row>
    <row r="1030" spans="2:6">
      <c r="B1030" s="1"/>
      <c r="C1030" s="1"/>
      <c r="D1030" s="1"/>
      <c r="E1030" s="6"/>
      <c r="F1030" s="4"/>
    </row>
    <row r="1031" spans="2:6">
      <c r="B1031" s="1"/>
      <c r="C1031" s="1"/>
      <c r="D1031" s="1"/>
      <c r="E1031" s="6"/>
      <c r="F1031" s="4"/>
    </row>
    <row r="1032" spans="2:6">
      <c r="B1032" s="1"/>
      <c r="C1032" s="1"/>
      <c r="D1032" s="1"/>
      <c r="E1032" s="6"/>
      <c r="F1032" s="4"/>
    </row>
    <row r="1033" spans="2:6">
      <c r="B1033" s="1"/>
      <c r="C1033" s="1"/>
      <c r="D1033" s="1"/>
      <c r="E1033" s="6"/>
      <c r="F1033" s="4"/>
    </row>
    <row r="1034" spans="2:6">
      <c r="B1034" s="1"/>
      <c r="C1034" s="1"/>
      <c r="D1034" s="1"/>
      <c r="E1034" s="6"/>
      <c r="F1034" s="4"/>
    </row>
    <row r="1035" spans="2:6">
      <c r="B1035" s="1"/>
      <c r="C1035" s="1"/>
      <c r="D1035" s="1"/>
      <c r="E1035" s="6"/>
      <c r="F1035" s="4"/>
    </row>
    <row r="1036" spans="2:6">
      <c r="B1036" s="1"/>
      <c r="C1036" s="1"/>
      <c r="D1036" s="1"/>
      <c r="E1036" s="6"/>
      <c r="F1036" s="4"/>
    </row>
    <row r="1037" spans="2:6">
      <c r="B1037" s="1"/>
      <c r="C1037" s="1"/>
      <c r="D1037" s="1"/>
      <c r="E1037" s="6"/>
      <c r="F1037" s="4"/>
    </row>
    <row r="1038" spans="2:6">
      <c r="B1038" s="1"/>
      <c r="C1038" s="1"/>
      <c r="D1038" s="1"/>
      <c r="E1038" s="6"/>
      <c r="F1038" s="4"/>
    </row>
    <row r="1039" spans="2:6">
      <c r="B1039" s="1"/>
      <c r="C1039" s="1"/>
      <c r="D1039" s="1"/>
      <c r="E1039" s="6"/>
      <c r="F1039" s="4"/>
    </row>
    <row r="1040" spans="2:6">
      <c r="B1040" s="1"/>
      <c r="C1040" s="1"/>
      <c r="D1040" s="1"/>
      <c r="E1040" s="6"/>
      <c r="F1040" s="4"/>
    </row>
    <row r="1041" spans="2:6">
      <c r="B1041" s="1"/>
      <c r="C1041" s="1"/>
      <c r="D1041" s="1"/>
      <c r="E1041" s="6"/>
      <c r="F1041" s="4"/>
    </row>
    <row r="1042" spans="2:6">
      <c r="B1042" s="1"/>
      <c r="C1042" s="1"/>
      <c r="D1042" s="1"/>
      <c r="E1042" s="6"/>
      <c r="F1042" s="4"/>
    </row>
    <row r="1043" spans="2:6">
      <c r="B1043" s="1"/>
      <c r="C1043" s="1"/>
      <c r="D1043" s="1"/>
      <c r="E1043" s="6"/>
      <c r="F1043" s="4"/>
    </row>
    <row r="1044" spans="2:6">
      <c r="B1044" s="1"/>
      <c r="C1044" s="1"/>
      <c r="D1044" s="1"/>
      <c r="E1044" s="6"/>
      <c r="F1044" s="4"/>
    </row>
    <row r="1045" spans="2:6">
      <c r="B1045" s="1"/>
      <c r="C1045" s="1"/>
      <c r="D1045" s="1"/>
      <c r="E1045" s="6"/>
      <c r="F1045" s="4"/>
    </row>
    <row r="1046" spans="2:6">
      <c r="B1046" s="1"/>
      <c r="C1046" s="1"/>
      <c r="D1046" s="1"/>
      <c r="E1046" s="6"/>
      <c r="F1046" s="4"/>
    </row>
    <row r="1047" spans="2:6">
      <c r="B1047" s="1"/>
      <c r="C1047" s="1"/>
      <c r="D1047" s="1"/>
      <c r="E1047" s="6"/>
      <c r="F1047" s="4"/>
    </row>
    <row r="1048" spans="2:6">
      <c r="B1048" s="1"/>
      <c r="C1048" s="1"/>
      <c r="D1048" s="1"/>
      <c r="E1048" s="6"/>
      <c r="F1048" s="4"/>
    </row>
    <row r="1049" spans="2:6">
      <c r="B1049" s="1"/>
      <c r="C1049" s="1"/>
      <c r="D1049" s="1"/>
      <c r="E1049" s="6"/>
      <c r="F1049" s="4"/>
    </row>
    <row r="1050" spans="2:6">
      <c r="B1050" s="1"/>
      <c r="C1050" s="1"/>
      <c r="D1050" s="1"/>
      <c r="E1050" s="6"/>
      <c r="F1050" s="4"/>
    </row>
    <row r="1051" spans="2:6">
      <c r="B1051" s="1"/>
      <c r="C1051" s="1"/>
      <c r="D1051" s="1"/>
      <c r="E1051" s="6"/>
      <c r="F1051" s="4"/>
    </row>
    <row r="1052" spans="2:6">
      <c r="B1052" s="1"/>
      <c r="C1052" s="1"/>
      <c r="D1052" s="1"/>
      <c r="E1052" s="6"/>
      <c r="F1052" s="4"/>
    </row>
    <row r="1053" spans="2:6">
      <c r="B1053" s="1"/>
      <c r="C1053" s="1"/>
      <c r="D1053" s="1"/>
      <c r="E1053" s="6"/>
      <c r="F1053" s="4"/>
    </row>
    <row r="1054" spans="2:6">
      <c r="B1054" s="1"/>
      <c r="C1054" s="1"/>
      <c r="D1054" s="1"/>
      <c r="E1054" s="6"/>
      <c r="F1054" s="4"/>
    </row>
    <row r="1055" spans="2:6">
      <c r="B1055" s="1"/>
      <c r="C1055" s="1"/>
      <c r="D1055" s="1"/>
      <c r="E1055" s="6"/>
      <c r="F1055" s="4"/>
    </row>
    <row r="1056" spans="2:6">
      <c r="B1056" s="1"/>
      <c r="C1056" s="1"/>
      <c r="D1056" s="1"/>
      <c r="E1056" s="6"/>
      <c r="F1056" s="4"/>
    </row>
    <row r="1057" spans="2:6">
      <c r="B1057" s="1"/>
      <c r="C1057" s="1"/>
      <c r="D1057" s="1"/>
      <c r="E1057" s="6"/>
      <c r="F1057" s="4"/>
    </row>
    <row r="1058" spans="2:6">
      <c r="B1058" s="1"/>
      <c r="C1058" s="1"/>
      <c r="D1058" s="1"/>
      <c r="E1058" s="6"/>
      <c r="F1058" s="4"/>
    </row>
    <row r="1059" spans="2:6">
      <c r="B1059" s="1"/>
      <c r="C1059" s="1"/>
      <c r="D1059" s="1"/>
      <c r="E1059" s="6"/>
      <c r="F1059" s="4"/>
    </row>
    <row r="1060" spans="2:6">
      <c r="B1060" s="1"/>
      <c r="C1060" s="1"/>
      <c r="D1060" s="1"/>
      <c r="E1060" s="6"/>
      <c r="F1060" s="4"/>
    </row>
    <row r="1061" spans="2:6">
      <c r="B1061" s="1"/>
      <c r="C1061" s="1"/>
      <c r="D1061" s="1"/>
      <c r="E1061" s="6"/>
      <c r="F1061" s="4"/>
    </row>
    <row r="1062" spans="2:6">
      <c r="B1062" s="1"/>
      <c r="C1062" s="1"/>
      <c r="D1062" s="1"/>
      <c r="E1062" s="6"/>
      <c r="F1062" s="4"/>
    </row>
    <row r="1063" spans="2:6">
      <c r="B1063" s="1"/>
      <c r="C1063" s="1"/>
      <c r="D1063" s="1"/>
      <c r="E1063" s="6"/>
      <c r="F1063" s="4"/>
    </row>
    <row r="1064" spans="2:6">
      <c r="B1064" s="1"/>
      <c r="C1064" s="1"/>
      <c r="D1064" s="1"/>
      <c r="E1064" s="6"/>
      <c r="F1064" s="4"/>
    </row>
    <row r="1065" spans="2:6">
      <c r="B1065" s="1"/>
      <c r="C1065" s="1"/>
      <c r="D1065" s="1"/>
      <c r="E1065" s="6"/>
      <c r="F1065" s="4"/>
    </row>
    <row r="1066" spans="2:6">
      <c r="B1066" s="1"/>
      <c r="C1066" s="1"/>
      <c r="D1066" s="1"/>
      <c r="E1066" s="6"/>
      <c r="F1066" s="4"/>
    </row>
    <row r="1067" spans="2:6">
      <c r="B1067" s="1"/>
      <c r="C1067" s="1"/>
      <c r="D1067" s="1"/>
      <c r="E1067" s="6"/>
      <c r="F1067" s="4"/>
    </row>
    <row r="1068" spans="2:6">
      <c r="B1068" s="1"/>
      <c r="C1068" s="1"/>
      <c r="D1068" s="1"/>
      <c r="E1068" s="6"/>
      <c r="F1068" s="4"/>
    </row>
    <row r="1069" spans="2:6">
      <c r="B1069" s="1"/>
      <c r="C1069" s="1"/>
      <c r="D1069" s="1"/>
      <c r="E1069" s="6"/>
      <c r="F1069" s="4"/>
    </row>
    <row r="1070" spans="2:6">
      <c r="B1070" s="1"/>
      <c r="C1070" s="1"/>
      <c r="D1070" s="1"/>
      <c r="E1070" s="6"/>
      <c r="F1070" s="4"/>
    </row>
    <row r="1071" spans="2:6">
      <c r="B1071" s="1"/>
      <c r="C1071" s="1"/>
      <c r="D1071" s="1"/>
      <c r="E1071" s="6"/>
      <c r="F1071" s="4"/>
    </row>
    <row r="1072" spans="2:6">
      <c r="B1072" s="1"/>
      <c r="C1072" s="1"/>
      <c r="D1072" s="1"/>
      <c r="E1072" s="6"/>
      <c r="F1072" s="4"/>
    </row>
    <row r="1073" spans="2:6">
      <c r="B1073" s="1"/>
      <c r="C1073" s="1"/>
      <c r="D1073" s="1"/>
      <c r="E1073" s="6"/>
      <c r="F1073" s="4"/>
    </row>
    <row r="1074" spans="2:6">
      <c r="B1074" s="1"/>
      <c r="C1074" s="1"/>
      <c r="D1074" s="1"/>
      <c r="E1074" s="6"/>
      <c r="F1074" s="4"/>
    </row>
    <row r="1075" spans="2:6">
      <c r="B1075" s="1"/>
      <c r="C1075" s="1"/>
      <c r="D1075" s="1"/>
      <c r="E1075" s="6"/>
      <c r="F1075" s="4"/>
    </row>
    <row r="1076" spans="2:6">
      <c r="B1076" s="1"/>
      <c r="C1076" s="1"/>
      <c r="D1076" s="1"/>
      <c r="E1076" s="6"/>
      <c r="F1076" s="4"/>
    </row>
    <row r="1077" spans="2:6">
      <c r="B1077" s="1"/>
      <c r="C1077" s="1"/>
      <c r="D1077" s="1"/>
      <c r="E1077" s="6"/>
      <c r="F1077" s="4"/>
    </row>
    <row r="1078" spans="2:6">
      <c r="B1078" s="1"/>
      <c r="C1078" s="1"/>
      <c r="D1078" s="1"/>
      <c r="E1078" s="6"/>
      <c r="F1078" s="4"/>
    </row>
    <row r="1079" spans="2:6">
      <c r="B1079" s="1"/>
      <c r="C1079" s="1"/>
      <c r="D1079" s="1"/>
      <c r="E1079" s="6"/>
      <c r="F1079" s="4"/>
    </row>
    <row r="1080" spans="2:6">
      <c r="B1080" s="1"/>
      <c r="C1080" s="1"/>
      <c r="D1080" s="1"/>
      <c r="E1080" s="6"/>
      <c r="F1080" s="4"/>
    </row>
    <row r="1081" spans="2:6">
      <c r="B1081" s="1"/>
      <c r="C1081" s="1"/>
      <c r="D1081" s="1"/>
      <c r="E1081" s="6"/>
      <c r="F1081" s="4"/>
    </row>
    <row r="1082" spans="2:6">
      <c r="B1082" s="1"/>
      <c r="C1082" s="1"/>
      <c r="D1082" s="1"/>
      <c r="E1082" s="6"/>
      <c r="F1082" s="4"/>
    </row>
    <row r="1083" spans="2:6">
      <c r="B1083" s="1"/>
      <c r="C1083" s="1"/>
      <c r="D1083" s="1"/>
      <c r="E1083" s="6"/>
      <c r="F1083" s="4"/>
    </row>
    <row r="1084" spans="2:6">
      <c r="B1084" s="1"/>
      <c r="C1084" s="1"/>
      <c r="D1084" s="1"/>
      <c r="E1084" s="6"/>
      <c r="F1084" s="4"/>
    </row>
    <row r="1085" spans="2:6">
      <c r="B1085" s="1"/>
      <c r="C1085" s="1"/>
      <c r="D1085" s="1"/>
      <c r="E1085" s="6"/>
      <c r="F1085" s="4"/>
    </row>
    <row r="1086" spans="2:6">
      <c r="B1086" s="1"/>
      <c r="C1086" s="1"/>
      <c r="D1086" s="1"/>
      <c r="E1086" s="6"/>
      <c r="F1086" s="4"/>
    </row>
    <row r="1087" spans="2:6">
      <c r="B1087" s="1"/>
      <c r="C1087" s="1"/>
      <c r="D1087" s="1"/>
      <c r="E1087" s="6"/>
      <c r="F1087" s="4"/>
    </row>
    <row r="1088" spans="2:6">
      <c r="B1088" s="1"/>
      <c r="C1088" s="1"/>
      <c r="D1088" s="1"/>
      <c r="E1088" s="6"/>
      <c r="F1088" s="4"/>
    </row>
    <row r="1089" spans="2:6">
      <c r="B1089" s="1"/>
      <c r="C1089" s="1"/>
      <c r="D1089" s="1"/>
      <c r="E1089" s="6"/>
      <c r="F1089" s="4"/>
    </row>
    <row r="1090" spans="2:6">
      <c r="B1090" s="1"/>
      <c r="C1090" s="1"/>
      <c r="D1090" s="1"/>
      <c r="E1090" s="6"/>
      <c r="F1090" s="4"/>
    </row>
    <row r="1091" spans="2:6">
      <c r="B1091" s="1"/>
      <c r="C1091" s="1"/>
      <c r="D1091" s="1"/>
      <c r="E1091" s="6"/>
      <c r="F1091" s="4"/>
    </row>
    <row r="1092" spans="2:6">
      <c r="B1092" s="1"/>
      <c r="C1092" s="1"/>
      <c r="D1092" s="1"/>
      <c r="E1092" s="6"/>
      <c r="F1092" s="4"/>
    </row>
    <row r="1093" spans="2:6">
      <c r="B1093" s="1"/>
      <c r="C1093" s="1"/>
      <c r="D1093" s="1"/>
      <c r="E1093" s="6"/>
      <c r="F1093" s="4"/>
    </row>
    <row r="1094" spans="2:6">
      <c r="B1094" s="1"/>
      <c r="C1094" s="1"/>
      <c r="D1094" s="1"/>
      <c r="E1094" s="6"/>
      <c r="F1094" s="4"/>
    </row>
    <row r="1095" spans="2:6">
      <c r="B1095" s="1"/>
      <c r="C1095" s="1"/>
      <c r="D1095" s="1"/>
      <c r="E1095" s="6"/>
      <c r="F1095" s="4"/>
    </row>
    <row r="1096" spans="2:6">
      <c r="B1096" s="1"/>
      <c r="C1096" s="1"/>
      <c r="D1096" s="1"/>
      <c r="E1096" s="6"/>
      <c r="F1096" s="4"/>
    </row>
    <row r="1097" spans="2:6">
      <c r="B1097" s="1"/>
      <c r="C1097" s="1"/>
      <c r="D1097" s="1"/>
      <c r="E1097" s="6"/>
      <c r="F1097" s="4"/>
    </row>
    <row r="1098" spans="2:6">
      <c r="B1098" s="1"/>
      <c r="C1098" s="1"/>
      <c r="D1098" s="1"/>
      <c r="E1098" s="6"/>
      <c r="F1098" s="4"/>
    </row>
    <row r="1099" spans="2:6">
      <c r="B1099" s="1"/>
      <c r="C1099" s="1"/>
      <c r="D1099" s="1"/>
      <c r="E1099" s="6"/>
      <c r="F1099" s="4"/>
    </row>
    <row r="1100" spans="2:6">
      <c r="B1100" s="1"/>
      <c r="C1100" s="1"/>
      <c r="D1100" s="1"/>
      <c r="E1100" s="6"/>
      <c r="F1100" s="4"/>
    </row>
    <row r="1101" spans="2:6">
      <c r="B1101" s="1"/>
      <c r="C1101" s="1"/>
      <c r="D1101" s="1"/>
      <c r="E1101" s="6"/>
      <c r="F1101" s="4"/>
    </row>
    <row r="1102" spans="2:6">
      <c r="B1102" s="1"/>
      <c r="C1102" s="1"/>
      <c r="D1102" s="1"/>
      <c r="E1102" s="6"/>
      <c r="F1102" s="4"/>
    </row>
    <row r="1103" spans="2:6">
      <c r="B1103" s="1"/>
      <c r="C1103" s="1"/>
      <c r="D1103" s="1"/>
      <c r="E1103" s="6"/>
      <c r="F1103" s="4"/>
    </row>
    <row r="1104" spans="2:6">
      <c r="B1104" s="1"/>
      <c r="C1104" s="1"/>
      <c r="D1104" s="1"/>
      <c r="E1104" s="6"/>
      <c r="F1104" s="4"/>
    </row>
    <row r="1105" spans="2:6">
      <c r="B1105" s="1"/>
      <c r="C1105" s="1"/>
      <c r="D1105" s="1"/>
      <c r="E1105" s="6"/>
      <c r="F1105" s="4"/>
    </row>
    <row r="1106" spans="2:6">
      <c r="B1106" s="1"/>
      <c r="C1106" s="1"/>
      <c r="D1106" s="1"/>
      <c r="E1106" s="6"/>
      <c r="F1106" s="4"/>
    </row>
    <row r="1107" spans="2:6">
      <c r="B1107" s="1"/>
      <c r="C1107" s="1"/>
      <c r="D1107" s="1"/>
      <c r="E1107" s="6"/>
      <c r="F1107" s="4"/>
    </row>
    <row r="1108" spans="2:6">
      <c r="B1108" s="1"/>
      <c r="C1108" s="1"/>
      <c r="D1108" s="1"/>
      <c r="E1108" s="6"/>
      <c r="F1108" s="4"/>
    </row>
    <row r="1109" spans="2:6">
      <c r="B1109" s="1"/>
      <c r="C1109" s="1"/>
      <c r="D1109" s="1"/>
      <c r="E1109" s="6"/>
      <c r="F1109" s="4"/>
    </row>
    <row r="1110" spans="2:6">
      <c r="B1110" s="1"/>
      <c r="C1110" s="1"/>
      <c r="D1110" s="1"/>
      <c r="E1110" s="6"/>
      <c r="F1110" s="4"/>
    </row>
    <row r="1111" spans="2:6">
      <c r="B1111" s="1"/>
      <c r="C1111" s="1"/>
      <c r="D1111" s="1"/>
      <c r="E1111" s="6"/>
      <c r="F1111" s="4"/>
    </row>
    <row r="1112" spans="2:6">
      <c r="B1112" s="1"/>
      <c r="C1112" s="1"/>
      <c r="D1112" s="1"/>
      <c r="E1112" s="6"/>
      <c r="F1112" s="4"/>
    </row>
    <row r="1113" spans="2:6">
      <c r="B1113" s="1"/>
      <c r="C1113" s="1"/>
      <c r="D1113" s="1"/>
      <c r="E1113" s="6"/>
      <c r="F1113" s="4"/>
    </row>
    <row r="1114" spans="2:6">
      <c r="B1114" s="1"/>
      <c r="C1114" s="1"/>
      <c r="D1114" s="1"/>
      <c r="E1114" s="6"/>
      <c r="F1114" s="4"/>
    </row>
    <row r="1115" spans="2:6">
      <c r="B1115" s="1"/>
      <c r="C1115" s="1"/>
      <c r="D1115" s="1"/>
      <c r="E1115" s="6"/>
      <c r="F1115" s="4"/>
    </row>
    <row r="1116" spans="2:6">
      <c r="B1116" s="1"/>
      <c r="C1116" s="1"/>
      <c r="D1116" s="1"/>
      <c r="E1116" s="6"/>
      <c r="F1116" s="4"/>
    </row>
    <row r="1117" spans="2:6">
      <c r="B1117" s="1"/>
      <c r="C1117" s="1"/>
      <c r="D1117" s="1"/>
      <c r="E1117" s="6"/>
      <c r="F1117" s="4"/>
    </row>
    <row r="1118" spans="2:6">
      <c r="B1118" s="1"/>
      <c r="C1118" s="1"/>
      <c r="D1118" s="1"/>
      <c r="E1118" s="6"/>
      <c r="F1118" s="4"/>
    </row>
    <row r="1119" spans="2:6">
      <c r="B1119" s="1"/>
      <c r="C1119" s="1"/>
      <c r="D1119" s="1"/>
      <c r="E1119" s="6"/>
      <c r="F1119" s="4"/>
    </row>
    <row r="1120" spans="2:6">
      <c r="B1120" s="1"/>
      <c r="C1120" s="1"/>
      <c r="D1120" s="1"/>
      <c r="E1120" s="6"/>
      <c r="F1120" s="4"/>
    </row>
    <row r="1121" spans="2:6">
      <c r="B1121" s="1"/>
      <c r="C1121" s="1"/>
      <c r="D1121" s="1"/>
      <c r="E1121" s="6"/>
      <c r="F1121" s="4"/>
    </row>
    <row r="1122" spans="2:6">
      <c r="B1122" s="1"/>
      <c r="C1122" s="1"/>
      <c r="D1122" s="1"/>
      <c r="E1122" s="6"/>
      <c r="F1122" s="4"/>
    </row>
    <row r="1123" spans="2:6">
      <c r="B1123" s="1"/>
      <c r="C1123" s="1"/>
      <c r="D1123" s="1"/>
      <c r="E1123" s="6"/>
      <c r="F1123" s="4"/>
    </row>
    <row r="1124" spans="2:6">
      <c r="B1124" s="1"/>
      <c r="C1124" s="1"/>
      <c r="D1124" s="1"/>
      <c r="E1124" s="6"/>
      <c r="F1124" s="4"/>
    </row>
    <row r="1125" spans="2:6">
      <c r="B1125" s="1"/>
      <c r="C1125" s="1"/>
      <c r="D1125" s="1"/>
      <c r="E1125" s="6"/>
      <c r="F1125" s="4"/>
    </row>
    <row r="1126" spans="2:6">
      <c r="B1126" s="1"/>
      <c r="C1126" s="1"/>
      <c r="D1126" s="1"/>
      <c r="E1126" s="6"/>
      <c r="F1126" s="4"/>
    </row>
    <row r="1127" spans="2:6">
      <c r="B1127" s="1"/>
      <c r="C1127" s="1"/>
      <c r="D1127" s="1"/>
      <c r="E1127" s="6"/>
      <c r="F1127" s="4"/>
    </row>
    <row r="1128" spans="2:6">
      <c r="B1128" s="1"/>
      <c r="C1128" s="1"/>
      <c r="D1128" s="1"/>
      <c r="E1128" s="6"/>
      <c r="F1128" s="4"/>
    </row>
    <row r="1129" spans="2:6">
      <c r="B1129" s="1"/>
      <c r="C1129" s="1"/>
      <c r="D1129" s="1"/>
      <c r="E1129" s="6"/>
      <c r="F1129" s="4"/>
    </row>
    <row r="1130" spans="2:6">
      <c r="B1130" s="1"/>
      <c r="C1130" s="1"/>
      <c r="D1130" s="1"/>
      <c r="E1130" s="6"/>
      <c r="F1130" s="4"/>
    </row>
    <row r="1131" spans="2:6">
      <c r="B1131" s="1"/>
      <c r="C1131" s="1"/>
      <c r="D1131" s="1"/>
      <c r="E1131" s="6"/>
      <c r="F1131" s="4"/>
    </row>
    <row r="1132" spans="2:6">
      <c r="B1132" s="1"/>
      <c r="C1132" s="1"/>
      <c r="D1132" s="1"/>
      <c r="E1132" s="6"/>
      <c r="F1132" s="4"/>
    </row>
    <row r="1133" spans="2:6">
      <c r="B1133" s="1"/>
      <c r="C1133" s="1"/>
      <c r="D1133" s="1"/>
      <c r="E1133" s="6"/>
      <c r="F1133" s="4"/>
    </row>
    <row r="1134" spans="2:6">
      <c r="B1134" s="1"/>
      <c r="C1134" s="1"/>
      <c r="D1134" s="1"/>
      <c r="E1134" s="6"/>
      <c r="F1134" s="4"/>
    </row>
    <row r="1135" spans="2:6">
      <c r="B1135" s="1"/>
      <c r="C1135" s="1"/>
      <c r="D1135" s="1"/>
      <c r="E1135" s="6"/>
      <c r="F1135" s="4"/>
    </row>
    <row r="1136" spans="2:6">
      <c r="B1136" s="1"/>
      <c r="C1136" s="1"/>
      <c r="D1136" s="1"/>
      <c r="E1136" s="6"/>
      <c r="F1136" s="4"/>
    </row>
    <row r="1137" spans="2:6">
      <c r="B1137" s="1"/>
      <c r="C1137" s="1"/>
      <c r="D1137" s="1"/>
      <c r="E1137" s="6"/>
      <c r="F1137" s="4"/>
    </row>
    <row r="1138" spans="2:6">
      <c r="B1138" s="1"/>
      <c r="C1138" s="1"/>
      <c r="D1138" s="1"/>
      <c r="E1138" s="6"/>
      <c r="F1138" s="4"/>
    </row>
    <row r="1139" spans="2:6">
      <c r="B1139" s="1"/>
      <c r="C1139" s="1"/>
      <c r="D1139" s="1"/>
      <c r="E1139" s="6"/>
      <c r="F1139" s="4"/>
    </row>
    <row r="1140" spans="2:6">
      <c r="B1140" s="1"/>
      <c r="C1140" s="1"/>
      <c r="D1140" s="1"/>
      <c r="E1140" s="6"/>
      <c r="F1140" s="4"/>
    </row>
    <row r="1141" spans="2:6">
      <c r="B1141" s="1"/>
      <c r="C1141" s="1"/>
      <c r="D1141" s="1"/>
      <c r="E1141" s="6"/>
      <c r="F1141" s="4"/>
    </row>
    <row r="1142" spans="2:6">
      <c r="B1142" s="1"/>
      <c r="C1142" s="1"/>
      <c r="D1142" s="1"/>
      <c r="E1142" s="6"/>
      <c r="F1142" s="4"/>
    </row>
    <row r="1143" spans="2:6">
      <c r="B1143" s="1"/>
      <c r="C1143" s="1"/>
      <c r="D1143" s="1"/>
      <c r="E1143" s="6"/>
      <c r="F1143" s="4"/>
    </row>
    <row r="1144" spans="2:6">
      <c r="B1144" s="1"/>
      <c r="C1144" s="1"/>
      <c r="D1144" s="1"/>
      <c r="E1144" s="6"/>
      <c r="F1144" s="4"/>
    </row>
    <row r="1145" spans="2:6">
      <c r="B1145" s="1"/>
      <c r="C1145" s="1"/>
      <c r="D1145" s="1"/>
      <c r="E1145" s="6"/>
      <c r="F1145" s="4"/>
    </row>
    <row r="1146" spans="2:6">
      <c r="B1146" s="1"/>
      <c r="C1146" s="1"/>
      <c r="D1146" s="1"/>
      <c r="E1146" s="6"/>
      <c r="F1146" s="4"/>
    </row>
    <row r="1147" spans="2:6">
      <c r="B1147" s="1"/>
      <c r="C1147" s="1"/>
      <c r="D1147" s="1"/>
      <c r="E1147" s="6"/>
      <c r="F1147" s="4"/>
    </row>
    <row r="1148" spans="2:6">
      <c r="B1148" s="1"/>
      <c r="C1148" s="1"/>
      <c r="D1148" s="1"/>
      <c r="E1148" s="6"/>
      <c r="F1148" s="4"/>
    </row>
    <row r="1149" spans="2:6">
      <c r="B1149" s="1"/>
      <c r="C1149" s="1"/>
      <c r="D1149" s="1"/>
      <c r="E1149" s="6"/>
      <c r="F1149" s="4"/>
    </row>
    <row r="1150" spans="2:6">
      <c r="B1150" s="1"/>
      <c r="C1150" s="1"/>
      <c r="D1150" s="1"/>
      <c r="E1150" s="6"/>
      <c r="F1150" s="4"/>
    </row>
    <row r="1151" spans="2:6">
      <c r="B1151" s="1"/>
      <c r="C1151" s="1"/>
      <c r="D1151" s="1"/>
      <c r="E1151" s="6"/>
      <c r="F1151" s="4"/>
    </row>
    <row r="1152" spans="2:6">
      <c r="B1152" s="1"/>
      <c r="C1152" s="1"/>
      <c r="D1152" s="1"/>
      <c r="E1152" s="6"/>
      <c r="F1152" s="4"/>
    </row>
    <row r="1153" spans="2:6">
      <c r="B1153" s="1"/>
      <c r="C1153" s="1"/>
      <c r="D1153" s="1"/>
      <c r="E1153" s="6"/>
      <c r="F1153" s="4"/>
    </row>
    <row r="1154" spans="2:6">
      <c r="B1154" s="1"/>
      <c r="C1154" s="1"/>
      <c r="D1154" s="1"/>
      <c r="E1154" s="6"/>
      <c r="F1154" s="4"/>
    </row>
    <row r="1155" spans="2:6">
      <c r="B1155" s="1"/>
      <c r="C1155" s="1"/>
      <c r="D1155" s="1"/>
      <c r="E1155" s="6"/>
      <c r="F1155" s="4"/>
    </row>
    <row r="1156" spans="2:6">
      <c r="B1156" s="1"/>
      <c r="C1156" s="1"/>
      <c r="D1156" s="1"/>
      <c r="E1156" s="6"/>
      <c r="F1156" s="4"/>
    </row>
    <row r="1157" spans="2:6">
      <c r="B1157" s="1"/>
      <c r="C1157" s="1"/>
      <c r="D1157" s="1"/>
      <c r="E1157" s="6"/>
      <c r="F1157" s="4"/>
    </row>
    <row r="1158" spans="2:6">
      <c r="B1158" s="1"/>
      <c r="C1158" s="1"/>
      <c r="D1158" s="1"/>
      <c r="E1158" s="6"/>
      <c r="F1158" s="4"/>
    </row>
    <row r="1159" spans="2:6">
      <c r="B1159" s="1"/>
      <c r="C1159" s="1"/>
      <c r="D1159" s="1"/>
      <c r="E1159" s="6"/>
      <c r="F1159" s="4"/>
    </row>
    <row r="1160" spans="2:6">
      <c r="B1160" s="1"/>
      <c r="C1160" s="1"/>
      <c r="D1160" s="1"/>
      <c r="E1160" s="6"/>
      <c r="F1160" s="4"/>
    </row>
    <row r="1161" spans="2:6">
      <c r="B1161" s="1"/>
      <c r="C1161" s="1"/>
      <c r="D1161" s="1"/>
      <c r="E1161" s="6"/>
      <c r="F1161" s="4"/>
    </row>
    <row r="1162" spans="2:6">
      <c r="B1162" s="1"/>
      <c r="C1162" s="1"/>
      <c r="D1162" s="1"/>
      <c r="E1162" s="6"/>
      <c r="F1162" s="4"/>
    </row>
    <row r="1163" spans="2:6">
      <c r="B1163" s="1"/>
      <c r="C1163" s="1"/>
      <c r="D1163" s="1"/>
      <c r="E1163" s="6"/>
      <c r="F1163" s="4"/>
    </row>
    <row r="1164" spans="2:6">
      <c r="B1164" s="1"/>
      <c r="C1164" s="1"/>
      <c r="D1164" s="1"/>
      <c r="E1164" s="6"/>
      <c r="F1164" s="4"/>
    </row>
    <row r="1165" spans="2:6">
      <c r="B1165" s="1"/>
      <c r="C1165" s="1"/>
      <c r="D1165" s="1"/>
      <c r="E1165" s="6"/>
      <c r="F1165" s="4"/>
    </row>
    <row r="1166" spans="2:6">
      <c r="B1166" s="1"/>
      <c r="C1166" s="1"/>
      <c r="D1166" s="1"/>
      <c r="E1166" s="6"/>
      <c r="F1166" s="4"/>
    </row>
    <row r="1167" spans="2:6">
      <c r="B1167" s="1"/>
      <c r="C1167" s="1"/>
      <c r="D1167" s="1"/>
      <c r="E1167" s="6"/>
      <c r="F1167" s="4"/>
    </row>
    <row r="1168" spans="2:6">
      <c r="B1168" s="1"/>
      <c r="C1168" s="1"/>
      <c r="D1168" s="1"/>
      <c r="E1168" s="6"/>
      <c r="F1168" s="4"/>
    </row>
    <row r="1169" spans="2:6">
      <c r="B1169" s="1"/>
      <c r="C1169" s="1"/>
      <c r="D1169" s="1"/>
      <c r="E1169" s="6"/>
      <c r="F1169" s="4"/>
    </row>
    <row r="1170" spans="2:6">
      <c r="B1170" s="1"/>
      <c r="C1170" s="1"/>
      <c r="D1170" s="1"/>
      <c r="E1170" s="6"/>
      <c r="F1170" s="4"/>
    </row>
    <row r="1171" spans="2:6">
      <c r="B1171" s="1"/>
      <c r="C1171" s="1"/>
      <c r="D1171" s="1"/>
      <c r="E1171" s="6"/>
      <c r="F1171" s="4"/>
    </row>
    <row r="1172" spans="2:6">
      <c r="B1172" s="1"/>
      <c r="C1172" s="1"/>
      <c r="D1172" s="1"/>
      <c r="E1172" s="6"/>
      <c r="F1172" s="4"/>
    </row>
    <row r="1173" spans="2:6">
      <c r="B1173" s="1"/>
      <c r="C1173" s="1"/>
      <c r="D1173" s="1"/>
      <c r="E1173" s="6"/>
      <c r="F1173" s="4"/>
    </row>
    <row r="1174" spans="2:6">
      <c r="B1174" s="1"/>
      <c r="C1174" s="1"/>
      <c r="D1174" s="1"/>
      <c r="E1174" s="6"/>
      <c r="F1174" s="4"/>
    </row>
    <row r="1175" spans="2:6">
      <c r="B1175" s="1"/>
      <c r="C1175" s="1"/>
      <c r="D1175" s="1"/>
      <c r="E1175" s="6"/>
      <c r="F1175" s="4"/>
    </row>
    <row r="1176" spans="2:6">
      <c r="B1176" s="1"/>
      <c r="C1176" s="1"/>
      <c r="D1176" s="1"/>
      <c r="E1176" s="6"/>
      <c r="F1176" s="4"/>
    </row>
    <row r="1177" spans="2:6">
      <c r="B1177" s="1"/>
      <c r="C1177" s="1"/>
      <c r="D1177" s="1"/>
      <c r="E1177" s="6"/>
      <c r="F1177" s="4"/>
    </row>
    <row r="1178" spans="2:6">
      <c r="B1178" s="1"/>
      <c r="C1178" s="1"/>
      <c r="D1178" s="1"/>
      <c r="E1178" s="6"/>
      <c r="F1178" s="4"/>
    </row>
    <row r="1179" spans="2:6">
      <c r="B1179" s="1"/>
      <c r="C1179" s="1"/>
      <c r="D1179" s="1"/>
      <c r="E1179" s="6"/>
      <c r="F1179" s="4"/>
    </row>
    <row r="1180" spans="2:6">
      <c r="B1180" s="1"/>
      <c r="C1180" s="1"/>
      <c r="D1180" s="1"/>
      <c r="E1180" s="6"/>
      <c r="F1180" s="4"/>
    </row>
    <row r="1181" spans="2:6">
      <c r="B1181" s="1"/>
      <c r="C1181" s="1"/>
      <c r="D1181" s="1"/>
      <c r="E1181" s="6"/>
      <c r="F1181" s="4"/>
    </row>
    <row r="1182" spans="2:6">
      <c r="B1182" s="1"/>
      <c r="C1182" s="1"/>
      <c r="D1182" s="1"/>
      <c r="E1182" s="6"/>
      <c r="F1182" s="4"/>
    </row>
    <row r="1183" spans="2:6">
      <c r="B1183" s="1"/>
      <c r="C1183" s="1"/>
      <c r="D1183" s="1"/>
      <c r="E1183" s="6"/>
      <c r="F1183" s="4"/>
    </row>
    <row r="1184" spans="2:6">
      <c r="B1184" s="1"/>
      <c r="C1184" s="1"/>
      <c r="D1184" s="1"/>
      <c r="E1184" s="6"/>
      <c r="F1184" s="4"/>
    </row>
    <row r="1185" spans="2:6">
      <c r="B1185" s="1"/>
      <c r="C1185" s="1"/>
      <c r="D1185" s="1"/>
      <c r="E1185" s="6"/>
      <c r="F1185" s="4"/>
    </row>
    <row r="1186" spans="2:6">
      <c r="B1186" s="1"/>
      <c r="C1186" s="1"/>
      <c r="D1186" s="1"/>
      <c r="E1186" s="6"/>
      <c r="F1186" s="4"/>
    </row>
    <row r="1187" spans="2:6">
      <c r="B1187" s="1"/>
      <c r="C1187" s="1"/>
      <c r="D1187" s="1"/>
      <c r="E1187" s="6"/>
      <c r="F1187" s="4"/>
    </row>
    <row r="1188" spans="2:6">
      <c r="B1188" s="1"/>
      <c r="C1188" s="1"/>
      <c r="D1188" s="1"/>
      <c r="E1188" s="6"/>
      <c r="F1188" s="4"/>
    </row>
    <row r="1189" spans="2:6">
      <c r="B1189" s="1"/>
      <c r="C1189" s="1"/>
      <c r="D1189" s="1"/>
      <c r="E1189" s="6"/>
      <c r="F1189" s="4"/>
    </row>
    <row r="1190" spans="2:6">
      <c r="B1190" s="1"/>
      <c r="C1190" s="1"/>
      <c r="D1190" s="1"/>
      <c r="E1190" s="6"/>
      <c r="F1190" s="4"/>
    </row>
    <row r="1191" spans="2:6">
      <c r="B1191" s="1"/>
      <c r="C1191" s="1"/>
      <c r="D1191" s="1"/>
      <c r="E1191" s="6"/>
      <c r="F1191" s="4"/>
    </row>
    <row r="1192" spans="2:6">
      <c r="B1192" s="1"/>
      <c r="C1192" s="1"/>
      <c r="D1192" s="1"/>
      <c r="E1192" s="6"/>
      <c r="F1192" s="4"/>
    </row>
    <row r="1193" spans="2:6">
      <c r="B1193" s="1"/>
      <c r="C1193" s="1"/>
      <c r="D1193" s="1"/>
      <c r="E1193" s="6"/>
      <c r="F1193" s="4"/>
    </row>
    <row r="1194" spans="2:6">
      <c r="B1194" s="1"/>
      <c r="C1194" s="1"/>
      <c r="D1194" s="1"/>
      <c r="E1194" s="6"/>
      <c r="F1194" s="4"/>
    </row>
    <row r="1195" spans="2:6">
      <c r="B1195" s="1"/>
      <c r="C1195" s="1"/>
      <c r="D1195" s="1"/>
      <c r="E1195" s="6"/>
      <c r="F1195" s="4"/>
    </row>
    <row r="1196" spans="2:6">
      <c r="B1196" s="1"/>
      <c r="C1196" s="1"/>
      <c r="D1196" s="1"/>
      <c r="E1196" s="6"/>
      <c r="F1196" s="4"/>
    </row>
    <row r="1197" spans="2:6">
      <c r="B1197" s="1"/>
      <c r="C1197" s="1"/>
      <c r="D1197" s="1"/>
      <c r="E1197" s="6"/>
      <c r="F1197" s="4"/>
    </row>
    <row r="1198" spans="2:6">
      <c r="B1198" s="1"/>
      <c r="C1198" s="1"/>
      <c r="D1198" s="1"/>
      <c r="E1198" s="6"/>
      <c r="F1198" s="4"/>
    </row>
    <row r="1199" spans="2:6">
      <c r="B1199" s="1"/>
      <c r="C1199" s="1"/>
      <c r="D1199" s="1"/>
      <c r="E1199" s="6"/>
      <c r="F1199" s="4"/>
    </row>
    <row r="1200" spans="2:6">
      <c r="B1200" s="1"/>
      <c r="C1200" s="1"/>
      <c r="D1200" s="1"/>
      <c r="E1200" s="6"/>
      <c r="F1200" s="4"/>
    </row>
    <row r="1201" spans="2:6">
      <c r="B1201" s="1"/>
      <c r="C1201" s="1"/>
      <c r="D1201" s="1"/>
      <c r="E1201" s="6"/>
      <c r="F1201" s="4"/>
    </row>
    <row r="1202" spans="2:6">
      <c r="B1202" s="1"/>
      <c r="C1202" s="1"/>
      <c r="D1202" s="1"/>
      <c r="E1202" s="6"/>
      <c r="F1202" s="4"/>
    </row>
    <row r="1203" spans="2:6">
      <c r="B1203" s="1"/>
      <c r="C1203" s="1"/>
      <c r="D1203" s="1"/>
      <c r="E1203" s="6"/>
      <c r="F1203" s="4"/>
    </row>
    <row r="1204" spans="2:6">
      <c r="B1204" s="1"/>
      <c r="C1204" s="1"/>
      <c r="D1204" s="1"/>
      <c r="E1204" s="6"/>
      <c r="F1204" s="4"/>
    </row>
    <row r="1205" spans="2:6">
      <c r="B1205" s="1"/>
      <c r="C1205" s="1"/>
      <c r="D1205" s="1"/>
      <c r="E1205" s="6"/>
      <c r="F1205" s="4"/>
    </row>
    <row r="1206" spans="2:6">
      <c r="B1206" s="1"/>
      <c r="C1206" s="1"/>
      <c r="D1206" s="1"/>
      <c r="E1206" s="6"/>
      <c r="F1206" s="4"/>
    </row>
    <row r="1207" spans="2:6">
      <c r="B1207" s="1"/>
      <c r="C1207" s="1"/>
      <c r="D1207" s="1"/>
      <c r="E1207" s="6"/>
      <c r="F1207" s="4"/>
    </row>
    <row r="1208" spans="2:6">
      <c r="B1208" s="1"/>
      <c r="C1208" s="1"/>
      <c r="D1208" s="1"/>
      <c r="E1208" s="6"/>
      <c r="F1208" s="4"/>
    </row>
    <row r="1209" spans="2:6">
      <c r="B1209" s="1"/>
      <c r="C1209" s="1"/>
      <c r="D1209" s="1"/>
      <c r="E1209" s="6"/>
      <c r="F1209" s="4"/>
    </row>
    <row r="1210" spans="2:6">
      <c r="B1210" s="1"/>
      <c r="C1210" s="1"/>
      <c r="D1210" s="1"/>
      <c r="E1210" s="6"/>
      <c r="F1210" s="4"/>
    </row>
    <row r="1211" spans="2:6">
      <c r="B1211" s="1"/>
      <c r="C1211" s="1"/>
      <c r="D1211" s="1"/>
      <c r="E1211" s="6"/>
      <c r="F1211" s="4"/>
    </row>
    <row r="1212" spans="2:6">
      <c r="B1212" s="1"/>
      <c r="C1212" s="1"/>
      <c r="D1212" s="1"/>
      <c r="E1212" s="6"/>
      <c r="F1212" s="4"/>
    </row>
    <row r="1213" spans="2:6">
      <c r="B1213" s="1"/>
      <c r="C1213" s="1"/>
      <c r="D1213" s="1"/>
      <c r="E1213" s="6"/>
      <c r="F1213" s="4"/>
    </row>
    <row r="1214" spans="2:6">
      <c r="B1214" s="1"/>
      <c r="C1214" s="1"/>
      <c r="D1214" s="1"/>
      <c r="E1214" s="6"/>
      <c r="F1214" s="4"/>
    </row>
    <row r="1215" spans="2:6">
      <c r="B1215" s="1"/>
      <c r="C1215" s="1"/>
      <c r="D1215" s="1"/>
      <c r="E1215" s="6"/>
      <c r="F1215" s="4"/>
    </row>
    <row r="1216" spans="2:6">
      <c r="B1216" s="1"/>
      <c r="C1216" s="1"/>
      <c r="D1216" s="1"/>
      <c r="E1216" s="6"/>
      <c r="F1216" s="4"/>
    </row>
    <row r="1217" spans="2:6">
      <c r="B1217" s="1"/>
      <c r="C1217" s="1"/>
      <c r="D1217" s="1"/>
      <c r="E1217" s="6"/>
      <c r="F1217" s="4"/>
    </row>
    <row r="1218" spans="2:6">
      <c r="B1218" s="1"/>
      <c r="C1218" s="1"/>
      <c r="D1218" s="1"/>
      <c r="E1218" s="6"/>
      <c r="F1218" s="4"/>
    </row>
    <row r="1219" spans="2:6">
      <c r="B1219" s="1"/>
      <c r="C1219" s="1"/>
      <c r="D1219" s="1"/>
      <c r="E1219" s="6"/>
      <c r="F1219" s="4"/>
    </row>
    <row r="1220" spans="2:6">
      <c r="B1220" s="1"/>
      <c r="C1220" s="1"/>
      <c r="D1220" s="1"/>
      <c r="E1220" s="6"/>
      <c r="F1220" s="4"/>
    </row>
    <row r="1221" spans="2:6">
      <c r="B1221" s="1"/>
      <c r="C1221" s="1"/>
      <c r="D1221" s="1"/>
      <c r="E1221" s="6"/>
      <c r="F1221" s="4"/>
    </row>
    <row r="1222" spans="2:6">
      <c r="B1222" s="1"/>
      <c r="C1222" s="1"/>
      <c r="D1222" s="1"/>
      <c r="E1222" s="6"/>
      <c r="F1222" s="4"/>
    </row>
    <row r="1223" spans="2:6">
      <c r="B1223" s="1"/>
      <c r="C1223" s="1"/>
      <c r="D1223" s="1"/>
      <c r="E1223" s="6"/>
      <c r="F1223" s="4"/>
    </row>
    <row r="1224" spans="2:6">
      <c r="B1224" s="1"/>
      <c r="C1224" s="1"/>
      <c r="D1224" s="1"/>
      <c r="E1224" s="6"/>
      <c r="F1224" s="4"/>
    </row>
    <row r="1225" spans="2:6">
      <c r="B1225" s="1"/>
      <c r="C1225" s="1"/>
      <c r="D1225" s="1"/>
      <c r="E1225" s="6"/>
      <c r="F1225" s="4"/>
    </row>
    <row r="1226" spans="2:6">
      <c r="B1226" s="1"/>
      <c r="C1226" s="1"/>
      <c r="D1226" s="1"/>
      <c r="E1226" s="6"/>
      <c r="F1226" s="4"/>
    </row>
    <row r="1227" spans="2:6">
      <c r="B1227" s="1"/>
      <c r="C1227" s="1"/>
      <c r="D1227" s="1"/>
      <c r="E1227" s="6"/>
      <c r="F1227" s="4"/>
    </row>
    <row r="1228" spans="2:6">
      <c r="B1228" s="1"/>
      <c r="C1228" s="1"/>
      <c r="D1228" s="1"/>
      <c r="E1228" s="6"/>
      <c r="F1228" s="4"/>
    </row>
    <row r="1229" spans="2:6">
      <c r="B1229" s="1"/>
      <c r="C1229" s="1"/>
      <c r="D1229" s="1"/>
      <c r="E1229" s="6"/>
      <c r="F1229" s="4"/>
    </row>
    <row r="1230" spans="2:6">
      <c r="B1230" s="1"/>
      <c r="C1230" s="1"/>
      <c r="D1230" s="1"/>
      <c r="E1230" s="6"/>
      <c r="F1230" s="4"/>
    </row>
    <row r="1231" spans="2:6">
      <c r="B1231" s="1"/>
      <c r="C1231" s="1"/>
      <c r="D1231" s="1"/>
      <c r="E1231" s="6"/>
      <c r="F1231" s="4"/>
    </row>
    <row r="1232" spans="2:6">
      <c r="B1232" s="1"/>
      <c r="C1232" s="1"/>
      <c r="D1232" s="1"/>
      <c r="E1232" s="6"/>
      <c r="F1232" s="4"/>
    </row>
    <row r="1233" spans="2:6">
      <c r="B1233" s="1"/>
      <c r="C1233" s="1"/>
      <c r="D1233" s="1"/>
      <c r="E1233" s="6"/>
      <c r="F1233" s="4"/>
    </row>
    <row r="1234" spans="2:6">
      <c r="B1234" s="1"/>
      <c r="C1234" s="1"/>
      <c r="D1234" s="1"/>
      <c r="E1234" s="6"/>
      <c r="F1234" s="4"/>
    </row>
    <row r="1235" spans="2:6">
      <c r="B1235" s="1"/>
      <c r="C1235" s="1"/>
      <c r="D1235" s="1"/>
      <c r="E1235" s="6"/>
      <c r="F1235" s="4"/>
    </row>
    <row r="1236" spans="2:6">
      <c r="B1236" s="1"/>
      <c r="C1236" s="1"/>
      <c r="D1236" s="1"/>
      <c r="E1236" s="6"/>
      <c r="F1236" s="4"/>
    </row>
    <row r="1237" spans="2:6">
      <c r="B1237" s="1"/>
      <c r="C1237" s="1"/>
      <c r="D1237" s="1"/>
      <c r="E1237" s="6"/>
      <c r="F1237" s="4"/>
    </row>
    <row r="1238" spans="2:6">
      <c r="B1238" s="1"/>
      <c r="C1238" s="1"/>
      <c r="D1238" s="1"/>
      <c r="E1238" s="6"/>
      <c r="F1238" s="4"/>
    </row>
    <row r="1239" spans="2:6">
      <c r="B1239" s="1"/>
      <c r="C1239" s="1"/>
      <c r="D1239" s="1"/>
      <c r="E1239" s="6"/>
      <c r="F1239" s="4"/>
    </row>
    <row r="1240" spans="2:6">
      <c r="B1240" s="1"/>
      <c r="C1240" s="1"/>
      <c r="D1240" s="1"/>
      <c r="E1240" s="6"/>
      <c r="F1240" s="4"/>
    </row>
    <row r="1241" spans="2:6">
      <c r="B1241" s="1"/>
      <c r="C1241" s="1"/>
      <c r="D1241" s="1"/>
      <c r="E1241" s="6"/>
      <c r="F1241" s="4"/>
    </row>
    <row r="1242" spans="2:6">
      <c r="B1242" s="1"/>
      <c r="C1242" s="1"/>
      <c r="D1242" s="1"/>
      <c r="E1242" s="6"/>
      <c r="F1242" s="4"/>
    </row>
    <row r="1243" spans="2:6">
      <c r="B1243" s="1"/>
      <c r="C1243" s="1"/>
      <c r="D1243" s="1"/>
      <c r="E1243" s="6"/>
      <c r="F1243" s="4"/>
    </row>
    <row r="1244" spans="2:6">
      <c r="B1244" s="1"/>
      <c r="C1244" s="1"/>
      <c r="D1244" s="1"/>
      <c r="E1244" s="6"/>
      <c r="F1244" s="4"/>
    </row>
    <row r="1245" spans="2:6">
      <c r="B1245" s="1"/>
      <c r="C1245" s="1"/>
      <c r="D1245" s="1"/>
      <c r="E1245" s="6"/>
      <c r="F1245" s="4"/>
    </row>
    <row r="1246" spans="2:6">
      <c r="B1246" s="1"/>
      <c r="C1246" s="1"/>
      <c r="D1246" s="1"/>
      <c r="E1246" s="6"/>
      <c r="F1246" s="4"/>
    </row>
    <row r="1247" spans="2:6">
      <c r="B1247" s="1"/>
      <c r="C1247" s="1"/>
      <c r="D1247" s="1"/>
      <c r="E1247" s="6"/>
      <c r="F1247" s="4"/>
    </row>
    <row r="1248" spans="2:6">
      <c r="B1248" s="1"/>
      <c r="C1248" s="1"/>
      <c r="D1248" s="1"/>
      <c r="E1248" s="6"/>
      <c r="F1248" s="4"/>
    </row>
    <row r="1249" spans="2:6">
      <c r="B1249" s="1"/>
      <c r="C1249" s="1"/>
      <c r="D1249" s="1"/>
      <c r="E1249" s="6"/>
      <c r="F1249" s="4"/>
    </row>
    <row r="1250" spans="2:6">
      <c r="B1250" s="1"/>
      <c r="C1250" s="1"/>
      <c r="D1250" s="1"/>
      <c r="E1250" s="6"/>
      <c r="F1250" s="4"/>
    </row>
    <row r="1251" spans="2:6">
      <c r="B1251" s="1"/>
      <c r="C1251" s="1"/>
      <c r="D1251" s="1"/>
      <c r="E1251" s="6"/>
      <c r="F1251" s="4"/>
    </row>
    <row r="1252" spans="2:6">
      <c r="B1252" s="1"/>
      <c r="C1252" s="1"/>
      <c r="D1252" s="1"/>
      <c r="E1252" s="6"/>
      <c r="F1252" s="4"/>
    </row>
    <row r="1253" spans="2:6">
      <c r="B1253" s="1"/>
      <c r="C1253" s="1"/>
      <c r="D1253" s="1"/>
      <c r="E1253" s="6"/>
      <c r="F1253" s="4"/>
    </row>
    <row r="1254" spans="2:6">
      <c r="B1254" s="1"/>
      <c r="C1254" s="1"/>
      <c r="D1254" s="1"/>
      <c r="E1254" s="6"/>
      <c r="F1254" s="4"/>
    </row>
    <row r="1255" spans="2:6">
      <c r="B1255" s="1"/>
      <c r="C1255" s="1"/>
      <c r="D1255" s="1"/>
      <c r="E1255" s="6"/>
      <c r="F1255" s="4"/>
    </row>
    <row r="1256" spans="2:6">
      <c r="B1256" s="1"/>
      <c r="C1256" s="1"/>
      <c r="D1256" s="1"/>
      <c r="E1256" s="6"/>
      <c r="F1256" s="4"/>
    </row>
    <row r="1257" spans="2:6">
      <c r="B1257" s="1"/>
      <c r="C1257" s="1"/>
      <c r="D1257" s="1"/>
      <c r="E1257" s="6"/>
      <c r="F1257" s="4"/>
    </row>
    <row r="1258" spans="2:6">
      <c r="B1258" s="1"/>
      <c r="C1258" s="1"/>
      <c r="D1258" s="1"/>
      <c r="E1258" s="6"/>
      <c r="F1258" s="4"/>
    </row>
    <row r="1259" spans="2:6">
      <c r="B1259" s="1"/>
      <c r="C1259" s="1"/>
      <c r="D1259" s="1"/>
      <c r="E1259" s="6"/>
      <c r="F1259" s="4"/>
    </row>
    <row r="1260" spans="2:6">
      <c r="B1260" s="1"/>
      <c r="C1260" s="1"/>
      <c r="D1260" s="1"/>
      <c r="E1260" s="6"/>
      <c r="F1260" s="4"/>
    </row>
    <row r="1261" spans="2:6">
      <c r="B1261" s="1"/>
      <c r="C1261" s="1"/>
      <c r="D1261" s="1"/>
      <c r="E1261" s="6"/>
      <c r="F1261" s="4"/>
    </row>
    <row r="1262" spans="2:6">
      <c r="B1262" s="1"/>
      <c r="C1262" s="1"/>
      <c r="D1262" s="1"/>
      <c r="E1262" s="6"/>
      <c r="F1262" s="4"/>
    </row>
    <row r="1263" spans="2:6">
      <c r="B1263" s="1"/>
      <c r="C1263" s="1"/>
      <c r="D1263" s="1"/>
      <c r="E1263" s="6"/>
      <c r="F1263" s="4"/>
    </row>
    <row r="1264" spans="2:6">
      <c r="B1264" s="1"/>
      <c r="C1264" s="1"/>
      <c r="D1264" s="1"/>
      <c r="E1264" s="6"/>
      <c r="F1264" s="4"/>
    </row>
    <row r="1265" spans="2:6">
      <c r="B1265" s="1"/>
      <c r="C1265" s="1"/>
      <c r="D1265" s="1"/>
      <c r="E1265" s="6"/>
      <c r="F1265" s="4"/>
    </row>
    <row r="1266" spans="2:6">
      <c r="B1266" s="1"/>
      <c r="C1266" s="1"/>
      <c r="D1266" s="1"/>
      <c r="E1266" s="6"/>
      <c r="F1266" s="4"/>
    </row>
    <row r="1267" spans="2:6">
      <c r="B1267" s="1"/>
      <c r="C1267" s="1"/>
      <c r="D1267" s="1"/>
      <c r="E1267" s="6"/>
      <c r="F1267" s="4"/>
    </row>
    <row r="1268" spans="2:6">
      <c r="B1268" s="1"/>
      <c r="C1268" s="1"/>
      <c r="D1268" s="1"/>
      <c r="E1268" s="6"/>
      <c r="F1268" s="4"/>
    </row>
    <row r="1269" spans="2:6">
      <c r="B1269" s="1"/>
      <c r="C1269" s="1"/>
      <c r="D1269" s="1"/>
      <c r="E1269" s="6"/>
      <c r="F1269" s="4"/>
    </row>
    <row r="1270" spans="2:6">
      <c r="B1270" s="1"/>
      <c r="C1270" s="1"/>
      <c r="D1270" s="1"/>
      <c r="E1270" s="6"/>
      <c r="F1270" s="4"/>
    </row>
    <row r="1271" spans="2:6">
      <c r="B1271" s="1"/>
      <c r="C1271" s="1"/>
      <c r="D1271" s="1"/>
      <c r="E1271" s="6"/>
      <c r="F1271" s="4"/>
    </row>
    <row r="1272" spans="2:6">
      <c r="B1272" s="1"/>
      <c r="C1272" s="1"/>
      <c r="D1272" s="1"/>
      <c r="E1272" s="6"/>
      <c r="F1272" s="4"/>
    </row>
    <row r="1273" spans="2:6">
      <c r="B1273" s="1"/>
      <c r="C1273" s="1"/>
      <c r="D1273" s="1"/>
      <c r="E1273" s="6"/>
      <c r="F1273" s="4"/>
    </row>
    <row r="1274" spans="2:6">
      <c r="B1274" s="1"/>
      <c r="C1274" s="1"/>
      <c r="D1274" s="1"/>
      <c r="E1274" s="6"/>
      <c r="F1274" s="4"/>
    </row>
    <row r="1275" spans="2:6">
      <c r="B1275" s="1"/>
      <c r="C1275" s="1"/>
      <c r="D1275" s="1"/>
      <c r="E1275" s="6"/>
      <c r="F1275" s="4"/>
    </row>
    <row r="1276" spans="2:6">
      <c r="B1276" s="1"/>
      <c r="C1276" s="1"/>
      <c r="D1276" s="1"/>
      <c r="E1276" s="6"/>
      <c r="F1276" s="4"/>
    </row>
    <row r="1277" spans="2:6">
      <c r="B1277" s="1"/>
      <c r="C1277" s="1"/>
      <c r="D1277" s="1"/>
      <c r="E1277" s="6"/>
      <c r="F1277" s="4"/>
    </row>
    <row r="1278" spans="2:6">
      <c r="B1278" s="1"/>
      <c r="C1278" s="1"/>
      <c r="D1278" s="1"/>
      <c r="E1278" s="6"/>
      <c r="F1278" s="4"/>
    </row>
    <row r="1279" spans="2:6">
      <c r="B1279" s="1"/>
      <c r="C1279" s="1"/>
      <c r="D1279" s="1"/>
      <c r="E1279" s="6"/>
      <c r="F1279" s="4"/>
    </row>
    <row r="1280" spans="2:6">
      <c r="B1280" s="1"/>
      <c r="C1280" s="1"/>
      <c r="D1280" s="1"/>
      <c r="E1280" s="6"/>
      <c r="F1280" s="4"/>
    </row>
    <row r="1281" spans="2:6">
      <c r="B1281" s="1"/>
      <c r="C1281" s="1"/>
      <c r="D1281" s="1"/>
      <c r="E1281" s="6"/>
      <c r="F1281" s="4"/>
    </row>
    <row r="1282" spans="2:6">
      <c r="B1282" s="1"/>
      <c r="C1282" s="1"/>
      <c r="D1282" s="1"/>
      <c r="E1282" s="6"/>
      <c r="F1282" s="4"/>
    </row>
    <row r="1283" spans="2:6">
      <c r="B1283" s="1"/>
      <c r="C1283" s="1"/>
      <c r="D1283" s="1"/>
      <c r="E1283" s="6"/>
      <c r="F1283" s="4"/>
    </row>
    <row r="1284" spans="2:6">
      <c r="B1284" s="1"/>
      <c r="C1284" s="1"/>
      <c r="D1284" s="1"/>
      <c r="E1284" s="6"/>
      <c r="F1284" s="4"/>
    </row>
    <row r="1285" spans="2:6">
      <c r="B1285" s="1"/>
      <c r="C1285" s="1"/>
      <c r="D1285" s="1"/>
      <c r="E1285" s="6"/>
      <c r="F1285" s="4"/>
    </row>
    <row r="1286" spans="2:6">
      <c r="B1286" s="1"/>
      <c r="C1286" s="1"/>
      <c r="D1286" s="1"/>
      <c r="E1286" s="6"/>
      <c r="F1286" s="4"/>
    </row>
    <row r="1287" spans="2:6">
      <c r="B1287" s="1"/>
      <c r="C1287" s="1"/>
      <c r="D1287" s="1"/>
      <c r="E1287" s="6"/>
      <c r="F1287" s="4"/>
    </row>
    <row r="1288" spans="2:6">
      <c r="B1288" s="1"/>
      <c r="C1288" s="1"/>
      <c r="D1288" s="1"/>
      <c r="E1288" s="6"/>
      <c r="F1288" s="4"/>
    </row>
    <row r="1289" spans="2:6">
      <c r="B1289" s="1"/>
      <c r="C1289" s="1"/>
      <c r="D1289" s="1"/>
      <c r="E1289" s="6"/>
      <c r="F1289" s="4"/>
    </row>
    <row r="1290" spans="2:6">
      <c r="B1290" s="1"/>
      <c r="C1290" s="1"/>
      <c r="D1290" s="1"/>
      <c r="E1290" s="6"/>
      <c r="F1290" s="4"/>
    </row>
    <row r="1291" spans="2:6">
      <c r="B1291" s="1"/>
      <c r="C1291" s="1"/>
      <c r="D1291" s="1"/>
      <c r="E1291" s="6"/>
      <c r="F1291" s="4"/>
    </row>
    <row r="1292" spans="2:6">
      <c r="B1292" s="1"/>
      <c r="C1292" s="1"/>
      <c r="D1292" s="1"/>
      <c r="E1292" s="6"/>
      <c r="F1292" s="4"/>
    </row>
    <row r="1293" spans="2:6">
      <c r="B1293" s="1"/>
      <c r="C1293" s="1"/>
      <c r="D1293" s="1"/>
      <c r="E1293" s="6"/>
      <c r="F1293" s="4"/>
    </row>
    <row r="1294" spans="2:6">
      <c r="B1294" s="1"/>
      <c r="C1294" s="1"/>
      <c r="D1294" s="1"/>
      <c r="E1294" s="6"/>
      <c r="F1294" s="4"/>
    </row>
    <row r="1295" spans="2:6">
      <c r="B1295" s="1"/>
      <c r="C1295" s="1"/>
      <c r="D1295" s="1"/>
      <c r="E1295" s="6"/>
      <c r="F1295" s="4"/>
    </row>
    <row r="1296" spans="2:6">
      <c r="B1296" s="1"/>
      <c r="C1296" s="1"/>
      <c r="D1296" s="1"/>
      <c r="E1296" s="6"/>
      <c r="F1296" s="4"/>
    </row>
    <row r="1297" spans="2:6">
      <c r="B1297" s="1"/>
      <c r="C1297" s="1"/>
      <c r="D1297" s="1"/>
      <c r="E1297" s="6"/>
      <c r="F1297" s="4"/>
    </row>
    <row r="1298" spans="2:6">
      <c r="B1298" s="1"/>
      <c r="C1298" s="1"/>
      <c r="D1298" s="1"/>
      <c r="E1298" s="6"/>
      <c r="F1298" s="4"/>
    </row>
    <row r="1299" spans="2:6">
      <c r="B1299" s="1"/>
      <c r="C1299" s="1"/>
      <c r="D1299" s="1"/>
      <c r="E1299" s="6"/>
      <c r="F1299" s="4"/>
    </row>
    <row r="1300" spans="2:6">
      <c r="B1300" s="1"/>
      <c r="C1300" s="1"/>
      <c r="D1300" s="1"/>
      <c r="E1300" s="6"/>
      <c r="F1300" s="4"/>
    </row>
    <row r="1301" spans="2:6">
      <c r="B1301" s="1"/>
      <c r="C1301" s="1"/>
      <c r="D1301" s="1"/>
      <c r="E1301" s="6"/>
      <c r="F1301" s="4"/>
    </row>
    <row r="1302" spans="2:6">
      <c r="B1302" s="1"/>
      <c r="C1302" s="1"/>
      <c r="D1302" s="1"/>
      <c r="E1302" s="6"/>
      <c r="F1302" s="4"/>
    </row>
    <row r="1303" spans="2:6">
      <c r="B1303" s="1"/>
      <c r="C1303" s="1"/>
      <c r="D1303" s="1"/>
      <c r="E1303" s="6"/>
      <c r="F1303" s="4"/>
    </row>
    <row r="1304" spans="2:6">
      <c r="B1304" s="1"/>
      <c r="C1304" s="1"/>
      <c r="D1304" s="1"/>
      <c r="E1304" s="6"/>
      <c r="F1304" s="4"/>
    </row>
    <row r="1305" spans="2:6">
      <c r="B1305" s="1"/>
      <c r="C1305" s="1"/>
      <c r="D1305" s="1"/>
      <c r="E1305" s="6"/>
      <c r="F1305" s="4"/>
    </row>
    <row r="1306" spans="2:6">
      <c r="B1306" s="1"/>
      <c r="C1306" s="1"/>
      <c r="D1306" s="1"/>
      <c r="E1306" s="6"/>
      <c r="F1306" s="4"/>
    </row>
    <row r="1307" spans="2:6">
      <c r="B1307" s="1"/>
      <c r="C1307" s="1"/>
      <c r="D1307" s="1"/>
      <c r="E1307" s="6"/>
      <c r="F1307" s="4"/>
    </row>
    <row r="1308" spans="2:6">
      <c r="B1308" s="1"/>
      <c r="C1308" s="1"/>
      <c r="D1308" s="1"/>
      <c r="E1308" s="6"/>
      <c r="F1308" s="4"/>
    </row>
    <row r="1309" spans="2:6">
      <c r="B1309" s="1"/>
      <c r="C1309" s="1"/>
      <c r="D1309" s="1"/>
      <c r="E1309" s="6"/>
      <c r="F1309" s="4"/>
    </row>
    <row r="1310" spans="2:6">
      <c r="B1310" s="1"/>
      <c r="C1310" s="1"/>
      <c r="D1310" s="1"/>
      <c r="E1310" s="6"/>
      <c r="F1310" s="4"/>
    </row>
    <row r="1311" spans="2:6">
      <c r="B1311" s="1"/>
      <c r="C1311" s="1"/>
      <c r="D1311" s="1"/>
      <c r="E1311" s="6"/>
      <c r="F1311" s="4"/>
    </row>
    <row r="1312" spans="2:6">
      <c r="B1312" s="1"/>
      <c r="C1312" s="1"/>
      <c r="D1312" s="1"/>
      <c r="E1312" s="6"/>
      <c r="F1312" s="4"/>
    </row>
    <row r="1313" spans="2:6">
      <c r="B1313" s="1"/>
      <c r="C1313" s="1"/>
      <c r="D1313" s="1"/>
      <c r="E1313" s="6"/>
      <c r="F1313" s="4"/>
    </row>
    <row r="1314" spans="2:6">
      <c r="B1314" s="1"/>
      <c r="C1314" s="1"/>
      <c r="D1314" s="1"/>
      <c r="E1314" s="6"/>
      <c r="F1314" s="4"/>
    </row>
    <row r="1315" spans="2:6">
      <c r="B1315" s="1"/>
      <c r="C1315" s="1"/>
      <c r="D1315" s="1"/>
      <c r="E1315" s="6"/>
      <c r="F1315" s="4"/>
    </row>
    <row r="1316" spans="2:6">
      <c r="B1316" s="1"/>
      <c r="C1316" s="1"/>
      <c r="D1316" s="1"/>
      <c r="E1316" s="6"/>
      <c r="F1316" s="4"/>
    </row>
    <row r="1317" spans="2:6">
      <c r="B1317" s="1"/>
      <c r="C1317" s="1"/>
      <c r="D1317" s="1"/>
      <c r="E1317" s="6"/>
      <c r="F1317" s="4"/>
    </row>
    <row r="1318" spans="2:6">
      <c r="B1318" s="1"/>
      <c r="C1318" s="1"/>
      <c r="D1318" s="1"/>
      <c r="E1318" s="6"/>
      <c r="F1318" s="4"/>
    </row>
    <row r="1319" spans="2:6">
      <c r="B1319" s="1"/>
      <c r="C1319" s="1"/>
      <c r="D1319" s="1"/>
      <c r="E1319" s="6"/>
      <c r="F1319" s="4"/>
    </row>
    <row r="1320" spans="2:6">
      <c r="B1320" s="1"/>
      <c r="C1320" s="1"/>
      <c r="D1320" s="1"/>
      <c r="E1320" s="6"/>
      <c r="F1320" s="4"/>
    </row>
    <row r="1321" spans="2:6">
      <c r="B1321" s="1"/>
      <c r="C1321" s="1"/>
      <c r="D1321" s="1"/>
      <c r="E1321" s="6"/>
      <c r="F1321" s="4"/>
    </row>
    <row r="1322" spans="2:6">
      <c r="B1322" s="1"/>
      <c r="C1322" s="1"/>
      <c r="D1322" s="1"/>
      <c r="E1322" s="6"/>
      <c r="F1322" s="4"/>
    </row>
    <row r="1323" spans="2:6">
      <c r="B1323" s="1"/>
      <c r="C1323" s="1"/>
      <c r="D1323" s="1"/>
      <c r="E1323" s="6"/>
      <c r="F1323" s="4"/>
    </row>
    <row r="1324" spans="2:6">
      <c r="B1324" s="1"/>
      <c r="C1324" s="1"/>
      <c r="D1324" s="1"/>
      <c r="E1324" s="6"/>
      <c r="F1324" s="4"/>
    </row>
    <row r="1325" spans="2:6">
      <c r="B1325" s="1"/>
      <c r="C1325" s="1"/>
      <c r="D1325" s="1"/>
      <c r="E1325" s="6"/>
      <c r="F1325" s="4"/>
    </row>
    <row r="1326" spans="2:6">
      <c r="B1326" s="1"/>
      <c r="C1326" s="1"/>
      <c r="D1326" s="1"/>
      <c r="E1326" s="6"/>
      <c r="F1326" s="4"/>
    </row>
    <row r="1327" spans="2:6">
      <c r="B1327" s="1"/>
      <c r="C1327" s="1"/>
      <c r="D1327" s="1"/>
      <c r="E1327" s="6"/>
      <c r="F1327" s="4"/>
    </row>
    <row r="1328" spans="2:6">
      <c r="B1328" s="1"/>
      <c r="C1328" s="1"/>
      <c r="D1328" s="1"/>
      <c r="E1328" s="6"/>
      <c r="F1328" s="4"/>
    </row>
    <row r="1329" spans="2:6">
      <c r="B1329" s="1"/>
      <c r="C1329" s="1"/>
      <c r="D1329" s="1"/>
      <c r="E1329" s="6"/>
      <c r="F1329" s="4"/>
    </row>
    <row r="1330" spans="2:6">
      <c r="B1330" s="1"/>
      <c r="C1330" s="1"/>
      <c r="D1330" s="1"/>
      <c r="E1330" s="6"/>
      <c r="F1330" s="4"/>
    </row>
    <row r="1331" spans="2:6">
      <c r="B1331" s="1"/>
      <c r="C1331" s="1"/>
      <c r="D1331" s="1"/>
      <c r="E1331" s="6"/>
      <c r="F1331" s="4"/>
    </row>
    <row r="1332" spans="2:6">
      <c r="B1332" s="1"/>
      <c r="C1332" s="1"/>
      <c r="D1332" s="1"/>
      <c r="E1332" s="6"/>
      <c r="F1332" s="4"/>
    </row>
    <row r="1333" spans="2:6">
      <c r="B1333" s="1"/>
      <c r="C1333" s="1"/>
      <c r="D1333" s="1"/>
      <c r="E1333" s="6"/>
      <c r="F1333" s="4"/>
    </row>
    <row r="1334" spans="2:6">
      <c r="B1334" s="1"/>
      <c r="C1334" s="1"/>
      <c r="D1334" s="1"/>
      <c r="E1334" s="6"/>
      <c r="F1334" s="4"/>
    </row>
    <row r="1335" spans="2:6">
      <c r="B1335" s="1"/>
      <c r="C1335" s="1"/>
      <c r="D1335" s="1"/>
      <c r="E1335" s="6"/>
      <c r="F1335" s="4"/>
    </row>
    <row r="1336" spans="2:6">
      <c r="B1336" s="1"/>
      <c r="C1336" s="1"/>
      <c r="D1336" s="1"/>
      <c r="E1336" s="6"/>
      <c r="F1336" s="4"/>
    </row>
    <row r="1337" spans="2:6">
      <c r="B1337" s="1"/>
      <c r="C1337" s="1"/>
      <c r="D1337" s="1"/>
      <c r="E1337" s="6"/>
      <c r="F1337" s="4"/>
    </row>
    <row r="1338" spans="2:6">
      <c r="B1338" s="1"/>
      <c r="C1338" s="1"/>
      <c r="D1338" s="1"/>
      <c r="E1338" s="6"/>
      <c r="F1338" s="4"/>
    </row>
    <row r="1339" spans="2:6">
      <c r="B1339" s="1"/>
      <c r="C1339" s="1"/>
      <c r="D1339" s="1"/>
      <c r="E1339" s="6"/>
      <c r="F1339" s="4"/>
    </row>
    <row r="1340" spans="2:6">
      <c r="B1340" s="1"/>
      <c r="C1340" s="1"/>
      <c r="D1340" s="1"/>
      <c r="E1340" s="6"/>
      <c r="F1340" s="4"/>
    </row>
    <row r="1341" spans="2:6">
      <c r="B1341" s="1"/>
      <c r="C1341" s="1"/>
      <c r="D1341" s="1"/>
      <c r="E1341" s="6"/>
      <c r="F1341" s="4"/>
    </row>
    <row r="1342" spans="2:6">
      <c r="B1342" s="1"/>
      <c r="C1342" s="1"/>
      <c r="D1342" s="1"/>
      <c r="E1342" s="6"/>
      <c r="F1342" s="4"/>
    </row>
    <row r="1343" spans="2:6">
      <c r="B1343" s="1"/>
      <c r="C1343" s="1"/>
      <c r="D1343" s="1"/>
      <c r="E1343" s="6"/>
      <c r="F1343" s="4"/>
    </row>
    <row r="1344" spans="2:6">
      <c r="B1344" s="1"/>
      <c r="C1344" s="1"/>
      <c r="D1344" s="1"/>
      <c r="E1344" s="6"/>
      <c r="F1344" s="4"/>
    </row>
    <row r="1345" spans="2:6">
      <c r="B1345" s="1"/>
      <c r="C1345" s="1"/>
      <c r="D1345" s="1"/>
      <c r="E1345" s="6"/>
      <c r="F1345" s="4"/>
    </row>
    <row r="1346" spans="2:6">
      <c r="B1346" s="1"/>
      <c r="C1346" s="1"/>
      <c r="D1346" s="1"/>
      <c r="E1346" s="6"/>
      <c r="F1346" s="4"/>
    </row>
    <row r="1347" spans="2:6">
      <c r="B1347" s="1"/>
      <c r="C1347" s="1"/>
      <c r="D1347" s="1"/>
      <c r="E1347" s="6"/>
      <c r="F1347" s="4"/>
    </row>
    <row r="1348" spans="2:6">
      <c r="B1348" s="1"/>
      <c r="C1348" s="1"/>
      <c r="D1348" s="1"/>
      <c r="E1348" s="6"/>
      <c r="F1348" s="4"/>
    </row>
    <row r="1349" spans="2:6">
      <c r="B1349" s="1"/>
      <c r="C1349" s="1"/>
      <c r="D1349" s="1"/>
      <c r="E1349" s="6"/>
      <c r="F1349" s="4"/>
    </row>
    <row r="1350" spans="2:6">
      <c r="B1350" s="1"/>
      <c r="C1350" s="1"/>
      <c r="D1350" s="1"/>
      <c r="E1350" s="6"/>
      <c r="F1350" s="4"/>
    </row>
    <row r="1351" spans="2:6">
      <c r="B1351" s="1"/>
      <c r="C1351" s="1"/>
      <c r="D1351" s="1"/>
      <c r="E1351" s="6"/>
      <c r="F1351" s="4"/>
    </row>
    <row r="1352" spans="2:6">
      <c r="B1352" s="1"/>
      <c r="C1352" s="1"/>
      <c r="D1352" s="1"/>
      <c r="E1352" s="6"/>
      <c r="F1352" s="4"/>
    </row>
    <row r="1353" spans="2:6">
      <c r="B1353" s="1"/>
      <c r="C1353" s="1"/>
      <c r="D1353" s="1"/>
      <c r="E1353" s="6"/>
      <c r="F1353" s="4"/>
    </row>
    <row r="1354" spans="2:6">
      <c r="B1354" s="1"/>
      <c r="C1354" s="1"/>
      <c r="D1354" s="1"/>
      <c r="E1354" s="6"/>
      <c r="F1354" s="4"/>
    </row>
    <row r="1355" spans="2:6">
      <c r="B1355" s="1"/>
      <c r="C1355" s="1"/>
      <c r="D1355" s="1"/>
      <c r="E1355" s="6"/>
      <c r="F1355" s="4"/>
    </row>
    <row r="1356" spans="2:6">
      <c r="B1356" s="1"/>
      <c r="C1356" s="1"/>
      <c r="D1356" s="1"/>
      <c r="E1356" s="6"/>
      <c r="F1356" s="4"/>
    </row>
    <row r="1357" spans="2:6">
      <c r="B1357" s="1"/>
      <c r="C1357" s="1"/>
      <c r="D1357" s="1"/>
      <c r="E1357" s="6"/>
      <c r="F1357" s="4"/>
    </row>
    <row r="1358" spans="2:6">
      <c r="B1358" s="1"/>
      <c r="C1358" s="1"/>
      <c r="D1358" s="1"/>
      <c r="E1358" s="6"/>
      <c r="F1358" s="4"/>
    </row>
    <row r="1359" spans="2:6">
      <c r="B1359" s="1"/>
      <c r="C1359" s="1"/>
      <c r="D1359" s="1"/>
      <c r="E1359" s="6"/>
      <c r="F1359" s="4"/>
    </row>
    <row r="1360" spans="2:6">
      <c r="B1360" s="1"/>
      <c r="C1360" s="1"/>
      <c r="D1360" s="1"/>
      <c r="E1360" s="6"/>
      <c r="F1360" s="4"/>
    </row>
    <row r="1361" spans="2:6">
      <c r="B1361" s="1"/>
      <c r="C1361" s="1"/>
      <c r="D1361" s="1"/>
      <c r="E1361" s="6"/>
      <c r="F1361" s="4"/>
    </row>
    <row r="1362" spans="2:6">
      <c r="B1362" s="1"/>
      <c r="C1362" s="1"/>
      <c r="D1362" s="1"/>
      <c r="E1362" s="6"/>
      <c r="F1362" s="4"/>
    </row>
    <row r="1363" spans="2:6">
      <c r="B1363" s="1"/>
      <c r="C1363" s="1"/>
      <c r="D1363" s="1"/>
      <c r="E1363" s="6"/>
      <c r="F1363" s="4"/>
    </row>
    <row r="1364" spans="2:6">
      <c r="B1364" s="1"/>
      <c r="C1364" s="1"/>
      <c r="D1364" s="1"/>
      <c r="E1364" s="6"/>
      <c r="F1364" s="4"/>
    </row>
    <row r="1365" spans="2:6">
      <c r="B1365" s="1"/>
      <c r="C1365" s="1"/>
      <c r="D1365" s="1"/>
      <c r="E1365" s="6"/>
      <c r="F1365" s="4"/>
    </row>
    <row r="1366" spans="2:6">
      <c r="B1366" s="1"/>
      <c r="C1366" s="1"/>
      <c r="D1366" s="1"/>
      <c r="E1366" s="6"/>
      <c r="F1366" s="4"/>
    </row>
    <row r="1367" spans="2:6">
      <c r="B1367" s="1"/>
      <c r="C1367" s="1"/>
      <c r="D1367" s="1"/>
      <c r="E1367" s="6"/>
      <c r="F1367" s="4"/>
    </row>
    <row r="1368" spans="2:6">
      <c r="B1368" s="1"/>
      <c r="C1368" s="1"/>
      <c r="D1368" s="1"/>
      <c r="E1368" s="6"/>
      <c r="F1368" s="4"/>
    </row>
    <row r="1369" spans="2:6">
      <c r="B1369" s="1"/>
      <c r="C1369" s="1"/>
      <c r="D1369" s="1"/>
      <c r="E1369" s="6"/>
      <c r="F1369" s="4"/>
    </row>
    <row r="1370" spans="2:6">
      <c r="B1370" s="1"/>
      <c r="C1370" s="1"/>
      <c r="D1370" s="1"/>
      <c r="E1370" s="6"/>
      <c r="F1370" s="4"/>
    </row>
    <row r="1371" spans="2:6">
      <c r="B1371" s="1"/>
      <c r="C1371" s="1"/>
      <c r="D1371" s="1"/>
      <c r="E1371" s="6"/>
      <c r="F1371" s="4"/>
    </row>
    <row r="1372" spans="2:6">
      <c r="B1372" s="1"/>
      <c r="C1372" s="1"/>
      <c r="D1372" s="1"/>
      <c r="E1372" s="6"/>
      <c r="F1372" s="4"/>
    </row>
    <row r="1373" spans="2:6">
      <c r="B1373" s="1"/>
      <c r="C1373" s="1"/>
      <c r="D1373" s="1"/>
      <c r="E1373" s="6"/>
      <c r="F1373" s="4"/>
    </row>
    <row r="1374" spans="2:6">
      <c r="B1374" s="1"/>
      <c r="C1374" s="1"/>
      <c r="D1374" s="1"/>
      <c r="E1374" s="6"/>
      <c r="F1374" s="4"/>
    </row>
    <row r="1375" spans="2:6">
      <c r="B1375" s="1"/>
      <c r="C1375" s="1"/>
      <c r="D1375" s="1"/>
      <c r="E1375" s="6"/>
      <c r="F1375" s="4"/>
    </row>
    <row r="1376" spans="2:6">
      <c r="B1376" s="1"/>
      <c r="C1376" s="1"/>
      <c r="D1376" s="1"/>
      <c r="E1376" s="6"/>
      <c r="F1376" s="4"/>
    </row>
    <row r="1377" spans="2:6">
      <c r="B1377" s="1"/>
      <c r="C1377" s="1"/>
      <c r="D1377" s="1"/>
      <c r="E1377" s="6"/>
      <c r="F1377" s="4"/>
    </row>
    <row r="1378" spans="2:6">
      <c r="B1378" s="1"/>
      <c r="C1378" s="1"/>
      <c r="D1378" s="1"/>
      <c r="E1378" s="6"/>
      <c r="F1378" s="4"/>
    </row>
    <row r="1379" spans="2:6">
      <c r="B1379" s="1"/>
      <c r="C1379" s="1"/>
      <c r="D1379" s="1"/>
      <c r="E1379" s="6"/>
      <c r="F1379" s="4"/>
    </row>
    <row r="1380" spans="2:6">
      <c r="B1380" s="1"/>
      <c r="C1380" s="1"/>
      <c r="D1380" s="1"/>
      <c r="E1380" s="6"/>
      <c r="F1380" s="4"/>
    </row>
    <row r="1381" spans="2:6">
      <c r="B1381" s="1"/>
      <c r="C1381" s="1"/>
      <c r="D1381" s="1"/>
      <c r="E1381" s="6"/>
      <c r="F1381" s="4"/>
    </row>
    <row r="1382" spans="2:6">
      <c r="B1382" s="1"/>
      <c r="C1382" s="1"/>
      <c r="D1382" s="1"/>
      <c r="E1382" s="6"/>
      <c r="F1382" s="4"/>
    </row>
    <row r="1383" spans="2:6">
      <c r="B1383" s="1"/>
      <c r="C1383" s="1"/>
      <c r="D1383" s="1"/>
      <c r="E1383" s="6"/>
      <c r="F1383" s="4"/>
    </row>
    <row r="1384" spans="2:6">
      <c r="B1384" s="1"/>
      <c r="C1384" s="1"/>
      <c r="D1384" s="1"/>
      <c r="E1384" s="6"/>
      <c r="F1384" s="4"/>
    </row>
    <row r="1385" spans="2:6">
      <c r="B1385" s="1"/>
      <c r="C1385" s="1"/>
      <c r="D1385" s="1"/>
      <c r="E1385" s="6"/>
      <c r="F1385" s="4"/>
    </row>
    <row r="1386" spans="2:6">
      <c r="B1386" s="1"/>
      <c r="C1386" s="1"/>
      <c r="D1386" s="1"/>
      <c r="E1386" s="6"/>
      <c r="F1386" s="4"/>
    </row>
    <row r="1387" spans="2:6">
      <c r="B1387" s="1"/>
      <c r="C1387" s="1"/>
      <c r="D1387" s="1"/>
      <c r="E1387" s="6"/>
      <c r="F1387" s="4"/>
    </row>
    <row r="1388" spans="2:6">
      <c r="B1388" s="1"/>
      <c r="C1388" s="1"/>
      <c r="D1388" s="1"/>
      <c r="E1388" s="6"/>
      <c r="F1388" s="4"/>
    </row>
    <row r="1389" spans="2:6">
      <c r="B1389" s="1"/>
      <c r="C1389" s="1"/>
      <c r="D1389" s="1"/>
      <c r="E1389" s="6"/>
      <c r="F1389" s="4"/>
    </row>
    <row r="1390" spans="2:6">
      <c r="B1390" s="1"/>
      <c r="C1390" s="1"/>
      <c r="D1390" s="1"/>
      <c r="E1390" s="6"/>
      <c r="F1390" s="4"/>
    </row>
    <row r="1391" spans="2:6">
      <c r="B1391" s="1"/>
      <c r="C1391" s="1"/>
      <c r="D1391" s="1"/>
      <c r="E1391" s="6"/>
      <c r="F1391" s="4"/>
    </row>
    <row r="1392" spans="2:6">
      <c r="B1392" s="1"/>
      <c r="C1392" s="1"/>
      <c r="D1392" s="1"/>
      <c r="E1392" s="6"/>
      <c r="F1392" s="4"/>
    </row>
    <row r="1393" spans="2:6">
      <c r="B1393" s="1"/>
      <c r="C1393" s="1"/>
      <c r="D1393" s="1"/>
      <c r="E1393" s="6"/>
      <c r="F1393" s="4"/>
    </row>
    <row r="1394" spans="2:6">
      <c r="B1394" s="1"/>
      <c r="C1394" s="1"/>
      <c r="D1394" s="1"/>
      <c r="E1394" s="6"/>
      <c r="F1394" s="4"/>
    </row>
    <row r="1395" spans="2:6">
      <c r="B1395" s="1"/>
      <c r="C1395" s="1"/>
      <c r="D1395" s="1"/>
      <c r="E1395" s="6"/>
      <c r="F1395" s="4"/>
    </row>
    <row r="1396" spans="2:6">
      <c r="B1396" s="1"/>
      <c r="C1396" s="1"/>
      <c r="D1396" s="1"/>
      <c r="E1396" s="6"/>
      <c r="F1396" s="4"/>
    </row>
    <row r="1397" spans="2:6">
      <c r="B1397" s="1"/>
      <c r="C1397" s="1"/>
      <c r="D1397" s="1"/>
      <c r="E1397" s="6"/>
      <c r="F1397" s="4"/>
    </row>
    <row r="1398" spans="2:6">
      <c r="B1398" s="1"/>
      <c r="C1398" s="1"/>
      <c r="D1398" s="1"/>
      <c r="E1398" s="6"/>
      <c r="F1398" s="4"/>
    </row>
    <row r="1399" spans="2:6">
      <c r="B1399" s="1"/>
      <c r="C1399" s="1"/>
      <c r="D1399" s="1"/>
      <c r="E1399" s="6"/>
      <c r="F1399" s="4"/>
    </row>
    <row r="1400" spans="2:6">
      <c r="B1400" s="1"/>
      <c r="C1400" s="1"/>
      <c r="D1400" s="1"/>
      <c r="E1400" s="6"/>
      <c r="F1400" s="4"/>
    </row>
    <row r="1401" spans="2:6">
      <c r="B1401" s="1"/>
      <c r="C1401" s="1"/>
      <c r="D1401" s="1"/>
      <c r="E1401" s="6"/>
      <c r="F1401" s="4"/>
    </row>
    <row r="1402" spans="2:6">
      <c r="B1402" s="1"/>
      <c r="C1402" s="1"/>
      <c r="D1402" s="1"/>
      <c r="E1402" s="6"/>
      <c r="F1402" s="4"/>
    </row>
    <row r="1403" spans="2:6">
      <c r="B1403" s="1"/>
      <c r="C1403" s="1"/>
      <c r="D1403" s="1"/>
      <c r="E1403" s="6"/>
      <c r="F1403" s="4"/>
    </row>
    <row r="1404" spans="2:6">
      <c r="B1404" s="1"/>
      <c r="C1404" s="1"/>
      <c r="D1404" s="1"/>
      <c r="E1404" s="6"/>
      <c r="F1404" s="4"/>
    </row>
    <row r="1405" spans="2:6">
      <c r="B1405" s="1"/>
      <c r="C1405" s="1"/>
      <c r="D1405" s="1"/>
      <c r="E1405" s="6"/>
      <c r="F1405" s="4"/>
    </row>
    <row r="1406" spans="2:6">
      <c r="B1406" s="1"/>
      <c r="C1406" s="1"/>
      <c r="D1406" s="1"/>
      <c r="E1406" s="6"/>
      <c r="F1406" s="4"/>
    </row>
    <row r="1407" spans="2:6">
      <c r="B1407" s="1"/>
      <c r="C1407" s="1"/>
      <c r="D1407" s="1"/>
      <c r="E1407" s="6"/>
      <c r="F1407" s="4"/>
    </row>
    <row r="1408" spans="2:6">
      <c r="B1408" s="1"/>
      <c r="C1408" s="1"/>
      <c r="D1408" s="1"/>
      <c r="E1408" s="6"/>
      <c r="F1408" s="4"/>
    </row>
    <row r="1409" spans="2:6">
      <c r="B1409" s="1"/>
      <c r="C1409" s="1"/>
      <c r="D1409" s="1"/>
      <c r="E1409" s="6"/>
      <c r="F1409" s="4"/>
    </row>
    <row r="1410" spans="2:6">
      <c r="B1410" s="1"/>
      <c r="C1410" s="1"/>
      <c r="D1410" s="1"/>
      <c r="E1410" s="6"/>
      <c r="F1410" s="4"/>
    </row>
    <row r="1411" spans="2:6">
      <c r="B1411" s="1"/>
      <c r="C1411" s="1"/>
      <c r="D1411" s="1"/>
      <c r="E1411" s="6"/>
      <c r="F1411" s="4"/>
    </row>
    <row r="1412" spans="2:6">
      <c r="B1412" s="1"/>
      <c r="C1412" s="1"/>
      <c r="D1412" s="1"/>
      <c r="E1412" s="6"/>
      <c r="F1412" s="4"/>
    </row>
    <row r="1413" spans="2:6">
      <c r="B1413" s="1"/>
      <c r="C1413" s="1"/>
      <c r="D1413" s="1"/>
      <c r="E1413" s="6"/>
      <c r="F1413" s="4"/>
    </row>
    <row r="1414" spans="2:6">
      <c r="B1414" s="1"/>
      <c r="C1414" s="1"/>
      <c r="D1414" s="1"/>
      <c r="E1414" s="6"/>
      <c r="F1414" s="4"/>
    </row>
    <row r="1415" spans="2:6">
      <c r="B1415" s="1"/>
      <c r="C1415" s="1"/>
      <c r="D1415" s="1"/>
      <c r="E1415" s="6"/>
      <c r="F1415" s="4"/>
    </row>
    <row r="1416" spans="2:6">
      <c r="B1416" s="1"/>
      <c r="C1416" s="1"/>
      <c r="D1416" s="1"/>
      <c r="E1416" s="6"/>
      <c r="F1416" s="4"/>
    </row>
    <row r="1417" spans="2:6">
      <c r="B1417" s="1"/>
      <c r="C1417" s="1"/>
      <c r="D1417" s="1"/>
      <c r="E1417" s="6"/>
      <c r="F1417" s="4"/>
    </row>
    <row r="1418" spans="2:6">
      <c r="B1418" s="1"/>
      <c r="C1418" s="1"/>
      <c r="D1418" s="1"/>
      <c r="E1418" s="6"/>
      <c r="F1418" s="4"/>
    </row>
    <row r="1419" spans="2:6">
      <c r="B1419" s="1"/>
      <c r="C1419" s="1"/>
      <c r="D1419" s="1"/>
      <c r="E1419" s="6"/>
      <c r="F1419" s="4"/>
    </row>
    <row r="1420" spans="2:6">
      <c r="B1420" s="1"/>
      <c r="C1420" s="1"/>
      <c r="D1420" s="1"/>
      <c r="E1420" s="6"/>
      <c r="F1420" s="4"/>
    </row>
    <row r="1421" spans="2:6">
      <c r="B1421" s="1"/>
      <c r="C1421" s="1"/>
      <c r="D1421" s="1"/>
      <c r="E1421" s="6"/>
      <c r="F1421" s="4"/>
    </row>
    <row r="1422" spans="2:6">
      <c r="B1422" s="1"/>
      <c r="C1422" s="1"/>
      <c r="D1422" s="1"/>
      <c r="E1422" s="6"/>
      <c r="F1422" s="4"/>
    </row>
    <row r="1423" spans="2:6">
      <c r="B1423" s="1"/>
      <c r="C1423" s="1"/>
      <c r="D1423" s="1"/>
      <c r="E1423" s="6"/>
      <c r="F1423" s="4"/>
    </row>
    <row r="1424" spans="2:6">
      <c r="B1424" s="1"/>
      <c r="C1424" s="1"/>
      <c r="D1424" s="1"/>
      <c r="E1424" s="6"/>
      <c r="F1424" s="4"/>
    </row>
    <row r="1425" spans="2:6">
      <c r="B1425" s="1"/>
      <c r="C1425" s="1"/>
      <c r="D1425" s="1"/>
      <c r="E1425" s="6"/>
      <c r="F1425" s="4"/>
    </row>
    <row r="1426" spans="2:6">
      <c r="B1426" s="1"/>
      <c r="C1426" s="1"/>
      <c r="D1426" s="1"/>
      <c r="E1426" s="6"/>
      <c r="F1426" s="4"/>
    </row>
    <row r="1427" spans="2:6">
      <c r="B1427" s="1"/>
      <c r="C1427" s="1"/>
      <c r="D1427" s="1"/>
      <c r="E1427" s="6"/>
      <c r="F1427" s="4"/>
    </row>
    <row r="1428" spans="2:6">
      <c r="B1428" s="1"/>
      <c r="C1428" s="1"/>
      <c r="D1428" s="1"/>
      <c r="E1428" s="6"/>
      <c r="F1428" s="4"/>
    </row>
    <row r="1429" spans="2:6">
      <c r="B1429" s="1"/>
      <c r="C1429" s="1"/>
      <c r="D1429" s="1"/>
      <c r="E1429" s="6"/>
      <c r="F1429" s="4"/>
    </row>
    <row r="1430" spans="2:6">
      <c r="B1430" s="1"/>
      <c r="C1430" s="1"/>
      <c r="D1430" s="1"/>
      <c r="E1430" s="6"/>
      <c r="F1430" s="4"/>
    </row>
    <row r="1431" spans="2:6">
      <c r="B1431" s="1"/>
      <c r="C1431" s="1"/>
      <c r="D1431" s="1"/>
      <c r="E1431" s="6"/>
      <c r="F1431" s="4"/>
    </row>
    <row r="1432" spans="2:6">
      <c r="B1432" s="1"/>
      <c r="C1432" s="1"/>
      <c r="D1432" s="1"/>
      <c r="E1432" s="6"/>
      <c r="F1432" s="4"/>
    </row>
    <row r="1433" spans="2:6">
      <c r="B1433" s="1"/>
      <c r="C1433" s="1"/>
      <c r="D1433" s="1"/>
      <c r="E1433" s="6"/>
      <c r="F1433" s="4"/>
    </row>
    <row r="1434" spans="2:6">
      <c r="B1434" s="1"/>
      <c r="C1434" s="1"/>
      <c r="D1434" s="1"/>
      <c r="E1434" s="6"/>
      <c r="F1434" s="4"/>
    </row>
    <row r="1435" spans="2:6">
      <c r="B1435" s="1"/>
      <c r="C1435" s="1"/>
      <c r="D1435" s="1"/>
      <c r="E1435" s="6"/>
      <c r="F1435" s="4"/>
    </row>
    <row r="1436" spans="2:6">
      <c r="B1436" s="1"/>
      <c r="C1436" s="1"/>
      <c r="D1436" s="1"/>
      <c r="E1436" s="6"/>
      <c r="F1436" s="4"/>
    </row>
    <row r="1437" spans="2:6">
      <c r="B1437" s="1"/>
      <c r="C1437" s="1"/>
      <c r="D1437" s="1"/>
      <c r="E1437" s="6"/>
      <c r="F1437" s="4"/>
    </row>
    <row r="1438" spans="2:6">
      <c r="B1438" s="1"/>
      <c r="C1438" s="1"/>
      <c r="D1438" s="1"/>
      <c r="E1438" s="6"/>
      <c r="F1438" s="4"/>
    </row>
    <row r="1439" spans="2:6">
      <c r="B1439" s="1"/>
      <c r="C1439" s="1"/>
      <c r="D1439" s="1"/>
      <c r="E1439" s="6"/>
      <c r="F1439" s="4"/>
    </row>
    <row r="1440" spans="2:6">
      <c r="B1440" s="1"/>
      <c r="C1440" s="1"/>
      <c r="D1440" s="1"/>
      <c r="E1440" s="6"/>
      <c r="F1440" s="4"/>
    </row>
    <row r="1441" spans="2:6">
      <c r="B1441" s="1"/>
      <c r="C1441" s="1"/>
      <c r="D1441" s="1"/>
      <c r="E1441" s="6"/>
      <c r="F1441" s="4"/>
    </row>
    <row r="1442" spans="2:6">
      <c r="B1442" s="1"/>
      <c r="C1442" s="1"/>
      <c r="D1442" s="1"/>
      <c r="E1442" s="6"/>
      <c r="F1442" s="4"/>
    </row>
    <row r="1443" spans="2:6">
      <c r="B1443" s="1"/>
      <c r="C1443" s="1"/>
      <c r="D1443" s="1"/>
      <c r="E1443" s="6"/>
      <c r="F1443" s="4"/>
    </row>
    <row r="1444" spans="2:6">
      <c r="B1444" s="1"/>
      <c r="C1444" s="1"/>
      <c r="D1444" s="1"/>
      <c r="E1444" s="6"/>
      <c r="F1444" s="4"/>
    </row>
    <row r="1445" spans="2:6">
      <c r="B1445" s="1"/>
      <c r="C1445" s="1"/>
      <c r="D1445" s="1"/>
      <c r="E1445" s="6"/>
      <c r="F1445" s="4"/>
    </row>
    <row r="1446" spans="2:6">
      <c r="B1446" s="1"/>
      <c r="C1446" s="1"/>
      <c r="D1446" s="1"/>
      <c r="E1446" s="6"/>
      <c r="F1446" s="4"/>
    </row>
    <row r="1447" spans="2:6">
      <c r="B1447" s="1"/>
      <c r="C1447" s="1"/>
      <c r="D1447" s="1"/>
      <c r="E1447" s="6"/>
      <c r="F1447" s="4"/>
    </row>
    <row r="1448" spans="2:6">
      <c r="B1448" s="1"/>
      <c r="C1448" s="1"/>
      <c r="D1448" s="1"/>
      <c r="E1448" s="6"/>
      <c r="F1448" s="4"/>
    </row>
    <row r="1449" spans="2:6">
      <c r="B1449" s="1"/>
      <c r="C1449" s="1"/>
      <c r="D1449" s="1"/>
      <c r="E1449" s="6"/>
      <c r="F1449" s="4"/>
    </row>
    <row r="1450" spans="2:6">
      <c r="B1450" s="1"/>
      <c r="C1450" s="1"/>
      <c r="D1450" s="1"/>
      <c r="E1450" s="6"/>
      <c r="F1450" s="4"/>
    </row>
    <row r="1451" spans="2:6">
      <c r="B1451" s="1"/>
      <c r="C1451" s="1"/>
      <c r="D1451" s="1"/>
      <c r="E1451" s="6"/>
      <c r="F1451" s="4"/>
    </row>
    <row r="1452" spans="2:6">
      <c r="B1452" s="1"/>
      <c r="C1452" s="1"/>
      <c r="D1452" s="1"/>
      <c r="E1452" s="6"/>
      <c r="F1452" s="4"/>
    </row>
    <row r="1453" spans="2:6">
      <c r="B1453" s="1"/>
      <c r="C1453" s="1"/>
      <c r="D1453" s="1"/>
      <c r="E1453" s="6"/>
      <c r="F1453" s="4"/>
    </row>
    <row r="1454" spans="2:6">
      <c r="B1454" s="1"/>
      <c r="C1454" s="1"/>
      <c r="D1454" s="1"/>
      <c r="E1454" s="6"/>
      <c r="F1454" s="4"/>
    </row>
    <row r="1455" spans="2:6">
      <c r="B1455" s="1"/>
      <c r="C1455" s="1"/>
      <c r="D1455" s="1"/>
      <c r="E1455" s="6"/>
      <c r="F1455" s="4"/>
    </row>
    <row r="1456" spans="2:6">
      <c r="B1456" s="1"/>
      <c r="C1456" s="1"/>
      <c r="D1456" s="1"/>
      <c r="E1456" s="6"/>
      <c r="F1456" s="4"/>
    </row>
    <row r="1457" spans="2:6">
      <c r="B1457" s="1"/>
      <c r="C1457" s="1"/>
      <c r="D1457" s="1"/>
      <c r="E1457" s="6"/>
      <c r="F1457" s="4"/>
    </row>
    <row r="1458" spans="2:6">
      <c r="B1458" s="1"/>
      <c r="C1458" s="1"/>
      <c r="D1458" s="1"/>
      <c r="E1458" s="6"/>
      <c r="F1458" s="4"/>
    </row>
    <row r="1459" spans="2:6">
      <c r="B1459" s="1"/>
      <c r="C1459" s="1"/>
      <c r="D1459" s="1"/>
      <c r="E1459" s="6"/>
      <c r="F1459" s="4"/>
    </row>
    <row r="1460" spans="2:6">
      <c r="B1460" s="1"/>
      <c r="C1460" s="1"/>
      <c r="D1460" s="1"/>
      <c r="E1460" s="6"/>
      <c r="F1460" s="4"/>
    </row>
    <row r="1461" spans="2:6">
      <c r="B1461" s="1"/>
      <c r="C1461" s="1"/>
      <c r="D1461" s="1"/>
      <c r="E1461" s="6"/>
      <c r="F1461" s="4"/>
    </row>
    <row r="1462" spans="2:6">
      <c r="B1462" s="1"/>
      <c r="C1462" s="1"/>
      <c r="D1462" s="1"/>
      <c r="E1462" s="6"/>
      <c r="F1462" s="4"/>
    </row>
    <row r="1463" spans="2:6">
      <c r="B1463" s="1"/>
      <c r="C1463" s="1"/>
      <c r="D1463" s="1"/>
      <c r="E1463" s="6"/>
      <c r="F1463" s="4"/>
    </row>
    <row r="1464" spans="2:6">
      <c r="B1464" s="1"/>
      <c r="C1464" s="1"/>
      <c r="D1464" s="1"/>
      <c r="E1464" s="6"/>
      <c r="F1464" s="4"/>
    </row>
    <row r="1465" spans="2:6">
      <c r="B1465" s="1"/>
      <c r="C1465" s="1"/>
      <c r="D1465" s="1"/>
      <c r="E1465" s="6"/>
      <c r="F1465" s="4"/>
    </row>
    <row r="1466" spans="2:6">
      <c r="B1466" s="1"/>
      <c r="C1466" s="1"/>
      <c r="D1466" s="1"/>
      <c r="E1466" s="6"/>
      <c r="F1466" s="4"/>
    </row>
    <row r="1467" spans="2:6">
      <c r="B1467" s="1"/>
      <c r="C1467" s="1"/>
      <c r="D1467" s="1"/>
      <c r="E1467" s="6"/>
      <c r="F1467" s="4"/>
    </row>
    <row r="1468" spans="2:6">
      <c r="B1468" s="1"/>
      <c r="C1468" s="1"/>
      <c r="D1468" s="1"/>
      <c r="E1468" s="6"/>
      <c r="F1468" s="4"/>
    </row>
    <row r="1469" spans="2:6">
      <c r="B1469" s="1"/>
      <c r="C1469" s="1"/>
      <c r="D1469" s="1"/>
      <c r="E1469" s="6"/>
      <c r="F1469" s="4"/>
    </row>
    <row r="1470" spans="2:6">
      <c r="B1470" s="1"/>
      <c r="C1470" s="1"/>
      <c r="D1470" s="1"/>
      <c r="E1470" s="6"/>
      <c r="F1470" s="4"/>
    </row>
    <row r="1471" spans="2:6">
      <c r="B1471" s="1"/>
      <c r="C1471" s="1"/>
      <c r="D1471" s="1"/>
      <c r="E1471" s="6"/>
      <c r="F1471" s="4"/>
    </row>
    <row r="1472" spans="2:6">
      <c r="B1472" s="1"/>
      <c r="C1472" s="1"/>
      <c r="D1472" s="1"/>
      <c r="E1472" s="6"/>
      <c r="F1472" s="4"/>
    </row>
    <row r="1473" spans="2:6">
      <c r="B1473" s="1"/>
      <c r="C1473" s="1"/>
      <c r="D1473" s="1"/>
      <c r="E1473" s="6"/>
      <c r="F1473" s="4"/>
    </row>
    <row r="1474" spans="2:6">
      <c r="B1474" s="1"/>
      <c r="C1474" s="1"/>
      <c r="D1474" s="1"/>
      <c r="E1474" s="6"/>
      <c r="F1474" s="4"/>
    </row>
    <row r="1475" spans="2:6">
      <c r="B1475" s="1"/>
      <c r="C1475" s="1"/>
      <c r="D1475" s="1"/>
      <c r="E1475" s="6"/>
      <c r="F1475" s="4"/>
    </row>
    <row r="1476" spans="2:6">
      <c r="B1476" s="1"/>
      <c r="C1476" s="1"/>
      <c r="D1476" s="1"/>
      <c r="E1476" s="6"/>
      <c r="F1476" s="4"/>
    </row>
    <row r="1477" spans="2:6">
      <c r="B1477" s="1"/>
      <c r="C1477" s="1"/>
      <c r="D1477" s="1"/>
      <c r="E1477" s="6"/>
      <c r="F1477" s="4"/>
    </row>
    <row r="1478" spans="2:6">
      <c r="B1478" s="1"/>
      <c r="C1478" s="1"/>
      <c r="D1478" s="1"/>
      <c r="E1478" s="6"/>
      <c r="F1478" s="4"/>
    </row>
    <row r="1479" spans="2:6">
      <c r="B1479" s="1"/>
      <c r="C1479" s="1"/>
      <c r="D1479" s="1"/>
      <c r="E1479" s="6"/>
      <c r="F1479" s="4"/>
    </row>
    <row r="1480" spans="2:6">
      <c r="B1480" s="1"/>
      <c r="C1480" s="1"/>
      <c r="D1480" s="1"/>
      <c r="E1480" s="6"/>
      <c r="F1480" s="4"/>
    </row>
    <row r="1481" spans="2:6">
      <c r="B1481" s="1"/>
      <c r="C1481" s="1"/>
      <c r="D1481" s="1"/>
      <c r="E1481" s="6"/>
      <c r="F1481" s="4"/>
    </row>
    <row r="1482" spans="2:6">
      <c r="B1482" s="1"/>
      <c r="C1482" s="1"/>
      <c r="D1482" s="1"/>
      <c r="E1482" s="6"/>
      <c r="F1482" s="4"/>
    </row>
    <row r="1483" spans="2:6">
      <c r="B1483" s="1"/>
      <c r="C1483" s="1"/>
      <c r="D1483" s="1"/>
      <c r="E1483" s="6"/>
      <c r="F1483" s="4"/>
    </row>
    <row r="1484" spans="2:6">
      <c r="B1484" s="1"/>
      <c r="C1484" s="1"/>
      <c r="D1484" s="1"/>
      <c r="E1484" s="6"/>
      <c r="F1484" s="4"/>
    </row>
    <row r="1485" spans="2:6">
      <c r="B1485" s="1"/>
      <c r="C1485" s="1"/>
      <c r="D1485" s="1"/>
      <c r="E1485" s="6"/>
      <c r="F1485" s="4"/>
    </row>
    <row r="1486" spans="2:6">
      <c r="B1486" s="1"/>
      <c r="C1486" s="1"/>
      <c r="D1486" s="1"/>
      <c r="E1486" s="6"/>
      <c r="F1486" s="4"/>
    </row>
    <row r="1487" spans="2:6">
      <c r="B1487" s="1"/>
      <c r="C1487" s="1"/>
      <c r="D1487" s="1"/>
      <c r="E1487" s="6"/>
      <c r="F1487" s="4"/>
    </row>
    <row r="1488" spans="2:6">
      <c r="B1488" s="1"/>
      <c r="C1488" s="1"/>
      <c r="D1488" s="1"/>
      <c r="E1488" s="6"/>
      <c r="F1488" s="4"/>
    </row>
    <row r="1489" spans="2:6">
      <c r="B1489" s="1"/>
      <c r="C1489" s="1"/>
      <c r="D1489" s="1"/>
      <c r="E1489" s="6"/>
      <c r="F1489" s="4"/>
    </row>
    <row r="1490" spans="2:6">
      <c r="B1490" s="1"/>
      <c r="C1490" s="1"/>
      <c r="D1490" s="1"/>
      <c r="E1490" s="6"/>
      <c r="F1490" s="4"/>
    </row>
    <row r="1491" spans="2:6">
      <c r="B1491" s="1"/>
      <c r="C1491" s="1"/>
      <c r="D1491" s="1"/>
      <c r="E1491" s="6"/>
      <c r="F1491" s="4"/>
    </row>
    <row r="1492" spans="2:6">
      <c r="B1492" s="1"/>
      <c r="C1492" s="1"/>
      <c r="D1492" s="1"/>
      <c r="E1492" s="6"/>
      <c r="F1492" s="4"/>
    </row>
    <row r="1493" spans="2:6">
      <c r="B1493" s="1"/>
      <c r="C1493" s="1"/>
      <c r="D1493" s="1"/>
      <c r="E1493" s="6"/>
      <c r="F1493" s="4"/>
    </row>
    <row r="1494" spans="2:6">
      <c r="B1494" s="1"/>
      <c r="C1494" s="1"/>
      <c r="D1494" s="1"/>
      <c r="E1494" s="6"/>
      <c r="F1494" s="4"/>
    </row>
    <row r="1495" spans="2:6">
      <c r="B1495" s="1"/>
      <c r="C1495" s="1"/>
      <c r="D1495" s="1"/>
      <c r="E1495" s="6"/>
      <c r="F1495" s="4"/>
    </row>
    <row r="1496" spans="2:6">
      <c r="B1496" s="1"/>
      <c r="C1496" s="1"/>
      <c r="D1496" s="1"/>
      <c r="E1496" s="6"/>
      <c r="F1496" s="4"/>
    </row>
    <row r="1497" spans="2:6">
      <c r="B1497" s="1"/>
      <c r="C1497" s="1"/>
      <c r="D1497" s="1"/>
      <c r="E1497" s="6"/>
      <c r="F1497" s="4"/>
    </row>
    <row r="1498" spans="2:6">
      <c r="B1498" s="1"/>
      <c r="C1498" s="1"/>
      <c r="D1498" s="1"/>
      <c r="E1498" s="6"/>
      <c r="F1498" s="4"/>
    </row>
    <row r="1499" spans="2:6">
      <c r="B1499" s="1"/>
      <c r="C1499" s="1"/>
      <c r="D1499" s="1"/>
      <c r="E1499" s="6"/>
      <c r="F1499" s="4"/>
    </row>
    <row r="1500" spans="2:6">
      <c r="B1500" s="1"/>
      <c r="C1500" s="1"/>
      <c r="D1500" s="1"/>
      <c r="E1500" s="6"/>
      <c r="F1500" s="4"/>
    </row>
    <row r="1501" spans="2:6">
      <c r="B1501" s="1"/>
      <c r="C1501" s="1"/>
      <c r="D1501" s="1"/>
      <c r="E1501" s="6"/>
      <c r="F1501" s="4"/>
    </row>
    <row r="1502" spans="2:6">
      <c r="B1502" s="1"/>
      <c r="C1502" s="1"/>
      <c r="D1502" s="1"/>
      <c r="E1502" s="6"/>
      <c r="F1502" s="4"/>
    </row>
    <row r="1503" spans="2:6">
      <c r="B1503" s="1"/>
      <c r="C1503" s="1"/>
      <c r="D1503" s="1"/>
      <c r="E1503" s="6"/>
      <c r="F1503" s="4"/>
    </row>
    <row r="1504" spans="2:6">
      <c r="B1504" s="1"/>
      <c r="C1504" s="1"/>
      <c r="D1504" s="1"/>
      <c r="E1504" s="6"/>
      <c r="F1504" s="4"/>
    </row>
    <row r="1505" spans="2:6">
      <c r="B1505" s="1"/>
      <c r="C1505" s="1"/>
      <c r="D1505" s="1"/>
      <c r="E1505" s="6"/>
      <c r="F1505" s="4"/>
    </row>
    <row r="1506" spans="2:6">
      <c r="B1506" s="1"/>
      <c r="C1506" s="1"/>
      <c r="D1506" s="1"/>
      <c r="E1506" s="6"/>
      <c r="F1506" s="4"/>
    </row>
    <row r="1507" spans="2:6">
      <c r="B1507" s="1"/>
      <c r="C1507" s="1"/>
      <c r="D1507" s="1"/>
      <c r="E1507" s="6"/>
      <c r="F1507" s="4"/>
    </row>
    <row r="1508" spans="2:6">
      <c r="B1508" s="1"/>
      <c r="C1508" s="1"/>
      <c r="D1508" s="1"/>
      <c r="E1508" s="6"/>
      <c r="F1508" s="4"/>
    </row>
    <row r="1509" spans="2:6">
      <c r="B1509" s="1"/>
      <c r="C1509" s="1"/>
      <c r="D1509" s="1"/>
      <c r="E1509" s="6"/>
      <c r="F1509" s="4"/>
    </row>
    <row r="1510" spans="2:6">
      <c r="B1510" s="1"/>
      <c r="C1510" s="1"/>
      <c r="D1510" s="1"/>
      <c r="E1510" s="6"/>
      <c r="F1510" s="4"/>
    </row>
    <row r="1511" spans="2:6">
      <c r="B1511" s="1"/>
      <c r="C1511" s="1"/>
      <c r="D1511" s="1"/>
      <c r="E1511" s="6"/>
      <c r="F1511" s="4"/>
    </row>
    <row r="1512" spans="2:6">
      <c r="B1512" s="1"/>
      <c r="C1512" s="1"/>
      <c r="D1512" s="1"/>
      <c r="E1512" s="6"/>
      <c r="F1512" s="4"/>
    </row>
    <row r="1513" spans="2:6">
      <c r="B1513" s="1"/>
      <c r="C1513" s="1"/>
      <c r="D1513" s="1"/>
      <c r="E1513" s="6"/>
      <c r="F1513" s="4"/>
    </row>
    <row r="1514" spans="2:6">
      <c r="B1514" s="1"/>
      <c r="C1514" s="1"/>
      <c r="D1514" s="1"/>
      <c r="E1514" s="6"/>
      <c r="F1514" s="4"/>
    </row>
    <row r="1515" spans="2:6">
      <c r="B1515" s="1"/>
      <c r="C1515" s="1"/>
      <c r="D1515" s="1"/>
      <c r="E1515" s="6"/>
      <c r="F1515" s="4"/>
    </row>
    <row r="1516" spans="2:6">
      <c r="B1516" s="1"/>
      <c r="C1516" s="1"/>
      <c r="D1516" s="1"/>
      <c r="E1516" s="6"/>
      <c r="F1516" s="4"/>
    </row>
    <row r="1517" spans="2:6">
      <c r="B1517" s="1"/>
      <c r="C1517" s="1"/>
      <c r="D1517" s="1"/>
      <c r="E1517" s="6"/>
      <c r="F1517" s="4"/>
    </row>
    <row r="1518" spans="2:6">
      <c r="B1518" s="1"/>
      <c r="C1518" s="1"/>
      <c r="D1518" s="1"/>
      <c r="E1518" s="6"/>
      <c r="F1518" s="4"/>
    </row>
    <row r="1519" spans="2:6">
      <c r="B1519" s="1"/>
      <c r="C1519" s="1"/>
      <c r="D1519" s="1"/>
      <c r="E1519" s="6"/>
      <c r="F1519" s="4"/>
    </row>
    <row r="1520" spans="2:6">
      <c r="B1520" s="1"/>
      <c r="C1520" s="1"/>
      <c r="D1520" s="1"/>
      <c r="E1520" s="6"/>
      <c r="F1520" s="4"/>
    </row>
    <row r="1521" spans="2:6">
      <c r="B1521" s="1"/>
      <c r="C1521" s="1"/>
      <c r="D1521" s="1"/>
      <c r="E1521" s="6"/>
      <c r="F1521" s="4"/>
    </row>
    <row r="1522" spans="2:6">
      <c r="B1522" s="1"/>
      <c r="C1522" s="1"/>
      <c r="D1522" s="1"/>
      <c r="E1522" s="6"/>
      <c r="F1522" s="4"/>
    </row>
    <row r="1523" spans="2:6">
      <c r="B1523" s="1"/>
      <c r="C1523" s="1"/>
      <c r="D1523" s="1"/>
      <c r="E1523" s="6"/>
      <c r="F1523" s="4"/>
    </row>
    <row r="1524" spans="2:6">
      <c r="B1524" s="1"/>
      <c r="C1524" s="1"/>
      <c r="D1524" s="1"/>
      <c r="E1524" s="6"/>
      <c r="F1524" s="4"/>
    </row>
    <row r="1525" spans="2:6">
      <c r="B1525" s="1"/>
      <c r="C1525" s="1"/>
      <c r="D1525" s="1"/>
      <c r="E1525" s="6"/>
      <c r="F1525" s="4"/>
    </row>
    <row r="1526" spans="2:6">
      <c r="B1526" s="1"/>
      <c r="C1526" s="1"/>
      <c r="D1526" s="1"/>
      <c r="E1526" s="6"/>
      <c r="F1526" s="4"/>
    </row>
    <row r="1527" spans="2:6">
      <c r="B1527" s="1"/>
      <c r="C1527" s="1"/>
      <c r="D1527" s="1"/>
      <c r="E1527" s="6"/>
      <c r="F1527" s="4"/>
    </row>
    <row r="1528" spans="2:6">
      <c r="B1528" s="1"/>
      <c r="C1528" s="1"/>
      <c r="D1528" s="1"/>
      <c r="E1528" s="6"/>
      <c r="F1528" s="4"/>
    </row>
    <row r="1529" spans="2:6">
      <c r="B1529" s="1"/>
      <c r="C1529" s="1"/>
      <c r="D1529" s="1"/>
      <c r="E1529" s="6"/>
      <c r="F1529" s="4"/>
    </row>
    <row r="1530" spans="2:6">
      <c r="B1530" s="1"/>
      <c r="C1530" s="1"/>
      <c r="D1530" s="1"/>
      <c r="E1530" s="6"/>
      <c r="F1530" s="4"/>
    </row>
    <row r="1531" spans="2:6">
      <c r="B1531" s="1"/>
      <c r="C1531" s="1"/>
      <c r="D1531" s="1"/>
      <c r="E1531" s="6"/>
      <c r="F1531" s="4"/>
    </row>
    <row r="1532" spans="2:6">
      <c r="B1532" s="1"/>
      <c r="C1532" s="1"/>
      <c r="D1532" s="1"/>
      <c r="E1532" s="6"/>
      <c r="F1532" s="4"/>
    </row>
    <row r="1533" spans="2:6">
      <c r="B1533" s="1"/>
      <c r="C1533" s="1"/>
      <c r="D1533" s="1"/>
      <c r="E1533" s="6"/>
      <c r="F1533" s="4"/>
    </row>
    <row r="1534" spans="2:6">
      <c r="B1534" s="1"/>
      <c r="C1534" s="1"/>
      <c r="D1534" s="1"/>
      <c r="E1534" s="6"/>
      <c r="F1534" s="4"/>
    </row>
    <row r="1535" spans="2:6">
      <c r="B1535" s="1"/>
      <c r="C1535" s="1"/>
      <c r="D1535" s="1"/>
      <c r="E1535" s="6"/>
      <c r="F1535" s="4"/>
    </row>
    <row r="1536" spans="2:6">
      <c r="B1536" s="1"/>
      <c r="C1536" s="1"/>
      <c r="D1536" s="1"/>
      <c r="E1536" s="6"/>
      <c r="F1536" s="4"/>
    </row>
    <row r="1537" spans="2:6">
      <c r="B1537" s="1"/>
      <c r="C1537" s="1"/>
      <c r="D1537" s="1"/>
      <c r="E1537" s="6"/>
      <c r="F1537" s="4"/>
    </row>
    <row r="1538" spans="2:6">
      <c r="B1538" s="1"/>
      <c r="C1538" s="1"/>
      <c r="D1538" s="1"/>
      <c r="E1538" s="6"/>
      <c r="F1538" s="4"/>
    </row>
    <row r="1539" spans="2:6">
      <c r="B1539" s="1"/>
      <c r="C1539" s="1"/>
      <c r="D1539" s="1"/>
      <c r="E1539" s="6"/>
      <c r="F1539" s="4"/>
    </row>
    <row r="1540" spans="2:6">
      <c r="B1540" s="1"/>
      <c r="C1540" s="1"/>
      <c r="D1540" s="1"/>
      <c r="E1540" s="6"/>
      <c r="F1540" s="4"/>
    </row>
    <row r="1541" spans="2:6">
      <c r="B1541" s="1"/>
      <c r="C1541" s="1"/>
      <c r="D1541" s="1"/>
      <c r="E1541" s="6"/>
      <c r="F1541" s="4"/>
    </row>
    <row r="1542" spans="2:6">
      <c r="B1542" s="1"/>
      <c r="C1542" s="1"/>
      <c r="D1542" s="1"/>
      <c r="E1542" s="6"/>
      <c r="F1542" s="4"/>
    </row>
    <row r="1543" spans="2:6">
      <c r="B1543" s="1"/>
      <c r="C1543" s="1"/>
      <c r="D1543" s="1"/>
      <c r="E1543" s="6"/>
      <c r="F1543" s="4"/>
    </row>
    <row r="1544" spans="2:6">
      <c r="B1544" s="1"/>
      <c r="C1544" s="1"/>
      <c r="D1544" s="1"/>
      <c r="E1544" s="6"/>
      <c r="F1544" s="4"/>
    </row>
    <row r="1545" spans="2:6">
      <c r="B1545" s="1"/>
      <c r="C1545" s="1"/>
      <c r="D1545" s="1"/>
      <c r="E1545" s="6"/>
      <c r="F1545" s="4"/>
    </row>
    <row r="1546" spans="2:6">
      <c r="B1546" s="1"/>
      <c r="C1546" s="1"/>
      <c r="D1546" s="1"/>
      <c r="E1546" s="6"/>
      <c r="F1546" s="4"/>
    </row>
    <row r="1547" spans="2:6">
      <c r="B1547" s="1"/>
      <c r="C1547" s="1"/>
      <c r="D1547" s="1"/>
      <c r="E1547" s="6"/>
      <c r="F1547" s="4"/>
    </row>
    <row r="1548" spans="2:6">
      <c r="B1548" s="1"/>
      <c r="C1548" s="1"/>
      <c r="D1548" s="1"/>
      <c r="E1548" s="6"/>
      <c r="F1548" s="4"/>
    </row>
    <row r="1549" spans="2:6">
      <c r="B1549" s="1"/>
      <c r="C1549" s="1"/>
      <c r="D1549" s="1"/>
      <c r="E1549" s="6"/>
      <c r="F1549" s="4"/>
    </row>
    <row r="1550" spans="2:6">
      <c r="B1550" s="1"/>
      <c r="C1550" s="1"/>
      <c r="D1550" s="1"/>
      <c r="E1550" s="6"/>
      <c r="F1550" s="4"/>
    </row>
    <row r="1551" spans="2:6">
      <c r="B1551" s="1"/>
      <c r="C1551" s="1"/>
      <c r="D1551" s="1"/>
      <c r="E1551" s="6"/>
      <c r="F1551" s="4"/>
    </row>
    <row r="1552" spans="2:6">
      <c r="B1552" s="1"/>
      <c r="C1552" s="1"/>
      <c r="D1552" s="1"/>
      <c r="E1552" s="6"/>
      <c r="F1552" s="4"/>
    </row>
    <row r="1553" spans="2:6">
      <c r="B1553" s="1"/>
      <c r="C1553" s="1"/>
      <c r="D1553" s="1"/>
      <c r="E1553" s="6"/>
      <c r="F1553" s="4"/>
    </row>
    <row r="1554" spans="2:6">
      <c r="B1554" s="1"/>
      <c r="C1554" s="1"/>
      <c r="D1554" s="1"/>
      <c r="E1554" s="6"/>
      <c r="F1554" s="4"/>
    </row>
    <row r="1555" spans="2:6">
      <c r="B1555" s="1"/>
      <c r="C1555" s="1"/>
      <c r="D1555" s="1"/>
      <c r="E1555" s="6"/>
      <c r="F1555" s="4"/>
    </row>
    <row r="1556" spans="2:6">
      <c r="B1556" s="1"/>
      <c r="C1556" s="1"/>
      <c r="D1556" s="1"/>
      <c r="E1556" s="6"/>
      <c r="F1556" s="4"/>
    </row>
    <row r="1557" spans="2:6">
      <c r="B1557" s="1"/>
      <c r="C1557" s="1"/>
      <c r="D1557" s="1"/>
      <c r="E1557" s="6"/>
      <c r="F1557" s="4"/>
    </row>
    <row r="1558" spans="2:6">
      <c r="B1558" s="1"/>
      <c r="C1558" s="1"/>
      <c r="D1558" s="1"/>
      <c r="E1558" s="6"/>
      <c r="F1558" s="4"/>
    </row>
    <row r="1559" spans="2:6">
      <c r="B1559" s="1"/>
      <c r="C1559" s="1"/>
      <c r="D1559" s="1"/>
      <c r="E1559" s="6"/>
      <c r="F1559" s="4"/>
    </row>
    <row r="1560" spans="2:6">
      <c r="B1560" s="1"/>
      <c r="C1560" s="1"/>
      <c r="D1560" s="1"/>
      <c r="E1560" s="6"/>
      <c r="F1560" s="4"/>
    </row>
    <row r="1561" spans="2:6">
      <c r="B1561" s="1"/>
      <c r="C1561" s="1"/>
      <c r="D1561" s="1"/>
      <c r="E1561" s="6"/>
      <c r="F1561" s="4"/>
    </row>
    <row r="1562" spans="2:6">
      <c r="B1562" s="1"/>
      <c r="C1562" s="1"/>
      <c r="D1562" s="1"/>
      <c r="E1562" s="6"/>
      <c r="F1562" s="4"/>
    </row>
    <row r="1563" spans="2:6">
      <c r="B1563" s="1"/>
      <c r="C1563" s="1"/>
      <c r="D1563" s="1"/>
      <c r="E1563" s="6"/>
      <c r="F1563" s="4"/>
    </row>
    <row r="1564" spans="2:6">
      <c r="B1564" s="1"/>
      <c r="C1564" s="1"/>
      <c r="D1564" s="1"/>
      <c r="E1564" s="6"/>
      <c r="F1564" s="4"/>
    </row>
    <row r="1565" spans="2:6">
      <c r="B1565" s="1"/>
      <c r="C1565" s="1"/>
      <c r="D1565" s="1"/>
      <c r="E1565" s="6"/>
      <c r="F1565" s="4"/>
    </row>
    <row r="1566" spans="2:6">
      <c r="B1566" s="1"/>
      <c r="C1566" s="1"/>
      <c r="D1566" s="1"/>
      <c r="E1566" s="6"/>
      <c r="F1566" s="4"/>
    </row>
    <row r="1567" spans="2:6">
      <c r="B1567" s="1"/>
      <c r="C1567" s="1"/>
      <c r="D1567" s="1"/>
      <c r="E1567" s="6"/>
      <c r="F1567" s="4"/>
    </row>
    <row r="1568" spans="2:6">
      <c r="B1568" s="1"/>
      <c r="C1568" s="1"/>
      <c r="D1568" s="1"/>
      <c r="E1568" s="6"/>
      <c r="F1568" s="4"/>
    </row>
    <row r="1569" spans="2:6">
      <c r="B1569" s="1"/>
      <c r="C1569" s="1"/>
      <c r="D1569" s="1"/>
      <c r="E1569" s="6"/>
      <c r="F1569" s="4"/>
    </row>
    <row r="1570" spans="2:6">
      <c r="B1570" s="1"/>
      <c r="C1570" s="1"/>
      <c r="D1570" s="1"/>
      <c r="E1570" s="6"/>
      <c r="F1570" s="4"/>
    </row>
    <row r="1571" spans="2:6">
      <c r="B1571" s="1"/>
      <c r="C1571" s="1"/>
      <c r="D1571" s="1"/>
      <c r="E1571" s="6"/>
      <c r="F1571" s="4"/>
    </row>
    <row r="1572" spans="2:6">
      <c r="B1572" s="1"/>
      <c r="C1572" s="1"/>
      <c r="D1572" s="1"/>
      <c r="E1572" s="6"/>
      <c r="F1572" s="4"/>
    </row>
    <row r="1573" spans="2:6">
      <c r="B1573" s="1"/>
      <c r="C1573" s="1"/>
      <c r="D1573" s="1"/>
      <c r="E1573" s="6"/>
      <c r="F1573" s="4"/>
    </row>
    <row r="1574" spans="2:6">
      <c r="B1574" s="1"/>
      <c r="C1574" s="1"/>
      <c r="D1574" s="1"/>
      <c r="E1574" s="6"/>
      <c r="F1574" s="4"/>
    </row>
    <row r="1575" spans="2:6">
      <c r="B1575" s="1"/>
      <c r="C1575" s="1"/>
      <c r="D1575" s="1"/>
      <c r="E1575" s="6"/>
      <c r="F1575" s="4"/>
    </row>
    <row r="1576" spans="2:6">
      <c r="B1576" s="1"/>
      <c r="C1576" s="1"/>
      <c r="D1576" s="1"/>
      <c r="E1576" s="6"/>
      <c r="F1576" s="4"/>
    </row>
    <row r="1577" spans="2:6">
      <c r="B1577" s="1"/>
      <c r="C1577" s="1"/>
      <c r="D1577" s="1"/>
      <c r="E1577" s="6"/>
      <c r="F1577" s="4"/>
    </row>
    <row r="1578" spans="2:6">
      <c r="B1578" s="1"/>
      <c r="C1578" s="1"/>
      <c r="D1578" s="1"/>
      <c r="E1578" s="6"/>
      <c r="F1578" s="4"/>
    </row>
    <row r="1579" spans="2:6">
      <c r="B1579" s="1"/>
      <c r="C1579" s="1"/>
      <c r="D1579" s="1"/>
      <c r="E1579" s="6"/>
      <c r="F1579" s="4"/>
    </row>
    <row r="1580" spans="2:6">
      <c r="B1580" s="1"/>
      <c r="C1580" s="1"/>
      <c r="D1580" s="1"/>
      <c r="E1580" s="6"/>
      <c r="F1580" s="4"/>
    </row>
    <row r="1581" spans="2:6">
      <c r="B1581" s="1"/>
      <c r="C1581" s="1"/>
      <c r="D1581" s="1"/>
      <c r="E1581" s="6"/>
      <c r="F1581" s="4"/>
    </row>
    <row r="1582" spans="2:6">
      <c r="B1582" s="1"/>
      <c r="C1582" s="1"/>
      <c r="D1582" s="1"/>
      <c r="E1582" s="6"/>
      <c r="F1582" s="4"/>
    </row>
    <row r="1583" spans="2:6">
      <c r="B1583" s="1"/>
      <c r="C1583" s="1"/>
      <c r="D1583" s="1"/>
      <c r="E1583" s="6"/>
      <c r="F1583" s="4"/>
    </row>
    <row r="1584" spans="2:6">
      <c r="B1584" s="1"/>
      <c r="C1584" s="1"/>
      <c r="D1584" s="1"/>
      <c r="E1584" s="6"/>
      <c r="F1584" s="4"/>
    </row>
    <row r="1585" spans="2:6">
      <c r="B1585" s="1"/>
      <c r="C1585" s="1"/>
      <c r="D1585" s="1"/>
      <c r="E1585" s="6"/>
      <c r="F1585" s="4"/>
    </row>
    <row r="1586" spans="2:6">
      <c r="B1586" s="1"/>
      <c r="C1586" s="1"/>
      <c r="D1586" s="1"/>
      <c r="E1586" s="6"/>
      <c r="F1586" s="4"/>
    </row>
    <row r="1587" spans="2:6">
      <c r="B1587" s="1"/>
      <c r="C1587" s="1"/>
      <c r="D1587" s="1"/>
      <c r="E1587" s="6"/>
      <c r="F1587" s="4"/>
    </row>
    <row r="1588" spans="2:6">
      <c r="B1588" s="1"/>
      <c r="C1588" s="1"/>
      <c r="D1588" s="1"/>
      <c r="E1588" s="6"/>
      <c r="F1588" s="4"/>
    </row>
    <row r="1589" spans="2:6">
      <c r="B1589" s="1"/>
      <c r="C1589" s="1"/>
      <c r="D1589" s="1"/>
      <c r="E1589" s="6"/>
      <c r="F1589" s="4"/>
    </row>
    <row r="1590" spans="2:6">
      <c r="B1590" s="1"/>
      <c r="C1590" s="1"/>
      <c r="D1590" s="1"/>
      <c r="E1590" s="6"/>
      <c r="F1590" s="4"/>
    </row>
    <row r="1591" spans="2:6">
      <c r="B1591" s="1"/>
      <c r="C1591" s="1"/>
      <c r="D1591" s="1"/>
      <c r="E1591" s="6"/>
      <c r="F1591" s="4"/>
    </row>
    <row r="1592" spans="2:6">
      <c r="B1592" s="1"/>
      <c r="C1592" s="1"/>
      <c r="D1592" s="1"/>
      <c r="E1592" s="6"/>
      <c r="F1592" s="4"/>
    </row>
    <row r="1593" spans="2:6">
      <c r="B1593" s="1"/>
      <c r="C1593" s="1"/>
      <c r="D1593" s="1"/>
      <c r="E1593" s="6"/>
      <c r="F1593" s="4"/>
    </row>
    <row r="1594" spans="2:6">
      <c r="B1594" s="1"/>
      <c r="C1594" s="1"/>
      <c r="D1594" s="1"/>
      <c r="E1594" s="6"/>
      <c r="F1594" s="4"/>
    </row>
    <row r="1595" spans="2:6">
      <c r="B1595" s="1"/>
      <c r="C1595" s="1"/>
      <c r="D1595" s="1"/>
      <c r="E1595" s="6"/>
      <c r="F1595" s="4"/>
    </row>
    <row r="1596" spans="2:6">
      <c r="B1596" s="1"/>
      <c r="C1596" s="1"/>
      <c r="D1596" s="1"/>
      <c r="E1596" s="6"/>
      <c r="F1596" s="4"/>
    </row>
    <row r="1597" spans="2:6">
      <c r="B1597" s="1"/>
      <c r="C1597" s="1"/>
      <c r="D1597" s="1"/>
      <c r="E1597" s="6"/>
      <c r="F1597" s="4"/>
    </row>
    <row r="1598" spans="2:6">
      <c r="B1598" s="1"/>
      <c r="C1598" s="1"/>
      <c r="D1598" s="1"/>
      <c r="E1598" s="6"/>
      <c r="F1598" s="4"/>
    </row>
    <row r="1599" spans="2:6">
      <c r="B1599" s="1"/>
      <c r="C1599" s="1"/>
      <c r="D1599" s="1"/>
      <c r="E1599" s="6"/>
      <c r="F1599" s="4"/>
    </row>
    <row r="1600" spans="2:6">
      <c r="B1600" s="1"/>
      <c r="C1600" s="1"/>
      <c r="D1600" s="1"/>
      <c r="E1600" s="6"/>
      <c r="F1600" s="4"/>
    </row>
    <row r="1601" spans="2:6">
      <c r="B1601" s="1"/>
      <c r="C1601" s="1"/>
      <c r="D1601" s="1"/>
      <c r="E1601" s="6"/>
      <c r="F1601" s="4"/>
    </row>
    <row r="1602" spans="2:6">
      <c r="B1602" s="1"/>
      <c r="C1602" s="1"/>
      <c r="D1602" s="1"/>
      <c r="E1602" s="6"/>
      <c r="F1602" s="4"/>
    </row>
    <row r="1603" spans="2:6">
      <c r="B1603" s="1"/>
      <c r="C1603" s="1"/>
      <c r="D1603" s="1"/>
      <c r="E1603" s="6"/>
      <c r="F1603" s="4"/>
    </row>
    <row r="1604" spans="2:6">
      <c r="B1604" s="1"/>
      <c r="C1604" s="1"/>
      <c r="D1604" s="1"/>
      <c r="E1604" s="6"/>
      <c r="F1604" s="4"/>
    </row>
    <row r="1605" spans="2:6">
      <c r="B1605" s="1"/>
      <c r="C1605" s="1"/>
      <c r="D1605" s="1"/>
      <c r="E1605" s="6"/>
      <c r="F1605" s="4"/>
    </row>
    <row r="1606" spans="2:6">
      <c r="B1606" s="1"/>
      <c r="C1606" s="1"/>
      <c r="D1606" s="1"/>
      <c r="E1606" s="6"/>
      <c r="F1606" s="4"/>
    </row>
    <row r="1607" spans="2:6">
      <c r="B1607" s="1"/>
      <c r="C1607" s="1"/>
      <c r="D1607" s="1"/>
      <c r="E1607" s="6"/>
      <c r="F1607" s="4"/>
    </row>
    <row r="1608" spans="2:6">
      <c r="B1608" s="1"/>
      <c r="C1608" s="1"/>
      <c r="D1608" s="1"/>
      <c r="E1608" s="6"/>
      <c r="F1608" s="4"/>
    </row>
    <row r="1609" spans="2:6">
      <c r="B1609" s="1"/>
      <c r="C1609" s="1"/>
      <c r="D1609" s="1"/>
      <c r="E1609" s="6"/>
      <c r="F1609" s="4"/>
    </row>
    <row r="1610" spans="2:6">
      <c r="B1610" s="1"/>
      <c r="C1610" s="1"/>
      <c r="D1610" s="1"/>
      <c r="E1610" s="6"/>
      <c r="F1610" s="4"/>
    </row>
    <row r="1611" spans="2:6">
      <c r="B1611" s="1"/>
      <c r="C1611" s="1"/>
      <c r="D1611" s="1"/>
      <c r="E1611" s="6"/>
      <c r="F1611" s="4"/>
    </row>
    <row r="1612" spans="2:6">
      <c r="B1612" s="1"/>
      <c r="C1612" s="1"/>
      <c r="D1612" s="1"/>
      <c r="E1612" s="6"/>
      <c r="F1612" s="4"/>
    </row>
    <row r="1613" spans="2:6">
      <c r="B1613" s="1"/>
      <c r="C1613" s="1"/>
      <c r="D1613" s="1"/>
      <c r="E1613" s="6"/>
      <c r="F1613" s="4"/>
    </row>
    <row r="1614" spans="2:6">
      <c r="B1614" s="1"/>
      <c r="C1614" s="1"/>
      <c r="D1614" s="1"/>
      <c r="E1614" s="6"/>
      <c r="F1614" s="4"/>
    </row>
    <row r="1615" spans="2:6">
      <c r="B1615" s="1"/>
      <c r="C1615" s="1"/>
      <c r="D1615" s="1"/>
      <c r="E1615" s="6"/>
      <c r="F1615" s="4"/>
    </row>
    <row r="1616" spans="2:6">
      <c r="B1616" s="1"/>
      <c r="C1616" s="1"/>
      <c r="D1616" s="1"/>
      <c r="E1616" s="6"/>
      <c r="F1616" s="4"/>
    </row>
    <row r="1617" spans="2:6">
      <c r="B1617" s="1"/>
      <c r="C1617" s="1"/>
      <c r="D1617" s="1"/>
      <c r="E1617" s="6"/>
      <c r="F1617" s="4"/>
    </row>
    <row r="1618" spans="2:6">
      <c r="B1618" s="1"/>
      <c r="C1618" s="1"/>
      <c r="D1618" s="1"/>
      <c r="E1618" s="6"/>
      <c r="F1618" s="4"/>
    </row>
    <row r="1619" spans="2:6">
      <c r="B1619" s="1"/>
      <c r="C1619" s="1"/>
      <c r="D1619" s="1"/>
      <c r="E1619" s="6"/>
      <c r="F1619" s="4"/>
    </row>
    <row r="1620" spans="2:6">
      <c r="B1620" s="1"/>
      <c r="C1620" s="1"/>
      <c r="D1620" s="1"/>
      <c r="E1620" s="6"/>
      <c r="F1620" s="4"/>
    </row>
    <row r="1621" spans="2:6">
      <c r="B1621" s="1"/>
      <c r="C1621" s="1"/>
      <c r="D1621" s="1"/>
      <c r="E1621" s="6"/>
      <c r="F1621" s="4"/>
    </row>
    <row r="1622" spans="2:6">
      <c r="B1622" s="1"/>
      <c r="C1622" s="1"/>
      <c r="D1622" s="1"/>
      <c r="E1622" s="6"/>
      <c r="F1622" s="4"/>
    </row>
    <row r="1623" spans="2:6">
      <c r="B1623" s="1"/>
      <c r="C1623" s="1"/>
      <c r="D1623" s="1"/>
      <c r="E1623" s="6"/>
      <c r="F1623" s="4"/>
    </row>
    <row r="1624" spans="2:6">
      <c r="B1624" s="1"/>
      <c r="C1624" s="1"/>
      <c r="D1624" s="1"/>
      <c r="E1624" s="6"/>
      <c r="F1624" s="4"/>
    </row>
    <row r="1625" spans="2:6">
      <c r="B1625" s="1"/>
      <c r="C1625" s="1"/>
      <c r="D1625" s="1"/>
      <c r="E1625" s="6"/>
      <c r="F1625" s="4"/>
    </row>
    <row r="1626" spans="2:6">
      <c r="B1626" s="1"/>
      <c r="C1626" s="1"/>
      <c r="D1626" s="1"/>
      <c r="E1626" s="6"/>
      <c r="F1626" s="4"/>
    </row>
    <row r="1627" spans="2:6">
      <c r="B1627" s="1"/>
      <c r="C1627" s="1"/>
      <c r="D1627" s="1"/>
      <c r="E1627" s="6"/>
      <c r="F1627" s="4"/>
    </row>
    <row r="1628" spans="2:6">
      <c r="B1628" s="1"/>
      <c r="C1628" s="1"/>
      <c r="D1628" s="1"/>
      <c r="E1628" s="6"/>
      <c r="F1628" s="4"/>
    </row>
    <row r="1629" spans="2:6">
      <c r="B1629" s="1"/>
      <c r="C1629" s="1"/>
      <c r="D1629" s="1"/>
      <c r="E1629" s="6"/>
      <c r="F1629" s="4"/>
    </row>
    <row r="1630" spans="2:6">
      <c r="B1630" s="1"/>
      <c r="C1630" s="1"/>
      <c r="D1630" s="1"/>
      <c r="E1630" s="6"/>
      <c r="F1630" s="4"/>
    </row>
    <row r="1631" spans="2:6">
      <c r="B1631" s="1"/>
      <c r="C1631" s="1"/>
      <c r="D1631" s="1"/>
      <c r="E1631" s="6"/>
      <c r="F1631" s="4"/>
    </row>
    <row r="1632" spans="2:6">
      <c r="B1632" s="1"/>
      <c r="C1632" s="1"/>
      <c r="D1632" s="1"/>
      <c r="E1632" s="6"/>
      <c r="F1632" s="4"/>
    </row>
    <row r="1633" spans="2:6">
      <c r="B1633" s="1"/>
      <c r="C1633" s="1"/>
      <c r="D1633" s="1"/>
      <c r="E1633" s="6"/>
      <c r="F1633" s="4"/>
    </row>
    <row r="1634" spans="2:6">
      <c r="B1634" s="1"/>
      <c r="C1634" s="1"/>
      <c r="D1634" s="1"/>
      <c r="E1634" s="6"/>
      <c r="F1634" s="4"/>
    </row>
    <row r="1635" spans="2:6">
      <c r="B1635" s="1"/>
      <c r="C1635" s="1"/>
      <c r="D1635" s="1"/>
      <c r="E1635" s="6"/>
      <c r="F1635" s="4"/>
    </row>
    <row r="1636" spans="2:6">
      <c r="B1636" s="1"/>
      <c r="C1636" s="1"/>
      <c r="D1636" s="1"/>
      <c r="E1636" s="6"/>
      <c r="F1636" s="4"/>
    </row>
    <row r="1637" spans="2:6">
      <c r="B1637" s="1"/>
      <c r="C1637" s="1"/>
      <c r="D1637" s="1"/>
      <c r="E1637" s="6"/>
      <c r="F1637" s="4"/>
    </row>
    <row r="1638" spans="2:6">
      <c r="B1638" s="1"/>
      <c r="C1638" s="1"/>
      <c r="D1638" s="1"/>
      <c r="E1638" s="6"/>
      <c r="F1638" s="4"/>
    </row>
    <row r="1639" spans="2:6">
      <c r="B1639" s="1"/>
      <c r="C1639" s="1"/>
      <c r="D1639" s="1"/>
      <c r="E1639" s="6"/>
      <c r="F1639" s="4"/>
    </row>
    <row r="1640" spans="2:6">
      <c r="B1640" s="1"/>
      <c r="C1640" s="1"/>
      <c r="D1640" s="1"/>
      <c r="E1640" s="6"/>
      <c r="F1640" s="4"/>
    </row>
    <row r="1641" spans="2:6">
      <c r="B1641" s="1"/>
      <c r="C1641" s="1"/>
      <c r="D1641" s="1"/>
      <c r="E1641" s="6"/>
      <c r="F1641" s="4"/>
    </row>
    <row r="1642" spans="2:6">
      <c r="B1642" s="1"/>
      <c r="C1642" s="1"/>
      <c r="D1642" s="1"/>
      <c r="E1642" s="6"/>
      <c r="F1642" s="4"/>
    </row>
    <row r="1643" spans="2:6">
      <c r="B1643" s="1"/>
      <c r="C1643" s="1"/>
      <c r="D1643" s="1"/>
      <c r="E1643" s="6"/>
      <c r="F1643" s="4"/>
    </row>
    <row r="1644" spans="2:6">
      <c r="B1644" s="1"/>
      <c r="C1644" s="1"/>
      <c r="D1644" s="1"/>
      <c r="E1644" s="6"/>
      <c r="F1644" s="4"/>
    </row>
    <row r="1645" spans="2:6">
      <c r="B1645" s="1"/>
      <c r="C1645" s="1"/>
      <c r="D1645" s="1"/>
      <c r="E1645" s="6"/>
      <c r="F1645" s="4"/>
    </row>
    <row r="1646" spans="2:6">
      <c r="B1646" s="1"/>
      <c r="C1646" s="1"/>
      <c r="D1646" s="1"/>
      <c r="E1646" s="6"/>
      <c r="F1646" s="4"/>
    </row>
    <row r="1647" spans="2:6">
      <c r="B1647" s="1"/>
      <c r="C1647" s="1"/>
      <c r="D1647" s="1"/>
      <c r="E1647" s="6"/>
      <c r="F1647" s="4"/>
    </row>
    <row r="1648" spans="2:6">
      <c r="B1648" s="1"/>
      <c r="C1648" s="1"/>
      <c r="D1648" s="1"/>
      <c r="E1648" s="6"/>
      <c r="F1648" s="4"/>
    </row>
    <row r="1649" spans="2:6">
      <c r="B1649" s="1"/>
      <c r="C1649" s="1"/>
      <c r="D1649" s="1"/>
      <c r="E1649" s="6"/>
      <c r="F1649" s="4"/>
    </row>
    <row r="1650" spans="2:6">
      <c r="B1650" s="1"/>
      <c r="C1650" s="1"/>
      <c r="D1650" s="1"/>
      <c r="E1650" s="6"/>
      <c r="F1650" s="4"/>
    </row>
    <row r="1651" spans="2:6">
      <c r="B1651" s="1"/>
      <c r="C1651" s="1"/>
      <c r="D1651" s="1"/>
      <c r="E1651" s="6"/>
      <c r="F1651" s="4"/>
    </row>
    <row r="1652" spans="2:6">
      <c r="B1652" s="1"/>
      <c r="C1652" s="1"/>
      <c r="D1652" s="1"/>
      <c r="E1652" s="6"/>
      <c r="F1652" s="4"/>
    </row>
    <row r="1653" spans="2:6">
      <c r="B1653" s="1"/>
      <c r="C1653" s="1"/>
      <c r="D1653" s="1"/>
      <c r="E1653" s="6"/>
      <c r="F1653" s="4"/>
    </row>
    <row r="1654" spans="2:6">
      <c r="B1654" s="1"/>
      <c r="C1654" s="1"/>
      <c r="D1654" s="1"/>
      <c r="E1654" s="6"/>
      <c r="F1654" s="4"/>
    </row>
    <row r="1655" spans="2:6">
      <c r="B1655" s="1"/>
      <c r="C1655" s="1"/>
      <c r="D1655" s="1"/>
      <c r="E1655" s="6"/>
      <c r="F1655" s="4"/>
    </row>
    <row r="1656" spans="2:6">
      <c r="B1656" s="1"/>
      <c r="C1656" s="1"/>
      <c r="D1656" s="1"/>
      <c r="E1656" s="6"/>
      <c r="F1656" s="4"/>
    </row>
    <row r="1657" spans="2:6">
      <c r="B1657" s="1"/>
      <c r="C1657" s="1"/>
      <c r="D1657" s="1"/>
      <c r="E1657" s="6"/>
      <c r="F1657" s="4"/>
    </row>
    <row r="1658" spans="2:6">
      <c r="B1658" s="1"/>
      <c r="C1658" s="1"/>
      <c r="D1658" s="1"/>
      <c r="E1658" s="6"/>
      <c r="F1658" s="4"/>
    </row>
    <row r="1659" spans="2:6">
      <c r="B1659" s="1"/>
      <c r="C1659" s="1"/>
      <c r="D1659" s="1"/>
      <c r="E1659" s="6"/>
      <c r="F1659" s="4"/>
    </row>
    <row r="1660" spans="2:6">
      <c r="B1660" s="1"/>
      <c r="C1660" s="1"/>
      <c r="D1660" s="1"/>
      <c r="E1660" s="6"/>
      <c r="F1660" s="4"/>
    </row>
    <row r="1661" spans="2:6">
      <c r="B1661" s="1"/>
      <c r="C1661" s="1"/>
      <c r="D1661" s="1"/>
      <c r="E1661" s="6"/>
      <c r="F1661" s="4"/>
    </row>
    <row r="1662" spans="2:6">
      <c r="B1662" s="1"/>
      <c r="C1662" s="1"/>
      <c r="D1662" s="1"/>
      <c r="E1662" s="6"/>
      <c r="F1662" s="4"/>
    </row>
    <row r="1663" spans="2:6">
      <c r="B1663" s="1"/>
      <c r="C1663" s="1"/>
      <c r="D1663" s="1"/>
      <c r="E1663" s="6"/>
      <c r="F1663" s="4"/>
    </row>
    <row r="1664" spans="2:6">
      <c r="B1664" s="1"/>
      <c r="C1664" s="1"/>
      <c r="D1664" s="1"/>
      <c r="E1664" s="6"/>
      <c r="F1664" s="4"/>
    </row>
    <row r="1665" spans="2:6">
      <c r="B1665" s="1"/>
      <c r="C1665" s="1"/>
      <c r="D1665" s="1"/>
      <c r="E1665" s="6"/>
      <c r="F1665" s="4"/>
    </row>
    <row r="1666" spans="2:6">
      <c r="B1666" s="1"/>
      <c r="C1666" s="1"/>
      <c r="D1666" s="1"/>
      <c r="E1666" s="6"/>
      <c r="F1666" s="4"/>
    </row>
    <row r="1667" spans="2:6">
      <c r="B1667" s="1"/>
      <c r="C1667" s="1"/>
      <c r="D1667" s="1"/>
      <c r="E1667" s="6"/>
      <c r="F1667" s="4"/>
    </row>
    <row r="1668" spans="2:6">
      <c r="B1668" s="1"/>
      <c r="C1668" s="1"/>
      <c r="D1668" s="1"/>
      <c r="E1668" s="6"/>
      <c r="F1668" s="4"/>
    </row>
    <row r="1669" spans="2:6">
      <c r="B1669" s="1"/>
      <c r="C1669" s="1"/>
      <c r="D1669" s="1"/>
      <c r="E1669" s="6"/>
      <c r="F1669" s="4"/>
    </row>
    <row r="1670" spans="2:6">
      <c r="B1670" s="1"/>
      <c r="C1670" s="1"/>
      <c r="D1670" s="1"/>
      <c r="E1670" s="6"/>
      <c r="F1670" s="4"/>
    </row>
    <row r="1671" spans="2:6">
      <c r="B1671" s="1"/>
      <c r="C1671" s="1"/>
      <c r="D1671" s="1"/>
      <c r="E1671" s="6"/>
      <c r="F1671" s="4"/>
    </row>
    <row r="1672" spans="2:6">
      <c r="B1672" s="1"/>
      <c r="C1672" s="1"/>
      <c r="D1672" s="1"/>
      <c r="E1672" s="6"/>
      <c r="F1672" s="4"/>
    </row>
    <row r="1673" spans="2:6">
      <c r="B1673" s="1"/>
      <c r="C1673" s="1"/>
      <c r="D1673" s="1"/>
      <c r="E1673" s="6"/>
      <c r="F1673" s="4"/>
    </row>
    <row r="1674" spans="2:6">
      <c r="B1674" s="1"/>
      <c r="C1674" s="1"/>
      <c r="D1674" s="1"/>
      <c r="E1674" s="6"/>
      <c r="F1674" s="4"/>
    </row>
    <row r="1675" spans="2:6">
      <c r="B1675" s="1"/>
      <c r="C1675" s="1"/>
      <c r="D1675" s="1"/>
      <c r="E1675" s="6"/>
      <c r="F1675" s="4"/>
    </row>
    <row r="1676" spans="2:6">
      <c r="B1676" s="1"/>
      <c r="C1676" s="1"/>
      <c r="D1676" s="1"/>
      <c r="E1676" s="6"/>
      <c r="F1676" s="4"/>
    </row>
    <row r="1677" spans="2:6">
      <c r="B1677" s="1"/>
      <c r="C1677" s="1"/>
      <c r="D1677" s="1"/>
      <c r="E1677" s="6"/>
      <c r="F1677" s="4"/>
    </row>
    <row r="1678" spans="2:6">
      <c r="B1678" s="1"/>
      <c r="C1678" s="1"/>
      <c r="D1678" s="1"/>
      <c r="E1678" s="6"/>
      <c r="F1678" s="4"/>
    </row>
    <row r="1679" spans="2:6">
      <c r="B1679" s="1"/>
      <c r="C1679" s="1"/>
      <c r="D1679" s="1"/>
      <c r="E1679" s="6"/>
      <c r="F1679" s="4"/>
    </row>
    <row r="1680" spans="2:6">
      <c r="B1680" s="1"/>
      <c r="C1680" s="1"/>
      <c r="D1680" s="1"/>
      <c r="E1680" s="6"/>
      <c r="F1680" s="4"/>
    </row>
    <row r="1681" spans="2:6">
      <c r="B1681" s="1"/>
      <c r="C1681" s="1"/>
      <c r="D1681" s="1"/>
      <c r="E1681" s="6"/>
      <c r="F1681" s="4"/>
    </row>
    <row r="1682" spans="2:6">
      <c r="B1682" s="1"/>
      <c r="C1682" s="1"/>
      <c r="D1682" s="1"/>
      <c r="E1682" s="6"/>
      <c r="F1682" s="4"/>
    </row>
    <row r="1683" spans="2:6">
      <c r="B1683" s="1"/>
      <c r="C1683" s="1"/>
      <c r="D1683" s="1"/>
      <c r="E1683" s="6"/>
      <c r="F1683" s="4"/>
    </row>
    <row r="1684" spans="2:6">
      <c r="B1684" s="1"/>
      <c r="C1684" s="1"/>
      <c r="D1684" s="1"/>
      <c r="E1684" s="6"/>
      <c r="F1684" s="4"/>
    </row>
    <row r="1685" spans="2:6">
      <c r="B1685" s="1"/>
      <c r="C1685" s="1"/>
      <c r="D1685" s="1"/>
      <c r="E1685" s="6"/>
      <c r="F1685" s="4"/>
    </row>
    <row r="1686" spans="2:6">
      <c r="B1686" s="1"/>
      <c r="C1686" s="1"/>
      <c r="D1686" s="1"/>
      <c r="E1686" s="6"/>
      <c r="F1686" s="4"/>
    </row>
    <row r="1687" spans="2:6">
      <c r="B1687" s="1"/>
      <c r="C1687" s="1"/>
      <c r="D1687" s="1"/>
      <c r="E1687" s="6"/>
      <c r="F1687" s="4"/>
    </row>
    <row r="1688" spans="2:6">
      <c r="B1688" s="1"/>
      <c r="C1688" s="1"/>
      <c r="D1688" s="1"/>
      <c r="E1688" s="6"/>
      <c r="F1688" s="4"/>
    </row>
    <row r="1689" spans="2:6">
      <c r="B1689" s="1"/>
      <c r="C1689" s="1"/>
      <c r="D1689" s="1"/>
      <c r="E1689" s="6"/>
      <c r="F1689" s="4"/>
    </row>
    <row r="1690" spans="2:6">
      <c r="B1690" s="1"/>
      <c r="C1690" s="1"/>
      <c r="D1690" s="1"/>
      <c r="E1690" s="6"/>
      <c r="F1690" s="4"/>
    </row>
    <row r="1691" spans="2:6">
      <c r="B1691" s="1"/>
      <c r="C1691" s="1"/>
      <c r="D1691" s="1"/>
      <c r="E1691" s="6"/>
      <c r="F1691" s="4"/>
    </row>
    <row r="1692" spans="2:6">
      <c r="B1692" s="1"/>
      <c r="C1692" s="1"/>
      <c r="D1692" s="1"/>
      <c r="E1692" s="6"/>
      <c r="F1692" s="4"/>
    </row>
    <row r="1693" spans="2:6">
      <c r="B1693" s="1"/>
      <c r="C1693" s="1"/>
      <c r="D1693" s="1"/>
      <c r="E1693" s="6"/>
      <c r="F1693" s="4"/>
    </row>
    <row r="1694" spans="2:6">
      <c r="B1694" s="1"/>
      <c r="C1694" s="1"/>
      <c r="D1694" s="1"/>
      <c r="E1694" s="6"/>
      <c r="F1694" s="4"/>
    </row>
    <row r="1695" spans="2:6">
      <c r="B1695" s="1"/>
      <c r="C1695" s="1"/>
      <c r="D1695" s="1"/>
      <c r="E1695" s="6"/>
      <c r="F1695" s="4"/>
    </row>
    <row r="1696" spans="2:6">
      <c r="B1696" s="1"/>
      <c r="C1696" s="1"/>
      <c r="D1696" s="1"/>
      <c r="E1696" s="6"/>
      <c r="F1696" s="4"/>
    </row>
    <row r="1697" spans="2:6">
      <c r="B1697" s="1"/>
      <c r="C1697" s="1"/>
      <c r="D1697" s="1"/>
      <c r="E1697" s="6"/>
      <c r="F1697" s="4"/>
    </row>
    <row r="1698" spans="2:6">
      <c r="B1698" s="1"/>
      <c r="C1698" s="1"/>
      <c r="D1698" s="1"/>
      <c r="E1698" s="6"/>
      <c r="F1698" s="4"/>
    </row>
    <row r="1699" spans="2:6">
      <c r="B1699" s="1"/>
      <c r="C1699" s="1"/>
      <c r="D1699" s="1"/>
      <c r="E1699" s="6"/>
      <c r="F1699" s="4"/>
    </row>
    <row r="1700" spans="2:6">
      <c r="B1700" s="1"/>
      <c r="C1700" s="1"/>
      <c r="D1700" s="1"/>
      <c r="E1700" s="6"/>
      <c r="F1700" s="4"/>
    </row>
    <row r="1701" spans="2:6">
      <c r="B1701" s="1"/>
      <c r="C1701" s="1"/>
      <c r="D1701" s="1"/>
      <c r="E1701" s="6"/>
      <c r="F1701" s="4"/>
    </row>
    <row r="1702" spans="2:6">
      <c r="B1702" s="1"/>
      <c r="C1702" s="1"/>
      <c r="D1702" s="1"/>
      <c r="E1702" s="6"/>
      <c r="F1702" s="4"/>
    </row>
    <row r="1703" spans="2:6">
      <c r="B1703" s="1"/>
      <c r="C1703" s="1"/>
      <c r="D1703" s="1"/>
      <c r="E1703" s="6"/>
      <c r="F1703" s="4"/>
    </row>
    <row r="1704" spans="2:6">
      <c r="B1704" s="1"/>
      <c r="C1704" s="1"/>
      <c r="D1704" s="1"/>
      <c r="E1704" s="6"/>
      <c r="F1704" s="4"/>
    </row>
    <row r="1705" spans="2:6">
      <c r="B1705" s="1"/>
      <c r="C1705" s="1"/>
      <c r="D1705" s="1"/>
      <c r="E1705" s="6"/>
      <c r="F1705" s="4"/>
    </row>
    <row r="1706" spans="2:6">
      <c r="B1706" s="1"/>
      <c r="C1706" s="1"/>
      <c r="D1706" s="1"/>
      <c r="E1706" s="6"/>
      <c r="F1706" s="4"/>
    </row>
    <row r="1707" spans="2:6">
      <c r="B1707" s="1"/>
      <c r="C1707" s="1"/>
      <c r="D1707" s="1"/>
      <c r="E1707" s="6"/>
      <c r="F1707" s="4"/>
    </row>
    <row r="1708" spans="2:6">
      <c r="B1708" s="1"/>
      <c r="C1708" s="1"/>
      <c r="D1708" s="1"/>
      <c r="E1708" s="6"/>
      <c r="F1708" s="4"/>
    </row>
    <row r="1709" spans="2:6">
      <c r="B1709" s="1"/>
      <c r="C1709" s="1"/>
      <c r="D1709" s="1"/>
      <c r="E1709" s="6"/>
      <c r="F1709" s="4"/>
    </row>
    <row r="1710" spans="2:6">
      <c r="B1710" s="1"/>
      <c r="C1710" s="1"/>
      <c r="D1710" s="1"/>
      <c r="E1710" s="6"/>
      <c r="F1710" s="4"/>
    </row>
    <row r="1711" spans="2:6">
      <c r="B1711" s="1"/>
      <c r="C1711" s="1"/>
      <c r="D1711" s="1"/>
      <c r="E1711" s="6"/>
      <c r="F1711" s="4"/>
    </row>
    <row r="1712" spans="2:6">
      <c r="B1712" s="1"/>
      <c r="C1712" s="1"/>
      <c r="D1712" s="1"/>
      <c r="E1712" s="6"/>
      <c r="F1712" s="4"/>
    </row>
    <row r="1713" spans="2:6">
      <c r="B1713" s="1"/>
      <c r="C1713" s="1"/>
      <c r="D1713" s="1"/>
      <c r="E1713" s="6"/>
      <c r="F1713" s="4"/>
    </row>
    <row r="1714" spans="2:6">
      <c r="B1714" s="1"/>
      <c r="C1714" s="1"/>
      <c r="D1714" s="1"/>
      <c r="E1714" s="6"/>
      <c r="F1714" s="4"/>
    </row>
    <row r="1715" spans="2:6">
      <c r="B1715" s="1"/>
      <c r="C1715" s="1"/>
      <c r="D1715" s="1"/>
      <c r="E1715" s="6"/>
      <c r="F1715" s="4"/>
    </row>
    <row r="1716" spans="2:6">
      <c r="B1716" s="1"/>
      <c r="C1716" s="1"/>
      <c r="D1716" s="1"/>
      <c r="E1716" s="6"/>
      <c r="F1716" s="4"/>
    </row>
    <row r="1717" spans="2:6">
      <c r="B1717" s="1"/>
      <c r="C1717" s="1"/>
      <c r="D1717" s="1"/>
      <c r="E1717" s="6"/>
      <c r="F1717" s="4"/>
    </row>
    <row r="1718" spans="2:6">
      <c r="B1718" s="1"/>
      <c r="C1718" s="1"/>
      <c r="D1718" s="1"/>
      <c r="E1718" s="6"/>
      <c r="F1718" s="4"/>
    </row>
    <row r="1719" spans="2:6">
      <c r="B1719" s="1"/>
      <c r="C1719" s="1"/>
      <c r="D1719" s="1"/>
      <c r="E1719" s="6"/>
      <c r="F1719" s="4"/>
    </row>
    <row r="1720" spans="2:6">
      <c r="B1720" s="1"/>
      <c r="C1720" s="1"/>
      <c r="D1720" s="1"/>
      <c r="E1720" s="6"/>
      <c r="F1720" s="4"/>
    </row>
    <row r="1721" spans="2:6">
      <c r="B1721" s="1"/>
      <c r="C1721" s="1"/>
      <c r="D1721" s="1"/>
      <c r="E1721" s="6"/>
      <c r="F1721" s="4"/>
    </row>
    <row r="1722" spans="2:6">
      <c r="B1722" s="1"/>
      <c r="C1722" s="1"/>
      <c r="D1722" s="1"/>
      <c r="E1722" s="6"/>
      <c r="F1722" s="4"/>
    </row>
    <row r="1723" spans="2:6">
      <c r="B1723" s="1"/>
      <c r="C1723" s="1"/>
      <c r="D1723" s="1"/>
      <c r="E1723" s="6"/>
      <c r="F1723" s="4"/>
    </row>
    <row r="1724" spans="2:6">
      <c r="B1724" s="1"/>
      <c r="C1724" s="1"/>
      <c r="D1724" s="1"/>
      <c r="E1724" s="6"/>
      <c r="F1724" s="4"/>
    </row>
    <row r="1725" spans="2:6">
      <c r="B1725" s="1"/>
      <c r="C1725" s="1"/>
      <c r="D1725" s="1"/>
      <c r="E1725" s="6"/>
      <c r="F1725" s="4"/>
    </row>
    <row r="1726" spans="2:6">
      <c r="B1726" s="1"/>
      <c r="C1726" s="1"/>
      <c r="D1726" s="1"/>
      <c r="E1726" s="6"/>
      <c r="F1726" s="4"/>
    </row>
    <row r="1727" spans="2:6">
      <c r="B1727" s="1"/>
      <c r="C1727" s="1"/>
      <c r="D1727" s="1"/>
      <c r="E1727" s="6"/>
      <c r="F1727" s="4"/>
    </row>
    <row r="1728" spans="2:6">
      <c r="B1728" s="1"/>
      <c r="C1728" s="1"/>
      <c r="D1728" s="1"/>
      <c r="E1728" s="6"/>
      <c r="F1728" s="4"/>
    </row>
    <row r="1729" spans="2:6">
      <c r="B1729" s="1"/>
      <c r="C1729" s="1"/>
      <c r="D1729" s="1"/>
      <c r="E1729" s="6"/>
      <c r="F1729" s="4"/>
    </row>
    <row r="1730" spans="2:6">
      <c r="B1730" s="1"/>
      <c r="C1730" s="1"/>
      <c r="D1730" s="1"/>
      <c r="E1730" s="6"/>
      <c r="F1730" s="4"/>
    </row>
    <row r="1731" spans="2:6">
      <c r="B1731" s="1"/>
      <c r="C1731" s="1"/>
      <c r="D1731" s="1"/>
      <c r="E1731" s="6"/>
      <c r="F1731" s="4"/>
    </row>
    <row r="1732" spans="2:6">
      <c r="B1732" s="1"/>
      <c r="C1732" s="1"/>
      <c r="D1732" s="1"/>
      <c r="E1732" s="6"/>
      <c r="F1732" s="4"/>
    </row>
    <row r="1733" spans="2:6">
      <c r="B1733" s="1"/>
      <c r="C1733" s="1"/>
      <c r="D1733" s="1"/>
      <c r="E1733" s="6"/>
      <c r="F1733" s="4"/>
    </row>
    <row r="1734" spans="2:6">
      <c r="B1734" s="1"/>
      <c r="C1734" s="1"/>
      <c r="D1734" s="1"/>
      <c r="E1734" s="6"/>
      <c r="F1734" s="4"/>
    </row>
    <row r="1735" spans="2:6">
      <c r="B1735" s="1"/>
      <c r="C1735" s="1"/>
      <c r="D1735" s="1"/>
      <c r="E1735" s="6"/>
      <c r="F1735" s="4"/>
    </row>
    <row r="1736" spans="2:6">
      <c r="B1736" s="1"/>
      <c r="C1736" s="1"/>
      <c r="D1736" s="1"/>
      <c r="E1736" s="6"/>
      <c r="F1736" s="4"/>
    </row>
    <row r="1737" spans="2:6">
      <c r="B1737" s="1"/>
      <c r="C1737" s="1"/>
      <c r="D1737" s="1"/>
      <c r="E1737" s="6"/>
      <c r="F1737" s="4"/>
    </row>
    <row r="1738" spans="2:6">
      <c r="B1738" s="1"/>
      <c r="C1738" s="1"/>
      <c r="D1738" s="1"/>
      <c r="E1738" s="6"/>
      <c r="F1738" s="4"/>
    </row>
    <row r="1739" spans="2:6">
      <c r="B1739" s="1"/>
      <c r="C1739" s="1"/>
      <c r="D1739" s="1"/>
      <c r="E1739" s="6"/>
      <c r="F1739" s="4"/>
    </row>
    <row r="1740" spans="2:6">
      <c r="B1740" s="1"/>
      <c r="C1740" s="1"/>
      <c r="D1740" s="1"/>
      <c r="E1740" s="6"/>
      <c r="F1740" s="4"/>
    </row>
    <row r="1741" spans="2:6">
      <c r="B1741" s="1"/>
      <c r="C1741" s="1"/>
      <c r="D1741" s="1"/>
      <c r="E1741" s="6"/>
      <c r="F1741" s="4"/>
    </row>
    <row r="1742" spans="2:6">
      <c r="B1742" s="1"/>
      <c r="C1742" s="1"/>
      <c r="D1742" s="1"/>
      <c r="E1742" s="6"/>
      <c r="F1742" s="4"/>
    </row>
    <row r="1743" spans="2:6">
      <c r="B1743" s="1"/>
      <c r="C1743" s="1"/>
      <c r="D1743" s="1"/>
      <c r="E1743" s="6"/>
      <c r="F1743" s="4"/>
    </row>
    <row r="1744" spans="2:6">
      <c r="B1744" s="1"/>
      <c r="C1744" s="1"/>
      <c r="D1744" s="1"/>
      <c r="E1744" s="6"/>
      <c r="F1744" s="4"/>
    </row>
    <row r="1745" spans="2:6">
      <c r="B1745" s="1"/>
      <c r="C1745" s="1"/>
      <c r="D1745" s="1"/>
      <c r="E1745" s="6"/>
      <c r="F1745" s="4"/>
    </row>
    <row r="1746" spans="2:6">
      <c r="B1746" s="1"/>
      <c r="C1746" s="1"/>
      <c r="D1746" s="1"/>
      <c r="E1746" s="6"/>
      <c r="F1746" s="4"/>
    </row>
    <row r="1747" spans="2:6">
      <c r="B1747" s="1"/>
      <c r="C1747" s="1"/>
      <c r="D1747" s="1"/>
      <c r="E1747" s="6"/>
      <c r="F1747" s="4"/>
    </row>
    <row r="1748" spans="2:6">
      <c r="B1748" s="1"/>
      <c r="C1748" s="1"/>
      <c r="D1748" s="1"/>
      <c r="E1748" s="6"/>
      <c r="F1748" s="4"/>
    </row>
    <row r="1749" spans="2:6">
      <c r="B1749" s="1"/>
      <c r="C1749" s="1"/>
      <c r="D1749" s="1"/>
      <c r="E1749" s="6"/>
      <c r="F1749" s="4"/>
    </row>
    <row r="1750" spans="2:6">
      <c r="B1750" s="1"/>
      <c r="C1750" s="1"/>
      <c r="D1750" s="1"/>
      <c r="E1750" s="6"/>
      <c r="F1750" s="4"/>
    </row>
    <row r="1751" spans="2:6">
      <c r="B1751" s="1"/>
      <c r="C1751" s="1"/>
      <c r="D1751" s="1"/>
      <c r="E1751" s="6"/>
      <c r="F1751" s="4"/>
    </row>
    <row r="1752" spans="2:6">
      <c r="B1752" s="1"/>
      <c r="C1752" s="1"/>
      <c r="D1752" s="1"/>
      <c r="E1752" s="6"/>
      <c r="F1752" s="4"/>
    </row>
    <row r="1753" spans="2:6">
      <c r="B1753" s="1"/>
      <c r="C1753" s="1"/>
      <c r="D1753" s="1"/>
      <c r="E1753" s="6"/>
      <c r="F1753" s="4"/>
    </row>
    <row r="1754" spans="2:6">
      <c r="B1754" s="1"/>
      <c r="C1754" s="1"/>
      <c r="D1754" s="1"/>
      <c r="E1754" s="6"/>
      <c r="F1754" s="4"/>
    </row>
    <row r="1755" spans="2:6">
      <c r="B1755" s="1"/>
      <c r="C1755" s="1"/>
      <c r="D1755" s="1"/>
      <c r="E1755" s="6"/>
      <c r="F1755" s="4"/>
    </row>
    <row r="1756" spans="2:6">
      <c r="B1756" s="1"/>
      <c r="C1756" s="1"/>
      <c r="D1756" s="1"/>
      <c r="E1756" s="6"/>
      <c r="F1756" s="4"/>
    </row>
    <row r="1757" spans="2:6">
      <c r="B1757" s="1"/>
      <c r="C1757" s="1"/>
      <c r="D1757" s="1"/>
      <c r="E1757" s="6"/>
      <c r="F1757" s="4"/>
    </row>
    <row r="1758" spans="2:6">
      <c r="B1758" s="1"/>
      <c r="C1758" s="1"/>
      <c r="D1758" s="1"/>
      <c r="E1758" s="6"/>
      <c r="F1758" s="4"/>
    </row>
    <row r="1759" spans="2:6">
      <c r="B1759" s="1"/>
      <c r="C1759" s="1"/>
      <c r="D1759" s="1"/>
      <c r="E1759" s="6"/>
      <c r="F1759" s="4"/>
    </row>
    <row r="1760" spans="2:6">
      <c r="B1760" s="1"/>
      <c r="C1760" s="1"/>
      <c r="D1760" s="1"/>
      <c r="E1760" s="6"/>
      <c r="F1760" s="4"/>
    </row>
    <row r="1761" spans="2:6">
      <c r="B1761" s="1"/>
      <c r="C1761" s="1"/>
      <c r="D1761" s="1"/>
      <c r="E1761" s="6"/>
      <c r="F1761" s="4"/>
    </row>
    <row r="1762" spans="2:6">
      <c r="B1762" s="1"/>
      <c r="C1762" s="1"/>
      <c r="D1762" s="1"/>
      <c r="E1762" s="6"/>
      <c r="F1762" s="4"/>
    </row>
    <row r="1763" spans="2:6">
      <c r="B1763" s="1"/>
      <c r="C1763" s="1"/>
      <c r="D1763" s="1"/>
      <c r="E1763" s="6"/>
      <c r="F1763" s="4"/>
    </row>
    <row r="1764" spans="2:6">
      <c r="B1764" s="1"/>
      <c r="C1764" s="1"/>
      <c r="D1764" s="1"/>
      <c r="E1764" s="6"/>
      <c r="F1764" s="4"/>
    </row>
    <row r="1765" spans="2:6">
      <c r="B1765" s="1"/>
      <c r="C1765" s="1"/>
      <c r="D1765" s="1"/>
      <c r="E1765" s="6"/>
      <c r="F1765" s="4"/>
    </row>
    <row r="1766" spans="2:6">
      <c r="B1766" s="1"/>
      <c r="C1766" s="1"/>
      <c r="D1766" s="1"/>
      <c r="E1766" s="6"/>
      <c r="F1766" s="4"/>
    </row>
    <row r="1767" spans="2:6">
      <c r="B1767" s="1"/>
      <c r="C1767" s="1"/>
      <c r="D1767" s="1"/>
      <c r="E1767" s="6"/>
      <c r="F1767" s="4"/>
    </row>
    <row r="1768" spans="2:6">
      <c r="B1768" s="1"/>
      <c r="C1768" s="1"/>
      <c r="D1768" s="1"/>
      <c r="E1768" s="6"/>
      <c r="F1768" s="4"/>
    </row>
    <row r="1769" spans="2:6">
      <c r="B1769" s="1"/>
      <c r="C1769" s="1"/>
      <c r="D1769" s="1"/>
      <c r="E1769" s="6"/>
      <c r="F1769" s="4"/>
    </row>
    <row r="1770" spans="2:6">
      <c r="B1770" s="1"/>
      <c r="C1770" s="1"/>
      <c r="D1770" s="1"/>
      <c r="E1770" s="6"/>
      <c r="F1770" s="4"/>
    </row>
    <row r="1771" spans="2:6">
      <c r="B1771" s="1"/>
      <c r="C1771" s="1"/>
      <c r="D1771" s="1"/>
      <c r="E1771" s="6"/>
      <c r="F1771" s="4"/>
    </row>
    <row r="1772" spans="2:6">
      <c r="B1772" s="1"/>
      <c r="C1772" s="1"/>
      <c r="D1772" s="1"/>
      <c r="E1772" s="6"/>
      <c r="F1772" s="4"/>
    </row>
    <row r="1773" spans="2:6">
      <c r="B1773" s="1"/>
      <c r="C1773" s="1"/>
      <c r="D1773" s="1"/>
      <c r="E1773" s="6"/>
      <c r="F1773" s="4"/>
    </row>
    <row r="1774" spans="2:6">
      <c r="B1774" s="1"/>
      <c r="C1774" s="1"/>
      <c r="D1774" s="1"/>
      <c r="E1774" s="6"/>
      <c r="F1774" s="4"/>
    </row>
    <row r="1775" spans="2:6">
      <c r="B1775" s="1"/>
      <c r="C1775" s="1"/>
      <c r="D1775" s="1"/>
      <c r="E1775" s="6"/>
      <c r="F1775" s="4"/>
    </row>
    <row r="1776" spans="2:6">
      <c r="B1776" s="1"/>
      <c r="C1776" s="1"/>
      <c r="D1776" s="1"/>
      <c r="E1776" s="6"/>
      <c r="F1776" s="4"/>
    </row>
    <row r="1777" spans="2:6">
      <c r="B1777" s="1"/>
      <c r="C1777" s="1"/>
      <c r="D1777" s="1"/>
      <c r="E1777" s="6"/>
      <c r="F1777" s="4"/>
    </row>
    <row r="1778" spans="2:6">
      <c r="B1778" s="1"/>
      <c r="C1778" s="1"/>
      <c r="D1778" s="1"/>
      <c r="E1778" s="6"/>
      <c r="F1778" s="4"/>
    </row>
    <row r="1779" spans="2:6">
      <c r="B1779" s="1"/>
      <c r="C1779" s="1"/>
      <c r="D1779" s="1"/>
      <c r="E1779" s="6"/>
      <c r="F1779" s="4"/>
    </row>
    <row r="1780" spans="2:6">
      <c r="B1780" s="1"/>
      <c r="C1780" s="1"/>
      <c r="D1780" s="1"/>
      <c r="E1780" s="6"/>
      <c r="F1780" s="4"/>
    </row>
    <row r="1781" spans="2:6">
      <c r="B1781" s="1"/>
      <c r="C1781" s="1"/>
      <c r="D1781" s="1"/>
      <c r="E1781" s="6"/>
      <c r="F1781" s="4"/>
    </row>
    <row r="1782" spans="2:6">
      <c r="B1782" s="1"/>
      <c r="C1782" s="1"/>
      <c r="D1782" s="1"/>
      <c r="E1782" s="6"/>
      <c r="F1782" s="4"/>
    </row>
    <row r="1783" spans="2:6">
      <c r="B1783" s="1"/>
      <c r="C1783" s="1"/>
      <c r="D1783" s="1"/>
      <c r="E1783" s="6"/>
      <c r="F1783" s="4"/>
    </row>
    <row r="1784" spans="2:6">
      <c r="B1784" s="1"/>
      <c r="C1784" s="1"/>
      <c r="D1784" s="1"/>
      <c r="E1784" s="6"/>
      <c r="F1784" s="4"/>
    </row>
    <row r="1785" spans="2:6">
      <c r="B1785" s="1"/>
      <c r="C1785" s="1"/>
      <c r="D1785" s="1"/>
      <c r="E1785" s="6"/>
      <c r="F1785" s="4"/>
    </row>
    <row r="1786" spans="2:6">
      <c r="B1786" s="1"/>
      <c r="C1786" s="1"/>
      <c r="D1786" s="1"/>
      <c r="E1786" s="6"/>
      <c r="F1786" s="4"/>
    </row>
    <row r="1787" spans="2:6">
      <c r="B1787" s="1"/>
      <c r="C1787" s="1"/>
      <c r="D1787" s="1"/>
      <c r="E1787" s="6"/>
      <c r="F1787" s="4"/>
    </row>
    <row r="1788" spans="2:6">
      <c r="B1788" s="1"/>
      <c r="C1788" s="1"/>
      <c r="D1788" s="1"/>
      <c r="E1788" s="6"/>
      <c r="F1788" s="4"/>
    </row>
    <row r="1789" spans="2:6">
      <c r="B1789" s="1"/>
      <c r="C1789" s="1"/>
      <c r="D1789" s="1"/>
      <c r="E1789" s="6"/>
      <c r="F1789" s="4"/>
    </row>
    <row r="1790" spans="2:6">
      <c r="B1790" s="1"/>
      <c r="C1790" s="1"/>
      <c r="D1790" s="1"/>
      <c r="E1790" s="6"/>
      <c r="F1790" s="4"/>
    </row>
    <row r="1791" spans="2:6">
      <c r="B1791" s="1"/>
      <c r="C1791" s="1"/>
      <c r="D1791" s="1"/>
      <c r="E1791" s="6"/>
      <c r="F1791" s="4"/>
    </row>
    <row r="1792" spans="2:6">
      <c r="B1792" s="1"/>
      <c r="C1792" s="1"/>
      <c r="D1792" s="1"/>
      <c r="E1792" s="6"/>
      <c r="F1792" s="4"/>
    </row>
    <row r="1793" spans="2:6">
      <c r="B1793" s="1"/>
      <c r="C1793" s="1"/>
      <c r="D1793" s="1"/>
      <c r="E1793" s="6"/>
      <c r="F1793" s="4"/>
    </row>
    <row r="1794" spans="2:6">
      <c r="B1794" s="1"/>
      <c r="C1794" s="1"/>
      <c r="D1794" s="1"/>
      <c r="E1794" s="6"/>
      <c r="F1794" s="4"/>
    </row>
    <row r="1795" spans="2:6">
      <c r="B1795" s="1"/>
      <c r="C1795" s="1"/>
      <c r="D1795" s="1"/>
      <c r="E1795" s="6"/>
      <c r="F1795" s="4"/>
    </row>
    <row r="1796" spans="2:6">
      <c r="B1796" s="1"/>
      <c r="C1796" s="1"/>
      <c r="D1796" s="1"/>
      <c r="E1796" s="6"/>
      <c r="F1796" s="4"/>
    </row>
    <row r="1797" spans="2:6">
      <c r="B1797" s="1"/>
      <c r="C1797" s="1"/>
      <c r="D1797" s="1"/>
      <c r="E1797" s="6"/>
      <c r="F1797" s="4"/>
    </row>
    <row r="1798" spans="2:6">
      <c r="B1798" s="1"/>
      <c r="C1798" s="1"/>
      <c r="D1798" s="1"/>
      <c r="E1798" s="6"/>
      <c r="F1798" s="4"/>
    </row>
    <row r="1799" spans="2:6">
      <c r="B1799" s="1"/>
      <c r="C1799" s="1"/>
      <c r="D1799" s="1"/>
      <c r="E1799" s="6"/>
      <c r="F1799" s="4"/>
    </row>
    <row r="1800" spans="2:6">
      <c r="B1800" s="1"/>
      <c r="C1800" s="1"/>
      <c r="D1800" s="1"/>
      <c r="E1800" s="6"/>
      <c r="F1800" s="4"/>
    </row>
    <row r="1801" spans="2:6">
      <c r="B1801" s="1"/>
      <c r="C1801" s="1"/>
      <c r="D1801" s="1"/>
      <c r="E1801" s="6"/>
      <c r="F1801" s="4"/>
    </row>
    <row r="1802" spans="2:6">
      <c r="B1802" s="1"/>
      <c r="C1802" s="1"/>
      <c r="D1802" s="1"/>
      <c r="E1802" s="6"/>
      <c r="F1802" s="4"/>
    </row>
    <row r="1803" spans="2:6">
      <c r="B1803" s="1"/>
      <c r="C1803" s="1"/>
      <c r="D1803" s="1"/>
      <c r="E1803" s="6"/>
      <c r="F1803" s="4"/>
    </row>
    <row r="1804" spans="2:6">
      <c r="B1804" s="1"/>
      <c r="C1804" s="1"/>
      <c r="D1804" s="1"/>
      <c r="E1804" s="6"/>
      <c r="F1804" s="4"/>
    </row>
    <row r="1805" spans="2:6">
      <c r="B1805" s="1"/>
      <c r="C1805" s="1"/>
      <c r="D1805" s="1"/>
      <c r="E1805" s="6"/>
      <c r="F1805" s="4"/>
    </row>
    <row r="1806" spans="2:6">
      <c r="B1806" s="1"/>
      <c r="C1806" s="1"/>
      <c r="D1806" s="1"/>
      <c r="E1806" s="6"/>
      <c r="F1806" s="4"/>
    </row>
    <row r="1807" spans="2:6">
      <c r="B1807" s="1"/>
      <c r="C1807" s="1"/>
      <c r="D1807" s="1"/>
      <c r="E1807" s="6"/>
      <c r="F1807" s="4"/>
    </row>
    <row r="1808" spans="2:6">
      <c r="B1808" s="1"/>
      <c r="C1808" s="1"/>
      <c r="D1808" s="1"/>
      <c r="E1808" s="6"/>
      <c r="F1808" s="4"/>
    </row>
    <row r="1809" spans="2:6">
      <c r="B1809" s="1"/>
      <c r="C1809" s="1"/>
      <c r="D1809" s="1"/>
      <c r="E1809" s="6"/>
      <c r="F1809" s="4"/>
    </row>
    <row r="1810" spans="2:6">
      <c r="B1810" s="1"/>
      <c r="C1810" s="1"/>
      <c r="D1810" s="1"/>
      <c r="E1810" s="6"/>
      <c r="F1810" s="4"/>
    </row>
    <row r="1811" spans="2:6">
      <c r="B1811" s="1"/>
      <c r="C1811" s="1"/>
      <c r="D1811" s="1"/>
      <c r="E1811" s="6"/>
      <c r="F1811" s="4"/>
    </row>
    <row r="1812" spans="2:6">
      <c r="B1812" s="1"/>
      <c r="C1812" s="1"/>
      <c r="D1812" s="1"/>
      <c r="E1812" s="6"/>
      <c r="F1812" s="4"/>
    </row>
    <row r="1813" spans="2:6">
      <c r="B1813" s="1"/>
      <c r="C1813" s="1"/>
      <c r="D1813" s="1"/>
      <c r="E1813" s="6"/>
      <c r="F1813" s="4"/>
    </row>
    <row r="1814" spans="2:6">
      <c r="B1814" s="1"/>
      <c r="C1814" s="1"/>
      <c r="D1814" s="1"/>
      <c r="E1814" s="6"/>
      <c r="F1814" s="4"/>
    </row>
    <row r="1815" spans="2:6">
      <c r="B1815" s="1"/>
      <c r="C1815" s="1"/>
      <c r="D1815" s="1"/>
      <c r="E1815" s="6"/>
      <c r="F1815" s="4"/>
    </row>
    <row r="1816" spans="2:6">
      <c r="B1816" s="1"/>
      <c r="C1816" s="1"/>
      <c r="D1816" s="1"/>
      <c r="E1816" s="6"/>
      <c r="F1816" s="4"/>
    </row>
    <row r="1817" spans="2:6">
      <c r="B1817" s="1"/>
      <c r="C1817" s="1"/>
      <c r="D1817" s="1"/>
      <c r="E1817" s="6"/>
      <c r="F1817" s="4"/>
    </row>
    <row r="1818" spans="2:6">
      <c r="B1818" s="1"/>
      <c r="C1818" s="1"/>
      <c r="D1818" s="1"/>
      <c r="E1818" s="6"/>
      <c r="F1818" s="4"/>
    </row>
    <row r="1819" spans="2:6">
      <c r="B1819" s="1"/>
      <c r="C1819" s="1"/>
      <c r="D1819" s="1"/>
      <c r="E1819" s="6"/>
      <c r="F1819" s="4"/>
    </row>
    <row r="1820" spans="2:6">
      <c r="B1820" s="1"/>
      <c r="C1820" s="1"/>
      <c r="D1820" s="1"/>
      <c r="E1820" s="6"/>
      <c r="F1820" s="4"/>
    </row>
    <row r="1821" spans="2:6">
      <c r="B1821" s="1"/>
      <c r="C1821" s="1"/>
      <c r="D1821" s="1"/>
      <c r="E1821" s="6"/>
      <c r="F1821" s="4"/>
    </row>
    <row r="1822" spans="2:6">
      <c r="B1822" s="1"/>
      <c r="C1822" s="1"/>
      <c r="D1822" s="1"/>
      <c r="E1822" s="6"/>
      <c r="F1822" s="4"/>
    </row>
    <row r="1823" spans="2:6">
      <c r="B1823" s="1"/>
      <c r="C1823" s="1"/>
      <c r="D1823" s="1"/>
      <c r="E1823" s="6"/>
      <c r="F1823" s="4"/>
    </row>
    <row r="1824" spans="2:6">
      <c r="B1824" s="1"/>
      <c r="C1824" s="1"/>
      <c r="D1824" s="1"/>
      <c r="E1824" s="6"/>
      <c r="F1824" s="4"/>
    </row>
    <row r="1825" spans="2:6">
      <c r="B1825" s="1"/>
      <c r="C1825" s="1"/>
      <c r="D1825" s="1"/>
      <c r="E1825" s="6"/>
      <c r="F1825" s="4"/>
    </row>
    <row r="1826" spans="2:6">
      <c r="B1826" s="1"/>
      <c r="C1826" s="1"/>
      <c r="D1826" s="1"/>
      <c r="E1826" s="6"/>
      <c r="F1826" s="4"/>
    </row>
    <row r="1827" spans="2:6">
      <c r="B1827" s="1"/>
      <c r="C1827" s="1"/>
      <c r="D1827" s="1"/>
      <c r="E1827" s="6"/>
      <c r="F1827" s="4"/>
    </row>
    <row r="1828" spans="2:6">
      <c r="B1828" s="1"/>
      <c r="C1828" s="1"/>
      <c r="D1828" s="1"/>
      <c r="E1828" s="6"/>
      <c r="F1828" s="4"/>
    </row>
    <row r="1829" spans="2:6">
      <c r="B1829" s="1"/>
      <c r="C1829" s="1"/>
      <c r="D1829" s="1"/>
      <c r="E1829" s="6"/>
      <c r="F1829" s="4"/>
    </row>
    <row r="1830" spans="2:6">
      <c r="B1830" s="1"/>
      <c r="C1830" s="1"/>
      <c r="D1830" s="1"/>
      <c r="E1830" s="6"/>
      <c r="F1830" s="4"/>
    </row>
    <row r="1831" spans="2:6">
      <c r="B1831" s="1"/>
      <c r="C1831" s="1"/>
      <c r="D1831" s="1"/>
      <c r="E1831" s="6"/>
      <c r="F1831" s="4"/>
    </row>
    <row r="1832" spans="2:6">
      <c r="B1832" s="1"/>
      <c r="C1832" s="1"/>
      <c r="D1832" s="1"/>
      <c r="E1832" s="6"/>
      <c r="F1832" s="4"/>
    </row>
    <row r="1833" spans="2:6">
      <c r="B1833" s="1"/>
      <c r="C1833" s="1"/>
      <c r="D1833" s="1"/>
      <c r="E1833" s="6"/>
      <c r="F1833" s="4"/>
    </row>
    <row r="1834" spans="2:6">
      <c r="B1834" s="1"/>
      <c r="C1834" s="1"/>
      <c r="D1834" s="1"/>
      <c r="E1834" s="6"/>
      <c r="F1834" s="4"/>
    </row>
    <row r="1835" spans="2:6">
      <c r="B1835" s="1"/>
      <c r="C1835" s="1"/>
      <c r="D1835" s="1"/>
      <c r="E1835" s="6"/>
      <c r="F1835" s="4"/>
    </row>
    <row r="1836" spans="2:6">
      <c r="B1836" s="1"/>
      <c r="C1836" s="1"/>
      <c r="D1836" s="1"/>
      <c r="E1836" s="6"/>
      <c r="F1836" s="4"/>
    </row>
    <row r="1837" spans="2:6">
      <c r="B1837" s="1"/>
      <c r="C1837" s="1"/>
      <c r="D1837" s="1"/>
      <c r="E1837" s="6"/>
      <c r="F1837" s="4"/>
    </row>
    <row r="1838" spans="2:6">
      <c r="B1838" s="1"/>
      <c r="C1838" s="1"/>
      <c r="D1838" s="1"/>
      <c r="E1838" s="6"/>
      <c r="F1838" s="4"/>
    </row>
    <row r="1839" spans="2:6">
      <c r="B1839" s="1"/>
      <c r="C1839" s="1"/>
      <c r="D1839" s="1"/>
      <c r="E1839" s="6"/>
      <c r="F1839" s="4"/>
    </row>
    <row r="1840" spans="2:6">
      <c r="B1840" s="1"/>
      <c r="C1840" s="1"/>
      <c r="D1840" s="1"/>
      <c r="E1840" s="6"/>
      <c r="F1840" s="4"/>
    </row>
    <row r="1841" spans="2:6">
      <c r="B1841" s="1"/>
      <c r="C1841" s="1"/>
      <c r="D1841" s="1"/>
      <c r="E1841" s="6"/>
      <c r="F1841" s="4"/>
    </row>
    <row r="1842" spans="2:6">
      <c r="B1842" s="1"/>
      <c r="C1842" s="1"/>
      <c r="D1842" s="1"/>
      <c r="E1842" s="6"/>
      <c r="F1842" s="4"/>
    </row>
    <row r="1843" spans="2:6">
      <c r="B1843" s="1"/>
      <c r="C1843" s="1"/>
      <c r="D1843" s="1"/>
      <c r="E1843" s="6"/>
      <c r="F1843" s="4"/>
    </row>
    <row r="1844" spans="2:6">
      <c r="B1844" s="1"/>
      <c r="C1844" s="1"/>
      <c r="D1844" s="1"/>
      <c r="E1844" s="6"/>
      <c r="F1844" s="4"/>
    </row>
    <row r="1845" spans="2:6">
      <c r="B1845" s="1"/>
      <c r="C1845" s="1"/>
      <c r="D1845" s="1"/>
      <c r="E1845" s="6"/>
      <c r="F1845" s="4"/>
    </row>
    <row r="1846" spans="2:6">
      <c r="B1846" s="1"/>
      <c r="C1846" s="1"/>
      <c r="D1846" s="1"/>
      <c r="E1846" s="6"/>
      <c r="F1846" s="4"/>
    </row>
    <row r="1847" spans="2:6">
      <c r="B1847" s="1"/>
      <c r="C1847" s="1"/>
      <c r="D1847" s="1"/>
      <c r="E1847" s="6"/>
      <c r="F1847" s="4"/>
    </row>
    <row r="1848" spans="2:6">
      <c r="B1848" s="1"/>
      <c r="C1848" s="1"/>
      <c r="D1848" s="1"/>
      <c r="E1848" s="6"/>
      <c r="F1848" s="4"/>
    </row>
    <row r="1849" spans="2:6">
      <c r="B1849" s="1"/>
      <c r="C1849" s="1"/>
      <c r="D1849" s="1"/>
      <c r="E1849" s="6"/>
      <c r="F1849" s="4"/>
    </row>
    <row r="1850" spans="2:6">
      <c r="B1850" s="1"/>
      <c r="C1850" s="1"/>
      <c r="D1850" s="1"/>
      <c r="E1850" s="6"/>
      <c r="F1850" s="4"/>
    </row>
    <row r="1851" spans="2:6">
      <c r="B1851" s="1"/>
      <c r="C1851" s="1"/>
      <c r="D1851" s="1"/>
      <c r="E1851" s="6"/>
      <c r="F1851" s="4"/>
    </row>
    <row r="1852" spans="2:6">
      <c r="B1852" s="1"/>
      <c r="C1852" s="1"/>
      <c r="D1852" s="1"/>
      <c r="E1852" s="6"/>
      <c r="F1852" s="4"/>
    </row>
    <row r="1853" spans="2:6">
      <c r="B1853" s="1"/>
      <c r="C1853" s="1"/>
      <c r="D1853" s="1"/>
      <c r="E1853" s="6"/>
      <c r="F1853" s="4"/>
    </row>
    <row r="1854" spans="2:6">
      <c r="B1854" s="1"/>
      <c r="C1854" s="1"/>
      <c r="D1854" s="1"/>
      <c r="E1854" s="6"/>
      <c r="F1854" s="4"/>
    </row>
    <row r="1855" spans="2:6">
      <c r="B1855" s="1"/>
      <c r="C1855" s="1"/>
      <c r="D1855" s="1"/>
      <c r="E1855" s="6"/>
      <c r="F1855" s="4"/>
    </row>
    <row r="1856" spans="2:6">
      <c r="B1856" s="1"/>
      <c r="C1856" s="1"/>
      <c r="D1856" s="1"/>
      <c r="E1856" s="6"/>
      <c r="F1856" s="4"/>
    </row>
    <row r="1857" spans="2:6">
      <c r="B1857" s="1"/>
      <c r="C1857" s="1"/>
      <c r="D1857" s="1"/>
      <c r="E1857" s="6"/>
      <c r="F1857" s="4"/>
    </row>
    <row r="1858" spans="2:6">
      <c r="B1858" s="1"/>
      <c r="C1858" s="1"/>
      <c r="D1858" s="1"/>
      <c r="E1858" s="6"/>
      <c r="F1858" s="4"/>
    </row>
    <row r="1859" spans="2:6">
      <c r="B1859" s="1"/>
      <c r="C1859" s="1"/>
      <c r="D1859" s="1"/>
      <c r="E1859" s="6"/>
      <c r="F1859" s="4"/>
    </row>
    <row r="1860" spans="2:6">
      <c r="B1860" s="1"/>
      <c r="C1860" s="1"/>
      <c r="D1860" s="1"/>
      <c r="E1860" s="6"/>
      <c r="F1860" s="4"/>
    </row>
    <row r="1861" spans="2:6">
      <c r="B1861" s="1"/>
      <c r="C1861" s="1"/>
      <c r="D1861" s="1"/>
      <c r="E1861" s="6"/>
      <c r="F1861" s="4"/>
    </row>
    <row r="1862" spans="2:6">
      <c r="B1862" s="1"/>
      <c r="C1862" s="1"/>
      <c r="D1862" s="1"/>
      <c r="E1862" s="6"/>
      <c r="F1862" s="4"/>
    </row>
    <row r="1863" spans="2:6">
      <c r="B1863" s="1"/>
      <c r="C1863" s="1"/>
      <c r="D1863" s="1"/>
      <c r="E1863" s="6"/>
      <c r="F1863" s="4"/>
    </row>
    <row r="1864" spans="2:6">
      <c r="B1864" s="1"/>
      <c r="C1864" s="1"/>
      <c r="D1864" s="1"/>
      <c r="E1864" s="6"/>
      <c r="F1864" s="4"/>
    </row>
    <row r="1865" spans="2:6">
      <c r="B1865" s="1"/>
      <c r="C1865" s="1"/>
      <c r="D1865" s="1"/>
      <c r="E1865" s="6"/>
      <c r="F1865" s="4"/>
    </row>
    <row r="1866" spans="2:6">
      <c r="B1866" s="1"/>
      <c r="C1866" s="1"/>
      <c r="D1866" s="1"/>
      <c r="E1866" s="6"/>
      <c r="F1866" s="4"/>
    </row>
    <row r="1867" spans="2:6">
      <c r="B1867" s="1"/>
      <c r="C1867" s="1"/>
      <c r="D1867" s="1"/>
      <c r="E1867" s="6"/>
      <c r="F1867" s="4"/>
    </row>
    <row r="1868" spans="2:6">
      <c r="B1868" s="1"/>
      <c r="C1868" s="1"/>
      <c r="D1868" s="1"/>
      <c r="E1868" s="6"/>
      <c r="F1868" s="4"/>
    </row>
    <row r="1869" spans="2:6">
      <c r="B1869" s="1"/>
      <c r="C1869" s="1"/>
      <c r="D1869" s="1"/>
      <c r="E1869" s="6"/>
      <c r="F1869" s="4"/>
    </row>
    <row r="1870" spans="2:6">
      <c r="B1870" s="1"/>
      <c r="C1870" s="1"/>
      <c r="D1870" s="1"/>
      <c r="E1870" s="6"/>
      <c r="F1870" s="4"/>
    </row>
    <row r="1871" spans="2:6">
      <c r="B1871" s="1"/>
      <c r="C1871" s="1"/>
      <c r="D1871" s="1"/>
      <c r="E1871" s="6"/>
      <c r="F1871" s="4"/>
    </row>
    <row r="1872" spans="2:6">
      <c r="B1872" s="1"/>
      <c r="C1872" s="1"/>
      <c r="D1872" s="1"/>
      <c r="E1872" s="6"/>
      <c r="F1872" s="4"/>
    </row>
    <row r="1873" spans="2:6">
      <c r="B1873" s="1"/>
      <c r="C1873" s="1"/>
      <c r="D1873" s="1"/>
      <c r="E1873" s="6"/>
      <c r="F1873" s="4"/>
    </row>
    <row r="1874" spans="2:6">
      <c r="B1874" s="1"/>
      <c r="C1874" s="1"/>
      <c r="D1874" s="1"/>
      <c r="E1874" s="6"/>
      <c r="F1874" s="4"/>
    </row>
    <row r="1875" spans="2:6">
      <c r="B1875" s="1"/>
      <c r="C1875" s="1"/>
      <c r="D1875" s="1"/>
      <c r="E1875" s="6"/>
      <c r="F1875" s="4"/>
    </row>
    <row r="1876" spans="2:6">
      <c r="B1876" s="1"/>
      <c r="C1876" s="1"/>
      <c r="D1876" s="1"/>
      <c r="E1876" s="6"/>
      <c r="F1876" s="4"/>
    </row>
    <row r="1877" spans="2:6">
      <c r="B1877" s="1"/>
      <c r="C1877" s="1"/>
      <c r="D1877" s="1"/>
      <c r="E1877" s="6"/>
      <c r="F1877" s="4"/>
    </row>
    <row r="1878" spans="2:6">
      <c r="B1878" s="1"/>
      <c r="C1878" s="1"/>
      <c r="D1878" s="1"/>
      <c r="E1878" s="6"/>
      <c r="F1878" s="4"/>
    </row>
    <row r="1879" spans="2:6">
      <c r="B1879" s="1"/>
      <c r="C1879" s="1"/>
      <c r="D1879" s="1"/>
      <c r="E1879" s="6"/>
      <c r="F1879" s="4"/>
    </row>
    <row r="1880" spans="2:6">
      <c r="B1880" s="1"/>
      <c r="C1880" s="1"/>
      <c r="D1880" s="1"/>
      <c r="E1880" s="6"/>
      <c r="F1880" s="4"/>
    </row>
    <row r="1881" spans="2:6">
      <c r="B1881" s="1"/>
      <c r="C1881" s="1"/>
      <c r="D1881" s="1"/>
      <c r="E1881" s="6"/>
      <c r="F1881" s="4"/>
    </row>
    <row r="1882" spans="2:6">
      <c r="B1882" s="1"/>
      <c r="C1882" s="1"/>
      <c r="D1882" s="1"/>
      <c r="E1882" s="6"/>
      <c r="F1882" s="4"/>
    </row>
    <row r="1883" spans="2:6">
      <c r="B1883" s="1"/>
      <c r="C1883" s="1"/>
      <c r="D1883" s="1"/>
      <c r="E1883" s="6"/>
      <c r="F1883" s="4"/>
    </row>
    <row r="1884" spans="2:6">
      <c r="B1884" s="1"/>
      <c r="C1884" s="1"/>
      <c r="D1884" s="1"/>
      <c r="E1884" s="6"/>
      <c r="F1884" s="4"/>
    </row>
    <row r="1885" spans="2:6">
      <c r="B1885" s="1"/>
      <c r="C1885" s="1"/>
      <c r="D1885" s="1"/>
      <c r="E1885" s="6"/>
      <c r="F1885" s="4"/>
    </row>
    <row r="1886" spans="2:6">
      <c r="B1886" s="1"/>
      <c r="C1886" s="1"/>
      <c r="D1886" s="1"/>
      <c r="E1886" s="6"/>
      <c r="F1886" s="4"/>
    </row>
    <row r="1887" spans="2:6">
      <c r="B1887" s="1"/>
      <c r="C1887" s="1"/>
      <c r="D1887" s="1"/>
      <c r="E1887" s="6"/>
      <c r="F1887" s="4"/>
    </row>
    <row r="1888" spans="2:6">
      <c r="B1888" s="1"/>
      <c r="C1888" s="1"/>
      <c r="D1888" s="1"/>
      <c r="E1888" s="6"/>
      <c r="F1888" s="4"/>
    </row>
    <row r="1889" spans="2:6">
      <c r="B1889" s="1"/>
      <c r="C1889" s="1"/>
      <c r="D1889" s="1"/>
      <c r="E1889" s="6"/>
      <c r="F1889" s="4"/>
    </row>
    <row r="1890" spans="2:6">
      <c r="B1890" s="1"/>
      <c r="C1890" s="1"/>
      <c r="D1890" s="1"/>
      <c r="E1890" s="6"/>
      <c r="F1890" s="4"/>
    </row>
    <row r="1891" spans="2:6">
      <c r="B1891" s="1"/>
      <c r="C1891" s="1"/>
      <c r="D1891" s="1"/>
      <c r="E1891" s="6"/>
      <c r="F1891" s="4"/>
    </row>
    <row r="1892" spans="2:6">
      <c r="B1892" s="1"/>
      <c r="C1892" s="1"/>
      <c r="D1892" s="1"/>
      <c r="E1892" s="6"/>
      <c r="F1892" s="4"/>
    </row>
    <row r="1893" spans="2:6">
      <c r="B1893" s="1"/>
      <c r="C1893" s="1"/>
      <c r="D1893" s="1"/>
      <c r="E1893" s="6"/>
      <c r="F1893" s="4"/>
    </row>
    <row r="1894" spans="2:6">
      <c r="B1894" s="1"/>
      <c r="C1894" s="1"/>
      <c r="D1894" s="1"/>
      <c r="E1894" s="6"/>
      <c r="F1894" s="4"/>
    </row>
    <row r="1895" spans="2:6">
      <c r="B1895" s="1"/>
      <c r="C1895" s="1"/>
      <c r="D1895" s="1"/>
      <c r="E1895" s="6"/>
      <c r="F1895" s="4"/>
    </row>
    <row r="1896" spans="2:6">
      <c r="B1896" s="1"/>
      <c r="C1896" s="1"/>
      <c r="D1896" s="1"/>
      <c r="E1896" s="6"/>
      <c r="F1896" s="4"/>
    </row>
    <row r="1897" spans="2:6">
      <c r="B1897" s="1"/>
      <c r="C1897" s="1"/>
      <c r="D1897" s="1"/>
      <c r="E1897" s="6"/>
      <c r="F1897" s="4"/>
    </row>
    <row r="1898" spans="2:6">
      <c r="B1898" s="1"/>
      <c r="C1898" s="1"/>
      <c r="D1898" s="1"/>
      <c r="E1898" s="6"/>
      <c r="F1898" s="4"/>
    </row>
    <row r="1899" spans="2:6">
      <c r="B1899" s="1"/>
      <c r="C1899" s="1"/>
      <c r="D1899" s="1"/>
      <c r="E1899" s="6"/>
      <c r="F1899" s="4"/>
    </row>
    <row r="1900" spans="2:6">
      <c r="B1900" s="1"/>
      <c r="C1900" s="1"/>
      <c r="D1900" s="1"/>
      <c r="E1900" s="6"/>
      <c r="F1900" s="4"/>
    </row>
    <row r="1901" spans="2:6">
      <c r="B1901" s="1"/>
      <c r="C1901" s="1"/>
      <c r="D1901" s="1"/>
      <c r="E1901" s="6"/>
      <c r="F1901" s="4"/>
    </row>
    <row r="1902" spans="2:6">
      <c r="B1902" s="1"/>
      <c r="C1902" s="1"/>
      <c r="D1902" s="1"/>
      <c r="E1902" s="6"/>
      <c r="F1902" s="4"/>
    </row>
    <row r="1903" spans="2:6">
      <c r="B1903" s="1"/>
      <c r="C1903" s="1"/>
      <c r="D1903" s="1"/>
      <c r="E1903" s="6"/>
      <c r="F1903" s="4"/>
    </row>
    <row r="1904" spans="2:6">
      <c r="B1904" s="1"/>
      <c r="C1904" s="1"/>
      <c r="D1904" s="1"/>
      <c r="E1904" s="6"/>
      <c r="F1904" s="4"/>
    </row>
    <row r="1905" spans="2:6">
      <c r="B1905" s="1"/>
      <c r="C1905" s="1"/>
      <c r="D1905" s="1"/>
      <c r="E1905" s="6"/>
      <c r="F1905" s="4"/>
    </row>
    <row r="1906" spans="2:6">
      <c r="B1906" s="1"/>
      <c r="C1906" s="1"/>
      <c r="D1906" s="1"/>
      <c r="E1906" s="6"/>
      <c r="F1906" s="4"/>
    </row>
    <row r="1907" spans="2:6">
      <c r="B1907" s="1"/>
      <c r="C1907" s="1"/>
      <c r="D1907" s="1"/>
      <c r="E1907" s="6"/>
      <c r="F1907" s="4"/>
    </row>
    <row r="1908" spans="2:6">
      <c r="B1908" s="1"/>
      <c r="C1908" s="1"/>
      <c r="D1908" s="1"/>
      <c r="E1908" s="6"/>
      <c r="F1908" s="4"/>
    </row>
    <row r="1909" spans="2:6">
      <c r="B1909" s="1"/>
      <c r="C1909" s="1"/>
      <c r="D1909" s="1"/>
      <c r="E1909" s="6"/>
      <c r="F1909" s="4"/>
    </row>
    <row r="1910" spans="2:6">
      <c r="B1910" s="1"/>
      <c r="C1910" s="1"/>
      <c r="D1910" s="1"/>
      <c r="E1910" s="6"/>
      <c r="F1910" s="4"/>
    </row>
    <row r="1911" spans="2:6">
      <c r="B1911" s="1"/>
      <c r="C1911" s="1"/>
      <c r="D1911" s="1"/>
      <c r="E1911" s="6"/>
      <c r="F1911" s="4"/>
    </row>
    <row r="1912" spans="2:6">
      <c r="B1912" s="1"/>
      <c r="C1912" s="1"/>
      <c r="D1912" s="1"/>
      <c r="E1912" s="6"/>
      <c r="F1912" s="4"/>
    </row>
    <row r="1913" spans="2:6">
      <c r="B1913" s="1"/>
      <c r="C1913" s="1"/>
      <c r="D1913" s="1"/>
      <c r="E1913" s="6"/>
      <c r="F1913" s="4"/>
    </row>
    <row r="1914" spans="2:6">
      <c r="B1914" s="1"/>
      <c r="C1914" s="1"/>
      <c r="D1914" s="1"/>
      <c r="E1914" s="6"/>
      <c r="F1914" s="4"/>
    </row>
    <row r="1915" spans="2:6">
      <c r="B1915" s="1"/>
      <c r="C1915" s="1"/>
      <c r="D1915" s="1"/>
      <c r="E1915" s="6"/>
      <c r="F1915" s="4"/>
    </row>
    <row r="1916" spans="2:6">
      <c r="B1916" s="1"/>
      <c r="C1916" s="1"/>
      <c r="D1916" s="1"/>
      <c r="E1916" s="6"/>
      <c r="F1916" s="4"/>
    </row>
    <row r="1917" spans="2:6">
      <c r="B1917" s="1"/>
      <c r="C1917" s="1"/>
      <c r="D1917" s="1"/>
      <c r="E1917" s="6"/>
      <c r="F1917" s="4"/>
    </row>
    <row r="1918" spans="2:6">
      <c r="B1918" s="1"/>
      <c r="C1918" s="1"/>
      <c r="D1918" s="1"/>
      <c r="E1918" s="6"/>
      <c r="F1918" s="4"/>
    </row>
    <row r="1919" spans="2:6">
      <c r="B1919" s="1"/>
      <c r="C1919" s="1"/>
      <c r="D1919" s="1"/>
      <c r="E1919" s="6"/>
      <c r="F1919" s="4"/>
    </row>
    <row r="1920" spans="2:6">
      <c r="B1920" s="1"/>
      <c r="C1920" s="1"/>
      <c r="D1920" s="1"/>
      <c r="E1920" s="6"/>
      <c r="F1920" s="4"/>
    </row>
    <row r="1921" spans="2:6">
      <c r="B1921" s="1"/>
      <c r="C1921" s="1"/>
      <c r="D1921" s="1"/>
      <c r="E1921" s="6"/>
      <c r="F1921" s="4"/>
    </row>
    <row r="1922" spans="2:6">
      <c r="B1922" s="1"/>
      <c r="C1922" s="1"/>
      <c r="D1922" s="1"/>
      <c r="E1922" s="6"/>
      <c r="F1922" s="4"/>
    </row>
    <row r="1923" spans="2:6">
      <c r="B1923" s="1"/>
      <c r="C1923" s="1"/>
      <c r="D1923" s="1"/>
      <c r="E1923" s="6"/>
      <c r="F1923" s="4"/>
    </row>
    <row r="1924" spans="2:6">
      <c r="B1924" s="1"/>
      <c r="C1924" s="1"/>
      <c r="D1924" s="1"/>
      <c r="E1924" s="6"/>
      <c r="F1924" s="4"/>
    </row>
    <row r="1925" spans="2:6">
      <c r="B1925" s="1"/>
      <c r="C1925" s="1"/>
      <c r="D1925" s="1"/>
      <c r="E1925" s="6"/>
      <c r="F1925" s="4"/>
    </row>
    <row r="1926" spans="2:6">
      <c r="B1926" s="1"/>
      <c r="C1926" s="1"/>
      <c r="D1926" s="1"/>
      <c r="E1926" s="6"/>
      <c r="F1926" s="4"/>
    </row>
    <row r="1927" spans="2:6">
      <c r="B1927" s="1"/>
      <c r="C1927" s="1"/>
      <c r="D1927" s="1"/>
      <c r="E1927" s="6"/>
      <c r="F1927" s="4"/>
    </row>
    <row r="1928" spans="2:6">
      <c r="B1928" s="1"/>
      <c r="C1928" s="1"/>
      <c r="D1928" s="1"/>
      <c r="E1928" s="6"/>
      <c r="F1928" s="4"/>
    </row>
    <row r="1929" spans="2:6">
      <c r="B1929" s="1"/>
      <c r="C1929" s="1"/>
      <c r="D1929" s="1"/>
      <c r="E1929" s="6"/>
      <c r="F1929" s="4"/>
    </row>
    <row r="1930" spans="2:6">
      <c r="B1930" s="1"/>
      <c r="C1930" s="1"/>
      <c r="D1930" s="1"/>
      <c r="E1930" s="6"/>
      <c r="F1930" s="4"/>
    </row>
    <row r="1931" spans="2:6">
      <c r="B1931" s="1"/>
      <c r="C1931" s="1"/>
      <c r="D1931" s="1"/>
      <c r="E1931" s="6"/>
      <c r="F1931" s="4"/>
    </row>
    <row r="1932" spans="2:6">
      <c r="B1932" s="1"/>
      <c r="C1932" s="1"/>
      <c r="D1932" s="1"/>
      <c r="E1932" s="6"/>
      <c r="F1932" s="4"/>
    </row>
    <row r="1933" spans="2:6">
      <c r="B1933" s="1"/>
      <c r="C1933" s="1"/>
      <c r="D1933" s="1"/>
      <c r="E1933" s="6"/>
      <c r="F1933" s="4"/>
    </row>
    <row r="1934" spans="2:6">
      <c r="B1934" s="1"/>
      <c r="C1934" s="1"/>
      <c r="D1934" s="1"/>
      <c r="E1934" s="6"/>
      <c r="F1934" s="4"/>
    </row>
    <row r="1935" spans="2:6">
      <c r="B1935" s="1"/>
      <c r="C1935" s="1"/>
      <c r="D1935" s="1"/>
      <c r="E1935" s="6"/>
      <c r="F1935" s="4"/>
    </row>
    <row r="1936" spans="2:6">
      <c r="B1936" s="1"/>
      <c r="C1936" s="1"/>
      <c r="D1936" s="1"/>
      <c r="E1936" s="6"/>
      <c r="F1936" s="4"/>
    </row>
    <row r="1937" spans="2:6">
      <c r="B1937" s="1"/>
      <c r="C1937" s="1"/>
      <c r="D1937" s="1"/>
      <c r="E1937" s="6"/>
      <c r="F1937" s="4"/>
    </row>
    <row r="1938" spans="2:6">
      <c r="B1938" s="1"/>
      <c r="C1938" s="1"/>
      <c r="D1938" s="1"/>
      <c r="E1938" s="6"/>
      <c r="F1938" s="4"/>
    </row>
    <row r="1939" spans="2:6">
      <c r="B1939" s="1"/>
      <c r="C1939" s="1"/>
      <c r="D1939" s="1"/>
      <c r="E1939" s="6"/>
      <c r="F1939" s="4"/>
    </row>
    <row r="1940" spans="2:6">
      <c r="B1940" s="1"/>
      <c r="C1940" s="1"/>
      <c r="D1940" s="1"/>
      <c r="E1940" s="6"/>
      <c r="F1940" s="4"/>
    </row>
    <row r="1941" spans="2:6">
      <c r="B1941" s="1"/>
      <c r="C1941" s="1"/>
      <c r="D1941" s="1"/>
      <c r="E1941" s="6"/>
      <c r="F1941" s="4"/>
    </row>
    <row r="1942" spans="2:6">
      <c r="B1942" s="1"/>
      <c r="C1942" s="1"/>
      <c r="D1942" s="1"/>
      <c r="E1942" s="6"/>
      <c r="F1942" s="4"/>
    </row>
    <row r="1943" spans="2:6">
      <c r="B1943" s="1"/>
      <c r="C1943" s="1"/>
      <c r="D1943" s="1"/>
      <c r="E1943" s="6"/>
      <c r="F1943" s="4"/>
    </row>
    <row r="1944" spans="2:6">
      <c r="B1944" s="1"/>
      <c r="C1944" s="1"/>
      <c r="D1944" s="1"/>
      <c r="E1944" s="6"/>
      <c r="F1944" s="4"/>
    </row>
    <row r="1945" spans="2:6">
      <c r="B1945" s="1"/>
      <c r="C1945" s="1"/>
      <c r="D1945" s="1"/>
      <c r="E1945" s="6"/>
      <c r="F1945" s="4"/>
    </row>
    <row r="1946" spans="2:6">
      <c r="B1946" s="1"/>
      <c r="C1946" s="1"/>
      <c r="D1946" s="1"/>
      <c r="E1946" s="6"/>
      <c r="F1946" s="4"/>
    </row>
    <row r="1947" spans="2:6">
      <c r="B1947" s="1"/>
      <c r="C1947" s="1"/>
      <c r="D1947" s="1"/>
      <c r="E1947" s="6"/>
      <c r="F1947" s="4"/>
    </row>
    <row r="1948" spans="2:6">
      <c r="B1948" s="1"/>
      <c r="C1948" s="1"/>
      <c r="D1948" s="1"/>
      <c r="E1948" s="6"/>
      <c r="F1948" s="4"/>
    </row>
    <row r="1949" spans="2:6">
      <c r="B1949" s="1"/>
      <c r="C1949" s="1"/>
      <c r="D1949" s="1"/>
      <c r="E1949" s="6"/>
      <c r="F1949" s="4"/>
    </row>
    <row r="1950" spans="2:6">
      <c r="B1950" s="1"/>
      <c r="C1950" s="1"/>
      <c r="D1950" s="1"/>
      <c r="E1950" s="6"/>
      <c r="F1950" s="4"/>
    </row>
    <row r="1951" spans="2:6">
      <c r="B1951" s="1"/>
      <c r="C1951" s="1"/>
      <c r="D1951" s="1"/>
      <c r="E1951" s="6"/>
      <c r="F1951" s="4"/>
    </row>
    <row r="1952" spans="2:6">
      <c r="B1952" s="1"/>
      <c r="C1952" s="1"/>
      <c r="D1952" s="1"/>
      <c r="E1952" s="6"/>
      <c r="F1952" s="4"/>
    </row>
    <row r="1953" spans="2:6">
      <c r="B1953" s="1"/>
      <c r="C1953" s="1"/>
      <c r="D1953" s="1"/>
      <c r="E1953" s="6"/>
      <c r="F1953" s="4"/>
    </row>
    <row r="1954" spans="2:6">
      <c r="B1954" s="1"/>
      <c r="C1954" s="1"/>
      <c r="D1954" s="1"/>
      <c r="E1954" s="6"/>
      <c r="F1954" s="4"/>
    </row>
    <row r="1955" spans="2:6">
      <c r="B1955" s="1"/>
      <c r="C1955" s="1"/>
      <c r="D1955" s="1"/>
      <c r="E1955" s="6"/>
      <c r="F1955" s="4"/>
    </row>
    <row r="1956" spans="2:6">
      <c r="B1956" s="1"/>
      <c r="C1956" s="1"/>
      <c r="D1956" s="1"/>
      <c r="E1956" s="6"/>
      <c r="F1956" s="4"/>
    </row>
    <row r="1957" spans="2:6">
      <c r="B1957" s="1"/>
      <c r="C1957" s="1"/>
      <c r="D1957" s="1"/>
      <c r="E1957" s="6"/>
      <c r="F1957" s="4"/>
    </row>
    <row r="1958" spans="2:6">
      <c r="B1958" s="1"/>
      <c r="C1958" s="1"/>
      <c r="D1958" s="1"/>
      <c r="E1958" s="6"/>
      <c r="F1958" s="4"/>
    </row>
    <row r="1959" spans="2:6">
      <c r="B1959" s="1"/>
      <c r="C1959" s="1"/>
      <c r="D1959" s="1"/>
      <c r="E1959" s="6"/>
      <c r="F1959" s="4"/>
    </row>
    <row r="1960" spans="2:6">
      <c r="B1960" s="1"/>
      <c r="C1960" s="1"/>
      <c r="D1960" s="1"/>
      <c r="E1960" s="6"/>
      <c r="F1960" s="4"/>
    </row>
    <row r="1961" spans="2:6">
      <c r="B1961" s="1"/>
      <c r="C1961" s="1"/>
      <c r="D1961" s="1"/>
      <c r="E1961" s="6"/>
      <c r="F1961" s="4"/>
    </row>
    <row r="1962" spans="2:6">
      <c r="B1962" s="1"/>
      <c r="C1962" s="1"/>
      <c r="D1962" s="1"/>
      <c r="E1962" s="6"/>
      <c r="F1962" s="4"/>
    </row>
    <row r="1963" spans="2:6">
      <c r="B1963" s="1"/>
      <c r="C1963" s="1"/>
      <c r="D1963" s="1"/>
      <c r="E1963" s="6"/>
      <c r="F1963" s="4"/>
    </row>
    <row r="1964" spans="2:6">
      <c r="B1964" s="1"/>
      <c r="C1964" s="1"/>
      <c r="D1964" s="1"/>
      <c r="E1964" s="6"/>
      <c r="F1964" s="4"/>
    </row>
    <row r="1965" spans="2:6">
      <c r="B1965" s="1"/>
      <c r="C1965" s="1"/>
      <c r="D1965" s="1"/>
      <c r="E1965" s="6"/>
      <c r="F1965" s="4"/>
    </row>
    <row r="1966" spans="2:6">
      <c r="B1966" s="1"/>
      <c r="C1966" s="1"/>
      <c r="D1966" s="1"/>
      <c r="E1966" s="6"/>
      <c r="F1966" s="4"/>
    </row>
    <row r="1967" spans="2:6">
      <c r="B1967" s="1"/>
      <c r="C1967" s="1"/>
      <c r="D1967" s="1"/>
      <c r="E1967" s="6"/>
      <c r="F1967" s="4"/>
    </row>
    <row r="1968" spans="2:6">
      <c r="B1968" s="1"/>
      <c r="C1968" s="1"/>
      <c r="D1968" s="1"/>
      <c r="E1968" s="6"/>
      <c r="F1968" s="4"/>
    </row>
    <row r="1969" spans="2:6">
      <c r="B1969" s="1"/>
      <c r="C1969" s="1"/>
      <c r="D1969" s="1"/>
      <c r="E1969" s="6"/>
      <c r="F1969" s="4"/>
    </row>
    <row r="1970" spans="2:6">
      <c r="B1970" s="1"/>
      <c r="C1970" s="1"/>
      <c r="D1970" s="1"/>
      <c r="E1970" s="6"/>
      <c r="F1970" s="4"/>
    </row>
    <row r="1971" spans="2:6">
      <c r="B1971" s="1"/>
      <c r="C1971" s="1"/>
      <c r="D1971" s="1"/>
      <c r="E1971" s="6"/>
      <c r="F1971" s="4"/>
    </row>
    <row r="1972" spans="2:6">
      <c r="B1972" s="1"/>
      <c r="C1972" s="1"/>
      <c r="D1972" s="1"/>
      <c r="E1972" s="6"/>
      <c r="F1972" s="4"/>
    </row>
    <row r="1973" spans="2:6">
      <c r="B1973" s="1"/>
      <c r="C1973" s="1"/>
      <c r="D1973" s="1"/>
      <c r="E1973" s="6"/>
      <c r="F1973" s="4"/>
    </row>
    <row r="1974" spans="2:6">
      <c r="B1974" s="1"/>
      <c r="C1974" s="1"/>
      <c r="D1974" s="1"/>
      <c r="E1974" s="6"/>
      <c r="F1974" s="4"/>
    </row>
    <row r="1975" spans="2:6">
      <c r="B1975" s="1"/>
      <c r="C1975" s="1"/>
      <c r="D1975" s="1"/>
      <c r="E1975" s="6"/>
      <c r="F1975" s="4"/>
    </row>
    <row r="1976" spans="2:6">
      <c r="B1976" s="1"/>
      <c r="C1976" s="1"/>
      <c r="D1976" s="1"/>
      <c r="E1976" s="6"/>
      <c r="F1976" s="4"/>
    </row>
    <row r="1977" spans="2:6">
      <c r="B1977" s="1"/>
      <c r="C1977" s="1"/>
      <c r="D1977" s="1"/>
      <c r="E1977" s="6"/>
      <c r="F1977" s="4"/>
    </row>
    <row r="1978" spans="2:6">
      <c r="B1978" s="1"/>
      <c r="C1978" s="1"/>
      <c r="D1978" s="1"/>
      <c r="E1978" s="6"/>
      <c r="F1978" s="4"/>
    </row>
    <row r="1979" spans="2:6">
      <c r="B1979" s="1"/>
      <c r="C1979" s="1"/>
      <c r="D1979" s="1"/>
      <c r="E1979" s="6"/>
      <c r="F1979" s="4"/>
    </row>
    <row r="1980" spans="2:6">
      <c r="B1980" s="1"/>
      <c r="C1980" s="1"/>
      <c r="D1980" s="1"/>
      <c r="E1980" s="6"/>
      <c r="F1980" s="4"/>
    </row>
    <row r="1981" spans="2:6">
      <c r="B1981" s="1"/>
      <c r="C1981" s="1"/>
      <c r="D1981" s="1"/>
      <c r="E1981" s="6"/>
      <c r="F1981" s="4"/>
    </row>
    <row r="1982" spans="2:6">
      <c r="B1982" s="1"/>
      <c r="C1982" s="1"/>
      <c r="D1982" s="1"/>
      <c r="E1982" s="6"/>
      <c r="F1982" s="4"/>
    </row>
    <row r="1983" spans="2:6">
      <c r="B1983" s="1"/>
      <c r="C1983" s="1"/>
      <c r="D1983" s="1"/>
      <c r="E1983" s="6"/>
      <c r="F1983" s="4"/>
    </row>
    <row r="1984" spans="2:6">
      <c r="B1984" s="1"/>
      <c r="C1984" s="1"/>
      <c r="D1984" s="1"/>
      <c r="E1984" s="6"/>
      <c r="F1984" s="4"/>
    </row>
    <row r="1985" spans="2:6">
      <c r="B1985" s="1"/>
      <c r="C1985" s="1"/>
      <c r="D1985" s="1"/>
      <c r="E1985" s="6"/>
      <c r="F1985" s="4"/>
    </row>
    <row r="1986" spans="2:6">
      <c r="B1986" s="1"/>
      <c r="C1986" s="1"/>
      <c r="D1986" s="1"/>
      <c r="E1986" s="6"/>
      <c r="F1986" s="4"/>
    </row>
    <row r="1987" spans="2:6">
      <c r="B1987" s="1"/>
      <c r="C1987" s="1"/>
      <c r="D1987" s="1"/>
      <c r="E1987" s="6"/>
      <c r="F1987" s="4"/>
    </row>
    <row r="1988" spans="2:6">
      <c r="B1988" s="1"/>
      <c r="C1988" s="1"/>
      <c r="D1988" s="1"/>
      <c r="E1988" s="6"/>
      <c r="F1988" s="4"/>
    </row>
    <row r="1989" spans="2:6">
      <c r="B1989" s="1"/>
      <c r="C1989" s="1"/>
      <c r="D1989" s="1"/>
      <c r="E1989" s="6"/>
      <c r="F1989" s="4"/>
    </row>
    <row r="1990" spans="2:6">
      <c r="B1990" s="1"/>
      <c r="C1990" s="1"/>
      <c r="D1990" s="1"/>
      <c r="E1990" s="6"/>
      <c r="F1990" s="4"/>
    </row>
    <row r="1991" spans="2:6">
      <c r="B1991" s="1"/>
      <c r="C1991" s="1"/>
      <c r="D1991" s="1"/>
      <c r="E1991" s="6"/>
      <c r="F1991" s="4"/>
    </row>
    <row r="1992" spans="2:6">
      <c r="B1992" s="1"/>
      <c r="C1992" s="1"/>
      <c r="D1992" s="1"/>
      <c r="E1992" s="6"/>
      <c r="F1992" s="4"/>
    </row>
    <row r="1993" spans="2:6">
      <c r="B1993" s="1"/>
      <c r="C1993" s="1"/>
      <c r="D1993" s="1"/>
      <c r="E1993" s="6"/>
      <c r="F1993" s="4"/>
    </row>
    <row r="1994" spans="2:6">
      <c r="B1994" s="1"/>
      <c r="C1994" s="1"/>
      <c r="D1994" s="1"/>
      <c r="E1994" s="6"/>
      <c r="F1994" s="4"/>
    </row>
    <row r="1995" spans="2:6">
      <c r="B1995" s="1"/>
      <c r="C1995" s="1"/>
      <c r="D1995" s="1"/>
      <c r="E1995" s="6"/>
      <c r="F1995" s="4"/>
    </row>
    <row r="1996" spans="2:6">
      <c r="B1996" s="1"/>
      <c r="C1996" s="1"/>
      <c r="D1996" s="1"/>
      <c r="E1996" s="6"/>
      <c r="F1996" s="4"/>
    </row>
    <row r="1997" spans="2:6">
      <c r="B1997" s="1"/>
      <c r="C1997" s="1"/>
      <c r="D1997" s="1"/>
      <c r="E1997" s="6"/>
      <c r="F1997" s="4"/>
    </row>
    <row r="1998" spans="2:6">
      <c r="B1998" s="1"/>
      <c r="C1998" s="1"/>
      <c r="D1998" s="1"/>
      <c r="E1998" s="6"/>
      <c r="F1998" s="4"/>
    </row>
    <row r="1999" spans="2:6">
      <c r="B1999" s="1"/>
      <c r="C1999" s="1"/>
      <c r="D1999" s="1"/>
      <c r="E1999" s="6"/>
      <c r="F1999" s="4"/>
    </row>
    <row r="2000" spans="2:6">
      <c r="B2000" s="1"/>
      <c r="C2000" s="1"/>
      <c r="D2000" s="1"/>
      <c r="E2000" s="6"/>
      <c r="F2000" s="4"/>
    </row>
    <row r="2001" spans="2:6">
      <c r="B2001" s="1"/>
      <c r="C2001" s="1"/>
      <c r="D2001" s="1"/>
      <c r="E2001" s="6"/>
      <c r="F2001" s="4"/>
    </row>
    <row r="2002" spans="2:6">
      <c r="B2002" s="1"/>
      <c r="C2002" s="1"/>
      <c r="D2002" s="1"/>
      <c r="E2002" s="6"/>
      <c r="F2002" s="4"/>
    </row>
    <row r="2003" spans="2:6">
      <c r="B2003" s="1"/>
      <c r="C2003" s="1"/>
      <c r="D2003" s="1"/>
      <c r="E2003" s="6"/>
      <c r="F2003" s="4"/>
    </row>
    <row r="2004" spans="2:6">
      <c r="B2004" s="1"/>
      <c r="C2004" s="1"/>
      <c r="D2004" s="1"/>
      <c r="E2004" s="6"/>
      <c r="F2004" s="4"/>
    </row>
    <row r="2005" spans="2:6">
      <c r="B2005" s="1"/>
      <c r="C2005" s="1"/>
      <c r="D2005" s="1"/>
      <c r="E2005" s="6"/>
      <c r="F2005" s="4"/>
    </row>
    <row r="2006" spans="2:6">
      <c r="B2006" s="1"/>
      <c r="C2006" s="1"/>
      <c r="D2006" s="1"/>
      <c r="E2006" s="6"/>
      <c r="F2006" s="4"/>
    </row>
    <row r="2007" spans="2:6">
      <c r="B2007" s="1"/>
      <c r="C2007" s="1"/>
      <c r="D2007" s="1"/>
      <c r="E2007" s="6"/>
      <c r="F2007" s="4"/>
    </row>
    <row r="2008" spans="2:6">
      <c r="B2008" s="1"/>
      <c r="C2008" s="1"/>
      <c r="D2008" s="1"/>
      <c r="E2008" s="6"/>
      <c r="F2008" s="4"/>
    </row>
    <row r="2009" spans="2:6">
      <c r="B2009" s="1"/>
      <c r="C2009" s="1"/>
      <c r="D2009" s="1"/>
      <c r="E2009" s="6"/>
      <c r="F2009" s="4"/>
    </row>
    <row r="2010" spans="2:6">
      <c r="B2010" s="1"/>
      <c r="C2010" s="1"/>
      <c r="D2010" s="1"/>
      <c r="E2010" s="6"/>
      <c r="F2010" s="4"/>
    </row>
    <row r="2011" spans="2:6">
      <c r="B2011" s="1"/>
      <c r="C2011" s="1"/>
      <c r="D2011" s="1"/>
      <c r="E2011" s="6"/>
      <c r="F2011" s="4"/>
    </row>
    <row r="2012" spans="2:6">
      <c r="B2012" s="1"/>
      <c r="C2012" s="1"/>
      <c r="D2012" s="1"/>
      <c r="E2012" s="6"/>
      <c r="F2012" s="4"/>
    </row>
    <row r="2013" spans="2:6">
      <c r="B2013" s="1"/>
      <c r="C2013" s="1"/>
      <c r="D2013" s="1"/>
      <c r="E2013" s="6"/>
      <c r="F2013" s="4"/>
    </row>
    <row r="2014" spans="2:6">
      <c r="B2014" s="1"/>
      <c r="C2014" s="1"/>
      <c r="D2014" s="1"/>
      <c r="E2014" s="6"/>
      <c r="F2014" s="4"/>
    </row>
    <row r="2015" spans="2:6">
      <c r="B2015" s="1"/>
      <c r="C2015" s="1"/>
      <c r="D2015" s="1"/>
      <c r="E2015" s="6"/>
      <c r="F2015" s="4"/>
    </row>
    <row r="2016" spans="2:6">
      <c r="B2016" s="1"/>
      <c r="C2016" s="1"/>
      <c r="D2016" s="1"/>
      <c r="E2016" s="6"/>
      <c r="F2016" s="4"/>
    </row>
    <row r="2017" spans="2:6">
      <c r="B2017" s="1"/>
      <c r="C2017" s="1"/>
      <c r="D2017" s="1"/>
      <c r="E2017" s="6"/>
      <c r="F2017" s="4"/>
    </row>
    <row r="2018" spans="2:6">
      <c r="B2018" s="1"/>
      <c r="C2018" s="1"/>
      <c r="D2018" s="1"/>
      <c r="E2018" s="6"/>
      <c r="F2018" s="4"/>
    </row>
    <row r="2019" spans="2:6">
      <c r="B2019" s="1"/>
      <c r="C2019" s="1"/>
      <c r="D2019" s="1"/>
      <c r="E2019" s="6"/>
      <c r="F2019" s="4"/>
    </row>
    <row r="2020" spans="2:6">
      <c r="B2020" s="1"/>
      <c r="C2020" s="1"/>
      <c r="D2020" s="1"/>
      <c r="E2020" s="6"/>
      <c r="F2020" s="4"/>
    </row>
    <row r="2021" spans="2:6">
      <c r="B2021" s="1"/>
      <c r="C2021" s="1"/>
      <c r="D2021" s="1"/>
      <c r="E2021" s="6"/>
      <c r="F2021" s="4"/>
    </row>
    <row r="2022" spans="2:6">
      <c r="B2022" s="1"/>
      <c r="C2022" s="1"/>
      <c r="D2022" s="1"/>
      <c r="E2022" s="6"/>
      <c r="F2022" s="4"/>
    </row>
    <row r="2023" spans="2:6">
      <c r="B2023" s="1"/>
      <c r="C2023" s="1"/>
      <c r="D2023" s="1"/>
      <c r="E2023" s="6"/>
      <c r="F2023" s="4"/>
    </row>
    <row r="2024" spans="2:6">
      <c r="B2024" s="1"/>
      <c r="C2024" s="1"/>
      <c r="D2024" s="1"/>
      <c r="E2024" s="6"/>
      <c r="F2024" s="4"/>
    </row>
    <row r="2025" spans="2:6">
      <c r="B2025" s="1"/>
      <c r="C2025" s="1"/>
      <c r="D2025" s="1"/>
      <c r="E2025" s="6"/>
      <c r="F2025" s="4"/>
    </row>
    <row r="2026" spans="2:6">
      <c r="B2026" s="1"/>
      <c r="C2026" s="1"/>
      <c r="D2026" s="1"/>
      <c r="E2026" s="6"/>
      <c r="F2026" s="4"/>
    </row>
    <row r="2027" spans="2:6">
      <c r="B2027" s="1"/>
      <c r="C2027" s="1"/>
      <c r="D2027" s="1"/>
      <c r="E2027" s="6"/>
      <c r="F2027" s="4"/>
    </row>
    <row r="2028" spans="2:6">
      <c r="B2028" s="1"/>
      <c r="C2028" s="1"/>
      <c r="D2028" s="1"/>
      <c r="E2028" s="6"/>
      <c r="F2028" s="4"/>
    </row>
    <row r="2029" spans="2:6">
      <c r="B2029" s="1"/>
      <c r="C2029" s="1"/>
      <c r="D2029" s="1"/>
      <c r="E2029" s="6"/>
      <c r="F2029" s="4"/>
    </row>
    <row r="2030" spans="2:6">
      <c r="B2030" s="1"/>
      <c r="C2030" s="1"/>
      <c r="D2030" s="1"/>
      <c r="E2030" s="6"/>
      <c r="F2030" s="4"/>
    </row>
    <row r="2031" spans="2:6">
      <c r="B2031" s="1"/>
      <c r="C2031" s="1"/>
      <c r="D2031" s="1"/>
      <c r="E2031" s="6"/>
      <c r="F2031" s="4"/>
    </row>
    <row r="2032" spans="2:6">
      <c r="B2032" s="1"/>
      <c r="C2032" s="1"/>
      <c r="D2032" s="1"/>
      <c r="E2032" s="6"/>
      <c r="F2032" s="4"/>
    </row>
    <row r="2033" spans="2:6">
      <c r="B2033" s="1"/>
      <c r="C2033" s="1"/>
      <c r="D2033" s="1"/>
      <c r="E2033" s="6"/>
      <c r="F2033" s="4"/>
    </row>
    <row r="2034" spans="2:6">
      <c r="B2034" s="1"/>
      <c r="C2034" s="1"/>
      <c r="D2034" s="1"/>
      <c r="E2034" s="6"/>
      <c r="F2034" s="4"/>
    </row>
    <row r="2035" spans="2:6">
      <c r="B2035" s="1"/>
      <c r="C2035" s="1"/>
      <c r="D2035" s="1"/>
      <c r="E2035" s="6"/>
      <c r="F2035" s="4"/>
    </row>
    <row r="2036" spans="2:6">
      <c r="B2036" s="1"/>
      <c r="C2036" s="1"/>
      <c r="D2036" s="1"/>
      <c r="E2036" s="6"/>
      <c r="F2036" s="4"/>
    </row>
    <row r="2037" spans="2:6">
      <c r="B2037" s="1"/>
      <c r="C2037" s="1"/>
      <c r="D2037" s="1"/>
      <c r="E2037" s="6"/>
      <c r="F2037" s="4"/>
    </row>
    <row r="2038" spans="2:6">
      <c r="B2038" s="1"/>
      <c r="C2038" s="1"/>
      <c r="D2038" s="1"/>
      <c r="E2038" s="6"/>
      <c r="F2038" s="4"/>
    </row>
    <row r="2039" spans="2:6">
      <c r="B2039" s="1"/>
      <c r="C2039" s="1"/>
      <c r="D2039" s="1"/>
      <c r="E2039" s="6"/>
      <c r="F2039" s="4"/>
    </row>
    <row r="2040" spans="2:6">
      <c r="B2040" s="1"/>
      <c r="C2040" s="1"/>
      <c r="D2040" s="1"/>
      <c r="E2040" s="6"/>
      <c r="F2040" s="4"/>
    </row>
    <row r="2041" spans="2:6">
      <c r="B2041" s="1"/>
      <c r="C2041" s="1"/>
      <c r="D2041" s="1"/>
      <c r="E2041" s="6"/>
      <c r="F2041" s="4"/>
    </row>
    <row r="2042" spans="2:6">
      <c r="B2042" s="1"/>
      <c r="C2042" s="1"/>
      <c r="D2042" s="1"/>
      <c r="E2042" s="6"/>
      <c r="F2042" s="4"/>
    </row>
    <row r="2043" spans="2:6">
      <c r="B2043" s="1"/>
      <c r="C2043" s="1"/>
      <c r="D2043" s="1"/>
      <c r="E2043" s="6"/>
      <c r="F2043" s="4"/>
    </row>
    <row r="2044" spans="2:6">
      <c r="B2044" s="1"/>
      <c r="C2044" s="1"/>
      <c r="D2044" s="1"/>
      <c r="E2044" s="6"/>
      <c r="F2044" s="4"/>
    </row>
    <row r="2045" spans="2:6">
      <c r="B2045" s="1"/>
      <c r="C2045" s="1"/>
      <c r="D2045" s="1"/>
      <c r="E2045" s="6"/>
      <c r="F2045" s="4"/>
    </row>
    <row r="2046" spans="2:6">
      <c r="B2046" s="1"/>
      <c r="C2046" s="1"/>
      <c r="D2046" s="1"/>
      <c r="E2046" s="6"/>
      <c r="F2046" s="4"/>
    </row>
    <row r="2047" spans="2:6">
      <c r="B2047" s="1"/>
      <c r="C2047" s="1"/>
      <c r="D2047" s="1"/>
      <c r="E2047" s="6"/>
      <c r="F2047" s="4"/>
    </row>
    <row r="2048" spans="2:6">
      <c r="B2048" s="1"/>
      <c r="C2048" s="1"/>
      <c r="D2048" s="1"/>
      <c r="E2048" s="6"/>
      <c r="F2048" s="4"/>
    </row>
    <row r="2049" spans="2:6">
      <c r="B2049" s="1"/>
      <c r="C2049" s="1"/>
      <c r="D2049" s="1"/>
      <c r="E2049" s="6"/>
      <c r="F2049" s="4"/>
    </row>
    <row r="2050" spans="2:6">
      <c r="B2050" s="1"/>
      <c r="C2050" s="1"/>
      <c r="D2050" s="1"/>
      <c r="E2050" s="6"/>
      <c r="F2050" s="4"/>
    </row>
    <row r="2051" spans="2:6">
      <c r="B2051" s="1"/>
      <c r="C2051" s="1"/>
      <c r="D2051" s="1"/>
      <c r="E2051" s="6"/>
      <c r="F2051" s="4"/>
    </row>
    <row r="2052" spans="2:6">
      <c r="B2052" s="1"/>
      <c r="C2052" s="1"/>
      <c r="D2052" s="1"/>
      <c r="E2052" s="6"/>
      <c r="F2052" s="4"/>
    </row>
    <row r="2053" spans="2:6">
      <c r="B2053" s="1"/>
      <c r="C2053" s="1"/>
      <c r="D2053" s="1"/>
      <c r="E2053" s="6"/>
      <c r="F2053" s="4"/>
    </row>
    <row r="2054" spans="2:6">
      <c r="B2054" s="1"/>
      <c r="C2054" s="1"/>
      <c r="D2054" s="1"/>
      <c r="E2054" s="6"/>
      <c r="F2054" s="4"/>
    </row>
    <row r="2055" spans="2:6">
      <c r="B2055" s="1"/>
      <c r="C2055" s="1"/>
      <c r="D2055" s="1"/>
      <c r="E2055" s="6"/>
      <c r="F2055" s="4"/>
    </row>
    <row r="2056" spans="2:6">
      <c r="B2056" s="1"/>
      <c r="C2056" s="1"/>
      <c r="D2056" s="1"/>
      <c r="E2056" s="6"/>
      <c r="F2056" s="4"/>
    </row>
    <row r="2057" spans="2:6">
      <c r="B2057" s="1"/>
      <c r="C2057" s="1"/>
      <c r="D2057" s="1"/>
      <c r="E2057" s="6"/>
      <c r="F2057" s="4"/>
    </row>
    <row r="2058" spans="2:6">
      <c r="B2058" s="1"/>
      <c r="C2058" s="1"/>
      <c r="D2058" s="1"/>
      <c r="E2058" s="6"/>
      <c r="F2058" s="4"/>
    </row>
    <row r="2059" spans="2:6">
      <c r="B2059" s="1"/>
      <c r="C2059" s="1"/>
      <c r="D2059" s="1"/>
      <c r="E2059" s="6"/>
      <c r="F2059" s="4"/>
    </row>
    <row r="2060" spans="2:6">
      <c r="B2060" s="1"/>
      <c r="C2060" s="1"/>
      <c r="D2060" s="1"/>
      <c r="E2060" s="6"/>
      <c r="F2060" s="4"/>
    </row>
    <row r="2061" spans="2:6">
      <c r="B2061" s="1"/>
      <c r="C2061" s="1"/>
      <c r="D2061" s="1"/>
      <c r="E2061" s="6"/>
      <c r="F2061" s="4"/>
    </row>
    <row r="2062" spans="2:6">
      <c r="B2062" s="1"/>
      <c r="C2062" s="1"/>
      <c r="D2062" s="1"/>
      <c r="E2062" s="6"/>
      <c r="F2062" s="4"/>
    </row>
    <row r="2063" spans="2:6">
      <c r="B2063" s="1"/>
      <c r="C2063" s="1"/>
      <c r="D2063" s="1"/>
      <c r="E2063" s="6"/>
      <c r="F2063" s="4"/>
    </row>
    <row r="2064" spans="2:6">
      <c r="B2064" s="1"/>
      <c r="C2064" s="1"/>
      <c r="D2064" s="1"/>
      <c r="E2064" s="6"/>
      <c r="F2064" s="4"/>
    </row>
    <row r="2065" spans="2:6">
      <c r="B2065" s="1"/>
      <c r="C2065" s="1"/>
      <c r="D2065" s="1"/>
      <c r="E2065" s="6"/>
      <c r="F2065" s="4"/>
    </row>
    <row r="2066" spans="2:6">
      <c r="B2066" s="1"/>
      <c r="C2066" s="1"/>
      <c r="D2066" s="1"/>
      <c r="E2066" s="6"/>
      <c r="F2066" s="4"/>
    </row>
    <row r="2067" spans="2:6">
      <c r="B2067" s="1"/>
      <c r="C2067" s="1"/>
      <c r="D2067" s="1"/>
      <c r="E2067" s="6"/>
      <c r="F2067" s="4"/>
    </row>
    <row r="2068" spans="2:6">
      <c r="B2068" s="1"/>
      <c r="C2068" s="1"/>
      <c r="D2068" s="1"/>
      <c r="E2068" s="6"/>
      <c r="F2068" s="4"/>
    </row>
    <row r="2069" spans="2:6">
      <c r="B2069" s="1"/>
      <c r="C2069" s="1"/>
      <c r="D2069" s="1"/>
      <c r="E2069" s="6"/>
      <c r="F2069" s="4"/>
    </row>
  </sheetData>
  <mergeCells count="3">
    <mergeCell ref="C253:C254"/>
    <mergeCell ref="D253:N253"/>
    <mergeCell ref="C116:L117"/>
  </mergeCells>
  <phoneticPr fontId="127" type="noConversion"/>
  <pageMargins left="0.75" right="0.75" top="1" bottom="1" header="0.5" footer="0.5"/>
  <pageSetup paperSize="9" orientation="portrait" horizontalDpi="300" verticalDpi="300"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2">
    <tabColor rgb="FF92D050"/>
  </sheetPr>
  <dimension ref="A3:AS64"/>
  <sheetViews>
    <sheetView topLeftCell="A21" workbookViewId="0">
      <selection activeCell="H24" sqref="H24"/>
    </sheetView>
  </sheetViews>
  <sheetFormatPr defaultColWidth="8.6640625" defaultRowHeight="14.4"/>
  <cols>
    <col min="1" max="1" width="1.6640625" style="448" customWidth="1"/>
    <col min="2" max="2" width="8.6640625" style="448" bestFit="1" customWidth="1"/>
    <col min="3" max="5" width="13.33203125" style="448" bestFit="1" customWidth="1"/>
    <col min="6" max="6" width="8" style="448" bestFit="1" customWidth="1"/>
    <col min="7" max="7" width="6.44140625" style="448" bestFit="1" customWidth="1"/>
    <col min="8" max="46" width="8" style="448" bestFit="1" customWidth="1"/>
    <col min="47" max="256" width="9.109375" style="448"/>
    <col min="257" max="257" width="10.109375" style="448" bestFit="1" customWidth="1"/>
    <col min="258" max="258" width="8.6640625" style="448" bestFit="1" customWidth="1"/>
    <col min="259" max="259" width="13.33203125" style="448" bestFit="1" customWidth="1"/>
    <col min="260" max="260" width="5.109375" style="448" bestFit="1" customWidth="1"/>
    <col min="261" max="262" width="10.6640625" style="448" customWidth="1"/>
    <col min="263" max="263" width="9.44140625" style="448" bestFit="1" customWidth="1"/>
    <col min="264" max="270" width="9.33203125" style="448" bestFit="1" customWidth="1"/>
    <col min="271" max="302" width="9.44140625" style="448" bestFit="1" customWidth="1"/>
    <col min="303" max="512" width="9.109375" style="448"/>
    <col min="513" max="513" width="10.109375" style="448" bestFit="1" customWidth="1"/>
    <col min="514" max="514" width="8.6640625" style="448" bestFit="1" customWidth="1"/>
    <col min="515" max="515" width="13.33203125" style="448" bestFit="1" customWidth="1"/>
    <col min="516" max="516" width="5.109375" style="448" bestFit="1" customWidth="1"/>
    <col min="517" max="518" width="10.6640625" style="448" customWidth="1"/>
    <col min="519" max="519" width="9.44140625" style="448" bestFit="1" customWidth="1"/>
    <col min="520" max="526" width="9.33203125" style="448" bestFit="1" customWidth="1"/>
    <col min="527" max="558" width="9.44140625" style="448" bestFit="1" customWidth="1"/>
    <col min="559" max="768" width="9.109375" style="448"/>
    <col min="769" max="769" width="10.109375" style="448" bestFit="1" customWidth="1"/>
    <col min="770" max="770" width="8.6640625" style="448" bestFit="1" customWidth="1"/>
    <col min="771" max="771" width="13.33203125" style="448" bestFit="1" customWidth="1"/>
    <col min="772" max="772" width="5.109375" style="448" bestFit="1" customWidth="1"/>
    <col min="773" max="774" width="10.6640625" style="448" customWidth="1"/>
    <col min="775" max="775" width="9.44140625" style="448" bestFit="1" customWidth="1"/>
    <col min="776" max="782" width="9.33203125" style="448" bestFit="1" customWidth="1"/>
    <col min="783" max="814" width="9.44140625" style="448" bestFit="1" customWidth="1"/>
    <col min="815" max="1024" width="9.109375" style="448"/>
    <col min="1025" max="1025" width="10.109375" style="448" bestFit="1" customWidth="1"/>
    <col min="1026" max="1026" width="8.6640625" style="448" bestFit="1" customWidth="1"/>
    <col min="1027" max="1027" width="13.33203125" style="448" bestFit="1" customWidth="1"/>
    <col min="1028" max="1028" width="5.109375" style="448" bestFit="1" customWidth="1"/>
    <col min="1029" max="1030" width="10.6640625" style="448" customWidth="1"/>
    <col min="1031" max="1031" width="9.44140625" style="448" bestFit="1" customWidth="1"/>
    <col min="1032" max="1038" width="9.33203125" style="448" bestFit="1" customWidth="1"/>
    <col min="1039" max="1070" width="9.44140625" style="448" bestFit="1" customWidth="1"/>
    <col min="1071" max="1280" width="9.109375" style="448"/>
    <col min="1281" max="1281" width="10.109375" style="448" bestFit="1" customWidth="1"/>
    <col min="1282" max="1282" width="8.6640625" style="448" bestFit="1" customWidth="1"/>
    <col min="1283" max="1283" width="13.33203125" style="448" bestFit="1" customWidth="1"/>
    <col min="1284" max="1284" width="5.109375" style="448" bestFit="1" customWidth="1"/>
    <col min="1285" max="1286" width="10.6640625" style="448" customWidth="1"/>
    <col min="1287" max="1287" width="9.44140625" style="448" bestFit="1" customWidth="1"/>
    <col min="1288" max="1294" width="9.33203125" style="448" bestFit="1" customWidth="1"/>
    <col min="1295" max="1326" width="9.44140625" style="448" bestFit="1" customWidth="1"/>
    <col min="1327" max="1536" width="9.109375" style="448"/>
    <col min="1537" max="1537" width="10.109375" style="448" bestFit="1" customWidth="1"/>
    <col min="1538" max="1538" width="8.6640625" style="448" bestFit="1" customWidth="1"/>
    <col min="1539" max="1539" width="13.33203125" style="448" bestFit="1" customWidth="1"/>
    <col min="1540" max="1540" width="5.109375" style="448" bestFit="1" customWidth="1"/>
    <col min="1541" max="1542" width="10.6640625" style="448" customWidth="1"/>
    <col min="1543" max="1543" width="9.44140625" style="448" bestFit="1" customWidth="1"/>
    <col min="1544" max="1550" width="9.33203125" style="448" bestFit="1" customWidth="1"/>
    <col min="1551" max="1582" width="9.44140625" style="448" bestFit="1" customWidth="1"/>
    <col min="1583" max="1792" width="9.109375" style="448"/>
    <col min="1793" max="1793" width="10.109375" style="448" bestFit="1" customWidth="1"/>
    <col min="1794" max="1794" width="8.6640625" style="448" bestFit="1" customWidth="1"/>
    <col min="1795" max="1795" width="13.33203125" style="448" bestFit="1" customWidth="1"/>
    <col min="1796" max="1796" width="5.109375" style="448" bestFit="1" customWidth="1"/>
    <col min="1797" max="1798" width="10.6640625" style="448" customWidth="1"/>
    <col min="1799" max="1799" width="9.44140625" style="448" bestFit="1" customWidth="1"/>
    <col min="1800" max="1806" width="9.33203125" style="448" bestFit="1" customWidth="1"/>
    <col min="1807" max="1838" width="9.44140625" style="448" bestFit="1" customWidth="1"/>
    <col min="1839" max="2048" width="9.109375" style="448"/>
    <col min="2049" max="2049" width="10.109375" style="448" bestFit="1" customWidth="1"/>
    <col min="2050" max="2050" width="8.6640625" style="448" bestFit="1" customWidth="1"/>
    <col min="2051" max="2051" width="13.33203125" style="448" bestFit="1" customWidth="1"/>
    <col min="2052" max="2052" width="5.109375" style="448" bestFit="1" customWidth="1"/>
    <col min="2053" max="2054" width="10.6640625" style="448" customWidth="1"/>
    <col min="2055" max="2055" width="9.44140625" style="448" bestFit="1" customWidth="1"/>
    <col min="2056" max="2062" width="9.33203125" style="448" bestFit="1" customWidth="1"/>
    <col min="2063" max="2094" width="9.44140625" style="448" bestFit="1" customWidth="1"/>
    <col min="2095" max="2304" width="9.109375" style="448"/>
    <col min="2305" max="2305" width="10.109375" style="448" bestFit="1" customWidth="1"/>
    <col min="2306" max="2306" width="8.6640625" style="448" bestFit="1" customWidth="1"/>
    <col min="2307" max="2307" width="13.33203125" style="448" bestFit="1" customWidth="1"/>
    <col min="2308" max="2308" width="5.109375" style="448" bestFit="1" customWidth="1"/>
    <col min="2309" max="2310" width="10.6640625" style="448" customWidth="1"/>
    <col min="2311" max="2311" width="9.44140625" style="448" bestFit="1" customWidth="1"/>
    <col min="2312" max="2318" width="9.33203125" style="448" bestFit="1" customWidth="1"/>
    <col min="2319" max="2350" width="9.44140625" style="448" bestFit="1" customWidth="1"/>
    <col min="2351" max="2560" width="9.109375" style="448"/>
    <col min="2561" max="2561" width="10.109375" style="448" bestFit="1" customWidth="1"/>
    <col min="2562" max="2562" width="8.6640625" style="448" bestFit="1" customWidth="1"/>
    <col min="2563" max="2563" width="13.33203125" style="448" bestFit="1" customWidth="1"/>
    <col min="2564" max="2564" width="5.109375" style="448" bestFit="1" customWidth="1"/>
    <col min="2565" max="2566" width="10.6640625" style="448" customWidth="1"/>
    <col min="2567" max="2567" width="9.44140625" style="448" bestFit="1" customWidth="1"/>
    <col min="2568" max="2574" width="9.33203125" style="448" bestFit="1" customWidth="1"/>
    <col min="2575" max="2606" width="9.44140625" style="448" bestFit="1" customWidth="1"/>
    <col min="2607" max="2816" width="9.109375" style="448"/>
    <col min="2817" max="2817" width="10.109375" style="448" bestFit="1" customWidth="1"/>
    <col min="2818" max="2818" width="8.6640625" style="448" bestFit="1" customWidth="1"/>
    <col min="2819" max="2819" width="13.33203125" style="448" bestFit="1" customWidth="1"/>
    <col min="2820" max="2820" width="5.109375" style="448" bestFit="1" customWidth="1"/>
    <col min="2821" max="2822" width="10.6640625" style="448" customWidth="1"/>
    <col min="2823" max="2823" width="9.44140625" style="448" bestFit="1" customWidth="1"/>
    <col min="2824" max="2830" width="9.33203125" style="448" bestFit="1" customWidth="1"/>
    <col min="2831" max="2862" width="9.44140625" style="448" bestFit="1" customWidth="1"/>
    <col min="2863" max="3072" width="9.109375" style="448"/>
    <col min="3073" max="3073" width="10.109375" style="448" bestFit="1" customWidth="1"/>
    <col min="3074" max="3074" width="8.6640625" style="448" bestFit="1" customWidth="1"/>
    <col min="3075" max="3075" width="13.33203125" style="448" bestFit="1" customWidth="1"/>
    <col min="3076" max="3076" width="5.109375" style="448" bestFit="1" customWidth="1"/>
    <col min="3077" max="3078" width="10.6640625" style="448" customWidth="1"/>
    <col min="3079" max="3079" width="9.44140625" style="448" bestFit="1" customWidth="1"/>
    <col min="3080" max="3086" width="9.33203125" style="448" bestFit="1" customWidth="1"/>
    <col min="3087" max="3118" width="9.44140625" style="448" bestFit="1" customWidth="1"/>
    <col min="3119" max="3328" width="9.109375" style="448"/>
    <col min="3329" max="3329" width="10.109375" style="448" bestFit="1" customWidth="1"/>
    <col min="3330" max="3330" width="8.6640625" style="448" bestFit="1" customWidth="1"/>
    <col min="3331" max="3331" width="13.33203125" style="448" bestFit="1" customWidth="1"/>
    <col min="3332" max="3332" width="5.109375" style="448" bestFit="1" customWidth="1"/>
    <col min="3333" max="3334" width="10.6640625" style="448" customWidth="1"/>
    <col min="3335" max="3335" width="9.44140625" style="448" bestFit="1" customWidth="1"/>
    <col min="3336" max="3342" width="9.33203125" style="448" bestFit="1" customWidth="1"/>
    <col min="3343" max="3374" width="9.44140625" style="448" bestFit="1" customWidth="1"/>
    <col min="3375" max="3584" width="9.109375" style="448"/>
    <col min="3585" max="3585" width="10.109375" style="448" bestFit="1" customWidth="1"/>
    <col min="3586" max="3586" width="8.6640625" style="448" bestFit="1" customWidth="1"/>
    <col min="3587" max="3587" width="13.33203125" style="448" bestFit="1" customWidth="1"/>
    <col min="3588" max="3588" width="5.109375" style="448" bestFit="1" customWidth="1"/>
    <col min="3589" max="3590" width="10.6640625" style="448" customWidth="1"/>
    <col min="3591" max="3591" width="9.44140625" style="448" bestFit="1" customWidth="1"/>
    <col min="3592" max="3598" width="9.33203125" style="448" bestFit="1" customWidth="1"/>
    <col min="3599" max="3630" width="9.44140625" style="448" bestFit="1" customWidth="1"/>
    <col min="3631" max="3840" width="9.109375" style="448"/>
    <col min="3841" max="3841" width="10.109375" style="448" bestFit="1" customWidth="1"/>
    <col min="3842" max="3842" width="8.6640625" style="448" bestFit="1" customWidth="1"/>
    <col min="3843" max="3843" width="13.33203125" style="448" bestFit="1" customWidth="1"/>
    <col min="3844" max="3844" width="5.109375" style="448" bestFit="1" customWidth="1"/>
    <col min="3845" max="3846" width="10.6640625" style="448" customWidth="1"/>
    <col min="3847" max="3847" width="9.44140625" style="448" bestFit="1" customWidth="1"/>
    <col min="3848" max="3854" width="9.33203125" style="448" bestFit="1" customWidth="1"/>
    <col min="3855" max="3886" width="9.44140625" style="448" bestFit="1" customWidth="1"/>
    <col min="3887" max="4096" width="9.109375" style="448"/>
    <col min="4097" max="4097" width="10.109375" style="448" bestFit="1" customWidth="1"/>
    <col min="4098" max="4098" width="8.6640625" style="448" bestFit="1" customWidth="1"/>
    <col min="4099" max="4099" width="13.33203125" style="448" bestFit="1" customWidth="1"/>
    <col min="4100" max="4100" width="5.109375" style="448" bestFit="1" customWidth="1"/>
    <col min="4101" max="4102" width="10.6640625" style="448" customWidth="1"/>
    <col min="4103" max="4103" width="9.44140625" style="448" bestFit="1" customWidth="1"/>
    <col min="4104" max="4110" width="9.33203125" style="448" bestFit="1" customWidth="1"/>
    <col min="4111" max="4142" width="9.44140625" style="448" bestFit="1" customWidth="1"/>
    <col min="4143" max="4352" width="9.109375" style="448"/>
    <col min="4353" max="4353" width="10.109375" style="448" bestFit="1" customWidth="1"/>
    <col min="4354" max="4354" width="8.6640625" style="448" bestFit="1" customWidth="1"/>
    <col min="4355" max="4355" width="13.33203125" style="448" bestFit="1" customWidth="1"/>
    <col min="4356" max="4356" width="5.109375" style="448" bestFit="1" customWidth="1"/>
    <col min="4357" max="4358" width="10.6640625" style="448" customWidth="1"/>
    <col min="4359" max="4359" width="9.44140625" style="448" bestFit="1" customWidth="1"/>
    <col min="4360" max="4366" width="9.33203125" style="448" bestFit="1" customWidth="1"/>
    <col min="4367" max="4398" width="9.44140625" style="448" bestFit="1" customWidth="1"/>
    <col min="4399" max="4608" width="9.109375" style="448"/>
    <col min="4609" max="4609" width="10.109375" style="448" bestFit="1" customWidth="1"/>
    <col min="4610" max="4610" width="8.6640625" style="448" bestFit="1" customWidth="1"/>
    <col min="4611" max="4611" width="13.33203125" style="448" bestFit="1" customWidth="1"/>
    <col min="4612" max="4612" width="5.109375" style="448" bestFit="1" customWidth="1"/>
    <col min="4613" max="4614" width="10.6640625" style="448" customWidth="1"/>
    <col min="4615" max="4615" width="9.44140625" style="448" bestFit="1" customWidth="1"/>
    <col min="4616" max="4622" width="9.33203125" style="448" bestFit="1" customWidth="1"/>
    <col min="4623" max="4654" width="9.44140625" style="448" bestFit="1" customWidth="1"/>
    <col min="4655" max="4864" width="9.109375" style="448"/>
    <col min="4865" max="4865" width="10.109375" style="448" bestFit="1" customWidth="1"/>
    <col min="4866" max="4866" width="8.6640625" style="448" bestFit="1" customWidth="1"/>
    <col min="4867" max="4867" width="13.33203125" style="448" bestFit="1" customWidth="1"/>
    <col min="4868" max="4868" width="5.109375" style="448" bestFit="1" customWidth="1"/>
    <col min="4869" max="4870" width="10.6640625" style="448" customWidth="1"/>
    <col min="4871" max="4871" width="9.44140625" style="448" bestFit="1" customWidth="1"/>
    <col min="4872" max="4878" width="9.33203125" style="448" bestFit="1" customWidth="1"/>
    <col min="4879" max="4910" width="9.44140625" style="448" bestFit="1" customWidth="1"/>
    <col min="4911" max="5120" width="9.109375" style="448"/>
    <col min="5121" max="5121" width="10.109375" style="448" bestFit="1" customWidth="1"/>
    <col min="5122" max="5122" width="8.6640625" style="448" bestFit="1" customWidth="1"/>
    <col min="5123" max="5123" width="13.33203125" style="448" bestFit="1" customWidth="1"/>
    <col min="5124" max="5124" width="5.109375" style="448" bestFit="1" customWidth="1"/>
    <col min="5125" max="5126" width="10.6640625" style="448" customWidth="1"/>
    <col min="5127" max="5127" width="9.44140625" style="448" bestFit="1" customWidth="1"/>
    <col min="5128" max="5134" width="9.33203125" style="448" bestFit="1" customWidth="1"/>
    <col min="5135" max="5166" width="9.44140625" style="448" bestFit="1" customWidth="1"/>
    <col min="5167" max="5376" width="9.109375" style="448"/>
    <col min="5377" max="5377" width="10.109375" style="448" bestFit="1" customWidth="1"/>
    <col min="5378" max="5378" width="8.6640625" style="448" bestFit="1" customWidth="1"/>
    <col min="5379" max="5379" width="13.33203125" style="448" bestFit="1" customWidth="1"/>
    <col min="5380" max="5380" width="5.109375" style="448" bestFit="1" customWidth="1"/>
    <col min="5381" max="5382" width="10.6640625" style="448" customWidth="1"/>
    <col min="5383" max="5383" width="9.44140625" style="448" bestFit="1" customWidth="1"/>
    <col min="5384" max="5390" width="9.33203125" style="448" bestFit="1" customWidth="1"/>
    <col min="5391" max="5422" width="9.44140625" style="448" bestFit="1" customWidth="1"/>
    <col min="5423" max="5632" width="9.109375" style="448"/>
    <col min="5633" max="5633" width="10.109375" style="448" bestFit="1" customWidth="1"/>
    <col min="5634" max="5634" width="8.6640625" style="448" bestFit="1" customWidth="1"/>
    <col min="5635" max="5635" width="13.33203125" style="448" bestFit="1" customWidth="1"/>
    <col min="5636" max="5636" width="5.109375" style="448" bestFit="1" customWidth="1"/>
    <col min="5637" max="5638" width="10.6640625" style="448" customWidth="1"/>
    <col min="5639" max="5639" width="9.44140625" style="448" bestFit="1" customWidth="1"/>
    <col min="5640" max="5646" width="9.33203125" style="448" bestFit="1" customWidth="1"/>
    <col min="5647" max="5678" width="9.44140625" style="448" bestFit="1" customWidth="1"/>
    <col min="5679" max="5888" width="9.109375" style="448"/>
    <col min="5889" max="5889" width="10.109375" style="448" bestFit="1" customWidth="1"/>
    <col min="5890" max="5890" width="8.6640625" style="448" bestFit="1" customWidth="1"/>
    <col min="5891" max="5891" width="13.33203125" style="448" bestFit="1" customWidth="1"/>
    <col min="5892" max="5892" width="5.109375" style="448" bestFit="1" customWidth="1"/>
    <col min="5893" max="5894" width="10.6640625" style="448" customWidth="1"/>
    <col min="5895" max="5895" width="9.44140625" style="448" bestFit="1" customWidth="1"/>
    <col min="5896" max="5902" width="9.33203125" style="448" bestFit="1" customWidth="1"/>
    <col min="5903" max="5934" width="9.44140625" style="448" bestFit="1" customWidth="1"/>
    <col min="5935" max="6144" width="9.109375" style="448"/>
    <col min="6145" max="6145" width="10.109375" style="448" bestFit="1" customWidth="1"/>
    <col min="6146" max="6146" width="8.6640625" style="448" bestFit="1" customWidth="1"/>
    <col min="6147" max="6147" width="13.33203125" style="448" bestFit="1" customWidth="1"/>
    <col min="6148" max="6148" width="5.109375" style="448" bestFit="1" customWidth="1"/>
    <col min="6149" max="6150" width="10.6640625" style="448" customWidth="1"/>
    <col min="6151" max="6151" width="9.44140625" style="448" bestFit="1" customWidth="1"/>
    <col min="6152" max="6158" width="9.33203125" style="448" bestFit="1" customWidth="1"/>
    <col min="6159" max="6190" width="9.44140625" style="448" bestFit="1" customWidth="1"/>
    <col min="6191" max="6400" width="9.109375" style="448"/>
    <col min="6401" max="6401" width="10.109375" style="448" bestFit="1" customWidth="1"/>
    <col min="6402" max="6402" width="8.6640625" style="448" bestFit="1" customWidth="1"/>
    <col min="6403" max="6403" width="13.33203125" style="448" bestFit="1" customWidth="1"/>
    <col min="6404" max="6404" width="5.109375" style="448" bestFit="1" customWidth="1"/>
    <col min="6405" max="6406" width="10.6640625" style="448" customWidth="1"/>
    <col min="6407" max="6407" width="9.44140625" style="448" bestFit="1" customWidth="1"/>
    <col min="6408" max="6414" width="9.33203125" style="448" bestFit="1" customWidth="1"/>
    <col min="6415" max="6446" width="9.44140625" style="448" bestFit="1" customWidth="1"/>
    <col min="6447" max="6656" width="9.109375" style="448"/>
    <col min="6657" max="6657" width="10.109375" style="448" bestFit="1" customWidth="1"/>
    <col min="6658" max="6658" width="8.6640625" style="448" bestFit="1" customWidth="1"/>
    <col min="6659" max="6659" width="13.33203125" style="448" bestFit="1" customWidth="1"/>
    <col min="6660" max="6660" width="5.109375" style="448" bestFit="1" customWidth="1"/>
    <col min="6661" max="6662" width="10.6640625" style="448" customWidth="1"/>
    <col min="6663" max="6663" width="9.44140625" style="448" bestFit="1" customWidth="1"/>
    <col min="6664" max="6670" width="9.33203125" style="448" bestFit="1" customWidth="1"/>
    <col min="6671" max="6702" width="9.44140625" style="448" bestFit="1" customWidth="1"/>
    <col min="6703" max="6912" width="9.109375" style="448"/>
    <col min="6913" max="6913" width="10.109375" style="448" bestFit="1" customWidth="1"/>
    <col min="6914" max="6914" width="8.6640625" style="448" bestFit="1" customWidth="1"/>
    <col min="6915" max="6915" width="13.33203125" style="448" bestFit="1" customWidth="1"/>
    <col min="6916" max="6916" width="5.109375" style="448" bestFit="1" customWidth="1"/>
    <col min="6917" max="6918" width="10.6640625" style="448" customWidth="1"/>
    <col min="6919" max="6919" width="9.44140625" style="448" bestFit="1" customWidth="1"/>
    <col min="6920" max="6926" width="9.33203125" style="448" bestFit="1" customWidth="1"/>
    <col min="6927" max="6958" width="9.44140625" style="448" bestFit="1" customWidth="1"/>
    <col min="6959" max="7168" width="9.109375" style="448"/>
    <col min="7169" max="7169" width="10.109375" style="448" bestFit="1" customWidth="1"/>
    <col min="7170" max="7170" width="8.6640625" style="448" bestFit="1" customWidth="1"/>
    <col min="7171" max="7171" width="13.33203125" style="448" bestFit="1" customWidth="1"/>
    <col min="7172" max="7172" width="5.109375" style="448" bestFit="1" customWidth="1"/>
    <col min="7173" max="7174" width="10.6640625" style="448" customWidth="1"/>
    <col min="7175" max="7175" width="9.44140625" style="448" bestFit="1" customWidth="1"/>
    <col min="7176" max="7182" width="9.33203125" style="448" bestFit="1" customWidth="1"/>
    <col min="7183" max="7214" width="9.44140625" style="448" bestFit="1" customWidth="1"/>
    <col min="7215" max="7424" width="9.109375" style="448"/>
    <col min="7425" max="7425" width="10.109375" style="448" bestFit="1" customWidth="1"/>
    <col min="7426" max="7426" width="8.6640625" style="448" bestFit="1" customWidth="1"/>
    <col min="7427" max="7427" width="13.33203125" style="448" bestFit="1" customWidth="1"/>
    <col min="7428" max="7428" width="5.109375" style="448" bestFit="1" customWidth="1"/>
    <col min="7429" max="7430" width="10.6640625" style="448" customWidth="1"/>
    <col min="7431" max="7431" width="9.44140625" style="448" bestFit="1" customWidth="1"/>
    <col min="7432" max="7438" width="9.33203125" style="448" bestFit="1" customWidth="1"/>
    <col min="7439" max="7470" width="9.44140625" style="448" bestFit="1" customWidth="1"/>
    <col min="7471" max="7680" width="9.109375" style="448"/>
    <col min="7681" max="7681" width="10.109375" style="448" bestFit="1" customWidth="1"/>
    <col min="7682" max="7682" width="8.6640625" style="448" bestFit="1" customWidth="1"/>
    <col min="7683" max="7683" width="13.33203125" style="448" bestFit="1" customWidth="1"/>
    <col min="7684" max="7684" width="5.109375" style="448" bestFit="1" customWidth="1"/>
    <col min="7685" max="7686" width="10.6640625" style="448" customWidth="1"/>
    <col min="7687" max="7687" width="9.44140625" style="448" bestFit="1" customWidth="1"/>
    <col min="7688" max="7694" width="9.33203125" style="448" bestFit="1" customWidth="1"/>
    <col min="7695" max="7726" width="9.44140625" style="448" bestFit="1" customWidth="1"/>
    <col min="7727" max="7936" width="9.109375" style="448"/>
    <col min="7937" max="7937" width="10.109375" style="448" bestFit="1" customWidth="1"/>
    <col min="7938" max="7938" width="8.6640625" style="448" bestFit="1" customWidth="1"/>
    <col min="7939" max="7939" width="13.33203125" style="448" bestFit="1" customWidth="1"/>
    <col min="7940" max="7940" width="5.109375" style="448" bestFit="1" customWidth="1"/>
    <col min="7941" max="7942" width="10.6640625" style="448" customWidth="1"/>
    <col min="7943" max="7943" width="9.44140625" style="448" bestFit="1" customWidth="1"/>
    <col min="7944" max="7950" width="9.33203125" style="448" bestFit="1" customWidth="1"/>
    <col min="7951" max="7982" width="9.44140625" style="448" bestFit="1" customWidth="1"/>
    <col min="7983" max="8192" width="9.109375" style="448"/>
    <col min="8193" max="8193" width="10.109375" style="448" bestFit="1" customWidth="1"/>
    <col min="8194" max="8194" width="8.6640625" style="448" bestFit="1" customWidth="1"/>
    <col min="8195" max="8195" width="13.33203125" style="448" bestFit="1" customWidth="1"/>
    <col min="8196" max="8196" width="5.109375" style="448" bestFit="1" customWidth="1"/>
    <col min="8197" max="8198" width="10.6640625" style="448" customWidth="1"/>
    <col min="8199" max="8199" width="9.44140625" style="448" bestFit="1" customWidth="1"/>
    <col min="8200" max="8206" width="9.33203125" style="448" bestFit="1" customWidth="1"/>
    <col min="8207" max="8238" width="9.44140625" style="448" bestFit="1" customWidth="1"/>
    <col min="8239" max="8448" width="9.109375" style="448"/>
    <col min="8449" max="8449" width="10.109375" style="448" bestFit="1" customWidth="1"/>
    <col min="8450" max="8450" width="8.6640625" style="448" bestFit="1" customWidth="1"/>
    <col min="8451" max="8451" width="13.33203125" style="448" bestFit="1" customWidth="1"/>
    <col min="8452" max="8452" width="5.109375" style="448" bestFit="1" customWidth="1"/>
    <col min="8453" max="8454" width="10.6640625" style="448" customWidth="1"/>
    <col min="8455" max="8455" width="9.44140625" style="448" bestFit="1" customWidth="1"/>
    <col min="8456" max="8462" width="9.33203125" style="448" bestFit="1" customWidth="1"/>
    <col min="8463" max="8494" width="9.44140625" style="448" bestFit="1" customWidth="1"/>
    <col min="8495" max="8704" width="9.109375" style="448"/>
    <col min="8705" max="8705" width="10.109375" style="448" bestFit="1" customWidth="1"/>
    <col min="8706" max="8706" width="8.6640625" style="448" bestFit="1" customWidth="1"/>
    <col min="8707" max="8707" width="13.33203125" style="448" bestFit="1" customWidth="1"/>
    <col min="8708" max="8708" width="5.109375" style="448" bestFit="1" customWidth="1"/>
    <col min="8709" max="8710" width="10.6640625" style="448" customWidth="1"/>
    <col min="8711" max="8711" width="9.44140625" style="448" bestFit="1" customWidth="1"/>
    <col min="8712" max="8718" width="9.33203125" style="448" bestFit="1" customWidth="1"/>
    <col min="8719" max="8750" width="9.44140625" style="448" bestFit="1" customWidth="1"/>
    <col min="8751" max="8960" width="9.109375" style="448"/>
    <col min="8961" max="8961" width="10.109375" style="448" bestFit="1" customWidth="1"/>
    <col min="8962" max="8962" width="8.6640625" style="448" bestFit="1" customWidth="1"/>
    <col min="8963" max="8963" width="13.33203125" style="448" bestFit="1" customWidth="1"/>
    <col min="8964" max="8964" width="5.109375" style="448" bestFit="1" customWidth="1"/>
    <col min="8965" max="8966" width="10.6640625" style="448" customWidth="1"/>
    <col min="8967" max="8967" width="9.44140625" style="448" bestFit="1" customWidth="1"/>
    <col min="8968" max="8974" width="9.33203125" style="448" bestFit="1" customWidth="1"/>
    <col min="8975" max="9006" width="9.44140625" style="448" bestFit="1" customWidth="1"/>
    <col min="9007" max="9216" width="9.109375" style="448"/>
    <col min="9217" max="9217" width="10.109375" style="448" bestFit="1" customWidth="1"/>
    <col min="9218" max="9218" width="8.6640625" style="448" bestFit="1" customWidth="1"/>
    <col min="9219" max="9219" width="13.33203125" style="448" bestFit="1" customWidth="1"/>
    <col min="9220" max="9220" width="5.109375" style="448" bestFit="1" customWidth="1"/>
    <col min="9221" max="9222" width="10.6640625" style="448" customWidth="1"/>
    <col min="9223" max="9223" width="9.44140625" style="448" bestFit="1" customWidth="1"/>
    <col min="9224" max="9230" width="9.33203125" style="448" bestFit="1" customWidth="1"/>
    <col min="9231" max="9262" width="9.44140625" style="448" bestFit="1" customWidth="1"/>
    <col min="9263" max="9472" width="9.109375" style="448"/>
    <col min="9473" max="9473" width="10.109375" style="448" bestFit="1" customWidth="1"/>
    <col min="9474" max="9474" width="8.6640625" style="448" bestFit="1" customWidth="1"/>
    <col min="9475" max="9475" width="13.33203125" style="448" bestFit="1" customWidth="1"/>
    <col min="9476" max="9476" width="5.109375" style="448" bestFit="1" customWidth="1"/>
    <col min="9477" max="9478" width="10.6640625" style="448" customWidth="1"/>
    <col min="9479" max="9479" width="9.44140625" style="448" bestFit="1" customWidth="1"/>
    <col min="9480" max="9486" width="9.33203125" style="448" bestFit="1" customWidth="1"/>
    <col min="9487" max="9518" width="9.44140625" style="448" bestFit="1" customWidth="1"/>
    <col min="9519" max="9728" width="9.109375" style="448"/>
    <col min="9729" max="9729" width="10.109375" style="448" bestFit="1" customWidth="1"/>
    <col min="9730" max="9730" width="8.6640625" style="448" bestFit="1" customWidth="1"/>
    <col min="9731" max="9731" width="13.33203125" style="448" bestFit="1" customWidth="1"/>
    <col min="9732" max="9732" width="5.109375" style="448" bestFit="1" customWidth="1"/>
    <col min="9733" max="9734" width="10.6640625" style="448" customWidth="1"/>
    <col min="9735" max="9735" width="9.44140625" style="448" bestFit="1" customWidth="1"/>
    <col min="9736" max="9742" width="9.33203125" style="448" bestFit="1" customWidth="1"/>
    <col min="9743" max="9774" width="9.44140625" style="448" bestFit="1" customWidth="1"/>
    <col min="9775" max="9984" width="9.109375" style="448"/>
    <col min="9985" max="9985" width="10.109375" style="448" bestFit="1" customWidth="1"/>
    <col min="9986" max="9986" width="8.6640625" style="448" bestFit="1" customWidth="1"/>
    <col min="9987" max="9987" width="13.33203125" style="448" bestFit="1" customWidth="1"/>
    <col min="9988" max="9988" width="5.109375" style="448" bestFit="1" customWidth="1"/>
    <col min="9989" max="9990" width="10.6640625" style="448" customWidth="1"/>
    <col min="9991" max="9991" width="9.44140625" style="448" bestFit="1" customWidth="1"/>
    <col min="9992" max="9998" width="9.33203125" style="448" bestFit="1" customWidth="1"/>
    <col min="9999" max="10030" width="9.44140625" style="448" bestFit="1" customWidth="1"/>
    <col min="10031" max="10240" width="9.109375" style="448"/>
    <col min="10241" max="10241" width="10.109375" style="448" bestFit="1" customWidth="1"/>
    <col min="10242" max="10242" width="8.6640625" style="448" bestFit="1" customWidth="1"/>
    <col min="10243" max="10243" width="13.33203125" style="448" bestFit="1" customWidth="1"/>
    <col min="10244" max="10244" width="5.109375" style="448" bestFit="1" customWidth="1"/>
    <col min="10245" max="10246" width="10.6640625" style="448" customWidth="1"/>
    <col min="10247" max="10247" width="9.44140625" style="448" bestFit="1" customWidth="1"/>
    <col min="10248" max="10254" width="9.33203125" style="448" bestFit="1" customWidth="1"/>
    <col min="10255" max="10286" width="9.44140625" style="448" bestFit="1" customWidth="1"/>
    <col min="10287" max="10496" width="9.109375" style="448"/>
    <col min="10497" max="10497" width="10.109375" style="448" bestFit="1" customWidth="1"/>
    <col min="10498" max="10498" width="8.6640625" style="448" bestFit="1" customWidth="1"/>
    <col min="10499" max="10499" width="13.33203125" style="448" bestFit="1" customWidth="1"/>
    <col min="10500" max="10500" width="5.109375" style="448" bestFit="1" customWidth="1"/>
    <col min="10501" max="10502" width="10.6640625" style="448" customWidth="1"/>
    <col min="10503" max="10503" width="9.44140625" style="448" bestFit="1" customWidth="1"/>
    <col min="10504" max="10510" width="9.33203125" style="448" bestFit="1" customWidth="1"/>
    <col min="10511" max="10542" width="9.44140625" style="448" bestFit="1" customWidth="1"/>
    <col min="10543" max="10752" width="9.109375" style="448"/>
    <col min="10753" max="10753" width="10.109375" style="448" bestFit="1" customWidth="1"/>
    <col min="10754" max="10754" width="8.6640625" style="448" bestFit="1" customWidth="1"/>
    <col min="10755" max="10755" width="13.33203125" style="448" bestFit="1" customWidth="1"/>
    <col min="10756" max="10756" width="5.109375" style="448" bestFit="1" customWidth="1"/>
    <col min="10757" max="10758" width="10.6640625" style="448" customWidth="1"/>
    <col min="10759" max="10759" width="9.44140625" style="448" bestFit="1" customWidth="1"/>
    <col min="10760" max="10766" width="9.33203125" style="448" bestFit="1" customWidth="1"/>
    <col min="10767" max="10798" width="9.44140625" style="448" bestFit="1" customWidth="1"/>
    <col min="10799" max="11008" width="9.109375" style="448"/>
    <col min="11009" max="11009" width="10.109375" style="448" bestFit="1" customWidth="1"/>
    <col min="11010" max="11010" width="8.6640625" style="448" bestFit="1" customWidth="1"/>
    <col min="11011" max="11011" width="13.33203125" style="448" bestFit="1" customWidth="1"/>
    <col min="11012" max="11012" width="5.109375" style="448" bestFit="1" customWidth="1"/>
    <col min="11013" max="11014" width="10.6640625" style="448" customWidth="1"/>
    <col min="11015" max="11015" width="9.44140625" style="448" bestFit="1" customWidth="1"/>
    <col min="11016" max="11022" width="9.33203125" style="448" bestFit="1" customWidth="1"/>
    <col min="11023" max="11054" width="9.44140625" style="448" bestFit="1" customWidth="1"/>
    <col min="11055" max="11264" width="9.109375" style="448"/>
    <col min="11265" max="11265" width="10.109375" style="448" bestFit="1" customWidth="1"/>
    <col min="11266" max="11266" width="8.6640625" style="448" bestFit="1" customWidth="1"/>
    <col min="11267" max="11267" width="13.33203125" style="448" bestFit="1" customWidth="1"/>
    <col min="11268" max="11268" width="5.109375" style="448" bestFit="1" customWidth="1"/>
    <col min="11269" max="11270" width="10.6640625" style="448" customWidth="1"/>
    <col min="11271" max="11271" width="9.44140625" style="448" bestFit="1" customWidth="1"/>
    <col min="11272" max="11278" width="9.33203125" style="448" bestFit="1" customWidth="1"/>
    <col min="11279" max="11310" width="9.44140625" style="448" bestFit="1" customWidth="1"/>
    <col min="11311" max="11520" width="9.109375" style="448"/>
    <col min="11521" max="11521" width="10.109375" style="448" bestFit="1" customWidth="1"/>
    <col min="11522" max="11522" width="8.6640625" style="448" bestFit="1" customWidth="1"/>
    <col min="11523" max="11523" width="13.33203125" style="448" bestFit="1" customWidth="1"/>
    <col min="11524" max="11524" width="5.109375" style="448" bestFit="1" customWidth="1"/>
    <col min="11525" max="11526" width="10.6640625" style="448" customWidth="1"/>
    <col min="11527" max="11527" width="9.44140625" style="448" bestFit="1" customWidth="1"/>
    <col min="11528" max="11534" width="9.33203125" style="448" bestFit="1" customWidth="1"/>
    <col min="11535" max="11566" width="9.44140625" style="448" bestFit="1" customWidth="1"/>
    <col min="11567" max="11776" width="9.109375" style="448"/>
    <col min="11777" max="11777" width="10.109375" style="448" bestFit="1" customWidth="1"/>
    <col min="11778" max="11778" width="8.6640625" style="448" bestFit="1" customWidth="1"/>
    <col min="11779" max="11779" width="13.33203125" style="448" bestFit="1" customWidth="1"/>
    <col min="11780" max="11780" width="5.109375" style="448" bestFit="1" customWidth="1"/>
    <col min="11781" max="11782" width="10.6640625" style="448" customWidth="1"/>
    <col min="11783" max="11783" width="9.44140625" style="448" bestFit="1" customWidth="1"/>
    <col min="11784" max="11790" width="9.33203125" style="448" bestFit="1" customWidth="1"/>
    <col min="11791" max="11822" width="9.44140625" style="448" bestFit="1" customWidth="1"/>
    <col min="11823" max="12032" width="9.109375" style="448"/>
    <col min="12033" max="12033" width="10.109375" style="448" bestFit="1" customWidth="1"/>
    <col min="12034" max="12034" width="8.6640625" style="448" bestFit="1" customWidth="1"/>
    <col min="12035" max="12035" width="13.33203125" style="448" bestFit="1" customWidth="1"/>
    <col min="12036" max="12036" width="5.109375" style="448" bestFit="1" customWidth="1"/>
    <col min="12037" max="12038" width="10.6640625" style="448" customWidth="1"/>
    <col min="12039" max="12039" width="9.44140625" style="448" bestFit="1" customWidth="1"/>
    <col min="12040" max="12046" width="9.33203125" style="448" bestFit="1" customWidth="1"/>
    <col min="12047" max="12078" width="9.44140625" style="448" bestFit="1" customWidth="1"/>
    <col min="12079" max="12288" width="9.109375" style="448"/>
    <col min="12289" max="12289" width="10.109375" style="448" bestFit="1" customWidth="1"/>
    <col min="12290" max="12290" width="8.6640625" style="448" bestFit="1" customWidth="1"/>
    <col min="12291" max="12291" width="13.33203125" style="448" bestFit="1" customWidth="1"/>
    <col min="12292" max="12292" width="5.109375" style="448" bestFit="1" customWidth="1"/>
    <col min="12293" max="12294" width="10.6640625" style="448" customWidth="1"/>
    <col min="12295" max="12295" width="9.44140625" style="448" bestFit="1" customWidth="1"/>
    <col min="12296" max="12302" width="9.33203125" style="448" bestFit="1" customWidth="1"/>
    <col min="12303" max="12334" width="9.44140625" style="448" bestFit="1" customWidth="1"/>
    <col min="12335" max="12544" width="9.109375" style="448"/>
    <col min="12545" max="12545" width="10.109375" style="448" bestFit="1" customWidth="1"/>
    <col min="12546" max="12546" width="8.6640625" style="448" bestFit="1" customWidth="1"/>
    <col min="12547" max="12547" width="13.33203125" style="448" bestFit="1" customWidth="1"/>
    <col min="12548" max="12548" width="5.109375" style="448" bestFit="1" customWidth="1"/>
    <col min="12549" max="12550" width="10.6640625" style="448" customWidth="1"/>
    <col min="12551" max="12551" width="9.44140625" style="448" bestFit="1" customWidth="1"/>
    <col min="12552" max="12558" width="9.33203125" style="448" bestFit="1" customWidth="1"/>
    <col min="12559" max="12590" width="9.44140625" style="448" bestFit="1" customWidth="1"/>
    <col min="12591" max="12800" width="9.109375" style="448"/>
    <col min="12801" max="12801" width="10.109375" style="448" bestFit="1" customWidth="1"/>
    <col min="12802" max="12802" width="8.6640625" style="448" bestFit="1" customWidth="1"/>
    <col min="12803" max="12803" width="13.33203125" style="448" bestFit="1" customWidth="1"/>
    <col min="12804" max="12804" width="5.109375" style="448" bestFit="1" customWidth="1"/>
    <col min="12805" max="12806" width="10.6640625" style="448" customWidth="1"/>
    <col min="12807" max="12807" width="9.44140625" style="448" bestFit="1" customWidth="1"/>
    <col min="12808" max="12814" width="9.33203125" style="448" bestFit="1" customWidth="1"/>
    <col min="12815" max="12846" width="9.44140625" style="448" bestFit="1" customWidth="1"/>
    <col min="12847" max="13056" width="9.109375" style="448"/>
    <col min="13057" max="13057" width="10.109375" style="448" bestFit="1" customWidth="1"/>
    <col min="13058" max="13058" width="8.6640625" style="448" bestFit="1" customWidth="1"/>
    <col min="13059" max="13059" width="13.33203125" style="448" bestFit="1" customWidth="1"/>
    <col min="13060" max="13060" width="5.109375" style="448" bestFit="1" customWidth="1"/>
    <col min="13061" max="13062" width="10.6640625" style="448" customWidth="1"/>
    <col min="13063" max="13063" width="9.44140625" style="448" bestFit="1" customWidth="1"/>
    <col min="13064" max="13070" width="9.33203125" style="448" bestFit="1" customWidth="1"/>
    <col min="13071" max="13102" width="9.44140625" style="448" bestFit="1" customWidth="1"/>
    <col min="13103" max="13312" width="9.109375" style="448"/>
    <col min="13313" max="13313" width="10.109375" style="448" bestFit="1" customWidth="1"/>
    <col min="13314" max="13314" width="8.6640625" style="448" bestFit="1" customWidth="1"/>
    <col min="13315" max="13315" width="13.33203125" style="448" bestFit="1" customWidth="1"/>
    <col min="13316" max="13316" width="5.109375" style="448" bestFit="1" customWidth="1"/>
    <col min="13317" max="13318" width="10.6640625" style="448" customWidth="1"/>
    <col min="13319" max="13319" width="9.44140625" style="448" bestFit="1" customWidth="1"/>
    <col min="13320" max="13326" width="9.33203125" style="448" bestFit="1" customWidth="1"/>
    <col min="13327" max="13358" width="9.44140625" style="448" bestFit="1" customWidth="1"/>
    <col min="13359" max="13568" width="9.109375" style="448"/>
    <col min="13569" max="13569" width="10.109375" style="448" bestFit="1" customWidth="1"/>
    <col min="13570" max="13570" width="8.6640625" style="448" bestFit="1" customWidth="1"/>
    <col min="13571" max="13571" width="13.33203125" style="448" bestFit="1" customWidth="1"/>
    <col min="13572" max="13572" width="5.109375" style="448" bestFit="1" customWidth="1"/>
    <col min="13573" max="13574" width="10.6640625" style="448" customWidth="1"/>
    <col min="13575" max="13575" width="9.44140625" style="448" bestFit="1" customWidth="1"/>
    <col min="13576" max="13582" width="9.33203125" style="448" bestFit="1" customWidth="1"/>
    <col min="13583" max="13614" width="9.44140625" style="448" bestFit="1" customWidth="1"/>
    <col min="13615" max="13824" width="9.109375" style="448"/>
    <col min="13825" max="13825" width="10.109375" style="448" bestFit="1" customWidth="1"/>
    <col min="13826" max="13826" width="8.6640625" style="448" bestFit="1" customWidth="1"/>
    <col min="13827" max="13827" width="13.33203125" style="448" bestFit="1" customWidth="1"/>
    <col min="13828" max="13828" width="5.109375" style="448" bestFit="1" customWidth="1"/>
    <col min="13829" max="13830" width="10.6640625" style="448" customWidth="1"/>
    <col min="13831" max="13831" width="9.44140625" style="448" bestFit="1" customWidth="1"/>
    <col min="13832" max="13838" width="9.33203125" style="448" bestFit="1" customWidth="1"/>
    <col min="13839" max="13870" width="9.44140625" style="448" bestFit="1" customWidth="1"/>
    <col min="13871" max="14080" width="9.109375" style="448"/>
    <col min="14081" max="14081" width="10.109375" style="448" bestFit="1" customWidth="1"/>
    <col min="14082" max="14082" width="8.6640625" style="448" bestFit="1" customWidth="1"/>
    <col min="14083" max="14083" width="13.33203125" style="448" bestFit="1" customWidth="1"/>
    <col min="14084" max="14084" width="5.109375" style="448" bestFit="1" customWidth="1"/>
    <col min="14085" max="14086" width="10.6640625" style="448" customWidth="1"/>
    <col min="14087" max="14087" width="9.44140625" style="448" bestFit="1" customWidth="1"/>
    <col min="14088" max="14094" width="9.33203125" style="448" bestFit="1" customWidth="1"/>
    <col min="14095" max="14126" width="9.44140625" style="448" bestFit="1" customWidth="1"/>
    <col min="14127" max="14336" width="9.109375" style="448"/>
    <col min="14337" max="14337" width="10.109375" style="448" bestFit="1" customWidth="1"/>
    <col min="14338" max="14338" width="8.6640625" style="448" bestFit="1" customWidth="1"/>
    <col min="14339" max="14339" width="13.33203125" style="448" bestFit="1" customWidth="1"/>
    <col min="14340" max="14340" width="5.109375" style="448" bestFit="1" customWidth="1"/>
    <col min="14341" max="14342" width="10.6640625" style="448" customWidth="1"/>
    <col min="14343" max="14343" width="9.44140625" style="448" bestFit="1" customWidth="1"/>
    <col min="14344" max="14350" width="9.33203125" style="448" bestFit="1" customWidth="1"/>
    <col min="14351" max="14382" width="9.44140625" style="448" bestFit="1" customWidth="1"/>
    <col min="14383" max="14592" width="9.109375" style="448"/>
    <col min="14593" max="14593" width="10.109375" style="448" bestFit="1" customWidth="1"/>
    <col min="14594" max="14594" width="8.6640625" style="448" bestFit="1" customWidth="1"/>
    <col min="14595" max="14595" width="13.33203125" style="448" bestFit="1" customWidth="1"/>
    <col min="14596" max="14596" width="5.109375" style="448" bestFit="1" customWidth="1"/>
    <col min="14597" max="14598" width="10.6640625" style="448" customWidth="1"/>
    <col min="14599" max="14599" width="9.44140625" style="448" bestFit="1" customWidth="1"/>
    <col min="14600" max="14606" width="9.33203125" style="448" bestFit="1" customWidth="1"/>
    <col min="14607" max="14638" width="9.44140625" style="448" bestFit="1" customWidth="1"/>
    <col min="14639" max="14848" width="9.109375" style="448"/>
    <col min="14849" max="14849" width="10.109375" style="448" bestFit="1" customWidth="1"/>
    <col min="14850" max="14850" width="8.6640625" style="448" bestFit="1" customWidth="1"/>
    <col min="14851" max="14851" width="13.33203125" style="448" bestFit="1" customWidth="1"/>
    <col min="14852" max="14852" width="5.109375" style="448" bestFit="1" customWidth="1"/>
    <col min="14853" max="14854" width="10.6640625" style="448" customWidth="1"/>
    <col min="14855" max="14855" width="9.44140625" style="448" bestFit="1" customWidth="1"/>
    <col min="14856" max="14862" width="9.33203125" style="448" bestFit="1" customWidth="1"/>
    <col min="14863" max="14894" width="9.44140625" style="448" bestFit="1" customWidth="1"/>
    <col min="14895" max="15104" width="9.109375" style="448"/>
    <col min="15105" max="15105" width="10.109375" style="448" bestFit="1" customWidth="1"/>
    <col min="15106" max="15106" width="8.6640625" style="448" bestFit="1" customWidth="1"/>
    <col min="15107" max="15107" width="13.33203125" style="448" bestFit="1" customWidth="1"/>
    <col min="15108" max="15108" width="5.109375" style="448" bestFit="1" customWidth="1"/>
    <col min="15109" max="15110" width="10.6640625" style="448" customWidth="1"/>
    <col min="15111" max="15111" width="9.44140625" style="448" bestFit="1" customWidth="1"/>
    <col min="15112" max="15118" width="9.33203125" style="448" bestFit="1" customWidth="1"/>
    <col min="15119" max="15150" width="9.44140625" style="448" bestFit="1" customWidth="1"/>
    <col min="15151" max="15360" width="9.109375" style="448"/>
    <col min="15361" max="15361" width="10.109375" style="448" bestFit="1" customWidth="1"/>
    <col min="15362" max="15362" width="8.6640625" style="448" bestFit="1" customWidth="1"/>
    <col min="15363" max="15363" width="13.33203125" style="448" bestFit="1" customWidth="1"/>
    <col min="15364" max="15364" width="5.109375" style="448" bestFit="1" customWidth="1"/>
    <col min="15365" max="15366" width="10.6640625" style="448" customWidth="1"/>
    <col min="15367" max="15367" width="9.44140625" style="448" bestFit="1" customWidth="1"/>
    <col min="15368" max="15374" width="9.33203125" style="448" bestFit="1" customWidth="1"/>
    <col min="15375" max="15406" width="9.44140625" style="448" bestFit="1" customWidth="1"/>
    <col min="15407" max="15616" width="9.109375" style="448"/>
    <col min="15617" max="15617" width="10.109375" style="448" bestFit="1" customWidth="1"/>
    <col min="15618" max="15618" width="8.6640625" style="448" bestFit="1" customWidth="1"/>
    <col min="15619" max="15619" width="13.33203125" style="448" bestFit="1" customWidth="1"/>
    <col min="15620" max="15620" width="5.109375" style="448" bestFit="1" customWidth="1"/>
    <col min="15621" max="15622" width="10.6640625" style="448" customWidth="1"/>
    <col min="15623" max="15623" width="9.44140625" style="448" bestFit="1" customWidth="1"/>
    <col min="15624" max="15630" width="9.33203125" style="448" bestFit="1" customWidth="1"/>
    <col min="15631" max="15662" width="9.44140625" style="448" bestFit="1" customWidth="1"/>
    <col min="15663" max="15872" width="9.109375" style="448"/>
    <col min="15873" max="15873" width="10.109375" style="448" bestFit="1" customWidth="1"/>
    <col min="15874" max="15874" width="8.6640625" style="448" bestFit="1" customWidth="1"/>
    <col min="15875" max="15875" width="13.33203125" style="448" bestFit="1" customWidth="1"/>
    <col min="15876" max="15876" width="5.109375" style="448" bestFit="1" customWidth="1"/>
    <col min="15877" max="15878" width="10.6640625" style="448" customWidth="1"/>
    <col min="15879" max="15879" width="9.44140625" style="448" bestFit="1" customWidth="1"/>
    <col min="15880" max="15886" width="9.33203125" style="448" bestFit="1" customWidth="1"/>
    <col min="15887" max="15918" width="9.44140625" style="448" bestFit="1" customWidth="1"/>
    <col min="15919" max="16128" width="9.109375" style="448"/>
    <col min="16129" max="16129" width="10.109375" style="448" bestFit="1" customWidth="1"/>
    <col min="16130" max="16130" width="8.6640625" style="448" bestFit="1" customWidth="1"/>
    <col min="16131" max="16131" width="13.33203125" style="448" bestFit="1" customWidth="1"/>
    <col min="16132" max="16132" width="5.109375" style="448" bestFit="1" customWidth="1"/>
    <col min="16133" max="16134" width="10.6640625" style="448" customWidth="1"/>
    <col min="16135" max="16135" width="9.44140625" style="448" bestFit="1" customWidth="1"/>
    <col min="16136" max="16142" width="9.33203125" style="448" bestFit="1" customWidth="1"/>
    <col min="16143" max="16174" width="9.44140625" style="448" bestFit="1" customWidth="1"/>
    <col min="16175" max="16384" width="9.109375" style="448"/>
  </cols>
  <sheetData>
    <row r="3" spans="1:45">
      <c r="A3" s="449"/>
      <c r="B3" s="493"/>
      <c r="C3" s="496"/>
      <c r="D3" s="495" t="s">
        <v>606</v>
      </c>
      <c r="E3" s="494"/>
      <c r="F3" s="494"/>
      <c r="G3" s="493"/>
      <c r="H3" s="493"/>
      <c r="I3" s="493"/>
      <c r="J3" s="493"/>
      <c r="K3" s="493"/>
      <c r="L3" s="493"/>
      <c r="M3" s="493"/>
      <c r="N3" s="493"/>
      <c r="O3" s="493"/>
      <c r="P3" s="493"/>
      <c r="Q3" s="493"/>
      <c r="R3" s="493"/>
      <c r="S3" s="493"/>
      <c r="T3" s="493"/>
      <c r="U3" s="493"/>
      <c r="V3" s="493"/>
      <c r="W3" s="493"/>
      <c r="X3" s="493"/>
      <c r="Y3" s="493"/>
      <c r="Z3" s="493"/>
      <c r="AA3" s="493"/>
      <c r="AB3" s="493"/>
      <c r="AC3" s="493"/>
      <c r="AD3" s="493"/>
      <c r="AE3" s="493"/>
      <c r="AF3" s="493"/>
      <c r="AG3" s="493"/>
      <c r="AH3" s="493"/>
      <c r="AI3" s="493"/>
      <c r="AJ3" s="493"/>
      <c r="AK3" s="493"/>
      <c r="AL3" s="493"/>
      <c r="AM3" s="493"/>
      <c r="AN3" s="493"/>
      <c r="AO3" s="493"/>
      <c r="AP3" s="493"/>
      <c r="AQ3" s="493"/>
      <c r="AR3" s="493"/>
      <c r="AS3" s="493"/>
    </row>
    <row r="4" spans="1:45" ht="27.6">
      <c r="B4" s="492" t="s">
        <v>3</v>
      </c>
      <c r="C4" s="492" t="s">
        <v>209</v>
      </c>
      <c r="D4" s="492" t="s">
        <v>605</v>
      </c>
      <c r="E4" s="491">
        <v>2010</v>
      </c>
      <c r="F4" s="491">
        <v>2011</v>
      </c>
      <c r="G4" s="491">
        <v>2012</v>
      </c>
      <c r="H4" s="491">
        <v>2013</v>
      </c>
      <c r="I4" s="491">
        <v>2014</v>
      </c>
      <c r="J4" s="491">
        <v>2015</v>
      </c>
      <c r="K4" s="491">
        <v>2016</v>
      </c>
      <c r="L4" s="491">
        <v>2017</v>
      </c>
      <c r="M4" s="491">
        <v>2018</v>
      </c>
      <c r="N4" s="491">
        <v>2019</v>
      </c>
      <c r="O4" s="491">
        <v>2020</v>
      </c>
      <c r="P4" s="491">
        <v>2021</v>
      </c>
      <c r="Q4" s="491">
        <v>2022</v>
      </c>
      <c r="R4" s="491">
        <v>2023</v>
      </c>
      <c r="S4" s="491">
        <v>2024</v>
      </c>
      <c r="T4" s="491">
        <v>2025</v>
      </c>
      <c r="U4" s="491">
        <v>2026</v>
      </c>
      <c r="V4" s="491">
        <v>2027</v>
      </c>
      <c r="W4" s="491">
        <v>2028</v>
      </c>
      <c r="X4" s="491">
        <v>2029</v>
      </c>
      <c r="Y4" s="491">
        <v>2030</v>
      </c>
      <c r="Z4" s="491">
        <v>2031</v>
      </c>
      <c r="AA4" s="491">
        <v>2032</v>
      </c>
      <c r="AB4" s="491">
        <v>2033</v>
      </c>
      <c r="AC4" s="491">
        <v>2034</v>
      </c>
      <c r="AD4" s="491">
        <v>2035</v>
      </c>
      <c r="AE4" s="491">
        <v>2036</v>
      </c>
      <c r="AF4" s="491">
        <v>2037</v>
      </c>
      <c r="AG4" s="491">
        <v>2038</v>
      </c>
      <c r="AH4" s="491">
        <v>2039</v>
      </c>
      <c r="AI4" s="491">
        <v>2040</v>
      </c>
      <c r="AJ4" s="491">
        <v>2041</v>
      </c>
      <c r="AK4" s="491">
        <v>2042</v>
      </c>
      <c r="AL4" s="491">
        <v>2043</v>
      </c>
      <c r="AM4" s="491">
        <v>2044</v>
      </c>
      <c r="AN4" s="491">
        <v>2045</v>
      </c>
      <c r="AO4" s="491">
        <v>2046</v>
      </c>
      <c r="AP4" s="491">
        <v>2047</v>
      </c>
      <c r="AQ4" s="491">
        <v>2048</v>
      </c>
      <c r="AR4" s="491">
        <v>2049</v>
      </c>
      <c r="AS4" s="491">
        <v>2050</v>
      </c>
    </row>
    <row r="5" spans="1:45" ht="21" thickBot="1">
      <c r="B5" s="502" t="s">
        <v>604</v>
      </c>
      <c r="C5" s="501" t="s">
        <v>211</v>
      </c>
      <c r="D5" s="501"/>
      <c r="E5" s="500" t="s">
        <v>627</v>
      </c>
      <c r="F5" s="500" t="s">
        <v>627</v>
      </c>
      <c r="G5" s="500" t="s">
        <v>627</v>
      </c>
      <c r="H5" s="500" t="s">
        <v>627</v>
      </c>
      <c r="I5" s="500" t="s">
        <v>627</v>
      </c>
      <c r="J5" s="500" t="s">
        <v>627</v>
      </c>
      <c r="K5" s="500" t="s">
        <v>627</v>
      </c>
      <c r="L5" s="500" t="s">
        <v>627</v>
      </c>
      <c r="M5" s="500" t="s">
        <v>627</v>
      </c>
      <c r="N5" s="500" t="s">
        <v>627</v>
      </c>
      <c r="O5" s="500" t="s">
        <v>627</v>
      </c>
      <c r="P5" s="500" t="s">
        <v>627</v>
      </c>
      <c r="Q5" s="500" t="s">
        <v>627</v>
      </c>
      <c r="R5" s="500" t="s">
        <v>627</v>
      </c>
      <c r="S5" s="500" t="s">
        <v>627</v>
      </c>
      <c r="T5" s="500" t="s">
        <v>627</v>
      </c>
      <c r="U5" s="500" t="s">
        <v>627</v>
      </c>
      <c r="V5" s="500" t="s">
        <v>627</v>
      </c>
      <c r="W5" s="500" t="s">
        <v>627</v>
      </c>
      <c r="X5" s="500" t="s">
        <v>627</v>
      </c>
      <c r="Y5" s="500" t="s">
        <v>627</v>
      </c>
      <c r="Z5" s="500" t="s">
        <v>627</v>
      </c>
      <c r="AA5" s="500" t="s">
        <v>627</v>
      </c>
      <c r="AB5" s="500" t="s">
        <v>627</v>
      </c>
      <c r="AC5" s="500" t="s">
        <v>627</v>
      </c>
      <c r="AD5" s="500" t="s">
        <v>627</v>
      </c>
      <c r="AE5" s="500" t="s">
        <v>627</v>
      </c>
      <c r="AF5" s="500" t="s">
        <v>627</v>
      </c>
      <c r="AG5" s="500" t="s">
        <v>627</v>
      </c>
      <c r="AH5" s="500" t="s">
        <v>627</v>
      </c>
      <c r="AI5" s="500" t="s">
        <v>627</v>
      </c>
      <c r="AJ5" s="500" t="s">
        <v>627</v>
      </c>
      <c r="AK5" s="500" t="s">
        <v>627</v>
      </c>
      <c r="AL5" s="500" t="s">
        <v>627</v>
      </c>
      <c r="AM5" s="500" t="s">
        <v>627</v>
      </c>
      <c r="AN5" s="500" t="s">
        <v>627</v>
      </c>
      <c r="AO5" s="500" t="s">
        <v>627</v>
      </c>
      <c r="AP5" s="500" t="s">
        <v>627</v>
      </c>
      <c r="AQ5" s="500" t="s">
        <v>627</v>
      </c>
      <c r="AR5" s="500" t="s">
        <v>627</v>
      </c>
      <c r="AS5" s="500" t="s">
        <v>627</v>
      </c>
    </row>
    <row r="6" spans="1:45">
      <c r="B6" s="497" t="s">
        <v>373</v>
      </c>
      <c r="C6" s="499" t="s">
        <v>210</v>
      </c>
      <c r="D6" s="497" t="s">
        <v>603</v>
      </c>
      <c r="E6" s="498">
        <f>E11/1000</f>
        <v>0.12956999999999999</v>
      </c>
      <c r="F6" s="498">
        <f t="shared" ref="F6:AS6" si="0">F11/1000</f>
        <v>0.11647</v>
      </c>
      <c r="G6" s="498">
        <f t="shared" si="0"/>
        <v>6.2899999999999998E-2</v>
      </c>
      <c r="H6" s="498">
        <f t="shared" si="0"/>
        <v>3.49E-2</v>
      </c>
      <c r="I6" s="498">
        <f t="shared" si="0"/>
        <v>4.4400000000000002E-2</v>
      </c>
      <c r="J6" s="498">
        <f t="shared" si="0"/>
        <v>5.5600000000000004E-2</v>
      </c>
      <c r="K6" s="498">
        <f t="shared" si="0"/>
        <v>3.9340524000000002E-2</v>
      </c>
      <c r="L6" s="498">
        <f t="shared" si="0"/>
        <v>4.0423484119345515E-2</v>
      </c>
      <c r="M6" s="498">
        <f t="shared" si="0"/>
        <v>4.1385948026948984E-2</v>
      </c>
      <c r="N6" s="498">
        <f t="shared" si="0"/>
        <v>0.19574638834999999</v>
      </c>
      <c r="O6" s="498">
        <f t="shared" si="0"/>
        <v>0.21442575100000003</v>
      </c>
      <c r="P6" s="498">
        <f t="shared" si="0"/>
        <v>0.25416623663429561</v>
      </c>
      <c r="Q6" s="498">
        <f t="shared" si="0"/>
        <v>0.26172203669931476</v>
      </c>
      <c r="R6" s="498">
        <f t="shared" si="0"/>
        <v>0.26950235137821066</v>
      </c>
      <c r="S6" s="498">
        <f t="shared" si="0"/>
        <v>0.27751395555810943</v>
      </c>
      <c r="T6" s="498">
        <f t="shared" si="0"/>
        <v>0.28576379564226695</v>
      </c>
      <c r="U6" s="498">
        <f t="shared" si="0"/>
        <v>0.29425881803393916</v>
      </c>
      <c r="V6" s="498">
        <f t="shared" si="0"/>
        <v>0.30300639792670647</v>
      </c>
      <c r="W6" s="498">
        <f t="shared" si="0"/>
        <v>0.31201399627221399</v>
      </c>
      <c r="X6" s="498">
        <f t="shared" si="0"/>
        <v>0.3212894170543667</v>
      </c>
      <c r="Y6" s="498">
        <f t="shared" si="0"/>
        <v>0.33084055001513429</v>
      </c>
      <c r="Z6" s="498">
        <f t="shared" si="0"/>
        <v>0.33084055001513429</v>
      </c>
      <c r="AA6" s="498">
        <f t="shared" si="0"/>
        <v>0.33084055001513429</v>
      </c>
      <c r="AB6" s="498">
        <f t="shared" si="0"/>
        <v>0.33084055001513429</v>
      </c>
      <c r="AC6" s="498">
        <f t="shared" si="0"/>
        <v>0.33084055001513429</v>
      </c>
      <c r="AD6" s="498">
        <f t="shared" si="0"/>
        <v>0.33274508650000001</v>
      </c>
      <c r="AE6" s="498">
        <f t="shared" si="0"/>
        <v>0.3426367495</v>
      </c>
      <c r="AF6" s="498">
        <f t="shared" si="0"/>
        <v>0.35282246399999995</v>
      </c>
      <c r="AG6" s="498">
        <f t="shared" si="0"/>
        <v>0.36331102099999996</v>
      </c>
      <c r="AH6" s="498">
        <f t="shared" si="0"/>
        <v>0.37411136049999999</v>
      </c>
      <c r="AI6" s="498">
        <f t="shared" si="0"/>
        <v>0.38523279500000002</v>
      </c>
      <c r="AJ6" s="498">
        <f t="shared" si="0"/>
        <v>0.39416080050000002</v>
      </c>
      <c r="AK6" s="498">
        <f t="shared" si="0"/>
        <v>0.40308880599999997</v>
      </c>
      <c r="AL6" s="498">
        <f t="shared" si="0"/>
        <v>0.41201681149999997</v>
      </c>
      <c r="AM6" s="498">
        <f t="shared" si="0"/>
        <v>0.42094481699999997</v>
      </c>
      <c r="AN6" s="498">
        <f t="shared" si="0"/>
        <v>0.42987282249999992</v>
      </c>
      <c r="AO6" s="498">
        <f t="shared" si="0"/>
        <v>0.43880082799999992</v>
      </c>
      <c r="AP6" s="498">
        <f t="shared" si="0"/>
        <v>0.44772883349999987</v>
      </c>
      <c r="AQ6" s="498">
        <f t="shared" si="0"/>
        <v>0.45665683899999987</v>
      </c>
      <c r="AR6" s="498">
        <f t="shared" si="0"/>
        <v>0.46558484449999987</v>
      </c>
      <c r="AS6" s="498">
        <f t="shared" si="0"/>
        <v>0.47451284999999982</v>
      </c>
    </row>
    <row r="7" spans="1:45">
      <c r="B7" s="497" t="s">
        <v>371</v>
      </c>
      <c r="C7" s="499" t="s">
        <v>210</v>
      </c>
      <c r="D7" s="497" t="s">
        <v>603</v>
      </c>
      <c r="E7" s="498">
        <f>E24/1000</f>
        <v>0.16369999999999998</v>
      </c>
      <c r="F7" s="498">
        <f t="shared" ref="F7:AS7" si="1">F24/1000</f>
        <v>0.16569999999999999</v>
      </c>
      <c r="G7" s="498">
        <f t="shared" si="1"/>
        <v>0.1648</v>
      </c>
      <c r="H7" s="498">
        <f t="shared" si="1"/>
        <v>0.16500000000000001</v>
      </c>
      <c r="I7" s="498">
        <f t="shared" si="1"/>
        <v>0.16689999999999999</v>
      </c>
      <c r="J7" s="498">
        <f t="shared" si="1"/>
        <v>0.16819999999999999</v>
      </c>
      <c r="K7" s="498">
        <f t="shared" si="1"/>
        <v>0.1677346232179226</v>
      </c>
      <c r="L7" s="498">
        <f t="shared" si="1"/>
        <v>0.1677346232179226</v>
      </c>
      <c r="M7" s="498">
        <f t="shared" si="1"/>
        <v>0.1677346232179226</v>
      </c>
      <c r="N7" s="498">
        <f t="shared" si="1"/>
        <v>0.19574638834999999</v>
      </c>
      <c r="O7" s="498">
        <f t="shared" si="1"/>
        <v>0.21442575100000003</v>
      </c>
      <c r="P7" s="498">
        <f t="shared" si="1"/>
        <v>0.22080004550000001</v>
      </c>
      <c r="Q7" s="498">
        <f t="shared" si="1"/>
        <v>0.2273639425</v>
      </c>
      <c r="R7" s="498">
        <f t="shared" si="1"/>
        <v>0.23412288050000002</v>
      </c>
      <c r="S7" s="498">
        <f t="shared" si="1"/>
        <v>0.24108274500000001</v>
      </c>
      <c r="T7" s="498">
        <f t="shared" si="1"/>
        <v>0.24824957050000004</v>
      </c>
      <c r="U7" s="498">
        <f t="shared" si="1"/>
        <v>0.25562939149999997</v>
      </c>
      <c r="V7" s="498">
        <f t="shared" si="1"/>
        <v>0.26322861500000005</v>
      </c>
      <c r="W7" s="498">
        <f t="shared" si="1"/>
        <v>0.27105372249999998</v>
      </c>
      <c r="X7" s="498">
        <f t="shared" si="1"/>
        <v>0.27911149349999997</v>
      </c>
      <c r="Y7" s="498">
        <f t="shared" si="1"/>
        <v>0.28740878200000003</v>
      </c>
      <c r="Z7" s="498">
        <f t="shared" si="1"/>
        <v>0.29595273999999999</v>
      </c>
      <c r="AA7" s="498">
        <f t="shared" si="1"/>
        <v>0.30475066849999999</v>
      </c>
      <c r="AB7" s="498">
        <f t="shared" si="1"/>
        <v>0.31381016649999999</v>
      </c>
      <c r="AC7" s="498">
        <f t="shared" si="1"/>
        <v>0.32313898200000007</v>
      </c>
      <c r="AD7" s="498">
        <f t="shared" si="1"/>
        <v>0.33274508650000001</v>
      </c>
      <c r="AE7" s="498">
        <f t="shared" si="1"/>
        <v>0.3426367495</v>
      </c>
      <c r="AF7" s="498">
        <f t="shared" si="1"/>
        <v>0.35282246399999995</v>
      </c>
      <c r="AG7" s="498">
        <f t="shared" si="1"/>
        <v>0.36331102099999996</v>
      </c>
      <c r="AH7" s="498">
        <f t="shared" si="1"/>
        <v>0.37411136049999999</v>
      </c>
      <c r="AI7" s="498">
        <f t="shared" si="1"/>
        <v>0.38523279500000002</v>
      </c>
      <c r="AJ7" s="498">
        <f t="shared" si="1"/>
        <v>0.39416080050000002</v>
      </c>
      <c r="AK7" s="498">
        <f t="shared" si="1"/>
        <v>0.40308880599999997</v>
      </c>
      <c r="AL7" s="498">
        <f t="shared" si="1"/>
        <v>0.41201681149999997</v>
      </c>
      <c r="AM7" s="498">
        <f t="shared" si="1"/>
        <v>0.42094481699999997</v>
      </c>
      <c r="AN7" s="498">
        <f t="shared" si="1"/>
        <v>0.42987282249999992</v>
      </c>
      <c r="AO7" s="498">
        <f t="shared" si="1"/>
        <v>0.43880082799999992</v>
      </c>
      <c r="AP7" s="498">
        <f t="shared" si="1"/>
        <v>0.44772883349999987</v>
      </c>
      <c r="AQ7" s="498">
        <f t="shared" si="1"/>
        <v>0.45665683899999987</v>
      </c>
      <c r="AR7" s="498">
        <f t="shared" si="1"/>
        <v>0.46558484449999987</v>
      </c>
      <c r="AS7" s="498">
        <f t="shared" si="1"/>
        <v>0.47451284999999982</v>
      </c>
    </row>
    <row r="8" spans="1:45">
      <c r="B8" s="485"/>
      <c r="C8" s="485"/>
      <c r="D8" s="485"/>
      <c r="E8" s="485"/>
      <c r="F8" s="485"/>
      <c r="G8" s="485"/>
      <c r="H8" s="485"/>
      <c r="I8" s="485"/>
      <c r="J8" s="485"/>
      <c r="K8" s="485"/>
      <c r="L8" s="485"/>
      <c r="M8" s="485"/>
      <c r="N8" s="485"/>
      <c r="O8" s="485"/>
      <c r="P8" s="485"/>
      <c r="Q8" s="485"/>
      <c r="R8" s="485"/>
      <c r="S8" s="485"/>
      <c r="T8" s="485"/>
      <c r="U8" s="485"/>
      <c r="V8" s="485"/>
      <c r="W8" s="485"/>
      <c r="X8" s="485"/>
      <c r="Y8" s="485"/>
      <c r="Z8" s="485"/>
      <c r="AA8" s="485"/>
      <c r="AB8" s="485"/>
      <c r="AC8" s="485"/>
      <c r="AD8" s="485"/>
      <c r="AE8" s="485"/>
      <c r="AF8" s="485"/>
      <c r="AG8" s="485"/>
      <c r="AH8" s="485"/>
      <c r="AI8" s="485"/>
      <c r="AJ8" s="485"/>
      <c r="AK8" s="485"/>
      <c r="AL8" s="485"/>
      <c r="AM8" s="485"/>
      <c r="AN8" s="485"/>
      <c r="AO8" s="485"/>
      <c r="AP8" s="485"/>
      <c r="AQ8" s="485"/>
      <c r="AR8" s="485"/>
      <c r="AS8" s="485"/>
    </row>
    <row r="9" spans="1:45" ht="15" thickBot="1">
      <c r="B9" s="485"/>
      <c r="C9" s="485"/>
      <c r="D9" s="485"/>
      <c r="E9" s="485"/>
      <c r="F9" s="485"/>
      <c r="G9" s="485"/>
      <c r="H9" s="485"/>
      <c r="I9" s="485"/>
      <c r="J9" s="485"/>
      <c r="K9" s="485"/>
      <c r="L9" s="485"/>
      <c r="M9" s="485"/>
      <c r="N9" s="485"/>
      <c r="O9" s="485"/>
      <c r="P9" s="485"/>
      <c r="Q9" s="485"/>
      <c r="R9" s="485"/>
      <c r="S9" s="485"/>
      <c r="T9" s="485"/>
      <c r="U9" s="485"/>
      <c r="V9" s="485"/>
      <c r="W9" s="485"/>
      <c r="X9" s="485"/>
      <c r="Y9" s="485"/>
      <c r="Z9" s="485"/>
      <c r="AA9" s="485"/>
      <c r="AB9" s="485"/>
      <c r="AC9" s="485"/>
      <c r="AD9" s="485"/>
      <c r="AE9" s="485"/>
      <c r="AF9" s="485"/>
      <c r="AG9" s="485"/>
      <c r="AH9" s="485"/>
      <c r="AI9" s="485"/>
      <c r="AJ9" s="485"/>
      <c r="AK9" s="485"/>
      <c r="AL9" s="485"/>
      <c r="AM9" s="485"/>
      <c r="AN9" s="485"/>
      <c r="AO9" s="485"/>
      <c r="AP9" s="485"/>
      <c r="AQ9" s="485"/>
      <c r="AR9" s="485"/>
      <c r="AS9" s="485"/>
    </row>
    <row r="10" spans="1:45">
      <c r="B10" s="577" t="s">
        <v>647</v>
      </c>
      <c r="C10" s="578"/>
      <c r="D10" s="579"/>
      <c r="E10" s="580">
        <v>2010</v>
      </c>
      <c r="F10" s="580">
        <v>2011</v>
      </c>
      <c r="G10" s="580">
        <v>2012</v>
      </c>
      <c r="H10" s="580">
        <v>2013</v>
      </c>
      <c r="I10" s="580">
        <v>2014</v>
      </c>
      <c r="J10" s="580">
        <v>2015</v>
      </c>
      <c r="K10" s="580">
        <v>2016</v>
      </c>
      <c r="L10" s="580">
        <v>2017</v>
      </c>
      <c r="M10" s="580">
        <v>2018</v>
      </c>
      <c r="N10" s="580">
        <v>2019</v>
      </c>
      <c r="O10" s="580">
        <v>2020</v>
      </c>
      <c r="P10" s="580">
        <v>2021</v>
      </c>
      <c r="Q10" s="580">
        <v>2022</v>
      </c>
      <c r="R10" s="580">
        <v>2023</v>
      </c>
      <c r="S10" s="580">
        <v>2024</v>
      </c>
      <c r="T10" s="580">
        <v>2025</v>
      </c>
      <c r="U10" s="580">
        <v>2026</v>
      </c>
      <c r="V10" s="580">
        <v>2027</v>
      </c>
      <c r="W10" s="580">
        <v>2028</v>
      </c>
      <c r="X10" s="580">
        <v>2029</v>
      </c>
      <c r="Y10" s="580">
        <v>2030</v>
      </c>
      <c r="Z10" s="580">
        <v>2031</v>
      </c>
      <c r="AA10" s="580">
        <v>2032</v>
      </c>
      <c r="AB10" s="580">
        <v>2033</v>
      </c>
      <c r="AC10" s="580">
        <v>2034</v>
      </c>
      <c r="AD10" s="580">
        <v>2035</v>
      </c>
      <c r="AE10" s="580">
        <v>2036</v>
      </c>
      <c r="AF10" s="580">
        <v>2037</v>
      </c>
      <c r="AG10" s="580">
        <v>2038</v>
      </c>
      <c r="AH10" s="580">
        <v>2039</v>
      </c>
      <c r="AI10" s="580">
        <v>2040</v>
      </c>
      <c r="AJ10" s="580">
        <v>2041</v>
      </c>
      <c r="AK10" s="580">
        <v>2042</v>
      </c>
      <c r="AL10" s="580">
        <v>2043</v>
      </c>
      <c r="AM10" s="580">
        <v>2044</v>
      </c>
      <c r="AN10" s="580">
        <v>2045</v>
      </c>
      <c r="AO10" s="580">
        <v>2046</v>
      </c>
      <c r="AP10" s="580">
        <v>2047</v>
      </c>
      <c r="AQ10" s="580">
        <v>2048</v>
      </c>
      <c r="AR10" s="580">
        <v>2049</v>
      </c>
      <c r="AS10" s="581">
        <v>2050</v>
      </c>
    </row>
    <row r="11" spans="1:45">
      <c r="B11" s="582" t="s">
        <v>648</v>
      </c>
      <c r="C11" s="583"/>
      <c r="D11" s="583"/>
      <c r="E11" s="583">
        <v>129.57</v>
      </c>
      <c r="F11" s="583">
        <v>116.47</v>
      </c>
      <c r="G11" s="583">
        <v>62.9</v>
      </c>
      <c r="H11" s="583">
        <v>34.9</v>
      </c>
      <c r="I11" s="583">
        <v>44.4</v>
      </c>
      <c r="J11" s="583">
        <v>55.6</v>
      </c>
      <c r="K11" s="583">
        <v>39.340524000000002</v>
      </c>
      <c r="L11" s="584">
        <f>L32</f>
        <v>40.423484119345517</v>
      </c>
      <c r="M11" s="584">
        <f t="shared" ref="M11" si="2">M32</f>
        <v>41.385948026948981</v>
      </c>
      <c r="N11" s="681">
        <v>195.74638834999999</v>
      </c>
      <c r="O11" s="681">
        <v>214.42575100000002</v>
      </c>
      <c r="P11" s="681">
        <v>254.16623663429559</v>
      </c>
      <c r="Q11" s="681">
        <v>261.72203669931474</v>
      </c>
      <c r="R11" s="681">
        <v>269.50235137821068</v>
      </c>
      <c r="S11" s="681">
        <v>277.51395555810944</v>
      </c>
      <c r="T11" s="681">
        <v>285.76379564226693</v>
      </c>
      <c r="U11" s="681">
        <v>294.25881803393918</v>
      </c>
      <c r="V11" s="681">
        <v>303.00639792670648</v>
      </c>
      <c r="W11" s="681">
        <v>312.013996272214</v>
      </c>
      <c r="X11" s="681">
        <v>321.28941705436671</v>
      </c>
      <c r="Y11" s="681">
        <v>330.84055001513428</v>
      </c>
      <c r="Z11" s="681">
        <v>330.84055001513428</v>
      </c>
      <c r="AA11" s="681">
        <v>330.84055001513428</v>
      </c>
      <c r="AB11" s="681">
        <v>330.84055001513428</v>
      </c>
      <c r="AC11" s="681">
        <v>330.84055001513428</v>
      </c>
      <c r="AD11" s="681">
        <v>332.74508650000001</v>
      </c>
      <c r="AE11" s="681">
        <v>342.63674950000001</v>
      </c>
      <c r="AF11" s="681">
        <v>352.82246399999997</v>
      </c>
      <c r="AG11" s="681">
        <v>363.31102099999998</v>
      </c>
      <c r="AH11" s="681">
        <v>374.11136049999999</v>
      </c>
      <c r="AI11" s="680">
        <v>385.23279500000001</v>
      </c>
      <c r="AJ11" s="680">
        <f>($AI$24-$Z$24)/10+AI11</f>
        <v>394.16080049999999</v>
      </c>
      <c r="AK11" s="680">
        <f t="shared" ref="AK11:AS11" si="3">($AI$24-$Z$24)/10+AJ11</f>
        <v>403.08880599999998</v>
      </c>
      <c r="AL11" s="680">
        <f t="shared" si="3"/>
        <v>412.01681149999996</v>
      </c>
      <c r="AM11" s="680">
        <f t="shared" si="3"/>
        <v>420.94481699999994</v>
      </c>
      <c r="AN11" s="680">
        <f t="shared" si="3"/>
        <v>429.87282249999993</v>
      </c>
      <c r="AO11" s="680">
        <f t="shared" si="3"/>
        <v>438.80082799999991</v>
      </c>
      <c r="AP11" s="680">
        <f t="shared" si="3"/>
        <v>447.72883349999989</v>
      </c>
      <c r="AQ11" s="680">
        <f t="shared" si="3"/>
        <v>456.65683899999988</v>
      </c>
      <c r="AR11" s="680">
        <f t="shared" si="3"/>
        <v>465.58484449999986</v>
      </c>
      <c r="AS11" s="680">
        <f t="shared" si="3"/>
        <v>474.51284999999984</v>
      </c>
    </row>
    <row r="12" spans="1:45">
      <c r="B12" s="585" t="s">
        <v>749</v>
      </c>
      <c r="C12" s="586"/>
      <c r="D12" s="586"/>
      <c r="E12" s="586"/>
      <c r="F12" s="586"/>
      <c r="G12" s="586"/>
      <c r="H12" s="586"/>
      <c r="I12" s="586"/>
      <c r="J12" s="586"/>
      <c r="K12" s="586"/>
      <c r="L12" s="586"/>
      <c r="M12" s="586"/>
      <c r="N12" s="586"/>
      <c r="O12" s="586"/>
      <c r="P12" s="586"/>
      <c r="Q12" s="586"/>
      <c r="R12" s="586"/>
      <c r="S12" s="586"/>
      <c r="T12" s="586"/>
      <c r="U12" s="586"/>
      <c r="V12" s="586"/>
      <c r="W12" s="586"/>
      <c r="X12" s="586"/>
      <c r="Y12" s="586"/>
      <c r="Z12" s="586"/>
      <c r="AA12" s="586"/>
      <c r="AB12" s="586"/>
      <c r="AC12" s="586"/>
      <c r="AD12" s="586"/>
      <c r="AE12" s="586"/>
      <c r="AF12" s="586"/>
      <c r="AG12" s="586"/>
      <c r="AH12" s="586"/>
      <c r="AI12" s="586"/>
      <c r="AJ12" s="586"/>
      <c r="AK12" s="586"/>
      <c r="AL12" s="586"/>
      <c r="AM12" s="586"/>
      <c r="AN12" s="586"/>
      <c r="AO12" s="586"/>
      <c r="AP12" s="586"/>
      <c r="AQ12" s="586"/>
      <c r="AR12" s="586"/>
      <c r="AS12" s="586"/>
    </row>
    <row r="13" spans="1:45">
      <c r="B13" s="587" t="s">
        <v>750</v>
      </c>
      <c r="C13" s="586"/>
      <c r="D13" s="586"/>
      <c r="E13" s="586"/>
      <c r="F13" s="586"/>
      <c r="G13" s="586"/>
      <c r="H13" s="586"/>
      <c r="I13" s="586"/>
      <c r="J13" s="586"/>
      <c r="K13" s="586"/>
      <c r="L13" s="586"/>
      <c r="M13" s="586"/>
      <c r="N13" s="586"/>
      <c r="O13" s="588"/>
      <c r="P13" s="586"/>
      <c r="Q13" s="586"/>
      <c r="R13" s="586"/>
      <c r="S13" s="586"/>
      <c r="T13" s="586"/>
      <c r="U13" s="586"/>
      <c r="V13" s="586"/>
      <c r="W13" s="586"/>
      <c r="X13" s="586"/>
      <c r="Y13" s="586"/>
      <c r="Z13" s="586"/>
      <c r="AA13" s="586"/>
      <c r="AB13" s="586"/>
      <c r="AC13" s="586"/>
      <c r="AD13" s="586"/>
      <c r="AE13" s="586"/>
      <c r="AF13" s="586"/>
      <c r="AG13" s="586"/>
      <c r="AH13" s="586"/>
      <c r="AI13" s="586"/>
      <c r="AJ13" s="586"/>
      <c r="AK13" s="586"/>
      <c r="AL13" s="586"/>
      <c r="AM13" s="586"/>
      <c r="AN13" s="586"/>
      <c r="AO13" s="586"/>
      <c r="AP13" s="586"/>
      <c r="AQ13" s="586"/>
      <c r="AR13" s="586"/>
      <c r="AS13" s="586"/>
    </row>
    <row r="14" spans="1:45">
      <c r="B14" s="587"/>
      <c r="C14" s="586"/>
      <c r="D14" s="586"/>
      <c r="E14" s="586"/>
      <c r="F14" s="586"/>
      <c r="G14" s="586"/>
      <c r="H14" s="586"/>
      <c r="I14" s="586"/>
      <c r="J14" s="586"/>
      <c r="K14" s="586"/>
      <c r="L14" s="586"/>
      <c r="M14" s="586"/>
      <c r="N14" s="586"/>
      <c r="O14" s="586"/>
      <c r="P14" s="586"/>
      <c r="Q14" s="586"/>
      <c r="R14" s="586"/>
      <c r="S14" s="586"/>
      <c r="T14" s="586"/>
      <c r="U14" s="586"/>
      <c r="V14" s="586"/>
      <c r="W14" s="586"/>
      <c r="X14" s="586"/>
      <c r="Y14" s="586"/>
      <c r="Z14" s="586"/>
      <c r="AA14" s="586"/>
      <c r="AB14" s="586"/>
      <c r="AC14" s="586"/>
      <c r="AD14" s="586"/>
      <c r="AE14" s="586"/>
      <c r="AF14" s="586"/>
      <c r="AG14" s="586"/>
      <c r="AH14" s="586"/>
      <c r="AI14" s="586"/>
      <c r="AJ14" s="586"/>
      <c r="AK14" s="586"/>
      <c r="AL14" s="586"/>
      <c r="AM14" s="586"/>
      <c r="AN14" s="586"/>
      <c r="AO14" s="586"/>
      <c r="AP14" s="586"/>
      <c r="AQ14" s="586"/>
      <c r="AR14" s="586"/>
      <c r="AS14" s="589"/>
    </row>
    <row r="15" spans="1:45" ht="15" thickBot="1">
      <c r="B15" s="590"/>
      <c r="C15" s="591"/>
      <c r="D15" s="591"/>
      <c r="E15" s="591"/>
      <c r="F15" s="591"/>
      <c r="G15" s="591"/>
      <c r="H15" s="591"/>
      <c r="I15" s="591"/>
      <c r="J15" s="591"/>
      <c r="K15" s="591"/>
      <c r="L15" s="591"/>
      <c r="M15" s="591"/>
      <c r="N15" s="591"/>
      <c r="O15" s="591"/>
      <c r="P15" s="591"/>
      <c r="Q15" s="591"/>
      <c r="R15" s="591"/>
      <c r="S15" s="591"/>
      <c r="T15" s="591"/>
      <c r="U15" s="591"/>
      <c r="V15" s="591"/>
      <c r="W15" s="591"/>
      <c r="X15" s="591"/>
      <c r="Y15" s="591"/>
      <c r="Z15" s="591"/>
      <c r="AA15" s="591"/>
      <c r="AB15" s="591"/>
      <c r="AC15" s="591"/>
      <c r="AD15" s="591"/>
      <c r="AE15" s="591"/>
      <c r="AF15" s="591"/>
      <c r="AG15" s="591"/>
      <c r="AH15" s="591"/>
      <c r="AI15" s="591"/>
      <c r="AJ15" s="591"/>
      <c r="AK15" s="591"/>
      <c r="AL15" s="591"/>
      <c r="AM15" s="591"/>
      <c r="AN15" s="591"/>
      <c r="AO15" s="591"/>
      <c r="AP15" s="591"/>
      <c r="AQ15" s="591"/>
      <c r="AR15" s="591"/>
      <c r="AS15" s="592"/>
    </row>
    <row r="16" spans="1:45" ht="15" thickBot="1">
      <c r="B16" s="485"/>
      <c r="C16" s="485"/>
      <c r="D16" s="485"/>
      <c r="E16" s="485"/>
      <c r="F16" s="485"/>
      <c r="G16" s="485"/>
      <c r="H16" s="485"/>
      <c r="I16" s="485"/>
      <c r="J16" s="485"/>
      <c r="K16" s="485"/>
      <c r="L16" s="485"/>
      <c r="M16" s="485"/>
      <c r="N16" s="485"/>
      <c r="O16" s="485"/>
      <c r="P16" s="485"/>
      <c r="Q16" s="485"/>
      <c r="R16" s="485"/>
      <c r="S16" s="485"/>
      <c r="T16" s="485"/>
      <c r="U16" s="485"/>
      <c r="V16" s="485"/>
      <c r="W16" s="485"/>
      <c r="X16" s="485"/>
      <c r="Y16" s="485"/>
      <c r="Z16" s="485"/>
      <c r="AA16" s="485"/>
      <c r="AB16" s="485"/>
      <c r="AC16" s="485"/>
      <c r="AD16" s="485"/>
      <c r="AE16" s="485"/>
      <c r="AF16" s="485"/>
      <c r="AG16" s="485"/>
      <c r="AH16" s="485"/>
      <c r="AI16" s="485"/>
      <c r="AJ16" s="485"/>
      <c r="AK16" s="485"/>
      <c r="AL16" s="485"/>
      <c r="AM16" s="485"/>
      <c r="AN16" s="485"/>
      <c r="AO16" s="485"/>
      <c r="AP16" s="485"/>
      <c r="AQ16" s="485"/>
      <c r="AR16" s="485"/>
      <c r="AS16" s="485"/>
    </row>
    <row r="17" spans="2:45">
      <c r="B17" s="516" t="s">
        <v>649</v>
      </c>
      <c r="C17" s="504" t="s">
        <v>650</v>
      </c>
      <c r="D17" s="504"/>
      <c r="E17" s="504"/>
      <c r="F17" s="504"/>
      <c r="G17" s="515"/>
      <c r="H17" s="515"/>
      <c r="I17" s="515"/>
      <c r="J17" s="515"/>
      <c r="K17" s="515"/>
      <c r="L17" s="515"/>
      <c r="M17" s="515"/>
      <c r="N17" s="515"/>
      <c r="O17" s="515"/>
      <c r="P17" s="515"/>
      <c r="Q17" s="515"/>
      <c r="R17" s="515"/>
      <c r="S17" s="515"/>
      <c r="T17" s="515"/>
      <c r="U17" s="515"/>
      <c r="V17" s="515"/>
      <c r="W17" s="515"/>
      <c r="X17" s="515"/>
      <c r="Y17" s="515"/>
      <c r="Z17" s="515"/>
      <c r="AA17" s="515"/>
      <c r="AB17" s="515"/>
      <c r="AC17" s="515"/>
      <c r="AD17" s="515"/>
      <c r="AE17" s="515"/>
      <c r="AF17" s="515"/>
      <c r="AG17" s="515"/>
      <c r="AH17" s="515"/>
      <c r="AI17" s="515"/>
      <c r="AJ17" s="515"/>
      <c r="AK17" s="515"/>
      <c r="AL17" s="515"/>
      <c r="AM17" s="515"/>
      <c r="AN17" s="515"/>
      <c r="AO17" s="515"/>
      <c r="AP17" s="515"/>
      <c r="AQ17" s="515"/>
      <c r="AR17" s="514"/>
      <c r="AS17" s="490"/>
    </row>
    <row r="18" spans="2:45">
      <c r="B18" s="513" t="s">
        <v>651</v>
      </c>
      <c r="C18" s="519" t="s">
        <v>652</v>
      </c>
      <c r="D18" s="519"/>
      <c r="E18" s="519"/>
      <c r="F18" s="519"/>
      <c r="G18" s="512"/>
      <c r="H18" s="512"/>
      <c r="I18" s="512"/>
      <c r="J18" s="512"/>
      <c r="K18" s="512"/>
      <c r="L18" s="512"/>
      <c r="M18" s="512"/>
      <c r="N18" s="512"/>
      <c r="O18" s="512"/>
      <c r="P18" s="512"/>
      <c r="Q18" s="512"/>
      <c r="R18" s="512"/>
      <c r="S18" s="512"/>
      <c r="T18" s="512"/>
      <c r="U18" s="512"/>
      <c r="V18" s="512"/>
      <c r="W18" s="512"/>
      <c r="X18" s="512"/>
      <c r="Y18" s="512"/>
      <c r="Z18" s="512"/>
      <c r="AA18" s="512"/>
      <c r="AB18" s="512"/>
      <c r="AC18" s="512"/>
      <c r="AD18" s="512"/>
      <c r="AE18" s="512"/>
      <c r="AF18" s="512"/>
      <c r="AG18" s="512"/>
      <c r="AH18" s="512"/>
      <c r="AI18" s="512"/>
      <c r="AJ18" s="512"/>
      <c r="AK18" s="512"/>
      <c r="AL18" s="512"/>
      <c r="AM18" s="512"/>
      <c r="AN18" s="512"/>
      <c r="AO18" s="512"/>
      <c r="AP18" s="512"/>
      <c r="AQ18" s="512"/>
      <c r="AR18" s="503"/>
      <c r="AS18" s="489"/>
    </row>
    <row r="19" spans="2:45">
      <c r="B19" s="513" t="s">
        <v>653</v>
      </c>
      <c r="C19" s="519" t="s">
        <v>654</v>
      </c>
      <c r="D19" s="519"/>
      <c r="E19" s="519"/>
      <c r="F19" s="519"/>
      <c r="G19" s="512"/>
      <c r="H19" s="512"/>
      <c r="I19" s="512"/>
      <c r="J19" s="512"/>
      <c r="K19" s="512"/>
      <c r="L19" s="512"/>
      <c r="M19" s="512"/>
      <c r="N19" s="512"/>
      <c r="O19" s="512"/>
      <c r="P19" s="512"/>
      <c r="Q19" s="512"/>
      <c r="R19" s="512"/>
      <c r="S19" s="512"/>
      <c r="T19" s="512"/>
      <c r="U19" s="512"/>
      <c r="V19" s="512"/>
      <c r="W19" s="512"/>
      <c r="X19" s="512"/>
      <c r="Y19" s="512"/>
      <c r="Z19" s="512"/>
      <c r="AA19" s="512"/>
      <c r="AB19" s="512"/>
      <c r="AC19" s="512"/>
      <c r="AD19" s="512"/>
      <c r="AE19" s="512"/>
      <c r="AF19" s="512"/>
      <c r="AG19" s="512"/>
      <c r="AH19" s="512"/>
      <c r="AI19" s="512"/>
      <c r="AJ19" s="512"/>
      <c r="AK19" s="512"/>
      <c r="AL19" s="512"/>
      <c r="AM19" s="512"/>
      <c r="AN19" s="512"/>
      <c r="AO19" s="512"/>
      <c r="AP19" s="512"/>
      <c r="AQ19" s="512"/>
      <c r="AR19" s="503"/>
      <c r="AS19" s="489"/>
    </row>
    <row r="20" spans="2:45">
      <c r="B20" s="513" t="s">
        <v>655</v>
      </c>
      <c r="C20" s="519" t="s">
        <v>656</v>
      </c>
      <c r="D20" s="512"/>
      <c r="E20" s="512"/>
      <c r="F20" s="512"/>
      <c r="G20" s="512"/>
      <c r="H20" s="512"/>
      <c r="I20" s="512"/>
      <c r="J20" s="512"/>
      <c r="K20" s="512"/>
      <c r="L20" s="512"/>
      <c r="M20" s="512"/>
      <c r="N20" s="512"/>
      <c r="O20" s="512"/>
      <c r="P20" s="512"/>
      <c r="Q20" s="512"/>
      <c r="R20" s="512"/>
      <c r="S20" s="512"/>
      <c r="T20" s="512"/>
      <c r="U20" s="512"/>
      <c r="V20" s="512"/>
      <c r="W20" s="512"/>
      <c r="X20" s="512"/>
      <c r="Y20" s="512"/>
      <c r="Z20" s="512"/>
      <c r="AA20" s="512"/>
      <c r="AB20" s="512"/>
      <c r="AC20" s="512"/>
      <c r="AD20" s="512"/>
      <c r="AE20" s="512"/>
      <c r="AF20" s="512"/>
      <c r="AG20" s="512"/>
      <c r="AH20" s="512"/>
      <c r="AI20" s="512"/>
      <c r="AJ20" s="512"/>
      <c r="AK20" s="512"/>
      <c r="AL20" s="512"/>
      <c r="AM20" s="512"/>
      <c r="AN20" s="512"/>
      <c r="AO20" s="512"/>
      <c r="AP20" s="512"/>
      <c r="AQ20" s="512"/>
      <c r="AR20" s="503"/>
      <c r="AS20" s="489"/>
    </row>
    <row r="21" spans="2:45">
      <c r="B21" s="513" t="s">
        <v>657</v>
      </c>
      <c r="C21" s="511">
        <v>42430</v>
      </c>
      <c r="D21" s="519"/>
      <c r="E21" s="519"/>
      <c r="F21" s="519"/>
      <c r="G21" s="512"/>
      <c r="H21" s="512"/>
      <c r="I21" s="512"/>
      <c r="J21" s="512"/>
      <c r="K21" s="512"/>
      <c r="L21" s="512"/>
      <c r="M21" s="512"/>
      <c r="N21" s="512"/>
      <c r="O21" s="512"/>
      <c r="P21" s="512"/>
      <c r="Q21" s="512"/>
      <c r="R21" s="512"/>
      <c r="S21" s="512"/>
      <c r="T21" s="512"/>
      <c r="U21" s="512"/>
      <c r="V21" s="512"/>
      <c r="W21" s="512"/>
      <c r="X21" s="512"/>
      <c r="Y21" s="512"/>
      <c r="Z21" s="512"/>
      <c r="AA21" s="512"/>
      <c r="AB21" s="512"/>
      <c r="AC21" s="512"/>
      <c r="AD21" s="512"/>
      <c r="AE21" s="512"/>
      <c r="AF21" s="512"/>
      <c r="AG21" s="512"/>
      <c r="AH21" s="512"/>
      <c r="AI21" s="512"/>
      <c r="AJ21" s="512"/>
      <c r="AK21" s="512"/>
      <c r="AL21" s="512"/>
      <c r="AM21" s="512"/>
      <c r="AN21" s="512"/>
      <c r="AO21" s="512"/>
      <c r="AP21" s="512"/>
      <c r="AQ21" s="512"/>
      <c r="AR21" s="512"/>
      <c r="AS21" s="510"/>
    </row>
    <row r="22" spans="2:45">
      <c r="B22" s="513" t="s">
        <v>658</v>
      </c>
      <c r="C22" s="511" t="s">
        <v>659</v>
      </c>
      <c r="D22" s="512"/>
      <c r="E22" s="512"/>
      <c r="F22" s="512"/>
      <c r="G22" s="512"/>
      <c r="H22" s="512"/>
      <c r="I22" s="512"/>
      <c r="J22" s="512"/>
      <c r="K22" s="512"/>
      <c r="L22" s="512"/>
      <c r="M22" s="512"/>
      <c r="N22" s="512"/>
      <c r="O22" s="512"/>
      <c r="P22" s="512"/>
      <c r="Q22" s="512"/>
      <c r="R22" s="512"/>
      <c r="S22" s="512"/>
      <c r="T22" s="512"/>
      <c r="U22" s="512"/>
      <c r="V22" s="512"/>
      <c r="W22" s="512"/>
      <c r="X22" s="512"/>
      <c r="Y22" s="512"/>
      <c r="Z22" s="512"/>
      <c r="AA22" s="512"/>
      <c r="AB22" s="512"/>
      <c r="AC22" s="512"/>
      <c r="AD22" s="512"/>
      <c r="AE22" s="512"/>
      <c r="AF22" s="512"/>
      <c r="AG22" s="512"/>
      <c r="AH22" s="512"/>
      <c r="AI22" s="512"/>
      <c r="AJ22" s="512"/>
      <c r="AK22" s="512"/>
      <c r="AL22" s="512"/>
      <c r="AM22" s="512"/>
      <c r="AN22" s="512"/>
      <c r="AO22" s="512"/>
      <c r="AP22" s="512"/>
      <c r="AQ22" s="512"/>
      <c r="AR22" s="512"/>
      <c r="AS22" s="510"/>
    </row>
    <row r="23" spans="2:45">
      <c r="B23" s="508" t="s">
        <v>647</v>
      </c>
      <c r="C23" s="507"/>
      <c r="D23" s="507"/>
      <c r="E23" s="506">
        <v>2010</v>
      </c>
      <c r="F23" s="506">
        <v>2011</v>
      </c>
      <c r="G23" s="506">
        <v>2012</v>
      </c>
      <c r="H23" s="506">
        <v>2013</v>
      </c>
      <c r="I23" s="506">
        <v>2014</v>
      </c>
      <c r="J23" s="506">
        <v>2015</v>
      </c>
      <c r="K23" s="506">
        <v>2016</v>
      </c>
      <c r="L23" s="506">
        <v>2017</v>
      </c>
      <c r="M23" s="506">
        <v>2018</v>
      </c>
      <c r="N23" s="506">
        <v>2019</v>
      </c>
      <c r="O23" s="506">
        <v>2020</v>
      </c>
      <c r="P23" s="506">
        <v>2021</v>
      </c>
      <c r="Q23" s="506">
        <v>2022</v>
      </c>
      <c r="R23" s="506">
        <v>2023</v>
      </c>
      <c r="S23" s="506">
        <v>2024</v>
      </c>
      <c r="T23" s="506">
        <v>2025</v>
      </c>
      <c r="U23" s="506">
        <v>2026</v>
      </c>
      <c r="V23" s="506">
        <v>2027</v>
      </c>
      <c r="W23" s="506">
        <v>2028</v>
      </c>
      <c r="X23" s="506">
        <v>2029</v>
      </c>
      <c r="Y23" s="506">
        <v>2030</v>
      </c>
      <c r="Z23" s="506">
        <v>2031</v>
      </c>
      <c r="AA23" s="506">
        <v>2032</v>
      </c>
      <c r="AB23" s="506">
        <v>2033</v>
      </c>
      <c r="AC23" s="506">
        <v>2034</v>
      </c>
      <c r="AD23" s="506">
        <v>2035</v>
      </c>
      <c r="AE23" s="506">
        <v>2036</v>
      </c>
      <c r="AF23" s="506">
        <v>2037</v>
      </c>
      <c r="AG23" s="506">
        <v>2038</v>
      </c>
      <c r="AH23" s="506">
        <v>2039</v>
      </c>
      <c r="AI23" s="506">
        <v>2040</v>
      </c>
      <c r="AJ23" s="506">
        <v>2041</v>
      </c>
      <c r="AK23" s="506">
        <v>2042</v>
      </c>
      <c r="AL23" s="506">
        <v>2043</v>
      </c>
      <c r="AM23" s="506">
        <v>2044</v>
      </c>
      <c r="AN23" s="506">
        <v>2045</v>
      </c>
      <c r="AO23" s="506">
        <v>2046</v>
      </c>
      <c r="AP23" s="506">
        <v>2047</v>
      </c>
      <c r="AQ23" s="506">
        <v>2048</v>
      </c>
      <c r="AR23" s="506">
        <v>2049</v>
      </c>
      <c r="AS23" s="505">
        <v>2050</v>
      </c>
    </row>
    <row r="24" spans="2:45" ht="15" thickBot="1">
      <c r="B24" s="518" t="s">
        <v>660</v>
      </c>
      <c r="C24" s="517"/>
      <c r="D24" s="517"/>
      <c r="E24" s="509">
        <v>163.69999999999999</v>
      </c>
      <c r="F24" s="509">
        <v>165.7</v>
      </c>
      <c r="G24" s="509">
        <v>164.8</v>
      </c>
      <c r="H24" s="509">
        <v>165</v>
      </c>
      <c r="I24" s="575">
        <v>166.9</v>
      </c>
      <c r="J24" s="575">
        <v>168.2</v>
      </c>
      <c r="K24" s="576">
        <f>K26*I31/K31</f>
        <v>167.7346232179226</v>
      </c>
      <c r="L24" s="576">
        <f>K24</f>
        <v>167.7346232179226</v>
      </c>
      <c r="M24" s="576">
        <f t="shared" ref="M24" si="4">L24</f>
        <v>167.7346232179226</v>
      </c>
      <c r="N24" s="682">
        <v>195.74638834999999</v>
      </c>
      <c r="O24" s="682">
        <v>214.42575100000002</v>
      </c>
      <c r="P24" s="682">
        <v>220.80004550000001</v>
      </c>
      <c r="Q24" s="682">
        <v>227.36394250000001</v>
      </c>
      <c r="R24" s="682">
        <v>234.12288050000001</v>
      </c>
      <c r="S24" s="682">
        <v>241.08274500000002</v>
      </c>
      <c r="T24" s="682">
        <v>248.24957050000003</v>
      </c>
      <c r="U24" s="682">
        <v>255.6293915</v>
      </c>
      <c r="V24" s="682">
        <v>263.22861500000005</v>
      </c>
      <c r="W24" s="682">
        <v>271.05372249999999</v>
      </c>
      <c r="X24" s="682">
        <v>279.11149349999999</v>
      </c>
      <c r="Y24" s="682">
        <v>287.40878200000003</v>
      </c>
      <c r="Z24" s="682">
        <v>295.95274000000001</v>
      </c>
      <c r="AA24" s="682">
        <v>304.75066849999996</v>
      </c>
      <c r="AB24" s="682">
        <v>313.81016649999998</v>
      </c>
      <c r="AC24" s="682">
        <v>323.13898200000006</v>
      </c>
      <c r="AD24" s="682">
        <v>332.74508650000001</v>
      </c>
      <c r="AE24" s="682">
        <v>342.63674950000001</v>
      </c>
      <c r="AF24" s="682">
        <v>352.82246399999997</v>
      </c>
      <c r="AG24" s="682">
        <v>363.31102099999998</v>
      </c>
      <c r="AH24" s="682">
        <v>374.11136049999999</v>
      </c>
      <c r="AI24" s="682">
        <v>385.23279500000001</v>
      </c>
      <c r="AJ24" s="683">
        <f>($AI$24-$Z$24)/10+AI24</f>
        <v>394.16080049999999</v>
      </c>
      <c r="AK24" s="683">
        <f t="shared" ref="AK24:AR24" si="5">($AI$24-$Z$24)/10+AJ24</f>
        <v>403.08880599999998</v>
      </c>
      <c r="AL24" s="683">
        <f t="shared" si="5"/>
        <v>412.01681149999996</v>
      </c>
      <c r="AM24" s="683">
        <f t="shared" si="5"/>
        <v>420.94481699999994</v>
      </c>
      <c r="AN24" s="683">
        <f t="shared" si="5"/>
        <v>429.87282249999993</v>
      </c>
      <c r="AO24" s="683">
        <f t="shared" si="5"/>
        <v>438.80082799999991</v>
      </c>
      <c r="AP24" s="683">
        <f t="shared" si="5"/>
        <v>447.72883349999989</v>
      </c>
      <c r="AQ24" s="683">
        <f t="shared" si="5"/>
        <v>456.65683899999988</v>
      </c>
      <c r="AR24" s="683">
        <f t="shared" si="5"/>
        <v>465.58484449999986</v>
      </c>
      <c r="AS24" s="683">
        <f>($AI$24-$Z$24)/10+AR24</f>
        <v>474.51284999999984</v>
      </c>
    </row>
    <row r="25" spans="2:45">
      <c r="I25" s="573"/>
      <c r="J25" s="573"/>
      <c r="K25" s="573"/>
      <c r="L25" s="573"/>
      <c r="M25" s="573"/>
      <c r="N25" s="573"/>
      <c r="O25" s="573"/>
      <c r="P25" s="573"/>
      <c r="Q25" s="573"/>
      <c r="R25" s="573"/>
      <c r="S25" s="573"/>
      <c r="T25" s="573"/>
      <c r="U25" s="573"/>
      <c r="V25" s="573"/>
      <c r="W25" s="573"/>
      <c r="X25" s="573"/>
      <c r="Y25" s="573"/>
      <c r="Z25" s="573"/>
      <c r="AA25" s="573"/>
      <c r="AB25" s="573"/>
      <c r="AC25" s="573"/>
      <c r="AD25" s="573"/>
      <c r="AE25" s="573"/>
      <c r="AF25" s="573"/>
      <c r="AG25" s="573"/>
      <c r="AH25" s="573"/>
      <c r="AI25" s="573"/>
      <c r="AJ25" s="573"/>
      <c r="AK25" s="573"/>
      <c r="AL25" s="573"/>
      <c r="AM25" s="573"/>
      <c r="AN25" s="573"/>
      <c r="AO25" s="573"/>
      <c r="AP25" s="573"/>
      <c r="AQ25" s="573"/>
      <c r="AR25" s="573"/>
      <c r="AS25" s="573"/>
    </row>
    <row r="26" spans="2:45">
      <c r="I26" s="574" t="s">
        <v>371</v>
      </c>
      <c r="J26" s="574"/>
      <c r="K26" s="573">
        <v>171.4</v>
      </c>
      <c r="L26" s="574" t="s">
        <v>748</v>
      </c>
      <c r="M26" s="573">
        <v>2016</v>
      </c>
      <c r="N26" s="573"/>
      <c r="O26" s="573"/>
      <c r="P26" s="573"/>
      <c r="Q26" s="573"/>
      <c r="R26" s="573"/>
      <c r="S26" s="573"/>
      <c r="T26" s="573"/>
      <c r="U26" s="573"/>
      <c r="V26" s="573"/>
      <c r="W26" s="573"/>
      <c r="X26" s="573"/>
      <c r="Y26" s="573"/>
      <c r="Z26" s="573"/>
      <c r="AA26" s="573"/>
      <c r="AB26" s="573"/>
      <c r="AC26" s="573"/>
      <c r="AD26" s="573"/>
      <c r="AE26" s="573"/>
      <c r="AF26" s="573"/>
      <c r="AG26" s="573"/>
      <c r="AH26" s="573"/>
      <c r="AI26" s="573"/>
      <c r="AJ26" s="573"/>
      <c r="AK26" s="573"/>
      <c r="AL26" s="573"/>
      <c r="AM26" s="573"/>
      <c r="AN26" s="573"/>
      <c r="AO26" s="573"/>
      <c r="AP26" s="573"/>
      <c r="AQ26" s="573"/>
      <c r="AR26" s="573"/>
      <c r="AS26" s="573"/>
    </row>
    <row r="27" spans="2:45">
      <c r="I27" s="573"/>
      <c r="J27" s="573"/>
      <c r="K27" s="573"/>
      <c r="L27" s="573"/>
      <c r="M27" s="573"/>
      <c r="N27" s="573"/>
      <c r="O27" s="573"/>
      <c r="P27" s="573"/>
      <c r="Q27" s="573"/>
      <c r="R27" s="573"/>
      <c r="S27" s="573"/>
      <c r="T27" s="573"/>
      <c r="U27" s="573"/>
      <c r="V27" s="573"/>
      <c r="W27" s="573"/>
      <c r="X27" s="573"/>
      <c r="Y27" s="573"/>
      <c r="Z27" s="573"/>
      <c r="AA27" s="573"/>
      <c r="AB27" s="573"/>
      <c r="AC27" s="573"/>
      <c r="AD27" s="573"/>
      <c r="AE27" s="573"/>
      <c r="AF27" s="573"/>
      <c r="AG27" s="573"/>
      <c r="AH27" s="573"/>
      <c r="AI27" s="573"/>
      <c r="AJ27" s="573"/>
      <c r="AK27" s="573"/>
      <c r="AL27" s="573"/>
      <c r="AM27" s="573"/>
      <c r="AN27" s="573"/>
      <c r="AO27" s="573"/>
      <c r="AP27" s="573"/>
      <c r="AQ27" s="573"/>
      <c r="AR27" s="573"/>
      <c r="AS27" s="573"/>
    </row>
    <row r="28" spans="2:45">
      <c r="D28" s="572" t="s">
        <v>743</v>
      </c>
      <c r="E28" s="573"/>
      <c r="F28" s="573"/>
      <c r="G28" s="573"/>
      <c r="H28" s="573"/>
      <c r="I28" s="573"/>
      <c r="J28" s="573"/>
      <c r="K28" s="573"/>
      <c r="L28" s="573"/>
      <c r="M28" s="573"/>
      <c r="N28" s="573"/>
      <c r="O28" s="573"/>
      <c r="P28" s="573"/>
      <c r="Q28" s="573"/>
      <c r="R28" s="573"/>
      <c r="S28" s="573"/>
      <c r="T28" s="573"/>
      <c r="U28" s="573"/>
      <c r="V28" s="573"/>
      <c r="W28" s="573"/>
      <c r="X28" s="573"/>
      <c r="Y28" s="573"/>
      <c r="Z28" s="573"/>
      <c r="AA28" s="573"/>
      <c r="AB28" s="573"/>
      <c r="AC28" s="573"/>
      <c r="AD28" s="573"/>
      <c r="AE28" s="573"/>
      <c r="AF28" s="573"/>
      <c r="AG28" s="573"/>
      <c r="AH28" s="573"/>
      <c r="AI28" s="573"/>
      <c r="AJ28" s="573"/>
      <c r="AK28" s="573"/>
      <c r="AL28" s="573"/>
      <c r="AM28" s="573"/>
      <c r="AN28" s="573"/>
      <c r="AO28" s="573"/>
      <c r="AP28" s="573"/>
      <c r="AQ28" s="573"/>
      <c r="AR28" s="573"/>
      <c r="AS28" s="573"/>
    </row>
    <row r="29" spans="2:45">
      <c r="D29" s="573" t="s">
        <v>744</v>
      </c>
      <c r="E29" s="572">
        <v>2010</v>
      </c>
      <c r="F29" s="572">
        <v>2011</v>
      </c>
      <c r="G29" s="572">
        <v>2012</v>
      </c>
      <c r="H29" s="572">
        <v>2013</v>
      </c>
      <c r="I29" s="572">
        <v>2014</v>
      </c>
      <c r="J29" s="572">
        <v>2015</v>
      </c>
      <c r="K29" s="572">
        <v>2016</v>
      </c>
      <c r="L29" s="572">
        <v>2017</v>
      </c>
      <c r="M29" s="572">
        <v>2018</v>
      </c>
      <c r="N29" s="572">
        <v>2019</v>
      </c>
      <c r="O29" s="572">
        <v>2020</v>
      </c>
      <c r="P29" s="572">
        <v>2021</v>
      </c>
      <c r="Q29" s="572">
        <v>2022</v>
      </c>
      <c r="R29" s="572">
        <v>2023</v>
      </c>
      <c r="S29" s="572">
        <v>2024</v>
      </c>
      <c r="T29" s="572">
        <v>2025</v>
      </c>
      <c r="U29" s="572">
        <v>2026</v>
      </c>
      <c r="V29" s="572">
        <v>2027</v>
      </c>
      <c r="W29" s="572">
        <v>2028</v>
      </c>
      <c r="X29" s="572">
        <v>2029</v>
      </c>
      <c r="Y29" s="572">
        <v>2030</v>
      </c>
      <c r="Z29" s="572">
        <v>2031</v>
      </c>
      <c r="AA29" s="572">
        <v>2032</v>
      </c>
      <c r="AB29" s="572">
        <v>2033</v>
      </c>
      <c r="AC29" s="572">
        <v>2034</v>
      </c>
      <c r="AD29" s="572">
        <v>2035</v>
      </c>
      <c r="AE29" s="572">
        <v>2036</v>
      </c>
      <c r="AF29" s="572">
        <v>2037</v>
      </c>
      <c r="AG29" s="572">
        <v>2038</v>
      </c>
      <c r="AH29" s="572">
        <v>2039</v>
      </c>
      <c r="AI29" s="572">
        <v>2040</v>
      </c>
      <c r="AJ29" s="573"/>
      <c r="AK29" s="573"/>
      <c r="AL29" s="573"/>
      <c r="AM29" s="573"/>
      <c r="AN29" s="573"/>
      <c r="AO29" s="573"/>
      <c r="AP29" s="573"/>
      <c r="AQ29" s="573"/>
      <c r="AR29" s="573"/>
      <c r="AS29" s="573"/>
    </row>
    <row r="30" spans="2:45">
      <c r="D30" s="574" t="s">
        <v>745</v>
      </c>
      <c r="E30" s="573"/>
      <c r="F30" s="573"/>
      <c r="G30" s="573"/>
      <c r="H30" s="573"/>
      <c r="I30" s="573"/>
      <c r="J30" s="573"/>
      <c r="K30" s="573"/>
      <c r="L30" s="573">
        <v>42</v>
      </c>
      <c r="M30" s="573">
        <v>43</v>
      </c>
      <c r="N30" s="573">
        <v>44</v>
      </c>
      <c r="O30" s="573">
        <v>46</v>
      </c>
      <c r="P30" s="573">
        <v>47</v>
      </c>
      <c r="Q30" s="573">
        <v>50</v>
      </c>
      <c r="R30" s="573">
        <v>52</v>
      </c>
      <c r="S30" s="573">
        <v>55</v>
      </c>
      <c r="T30" s="573">
        <v>58</v>
      </c>
      <c r="U30" s="573">
        <v>61</v>
      </c>
      <c r="V30" s="573">
        <v>65</v>
      </c>
      <c r="W30" s="573">
        <v>69</v>
      </c>
      <c r="X30" s="573">
        <v>73</v>
      </c>
      <c r="Y30" s="573">
        <v>77</v>
      </c>
      <c r="Z30" s="573">
        <v>81</v>
      </c>
      <c r="AA30" s="573">
        <v>86</v>
      </c>
      <c r="AB30" s="573">
        <v>91</v>
      </c>
      <c r="AC30" s="573">
        <v>97</v>
      </c>
      <c r="AD30" s="573">
        <v>103</v>
      </c>
      <c r="AE30" s="573">
        <v>109</v>
      </c>
      <c r="AF30" s="573">
        <v>115</v>
      </c>
      <c r="AG30" s="573">
        <v>122</v>
      </c>
      <c r="AH30" s="573">
        <v>129</v>
      </c>
      <c r="AI30" s="573">
        <v>137</v>
      </c>
      <c r="AJ30" s="573"/>
      <c r="AK30" s="573"/>
      <c r="AL30" s="573"/>
      <c r="AM30" s="573"/>
      <c r="AN30" s="573"/>
      <c r="AO30" s="573"/>
      <c r="AP30" s="573"/>
      <c r="AQ30" s="573"/>
      <c r="AR30" s="573"/>
      <c r="AS30" s="573"/>
    </row>
    <row r="31" spans="2:45">
      <c r="D31" s="573" t="s">
        <v>746</v>
      </c>
      <c r="E31" s="573">
        <v>0.90500000000000003</v>
      </c>
      <c r="F31" s="573">
        <v>0.91</v>
      </c>
      <c r="G31" s="573">
        <v>0.93600000000000005</v>
      </c>
      <c r="H31" s="573">
        <v>0.95199999999999996</v>
      </c>
      <c r="I31" s="573">
        <v>0.96099999999999997</v>
      </c>
      <c r="J31" s="573">
        <v>0.97599999999999998</v>
      </c>
      <c r="K31" s="573">
        <v>0.98199999999999998</v>
      </c>
      <c r="L31" s="573">
        <v>1</v>
      </c>
      <c r="M31" s="573">
        <v>1.02</v>
      </c>
      <c r="N31" s="573">
        <v>1.042</v>
      </c>
      <c r="O31" s="573">
        <v>1.0649999999999999</v>
      </c>
      <c r="P31" s="573">
        <v>1.087</v>
      </c>
      <c r="Q31" s="573">
        <v>1.107</v>
      </c>
      <c r="R31" s="573">
        <v>1.1299999999999999</v>
      </c>
      <c r="S31" s="573">
        <v>1.153</v>
      </c>
      <c r="T31" s="573">
        <v>1.1779999999999999</v>
      </c>
      <c r="U31" s="573">
        <v>1.2010000000000001</v>
      </c>
      <c r="V31" s="573">
        <v>1.2250000000000001</v>
      </c>
      <c r="W31" s="573">
        <v>1.25</v>
      </c>
      <c r="X31" s="573">
        <v>1.274</v>
      </c>
      <c r="Y31" s="573">
        <v>1.2989999999999999</v>
      </c>
      <c r="Z31" s="573">
        <v>1.325</v>
      </c>
      <c r="AA31" s="573">
        <v>1.351</v>
      </c>
      <c r="AB31" s="573">
        <v>1.377</v>
      </c>
      <c r="AC31" s="573">
        <v>1.4039999999999999</v>
      </c>
      <c r="AD31" s="573">
        <v>1.4319999999999999</v>
      </c>
      <c r="AE31" s="573">
        <v>1.46</v>
      </c>
      <c r="AF31" s="573">
        <v>1.488</v>
      </c>
      <c r="AG31" s="573">
        <v>1.5169999999999999</v>
      </c>
      <c r="AH31" s="573">
        <v>1.546</v>
      </c>
      <c r="AI31" s="573">
        <v>1.5760000000000001</v>
      </c>
      <c r="AJ31" s="573">
        <v>1.6065744000000002</v>
      </c>
      <c r="AK31" s="573">
        <v>1.6377419433600002</v>
      </c>
      <c r="AL31" s="573">
        <v>1.6695141370611843</v>
      </c>
      <c r="AM31" s="573">
        <v>1.7019027113201715</v>
      </c>
      <c r="AN31" s="573">
        <v>1.7349196239197828</v>
      </c>
      <c r="AO31" s="573">
        <v>1.7685770646238268</v>
      </c>
      <c r="AP31" s="573">
        <v>1.8028874596775293</v>
      </c>
      <c r="AQ31" s="573">
        <v>1.8378634763952735</v>
      </c>
      <c r="AR31" s="573">
        <v>1.873518027837342</v>
      </c>
      <c r="AS31" s="573">
        <v>1.9098642775773866</v>
      </c>
    </row>
    <row r="32" spans="2:45">
      <c r="D32" s="574" t="s">
        <v>747</v>
      </c>
      <c r="E32" s="573"/>
      <c r="F32" s="573"/>
      <c r="G32" s="573"/>
      <c r="H32" s="573"/>
      <c r="I32" s="573"/>
      <c r="J32" s="573"/>
      <c r="K32" s="573"/>
      <c r="L32" s="573">
        <f>L30/(1+($L$31-$I$31)/$L$31)</f>
        <v>40.423484119345517</v>
      </c>
      <c r="M32" s="573">
        <f t="shared" ref="M32:AI32" si="6">M30/(1+($L$31-$I$31)/$L$31)</f>
        <v>41.385948026948981</v>
      </c>
      <c r="N32" s="573">
        <f t="shared" si="6"/>
        <v>42.348411934552452</v>
      </c>
      <c r="O32" s="573">
        <f t="shared" si="6"/>
        <v>44.27333974975938</v>
      </c>
      <c r="P32" s="573">
        <f t="shared" si="6"/>
        <v>45.235803657362844</v>
      </c>
      <c r="Q32" s="573">
        <f t="shared" si="6"/>
        <v>48.123195380173236</v>
      </c>
      <c r="R32" s="573">
        <f t="shared" si="6"/>
        <v>50.048123195380164</v>
      </c>
      <c r="S32" s="573">
        <f t="shared" si="6"/>
        <v>52.935514918190563</v>
      </c>
      <c r="T32" s="573">
        <f t="shared" si="6"/>
        <v>55.822906641000955</v>
      </c>
      <c r="U32" s="573">
        <f t="shared" si="6"/>
        <v>58.710298363811347</v>
      </c>
      <c r="V32" s="573">
        <f t="shared" si="6"/>
        <v>62.56015399422521</v>
      </c>
      <c r="W32" s="573">
        <f t="shared" si="6"/>
        <v>66.410009624639073</v>
      </c>
      <c r="X32" s="573">
        <f t="shared" si="6"/>
        <v>70.259865255052929</v>
      </c>
      <c r="Y32" s="573">
        <f t="shared" si="6"/>
        <v>74.109720885466785</v>
      </c>
      <c r="Z32" s="573">
        <f t="shared" si="6"/>
        <v>77.959576515880642</v>
      </c>
      <c r="AA32" s="573">
        <f t="shared" si="6"/>
        <v>82.771896053897962</v>
      </c>
      <c r="AB32" s="573">
        <f t="shared" si="6"/>
        <v>87.584215591915296</v>
      </c>
      <c r="AC32" s="573">
        <f t="shared" si="6"/>
        <v>93.35899903753608</v>
      </c>
      <c r="AD32" s="573">
        <f t="shared" si="6"/>
        <v>99.133782483156864</v>
      </c>
      <c r="AE32" s="573">
        <f t="shared" si="6"/>
        <v>104.90856592877766</v>
      </c>
      <c r="AF32" s="573">
        <f t="shared" si="6"/>
        <v>110.68334937439845</v>
      </c>
      <c r="AG32" s="573">
        <f t="shared" si="6"/>
        <v>117.42059672762269</v>
      </c>
      <c r="AH32" s="573">
        <f t="shared" si="6"/>
        <v>124.15784408084696</v>
      </c>
      <c r="AI32" s="573">
        <f t="shared" si="6"/>
        <v>131.85755534167467</v>
      </c>
      <c r="AJ32" s="573"/>
      <c r="AK32" s="573"/>
      <c r="AL32" s="573"/>
      <c r="AM32" s="573"/>
      <c r="AN32" s="573"/>
      <c r="AO32" s="573"/>
      <c r="AP32" s="573"/>
      <c r="AQ32" s="573"/>
      <c r="AR32" s="573"/>
      <c r="AS32" s="573"/>
    </row>
    <row r="37" spans="3:5" ht="23.4">
      <c r="C37" s="657" t="s">
        <v>900</v>
      </c>
      <c r="D37" s="658"/>
      <c r="E37" s="658"/>
    </row>
    <row r="38" spans="3:5">
      <c r="C38" s="567"/>
      <c r="D38" s="570"/>
      <c r="E38" s="570"/>
    </row>
    <row r="39" spans="3:5" ht="24.6">
      <c r="C39" s="676" t="s">
        <v>901</v>
      </c>
      <c r="D39" s="677" t="s">
        <v>902</v>
      </c>
      <c r="E39" s="677" t="s">
        <v>903</v>
      </c>
    </row>
    <row r="40" spans="3:5">
      <c r="C40" s="662">
        <v>2019</v>
      </c>
      <c r="D40" s="678">
        <v>195.74638834999999</v>
      </c>
      <c r="E40" s="678">
        <v>195.74638834999999</v>
      </c>
    </row>
    <row r="41" spans="3:5">
      <c r="C41" s="662">
        <v>2020</v>
      </c>
      <c r="D41" s="678">
        <v>214.42575100000002</v>
      </c>
      <c r="E41" s="678">
        <v>214.42575100000002</v>
      </c>
    </row>
    <row r="42" spans="3:5">
      <c r="C42" s="662">
        <v>2021</v>
      </c>
      <c r="D42" s="678">
        <v>220.80004550000001</v>
      </c>
      <c r="E42" s="678">
        <v>254.16623663429559</v>
      </c>
    </row>
    <row r="43" spans="3:5">
      <c r="C43" s="662">
        <v>2022</v>
      </c>
      <c r="D43" s="678">
        <v>227.36394250000001</v>
      </c>
      <c r="E43" s="678">
        <v>261.72203669931474</v>
      </c>
    </row>
    <row r="44" spans="3:5">
      <c r="C44" s="662">
        <v>2023</v>
      </c>
      <c r="D44" s="678">
        <v>234.12288050000001</v>
      </c>
      <c r="E44" s="678">
        <v>269.50235137821068</v>
      </c>
    </row>
    <row r="45" spans="3:5">
      <c r="C45" s="662">
        <v>2024</v>
      </c>
      <c r="D45" s="678">
        <v>241.08274500000002</v>
      </c>
      <c r="E45" s="678">
        <v>277.51395555810944</v>
      </c>
    </row>
    <row r="46" spans="3:5">
      <c r="C46" s="662">
        <v>2025</v>
      </c>
      <c r="D46" s="678">
        <v>248.24957050000003</v>
      </c>
      <c r="E46" s="678">
        <v>285.76379564226693</v>
      </c>
    </row>
    <row r="47" spans="3:5">
      <c r="C47" s="662">
        <v>2026</v>
      </c>
      <c r="D47" s="678">
        <v>255.6293915</v>
      </c>
      <c r="E47" s="678">
        <v>294.25881803393918</v>
      </c>
    </row>
    <row r="48" spans="3:5">
      <c r="C48" s="662">
        <v>2027</v>
      </c>
      <c r="D48" s="678">
        <v>263.22861500000005</v>
      </c>
      <c r="E48" s="678">
        <v>303.00639792670648</v>
      </c>
    </row>
    <row r="49" spans="3:5">
      <c r="C49" s="662">
        <v>2028</v>
      </c>
      <c r="D49" s="678">
        <v>271.05372249999999</v>
      </c>
      <c r="E49" s="678">
        <v>312.013996272214</v>
      </c>
    </row>
    <row r="50" spans="3:5">
      <c r="C50" s="662">
        <v>2029</v>
      </c>
      <c r="D50" s="678">
        <v>279.11149349999999</v>
      </c>
      <c r="E50" s="678">
        <v>321.28941705436671</v>
      </c>
    </row>
    <row r="51" spans="3:5">
      <c r="C51" s="662">
        <v>2030</v>
      </c>
      <c r="D51" s="678">
        <v>287.40878200000003</v>
      </c>
      <c r="E51" s="678">
        <v>330.84055001513428</v>
      </c>
    </row>
    <row r="52" spans="3:5">
      <c r="C52" s="662">
        <v>2031</v>
      </c>
      <c r="D52" s="678">
        <v>295.95274000000001</v>
      </c>
      <c r="E52" s="678">
        <v>330.84055001513428</v>
      </c>
    </row>
    <row r="53" spans="3:5">
      <c r="C53" s="662">
        <v>2032</v>
      </c>
      <c r="D53" s="678">
        <v>304.75066849999996</v>
      </c>
      <c r="E53" s="678">
        <v>330.84055001513428</v>
      </c>
    </row>
    <row r="54" spans="3:5">
      <c r="C54" s="662">
        <v>2033</v>
      </c>
      <c r="D54" s="678">
        <v>313.81016649999998</v>
      </c>
      <c r="E54" s="678">
        <v>330.84055001513428</v>
      </c>
    </row>
    <row r="55" spans="3:5">
      <c r="C55" s="662">
        <v>2034</v>
      </c>
      <c r="D55" s="678">
        <v>323.13898200000006</v>
      </c>
      <c r="E55" s="678">
        <v>330.84055001513428</v>
      </c>
    </row>
    <row r="56" spans="3:5">
      <c r="C56" s="662">
        <v>2035</v>
      </c>
      <c r="D56" s="678">
        <v>332.74508650000001</v>
      </c>
      <c r="E56" s="678">
        <v>332.74508650000001</v>
      </c>
    </row>
    <row r="57" spans="3:5">
      <c r="C57" s="662">
        <v>2036</v>
      </c>
      <c r="D57" s="678">
        <v>342.63674950000001</v>
      </c>
      <c r="E57" s="678">
        <v>342.63674950000001</v>
      </c>
    </row>
    <row r="58" spans="3:5">
      <c r="C58" s="662">
        <v>2037</v>
      </c>
      <c r="D58" s="678">
        <v>352.82246399999997</v>
      </c>
      <c r="E58" s="678">
        <v>352.82246399999997</v>
      </c>
    </row>
    <row r="59" spans="3:5">
      <c r="C59" s="662">
        <v>2038</v>
      </c>
      <c r="D59" s="678">
        <v>363.31102099999998</v>
      </c>
      <c r="E59" s="678">
        <v>363.31102099999998</v>
      </c>
    </row>
    <row r="60" spans="3:5">
      <c r="C60" s="662">
        <v>2039</v>
      </c>
      <c r="D60" s="678">
        <v>374.11136049999999</v>
      </c>
      <c r="E60" s="678">
        <v>374.11136049999999</v>
      </c>
    </row>
    <row r="61" spans="3:5">
      <c r="C61" s="662">
        <v>2040</v>
      </c>
      <c r="D61" s="678">
        <v>385.23279500000001</v>
      </c>
      <c r="E61" s="678">
        <v>385.23279500000001</v>
      </c>
    </row>
    <row r="62" spans="3:5">
      <c r="C62" s="679" t="s">
        <v>904</v>
      </c>
      <c r="D62" s="679" t="s">
        <v>905</v>
      </c>
      <c r="E62" s="570"/>
    </row>
    <row r="63" spans="3:5" ht="15">
      <c r="C63" s="679"/>
      <c r="D63" s="679" t="s">
        <v>906</v>
      </c>
      <c r="E63" s="570"/>
    </row>
    <row r="64" spans="3:5">
      <c r="C64" s="679" t="s">
        <v>907</v>
      </c>
      <c r="D64" s="570"/>
      <c r="E64" s="570"/>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tabColor rgb="FF92D050"/>
  </sheetPr>
  <dimension ref="C1:AL147"/>
  <sheetViews>
    <sheetView topLeftCell="K1" zoomScaleNormal="100" workbookViewId="0">
      <selection activeCell="AE15" sqref="AE15"/>
    </sheetView>
  </sheetViews>
  <sheetFormatPr defaultColWidth="9.109375" defaultRowHeight="13.2"/>
  <cols>
    <col min="1" max="1" width="2" style="119" bestFit="1" customWidth="1"/>
    <col min="2" max="2" width="2" style="119" customWidth="1"/>
    <col min="3" max="3" width="12" style="119" customWidth="1"/>
    <col min="4" max="4" width="11.44140625" style="119" bestFit="1" customWidth="1"/>
    <col min="5" max="8" width="16.33203125" style="119" customWidth="1"/>
    <col min="9" max="9" width="11.6640625" style="119" bestFit="1" customWidth="1"/>
    <col min="10" max="10" width="10.44140625" style="119" customWidth="1"/>
    <col min="11" max="11" width="15.44140625" style="119" customWidth="1"/>
    <col min="12" max="13" width="8.33203125" style="119" customWidth="1"/>
    <col min="14" max="15" width="10.44140625" style="119" customWidth="1"/>
    <col min="16" max="16" width="11.33203125" style="119" bestFit="1" customWidth="1"/>
    <col min="17" max="17" width="11.33203125" style="119" customWidth="1"/>
    <col min="18" max="18" width="11.109375" style="119" customWidth="1"/>
    <col min="19" max="19" width="9.6640625" style="119" customWidth="1"/>
    <col min="20" max="21" width="8.44140625" style="119" customWidth="1"/>
    <col min="22" max="22" width="13.44140625" style="119" bestFit="1" customWidth="1"/>
    <col min="23" max="23" width="13.44140625" style="119" customWidth="1"/>
    <col min="24" max="24" width="13.44140625" style="119" bestFit="1" customWidth="1"/>
    <col min="25" max="25" width="16" style="221" customWidth="1"/>
    <col min="26" max="26" width="15" style="119" customWidth="1"/>
    <col min="27" max="16384" width="9.109375" style="119"/>
  </cols>
  <sheetData>
    <row r="1" spans="3:33">
      <c r="W1" s="200"/>
      <c r="X1" s="200"/>
      <c r="Y1" s="119"/>
      <c r="AC1" s="221"/>
    </row>
    <row r="2" spans="3:33">
      <c r="C2" s="454" t="s">
        <v>1082</v>
      </c>
      <c r="W2" s="200"/>
      <c r="X2" s="200"/>
      <c r="Y2" s="119"/>
      <c r="AC2" s="221"/>
    </row>
    <row r="3" spans="3:33">
      <c r="C3" s="454"/>
      <c r="W3" s="200"/>
      <c r="X3" s="200"/>
      <c r="Y3" s="119"/>
      <c r="AC3" s="221"/>
    </row>
    <row r="4" spans="3:33">
      <c r="C4" s="454"/>
      <c r="T4" s="454"/>
      <c r="W4" s="200"/>
      <c r="X4" s="200"/>
      <c r="Y4" s="119"/>
      <c r="AC4" s="221"/>
    </row>
    <row r="5" spans="3:33">
      <c r="C5" s="454"/>
      <c r="W5" s="200"/>
      <c r="X5" s="200"/>
      <c r="Y5" s="119"/>
      <c r="AC5" s="221"/>
    </row>
    <row r="6" spans="3:33">
      <c r="C6" s="776"/>
      <c r="D6" s="776"/>
      <c r="E6" s="776"/>
      <c r="F6" s="776"/>
      <c r="G6" s="776"/>
      <c r="H6" s="776"/>
      <c r="I6" s="781" t="s">
        <v>1096</v>
      </c>
      <c r="J6" s="776"/>
      <c r="K6" s="776"/>
      <c r="L6" s="776"/>
      <c r="M6" s="776"/>
      <c r="N6" s="776"/>
      <c r="O6" s="776"/>
      <c r="P6" s="776"/>
      <c r="Q6" s="776"/>
      <c r="R6" s="776"/>
      <c r="S6" s="776"/>
      <c r="T6" s="776"/>
      <c r="U6" s="776"/>
      <c r="V6" s="776"/>
      <c r="W6" s="776"/>
      <c r="X6" s="776"/>
      <c r="Y6" s="776"/>
      <c r="Z6" s="776"/>
      <c r="AA6" s="776"/>
      <c r="AB6" s="776"/>
      <c r="AC6" s="776"/>
      <c r="AD6" s="776"/>
      <c r="AE6" s="776"/>
      <c r="AF6" s="776"/>
      <c r="AG6" s="695"/>
    </row>
    <row r="7" spans="3:33" ht="41.4">
      <c r="C7" s="782" t="s">
        <v>1</v>
      </c>
      <c r="D7" s="782" t="s">
        <v>0</v>
      </c>
      <c r="E7" s="782" t="s">
        <v>2</v>
      </c>
      <c r="F7" s="782" t="s">
        <v>80</v>
      </c>
      <c r="G7" s="782" t="s">
        <v>81</v>
      </c>
      <c r="H7" s="782" t="s">
        <v>13</v>
      </c>
      <c r="I7" s="782" t="s">
        <v>209</v>
      </c>
      <c r="J7" s="782" t="s">
        <v>329</v>
      </c>
      <c r="K7" s="782" t="s">
        <v>330</v>
      </c>
      <c r="L7" s="783" t="s">
        <v>150</v>
      </c>
      <c r="M7" s="783" t="s">
        <v>1083</v>
      </c>
      <c r="N7" s="783" t="s">
        <v>774</v>
      </c>
      <c r="O7" s="782" t="s">
        <v>92</v>
      </c>
      <c r="P7" s="782" t="s">
        <v>1084</v>
      </c>
      <c r="Q7" s="782" t="s">
        <v>1085</v>
      </c>
      <c r="R7" s="782" t="s">
        <v>1086</v>
      </c>
      <c r="S7" s="782" t="s">
        <v>1087</v>
      </c>
      <c r="T7" s="782" t="s">
        <v>82</v>
      </c>
      <c r="U7" s="782" t="s">
        <v>147</v>
      </c>
      <c r="V7" s="782" t="s">
        <v>148</v>
      </c>
      <c r="W7" s="782" t="s">
        <v>1088</v>
      </c>
      <c r="X7" s="782" t="s">
        <v>285</v>
      </c>
      <c r="Y7" s="782" t="s">
        <v>323</v>
      </c>
      <c r="Z7" s="782" t="s">
        <v>326</v>
      </c>
      <c r="AA7" s="783" t="s">
        <v>1106</v>
      </c>
      <c r="AB7" s="784" t="s">
        <v>1107</v>
      </c>
      <c r="AC7" s="784" t="s">
        <v>1110</v>
      </c>
      <c r="AD7" s="784" t="s">
        <v>1111</v>
      </c>
      <c r="AE7" s="782" t="s">
        <v>163</v>
      </c>
    </row>
    <row r="8" spans="3:33">
      <c r="C8" s="698" t="s">
        <v>1089</v>
      </c>
      <c r="D8" s="776" t="s">
        <v>767</v>
      </c>
      <c r="E8" s="698" t="s">
        <v>1090</v>
      </c>
      <c r="F8" s="698"/>
      <c r="G8" s="776" t="s">
        <v>93</v>
      </c>
      <c r="H8" s="776"/>
      <c r="I8" s="776"/>
      <c r="J8" s="785"/>
      <c r="K8" s="785"/>
      <c r="L8" s="785"/>
      <c r="M8" s="785"/>
      <c r="N8" s="785"/>
      <c r="O8" s="785"/>
      <c r="P8" s="785"/>
      <c r="Q8" s="785"/>
      <c r="R8" s="785"/>
      <c r="S8" s="785"/>
      <c r="T8" s="695">
        <v>1</v>
      </c>
      <c r="U8" s="695">
        <v>1</v>
      </c>
      <c r="V8" s="695">
        <v>1</v>
      </c>
      <c r="W8" s="695">
        <v>1</v>
      </c>
      <c r="X8" s="786"/>
      <c r="Y8" s="785">
        <f>[11]Refineries!E47*-[11]Refineries!$D$63/1000</f>
        <v>192.548202247191</v>
      </c>
      <c r="Z8" s="785">
        <f>[11]Refineries!F47*-[11]Refineries!$D$63/1000</f>
        <v>202.69910112359548</v>
      </c>
      <c r="AA8" s="785">
        <f>[11]Refineries!G47*-[11]Refineries!$D$63/1000</f>
        <v>194.64061112359553</v>
      </c>
      <c r="AB8" s="785">
        <f>[11]Refineries!H47*-[11]Refineries!$D$63/1000</f>
        <v>186.93748971910111</v>
      </c>
      <c r="AC8" s="785">
        <f>AB8</f>
        <v>186.93748971910111</v>
      </c>
      <c r="AD8" s="785">
        <f>AC8/2</f>
        <v>93.468744859550554</v>
      </c>
      <c r="AE8" s="787">
        <v>5</v>
      </c>
    </row>
    <row r="9" spans="3:33">
      <c r="C9" s="776"/>
      <c r="D9" s="776"/>
      <c r="E9" s="698"/>
      <c r="F9" s="776"/>
      <c r="G9" s="776"/>
      <c r="H9" s="695" t="s">
        <v>79</v>
      </c>
      <c r="I9" s="685" t="s">
        <v>641</v>
      </c>
      <c r="J9" s="785">
        <f>IF([11]Refineries!E48&gt;0,[11]Refineries!E48/SUM([11]Refineries!E$48:E$55)*1.01,0)</f>
        <v>5.5381934397244502E-2</v>
      </c>
      <c r="K9" s="785">
        <f>IF([11]Refineries!F48&gt;0,[11]Refineries!F48/SUM([11]Refineries!F$48:F$55)*1.01,0)</f>
        <v>3.0518158854739488E-2</v>
      </c>
      <c r="L9" s="785">
        <f>IF([11]Refineries!G48&gt;0,[11]Refineries!G48/SUM([11]Refineries!G$48:G$55)*1.01,0)</f>
        <v>2.0702524789327988E-2</v>
      </c>
      <c r="M9" s="785">
        <f>IF([11]Refineries!H48&gt;0,[11]Refineries!H48/SUM([11]Refineries!H$48:H$55)*1.01,0)</f>
        <v>1.7135382869852792E-2</v>
      </c>
      <c r="N9" s="785">
        <v>5</v>
      </c>
      <c r="O9" s="776"/>
      <c r="P9" s="776"/>
      <c r="Q9" s="776"/>
      <c r="R9" s="776"/>
      <c r="S9" s="776"/>
      <c r="T9" s="788"/>
      <c r="U9" s="788"/>
      <c r="V9" s="788"/>
      <c r="W9" s="788"/>
      <c r="X9" s="789">
        <v>13.7</v>
      </c>
      <c r="Y9" s="788"/>
      <c r="Z9" s="788"/>
      <c r="AA9" s="788"/>
      <c r="AB9" s="788"/>
      <c r="AC9" s="788"/>
      <c r="AD9" s="788"/>
      <c r="AE9" s="695"/>
    </row>
    <row r="10" spans="3:33">
      <c r="C10" s="698"/>
      <c r="D10" s="776"/>
      <c r="E10" s="698"/>
      <c r="F10" s="776"/>
      <c r="G10" s="776"/>
      <c r="H10" s="695" t="s">
        <v>1091</v>
      </c>
      <c r="I10" s="685" t="s">
        <v>641</v>
      </c>
      <c r="J10" s="785">
        <f>IF([11]Refineries!E49&gt;0,[11]Refineries!E49/SUM([11]Refineries!E$48:E$55)*1.01,0)</f>
        <v>0</v>
      </c>
      <c r="K10" s="785">
        <f>IF([11]Refineries!F49&gt;0,[11]Refineries!F49/SUM([11]Refineries!F$48:F$55)*1.01,0)</f>
        <v>0</v>
      </c>
      <c r="L10" s="785">
        <f>IF([11]Refineries!G49&gt;0,[11]Refineries!G49/SUM([11]Refineries!G$48:G$55)*1.01,0)</f>
        <v>0</v>
      </c>
      <c r="M10" s="785">
        <f>IF([11]Refineries!H49&gt;0,[11]Refineries!H49/SUM([11]Refineries!H$48:H$55)*1.01,0)</f>
        <v>0</v>
      </c>
      <c r="N10" s="785">
        <v>5</v>
      </c>
      <c r="O10" s="776"/>
      <c r="P10" s="776"/>
      <c r="Q10" s="776"/>
      <c r="R10" s="776"/>
      <c r="S10" s="776"/>
      <c r="T10" s="785"/>
      <c r="U10" s="785"/>
      <c r="V10" s="785"/>
      <c r="W10" s="785"/>
      <c r="X10" s="789">
        <v>3.8999999999999986</v>
      </c>
      <c r="Y10" s="785"/>
      <c r="Z10" s="785"/>
      <c r="AA10" s="785"/>
      <c r="AB10" s="785"/>
      <c r="AC10" s="785"/>
      <c r="AD10" s="785"/>
      <c r="AE10" s="695"/>
    </row>
    <row r="11" spans="3:33">
      <c r="C11" s="698"/>
      <c r="D11" s="776"/>
      <c r="E11" s="698"/>
      <c r="F11" s="698"/>
      <c r="G11" s="776"/>
      <c r="H11" s="695" t="s">
        <v>41</v>
      </c>
      <c r="I11" s="685" t="s">
        <v>641</v>
      </c>
      <c r="J11" s="785">
        <f>IF([11]Refineries!E50&gt;0,[11]Refineries!E50/SUM([11]Refineries!E$48:E$55)*1.01,0)</f>
        <v>4.5940820357062796E-2</v>
      </c>
      <c r="K11" s="785">
        <f>IF([11]Refineries!F50&gt;0,[11]Refineries!F50/SUM([11]Refineries!F$48:F$55)*1.01,0)</f>
        <v>4.9463624561911813E-2</v>
      </c>
      <c r="L11" s="785">
        <f>IF([11]Refineries!G50&gt;0,[11]Refineries!G50/SUM([11]Refineries!G$48:G$55)*1.01,0)</f>
        <v>5.4622629829148013E-2</v>
      </c>
      <c r="M11" s="785">
        <f>IF([11]Refineries!H50&gt;0,[11]Refineries!H50/SUM([11]Refineries!H$48:H$55)*1.01,0)</f>
        <v>5.2627699643796454E-2</v>
      </c>
      <c r="N11" s="785">
        <v>5</v>
      </c>
      <c r="O11" s="791"/>
      <c r="P11" s="791"/>
      <c r="Q11" s="791"/>
      <c r="R11" s="791"/>
      <c r="S11" s="791"/>
      <c r="T11" s="785"/>
      <c r="U11" s="785"/>
      <c r="V11" s="785"/>
      <c r="W11" s="785"/>
      <c r="X11" s="789">
        <v>3.8999999999999986</v>
      </c>
      <c r="Y11" s="785"/>
      <c r="Z11" s="785"/>
      <c r="AA11" s="785"/>
      <c r="AB11" s="785"/>
      <c r="AC11" s="785"/>
      <c r="AD11" s="785"/>
      <c r="AE11" s="695"/>
    </row>
    <row r="12" spans="3:33">
      <c r="C12" s="698"/>
      <c r="D12" s="776"/>
      <c r="E12" s="698"/>
      <c r="F12" s="698"/>
      <c r="G12" s="776"/>
      <c r="H12" s="695" t="s">
        <v>75</v>
      </c>
      <c r="I12" s="685" t="s">
        <v>641</v>
      </c>
      <c r="J12" s="785">
        <f>IF([11]Refineries!E51&gt;0,[11]Refineries!E51/SUM([11]Refineries!E$48:E$55)*1.01,0)</f>
        <v>2.3642256045116113E-2</v>
      </c>
      <c r="K12" s="785">
        <f>IF([11]Refineries!F51&gt;0,[11]Refineries!F51/SUM([11]Refineries!F$48:F$55)*1.01,0)</f>
        <v>2.4276741878648516E-2</v>
      </c>
      <c r="L12" s="785">
        <f>IF([11]Refineries!G51&gt;0,[11]Refineries!G51/SUM([11]Refineries!G$48:G$55)*1.01,0)</f>
        <v>1.7597298107860971E-2</v>
      </c>
      <c r="M12" s="785">
        <f>IF([11]Refineries!H51&gt;0,[11]Refineries!H51/SUM([11]Refineries!H$48:H$55)*1.01,0)</f>
        <v>1.8665943870732248E-2</v>
      </c>
      <c r="N12" s="785">
        <v>5</v>
      </c>
      <c r="O12" s="791"/>
      <c r="P12" s="791"/>
      <c r="Q12" s="791"/>
      <c r="R12" s="791"/>
      <c r="S12" s="791"/>
      <c r="T12" s="785"/>
      <c r="U12" s="785"/>
      <c r="V12" s="785"/>
      <c r="W12" s="785"/>
      <c r="X12" s="789">
        <v>3.8999999999999986</v>
      </c>
      <c r="Y12" s="785"/>
      <c r="Z12" s="785"/>
      <c r="AA12" s="785"/>
      <c r="AB12" s="785"/>
      <c r="AC12" s="785"/>
      <c r="AD12" s="785"/>
      <c r="AE12" s="695"/>
    </row>
    <row r="13" spans="3:33">
      <c r="C13" s="698"/>
      <c r="D13" s="776"/>
      <c r="E13" s="698"/>
      <c r="F13" s="698"/>
      <c r="G13" s="776"/>
      <c r="H13" s="695" t="s">
        <v>100</v>
      </c>
      <c r="I13" s="685" t="s">
        <v>641</v>
      </c>
      <c r="J13" s="785">
        <f>IF([11]Refineries!E52&gt;0,[11]Refineries!E52/SUM([11]Refineries!E$48:E$55)*1.01,0)</f>
        <v>6.1289139179190599E-3</v>
      </c>
      <c r="K13" s="785">
        <f>IF([11]Refineries!F52&gt;0,[11]Refineries!F52/SUM([11]Refineries!F$48:F$55)*1.01,0)</f>
        <v>0</v>
      </c>
      <c r="L13" s="785">
        <f>IF([11]Refineries!G52&gt;0,[11]Refineries!G52/SUM([11]Refineries!G$48:G$55)*1.01,0)</f>
        <v>0</v>
      </c>
      <c r="M13" s="785">
        <f>IF([11]Refineries!H52&gt;0,[11]Refineries!H52/SUM([11]Refineries!H$48:H$55)*1.01,0)</f>
        <v>0</v>
      </c>
      <c r="N13" s="785">
        <v>5</v>
      </c>
      <c r="O13" s="791"/>
      <c r="P13" s="791"/>
      <c r="Q13" s="791"/>
      <c r="R13" s="791"/>
      <c r="S13" s="791"/>
      <c r="T13" s="785"/>
      <c r="U13" s="785"/>
      <c r="V13" s="785"/>
      <c r="W13" s="785"/>
      <c r="X13" s="789">
        <v>3.8999999999999986</v>
      </c>
      <c r="Y13" s="785"/>
      <c r="Z13" s="785"/>
      <c r="AA13" s="785"/>
      <c r="AB13" s="785"/>
      <c r="AC13" s="785"/>
      <c r="AD13" s="785"/>
      <c r="AE13" s="695"/>
    </row>
    <row r="14" spans="3:33">
      <c r="C14" s="698"/>
      <c r="D14" s="776"/>
      <c r="E14" s="698"/>
      <c r="F14" s="698"/>
      <c r="G14" s="776"/>
      <c r="H14" s="695" t="s">
        <v>76</v>
      </c>
      <c r="I14" s="685" t="s">
        <v>641</v>
      </c>
      <c r="J14" s="785">
        <f>IF([11]Refineries!E53&gt;0,[11]Refineries!E53/SUM([11]Refineries!E$48:E$55)*1.01,0)</f>
        <v>0.2696970706855023</v>
      </c>
      <c r="K14" s="785">
        <f>IF([11]Refineries!F53&gt;0,[11]Refineries!F53/SUM([11]Refineries!F$48:F$55)*1.01,0)</f>
        <v>0.27891075344752436</v>
      </c>
      <c r="L14" s="785">
        <f>IF([11]Refineries!G53&gt;0,[11]Refineries!G53/SUM([11]Refineries!G$48:G$55)*1.01,0)</f>
        <v>0.28637391908595872</v>
      </c>
      <c r="M14" s="785">
        <f>IF([11]Refineries!H53&gt;0,[11]Refineries!H53/SUM([11]Refineries!H$48:H$55)*1.01,0)</f>
        <v>0.29603566082786359</v>
      </c>
      <c r="N14" s="785">
        <v>5</v>
      </c>
      <c r="O14" s="791"/>
      <c r="P14" s="791"/>
      <c r="Q14" s="791"/>
      <c r="R14" s="791"/>
      <c r="S14" s="791"/>
      <c r="T14" s="785"/>
      <c r="U14" s="785"/>
      <c r="V14" s="785"/>
      <c r="W14" s="785"/>
      <c r="X14" s="789">
        <v>17.599999999999998</v>
      </c>
      <c r="Y14" s="785"/>
      <c r="Z14" s="785"/>
      <c r="AA14" s="785"/>
      <c r="AB14" s="785"/>
      <c r="AC14" s="785"/>
      <c r="AD14" s="785"/>
      <c r="AE14" s="695"/>
    </row>
    <row r="15" spans="3:33">
      <c r="C15" s="698"/>
      <c r="D15" s="776"/>
      <c r="E15" s="698"/>
      <c r="F15" s="698"/>
      <c r="G15" s="776"/>
      <c r="H15" s="695" t="s">
        <v>45</v>
      </c>
      <c r="I15" s="685" t="s">
        <v>641</v>
      </c>
      <c r="J15" s="785">
        <f>IF([11]Refineries!E54&gt;0,[11]Refineries!E54/SUM([11]Refineries!E$48:E$55)*1.01,0)</f>
        <v>0.43576796306311161</v>
      </c>
      <c r="K15" s="785">
        <f>IF([11]Refineries!F54&gt;0,[11]Refineries!F54/SUM([11]Refineries!F$48:F$55)*1.01,0)</f>
        <v>0.46028380260382623</v>
      </c>
      <c r="L15" s="785">
        <f>IF([11]Refineries!G54&gt;0,[11]Refineries!G54/SUM([11]Refineries!G$48:G$55)*1.01,0)</f>
        <v>0.45368636257992911</v>
      </c>
      <c r="M15" s="785">
        <f>IF([11]Refineries!H54&gt;0,[11]Refineries!H54/SUM([11]Refineries!H$48:H$55)*1.01,0)</f>
        <v>0.46584911025833659</v>
      </c>
      <c r="N15" s="785">
        <v>5</v>
      </c>
      <c r="O15" s="791"/>
      <c r="P15" s="791"/>
      <c r="Q15" s="791"/>
      <c r="R15" s="791"/>
      <c r="S15" s="791"/>
      <c r="T15" s="785"/>
      <c r="U15" s="785"/>
      <c r="V15" s="785"/>
      <c r="W15" s="785"/>
      <c r="X15" s="789">
        <v>16.5</v>
      </c>
      <c r="Y15" s="785"/>
      <c r="Z15" s="785"/>
      <c r="AA15" s="785"/>
      <c r="AB15" s="785"/>
      <c r="AC15" s="785"/>
      <c r="AD15" s="785"/>
      <c r="AE15" s="695"/>
    </row>
    <row r="16" spans="3:33">
      <c r="C16" s="698"/>
      <c r="D16" s="776"/>
      <c r="E16" s="698"/>
      <c r="F16" s="698"/>
      <c r="G16" s="776"/>
      <c r="H16" s="695" t="s">
        <v>44</v>
      </c>
      <c r="I16" s="685" t="s">
        <v>641</v>
      </c>
      <c r="J16" s="785">
        <f>IF([11]Refineries!E55&gt;0,[11]Refineries!E55/SUM([11]Refineries!E$48:E$55)*1.01,0)</f>
        <v>0.17344104153404361</v>
      </c>
      <c r="K16" s="785">
        <f>IF([11]Refineries!F55&gt;0,[11]Refineries!F55/SUM([11]Refineries!F$48:F$55)*1.01,0)</f>
        <v>0.16737868622201138</v>
      </c>
      <c r="L16" s="785">
        <f>IF([11]Refineries!G55&gt;0,[11]Refineries!G55/SUM([11]Refineries!G$48:G$55)*1.01,0)</f>
        <v>0.1770172656077752</v>
      </c>
      <c r="M16" s="785">
        <f>IF([11]Refineries!H55&gt;0,[11]Refineries!H55/SUM([11]Refineries!H$48:H$55)*1.01,0)</f>
        <v>0.15968620252941823</v>
      </c>
      <c r="N16" s="785">
        <v>5</v>
      </c>
      <c r="O16" s="791"/>
      <c r="P16" s="791"/>
      <c r="Q16" s="791"/>
      <c r="R16" s="791"/>
      <c r="S16" s="791"/>
      <c r="T16" s="785"/>
      <c r="U16" s="785"/>
      <c r="V16" s="785"/>
      <c r="W16" s="785"/>
      <c r="X16" s="789">
        <v>-11.8</v>
      </c>
      <c r="Y16" s="785"/>
      <c r="Z16" s="785"/>
      <c r="AA16" s="785"/>
      <c r="AB16" s="785"/>
      <c r="AC16" s="785"/>
      <c r="AD16" s="785"/>
      <c r="AE16" s="695"/>
    </row>
    <row r="17" spans="3:31">
      <c r="C17" s="698"/>
      <c r="D17" s="776"/>
      <c r="E17" s="698"/>
      <c r="F17" s="698" t="s">
        <v>931</v>
      </c>
      <c r="G17" s="776"/>
      <c r="H17" s="695"/>
      <c r="I17" s="685"/>
      <c r="J17" s="785"/>
      <c r="K17" s="785"/>
      <c r="L17" s="785"/>
      <c r="M17" s="785"/>
      <c r="N17" s="785"/>
      <c r="O17" s="792">
        <f>-[11]Refineries!E47/SUM([11]Refineries!E48:E56)-T8+0.06</f>
        <v>9.6298967419466697E-2</v>
      </c>
      <c r="P17" s="792">
        <f>-[11]Refineries!F47/SUM([11]Refineries!F48:F56)-U8+0.06</f>
        <v>8.6298901529385741E-2</v>
      </c>
      <c r="Q17" s="792">
        <f>-[11]Refineries!G47/SUM([11]Refineries!G48:G56)-V8+0.06</f>
        <v>8.7346144179462459E-2</v>
      </c>
      <c r="R17" s="792">
        <f>-[11]Refineries!H47/SUM([11]Refineries!H48:H56)-W8+0.06</f>
        <v>6.6368383286051491E-2</v>
      </c>
      <c r="S17" s="792">
        <f>AVERAGE(O17:R17)</f>
        <v>8.4078099103591597E-2</v>
      </c>
      <c r="T17" s="785"/>
      <c r="U17" s="785"/>
      <c r="V17" s="785"/>
      <c r="W17" s="785"/>
      <c r="X17" s="789"/>
      <c r="Y17" s="785"/>
      <c r="Z17" s="785"/>
      <c r="AA17" s="785"/>
      <c r="AB17" s="785"/>
      <c r="AC17" s="785"/>
      <c r="AD17" s="785"/>
      <c r="AE17" s="695"/>
    </row>
    <row r="18" spans="3:31">
      <c r="C18" s="698"/>
      <c r="D18" s="776"/>
      <c r="E18" s="698"/>
      <c r="F18" s="698" t="s">
        <v>216</v>
      </c>
      <c r="G18" s="776"/>
      <c r="H18" s="695"/>
      <c r="I18" s="685"/>
      <c r="J18" s="785"/>
      <c r="K18" s="785"/>
      <c r="L18" s="785"/>
      <c r="M18" s="785"/>
      <c r="N18" s="785"/>
      <c r="O18" s="792">
        <v>1.6757748528813531E-2</v>
      </c>
      <c r="P18" s="792">
        <v>2.3704171422058575E-2</v>
      </c>
      <c r="Q18" s="792">
        <v>2.2976717183332891E-2</v>
      </c>
      <c r="R18" s="792">
        <v>3.7548661020578036E-2</v>
      </c>
      <c r="S18" s="792">
        <v>2.5246824538695759E-2</v>
      </c>
      <c r="T18" s="785"/>
      <c r="U18" s="785"/>
      <c r="V18" s="785"/>
      <c r="W18" s="785"/>
      <c r="X18" s="789"/>
      <c r="Y18" s="785"/>
      <c r="Z18" s="785"/>
      <c r="AA18" s="785"/>
      <c r="AB18" s="785"/>
      <c r="AC18" s="785"/>
      <c r="AD18" s="785"/>
      <c r="AE18" s="695"/>
    </row>
    <row r="19" spans="3:31">
      <c r="C19" s="698"/>
      <c r="D19" s="776"/>
      <c r="E19" s="698"/>
      <c r="F19" s="698" t="s">
        <v>375</v>
      </c>
      <c r="G19" s="776"/>
      <c r="H19" s="695"/>
      <c r="I19" s="685"/>
      <c r="J19" s="785"/>
      <c r="K19" s="785"/>
      <c r="L19" s="785"/>
      <c r="M19" s="785"/>
      <c r="N19" s="785"/>
      <c r="O19" s="792">
        <v>7.3666953803676969E-3</v>
      </c>
      <c r="P19" s="792">
        <v>1.0420338377203606E-2</v>
      </c>
      <c r="Q19" s="792">
        <v>1.0100549965852572E-2</v>
      </c>
      <c r="R19" s="792">
        <v>1.6506367022018392E-2</v>
      </c>
      <c r="S19" s="792">
        <v>1.1098487686360566E-2</v>
      </c>
      <c r="T19" s="785"/>
      <c r="U19" s="785"/>
      <c r="V19" s="785"/>
      <c r="W19" s="785"/>
      <c r="X19" s="789"/>
      <c r="Y19" s="785"/>
      <c r="Z19" s="785"/>
      <c r="AA19" s="785"/>
      <c r="AB19" s="785"/>
      <c r="AC19" s="785"/>
      <c r="AD19" s="785"/>
      <c r="AE19" s="695"/>
    </row>
    <row r="20" spans="3:31">
      <c r="C20" s="698"/>
      <c r="D20" s="776"/>
      <c r="E20" s="698"/>
      <c r="F20" s="776" t="s">
        <v>1092</v>
      </c>
      <c r="G20" s="776"/>
      <c r="H20" s="776"/>
      <c r="I20" s="776"/>
      <c r="J20" s="785"/>
      <c r="K20" s="785"/>
      <c r="L20" s="785"/>
      <c r="M20" s="785"/>
      <c r="N20" s="785"/>
      <c r="O20" s="786">
        <f>IF([11]Refineries!E$52&lt;0,[11]Refineries!E$52/[11]Refineries!E$47,0)</f>
        <v>0</v>
      </c>
      <c r="P20" s="786">
        <f>IF([11]Refineries!F$52&lt;0,[11]Refineries!F$52/[11]Refineries!F$47,0)</f>
        <v>0</v>
      </c>
      <c r="Q20" s="786">
        <f>IF([11]Refineries!G$52&lt;0,[11]Refineries!G$52/[11]Refineries!G$47,0)</f>
        <v>0</v>
      </c>
      <c r="R20" s="786">
        <f>IF([11]Refineries!H$52&lt;0,[11]Refineries!H$52/[11]Refineries!H$47,0)</f>
        <v>0</v>
      </c>
      <c r="S20" s="792">
        <f>AVERAGE(O20:R20)</f>
        <v>0</v>
      </c>
      <c r="T20" s="785"/>
      <c r="U20" s="785"/>
      <c r="V20" s="785"/>
      <c r="W20" s="785"/>
      <c r="X20" s="790"/>
      <c r="Y20" s="785"/>
      <c r="Z20" s="785"/>
      <c r="AA20" s="785"/>
      <c r="AB20" s="785"/>
      <c r="AC20" s="785"/>
      <c r="AD20" s="785"/>
      <c r="AE20" s="695"/>
    </row>
    <row r="21" spans="3:31">
      <c r="C21" s="794"/>
      <c r="D21" s="793"/>
      <c r="E21" s="794"/>
      <c r="F21" s="794" t="s">
        <v>778</v>
      </c>
      <c r="G21" s="793"/>
      <c r="H21" s="793"/>
      <c r="I21" s="793"/>
      <c r="J21" s="795"/>
      <c r="K21" s="795"/>
      <c r="L21" s="795"/>
      <c r="M21" s="795"/>
      <c r="N21" s="795"/>
      <c r="O21" s="796">
        <f>IF([11]Refineries!E$50&lt;0,[11]Refineries!E$50/[11]Refineries!E$47,0)</f>
        <v>0</v>
      </c>
      <c r="P21" s="796">
        <f>IF([11]Refineries!F$50&lt;0,[11]Refineries!F$50/[11]Refineries!F$47,0)</f>
        <v>0</v>
      </c>
      <c r="Q21" s="796">
        <f>IF([11]Refineries!G$50&lt;0,[11]Refineries!G$50/[11]Refineries!G$47,0)</f>
        <v>0</v>
      </c>
      <c r="R21" s="796">
        <f>IF([11]Refineries!H$50&lt;0,[11]Refineries!H$50/[11]Refineries!H$47,0)</f>
        <v>0</v>
      </c>
      <c r="S21" s="792">
        <f>AVERAGE(O21:R21)</f>
        <v>0</v>
      </c>
      <c r="T21" s="795"/>
      <c r="U21" s="795"/>
      <c r="V21" s="795"/>
      <c r="W21" s="795"/>
      <c r="X21" s="797"/>
      <c r="Y21" s="795"/>
      <c r="Z21" s="795"/>
      <c r="AA21" s="795"/>
      <c r="AB21" s="795"/>
      <c r="AC21" s="795"/>
      <c r="AD21" s="801"/>
      <c r="AE21" s="695"/>
    </row>
    <row r="22" spans="3:31">
      <c r="C22" s="799"/>
      <c r="D22" s="800"/>
      <c r="E22" s="799"/>
      <c r="F22" s="799"/>
      <c r="G22" s="800"/>
      <c r="H22" s="800"/>
      <c r="I22" s="800"/>
      <c r="J22" s="801"/>
      <c r="K22" s="801"/>
      <c r="L22" s="801"/>
      <c r="M22" s="801"/>
      <c r="N22" s="801"/>
      <c r="O22" s="802"/>
      <c r="P22" s="802"/>
      <c r="Q22" s="802"/>
      <c r="R22" s="802"/>
      <c r="S22" s="792"/>
      <c r="T22" s="801"/>
      <c r="U22" s="801"/>
      <c r="V22" s="801"/>
      <c r="W22" s="801"/>
      <c r="X22" s="803"/>
      <c r="Y22" s="801"/>
      <c r="Z22" s="801"/>
      <c r="AA22" s="801"/>
      <c r="AB22" s="801"/>
      <c r="AC22" s="801"/>
      <c r="AD22" s="801"/>
      <c r="AE22" s="695"/>
    </row>
    <row r="23" spans="3:31">
      <c r="C23" s="695"/>
      <c r="D23" s="695"/>
      <c r="E23" s="695"/>
      <c r="F23" s="695"/>
      <c r="G23" s="695"/>
      <c r="H23" s="695"/>
      <c r="I23" s="695"/>
      <c r="J23" s="695"/>
      <c r="K23" s="695"/>
      <c r="L23" s="695"/>
      <c r="M23" s="695"/>
      <c r="N23" s="695"/>
      <c r="O23" s="695"/>
      <c r="P23" s="798" t="s">
        <v>958</v>
      </c>
      <c r="Q23" s="695"/>
      <c r="R23" s="695"/>
      <c r="S23" s="695"/>
      <c r="T23" s="695"/>
      <c r="U23" s="695"/>
      <c r="V23" s="695"/>
      <c r="W23" s="695"/>
      <c r="X23" s="695"/>
      <c r="Y23" s="695"/>
      <c r="Z23" s="695"/>
      <c r="AA23" s="695"/>
      <c r="AB23" s="695"/>
      <c r="AC23" s="695"/>
      <c r="AD23" s="695"/>
      <c r="AE23" s="695"/>
    </row>
    <row r="24" spans="3:31">
      <c r="C24" s="776"/>
      <c r="D24" s="776"/>
      <c r="E24" s="776"/>
      <c r="F24" s="776"/>
      <c r="G24" s="776"/>
      <c r="H24" s="776"/>
      <c r="I24" s="781" t="s">
        <v>1096</v>
      </c>
      <c r="J24" s="776"/>
      <c r="K24" s="776"/>
      <c r="L24" s="776"/>
      <c r="M24" s="776"/>
      <c r="N24" s="776"/>
      <c r="O24" s="776"/>
      <c r="P24" s="776"/>
      <c r="Q24" s="776"/>
      <c r="R24" s="776"/>
      <c r="S24" s="776"/>
      <c r="T24" s="776"/>
      <c r="U24" s="776"/>
      <c r="V24" s="776"/>
      <c r="W24" s="776"/>
      <c r="X24" s="776"/>
      <c r="Y24" s="776"/>
      <c r="Z24" s="776"/>
      <c r="AA24" s="776"/>
      <c r="AB24" s="695"/>
      <c r="AC24" s="695"/>
      <c r="AD24" s="695"/>
      <c r="AE24" s="695"/>
    </row>
    <row r="25" spans="3:31" ht="41.4">
      <c r="C25" s="782" t="s">
        <v>1</v>
      </c>
      <c r="D25" s="782" t="s">
        <v>0</v>
      </c>
      <c r="E25" s="782" t="s">
        <v>2</v>
      </c>
      <c r="F25" s="782" t="s">
        <v>80</v>
      </c>
      <c r="G25" s="782" t="s">
        <v>81</v>
      </c>
      <c r="H25" s="782" t="s">
        <v>13</v>
      </c>
      <c r="I25" s="782" t="s">
        <v>209</v>
      </c>
      <c r="J25" s="782" t="s">
        <v>329</v>
      </c>
      <c r="K25" s="782" t="s">
        <v>330</v>
      </c>
      <c r="L25" s="783" t="s">
        <v>150</v>
      </c>
      <c r="M25" s="783" t="s">
        <v>1083</v>
      </c>
      <c r="N25" s="783" t="s">
        <v>774</v>
      </c>
      <c r="O25" s="782" t="s">
        <v>92</v>
      </c>
      <c r="P25" s="782" t="s">
        <v>1084</v>
      </c>
      <c r="Q25" s="782" t="s">
        <v>1085</v>
      </c>
      <c r="R25" s="782" t="s">
        <v>1086</v>
      </c>
      <c r="S25" s="782" t="s">
        <v>1087</v>
      </c>
      <c r="T25" s="782" t="s">
        <v>82</v>
      </c>
      <c r="U25" s="782" t="s">
        <v>147</v>
      </c>
      <c r="V25" s="782" t="s">
        <v>148</v>
      </c>
      <c r="W25" s="782" t="s">
        <v>1088</v>
      </c>
      <c r="X25" s="782" t="s">
        <v>285</v>
      </c>
      <c r="Y25" s="782" t="s">
        <v>325</v>
      </c>
      <c r="Z25" s="782" t="s">
        <v>324</v>
      </c>
      <c r="AA25" s="783" t="s">
        <v>1108</v>
      </c>
      <c r="AB25" s="784" t="s">
        <v>1109</v>
      </c>
      <c r="AC25" s="784" t="s">
        <v>1112</v>
      </c>
      <c r="AD25" s="782" t="s">
        <v>163</v>
      </c>
    </row>
    <row r="26" spans="3:31">
      <c r="C26" s="698" t="s">
        <v>1093</v>
      </c>
      <c r="D26" s="776" t="s">
        <v>768</v>
      </c>
      <c r="E26" s="698" t="s">
        <v>1094</v>
      </c>
      <c r="F26" s="698"/>
      <c r="G26" s="776" t="s">
        <v>93</v>
      </c>
      <c r="H26" s="776"/>
      <c r="I26" s="776"/>
      <c r="J26" s="785"/>
      <c r="K26" s="785"/>
      <c r="L26" s="785"/>
      <c r="M26" s="785"/>
      <c r="N26" s="785"/>
      <c r="O26" s="785"/>
      <c r="P26" s="785"/>
      <c r="Q26" s="785"/>
      <c r="R26" s="785"/>
      <c r="S26" s="785"/>
      <c r="T26" s="695">
        <f>T8</f>
        <v>1</v>
      </c>
      <c r="U26" s="695">
        <f>U8</f>
        <v>1</v>
      </c>
      <c r="V26" s="695">
        <f>V8</f>
        <v>1</v>
      </c>
      <c r="W26" s="695">
        <f>W8</f>
        <v>1</v>
      </c>
      <c r="X26" s="786"/>
      <c r="Y26" s="785">
        <f>[11]Refineries!E47*-[11]Refineries!$D$64/1000</f>
        <v>119.02979775280899</v>
      </c>
      <c r="Z26" s="785">
        <f>[11]Refineries!F47*-[11]Refineries!$D$64/1000</f>
        <v>125.30489887640449</v>
      </c>
      <c r="AA26" s="785">
        <f>[11]Refineries!G47*-[11]Refineries!$D$64/1000</f>
        <v>120.32328687640451</v>
      </c>
      <c r="AB26" s="785">
        <f>[11]Refineries!H47*-[11]Refineries!$D$64/1000</f>
        <v>115.56135728089889</v>
      </c>
      <c r="AC26" s="785">
        <f>AB26</f>
        <v>115.56135728089889</v>
      </c>
      <c r="AD26" s="787">
        <v>5</v>
      </c>
    </row>
    <row r="27" spans="3:31">
      <c r="C27" s="776"/>
      <c r="D27" s="776"/>
      <c r="E27" s="698"/>
      <c r="F27" s="776"/>
      <c r="G27" s="776"/>
      <c r="H27" s="695" t="s">
        <v>79</v>
      </c>
      <c r="I27" s="685" t="s">
        <v>641</v>
      </c>
      <c r="J27" s="785">
        <f t="shared" ref="J27:N34" si="0">J9</f>
        <v>5.5381934397244502E-2</v>
      </c>
      <c r="K27" s="785">
        <f t="shared" si="0"/>
        <v>3.0518158854739488E-2</v>
      </c>
      <c r="L27" s="785">
        <f t="shared" si="0"/>
        <v>2.0702524789327988E-2</v>
      </c>
      <c r="M27" s="785">
        <f t="shared" si="0"/>
        <v>1.7135382869852792E-2</v>
      </c>
      <c r="N27" s="785">
        <f t="shared" si="0"/>
        <v>5</v>
      </c>
      <c r="O27" s="776"/>
      <c r="P27" s="776"/>
      <c r="Q27" s="776"/>
      <c r="R27" s="776"/>
      <c r="S27" s="776"/>
      <c r="T27" s="788"/>
      <c r="U27" s="788"/>
      <c r="V27" s="788"/>
      <c r="W27" s="788"/>
      <c r="X27" s="789">
        <v>13.7</v>
      </c>
      <c r="Y27" s="788"/>
      <c r="Z27" s="788"/>
      <c r="AA27" s="788"/>
      <c r="AB27" s="788"/>
      <c r="AC27" s="788"/>
      <c r="AD27" s="788"/>
      <c r="AE27" s="788"/>
    </row>
    <row r="28" spans="3:31">
      <c r="C28" s="698"/>
      <c r="D28" s="776"/>
      <c r="E28" s="698"/>
      <c r="F28" s="776"/>
      <c r="G28" s="776"/>
      <c r="H28" s="695" t="s">
        <v>1091</v>
      </c>
      <c r="I28" s="685" t="s">
        <v>641</v>
      </c>
      <c r="J28" s="785">
        <f t="shared" si="0"/>
        <v>0</v>
      </c>
      <c r="K28" s="785">
        <f t="shared" si="0"/>
        <v>0</v>
      </c>
      <c r="L28" s="785">
        <f t="shared" si="0"/>
        <v>0</v>
      </c>
      <c r="M28" s="785">
        <f t="shared" si="0"/>
        <v>0</v>
      </c>
      <c r="N28" s="785">
        <f t="shared" si="0"/>
        <v>5</v>
      </c>
      <c r="O28" s="776"/>
      <c r="P28" s="776"/>
      <c r="Q28" s="776"/>
      <c r="R28" s="776"/>
      <c r="S28" s="776"/>
      <c r="T28" s="785"/>
      <c r="U28" s="785"/>
      <c r="V28" s="785"/>
      <c r="W28" s="785"/>
      <c r="X28" s="789">
        <v>3.8999999999999986</v>
      </c>
      <c r="Y28" s="785"/>
      <c r="Z28" s="785"/>
      <c r="AA28" s="785"/>
      <c r="AB28" s="785"/>
      <c r="AC28" s="785"/>
      <c r="AD28" s="785"/>
      <c r="AE28" s="785"/>
    </row>
    <row r="29" spans="3:31">
      <c r="C29" s="698"/>
      <c r="D29" s="776"/>
      <c r="E29" s="698"/>
      <c r="F29" s="698"/>
      <c r="G29" s="776"/>
      <c r="H29" s="695" t="s">
        <v>41</v>
      </c>
      <c r="I29" s="685" t="s">
        <v>641</v>
      </c>
      <c r="J29" s="785">
        <f t="shared" si="0"/>
        <v>4.5940820357062796E-2</v>
      </c>
      <c r="K29" s="785">
        <f t="shared" si="0"/>
        <v>4.9463624561911813E-2</v>
      </c>
      <c r="L29" s="785">
        <f t="shared" si="0"/>
        <v>5.4622629829148013E-2</v>
      </c>
      <c r="M29" s="785">
        <f t="shared" si="0"/>
        <v>5.2627699643796454E-2</v>
      </c>
      <c r="N29" s="785">
        <f t="shared" si="0"/>
        <v>5</v>
      </c>
      <c r="O29" s="791"/>
      <c r="P29" s="791"/>
      <c r="Q29" s="791"/>
      <c r="R29" s="791"/>
      <c r="S29" s="791"/>
      <c r="T29" s="785"/>
      <c r="U29" s="785"/>
      <c r="V29" s="785"/>
      <c r="W29" s="785"/>
      <c r="X29" s="789">
        <v>3.8999999999999986</v>
      </c>
      <c r="Y29" s="785"/>
      <c r="Z29" s="785"/>
      <c r="AA29" s="785"/>
      <c r="AB29" s="785"/>
      <c r="AC29" s="785"/>
      <c r="AD29" s="785"/>
      <c r="AE29" s="785"/>
    </row>
    <row r="30" spans="3:31">
      <c r="C30" s="698"/>
      <c r="D30" s="776"/>
      <c r="E30" s="698"/>
      <c r="F30" s="698"/>
      <c r="G30" s="776"/>
      <c r="H30" s="695" t="s">
        <v>75</v>
      </c>
      <c r="I30" s="685" t="s">
        <v>641</v>
      </c>
      <c r="J30" s="785">
        <f t="shared" si="0"/>
        <v>2.3642256045116113E-2</v>
      </c>
      <c r="K30" s="785">
        <f t="shared" si="0"/>
        <v>2.4276741878648516E-2</v>
      </c>
      <c r="L30" s="785">
        <f t="shared" si="0"/>
        <v>1.7597298107860971E-2</v>
      </c>
      <c r="M30" s="785">
        <f t="shared" si="0"/>
        <v>1.8665943870732248E-2</v>
      </c>
      <c r="N30" s="785">
        <f t="shared" si="0"/>
        <v>5</v>
      </c>
      <c r="O30" s="791"/>
      <c r="P30" s="791"/>
      <c r="Q30" s="791"/>
      <c r="R30" s="791"/>
      <c r="S30" s="791"/>
      <c r="T30" s="785"/>
      <c r="U30" s="785"/>
      <c r="V30" s="785"/>
      <c r="W30" s="785"/>
      <c r="X30" s="789">
        <v>3.8999999999999986</v>
      </c>
      <c r="Y30" s="785"/>
      <c r="Z30" s="785"/>
      <c r="AA30" s="785"/>
      <c r="AB30" s="785"/>
      <c r="AC30" s="785"/>
      <c r="AD30" s="785"/>
      <c r="AE30" s="785"/>
    </row>
    <row r="31" spans="3:31">
      <c r="C31" s="698"/>
      <c r="D31" s="776"/>
      <c r="E31" s="698"/>
      <c r="F31" s="698"/>
      <c r="G31" s="776"/>
      <c r="H31" s="695" t="s">
        <v>100</v>
      </c>
      <c r="I31" s="685" t="s">
        <v>641</v>
      </c>
      <c r="J31" s="785">
        <f t="shared" si="0"/>
        <v>6.1289139179190599E-3</v>
      </c>
      <c r="K31" s="785">
        <f t="shared" si="0"/>
        <v>0</v>
      </c>
      <c r="L31" s="785">
        <f t="shared" si="0"/>
        <v>0</v>
      </c>
      <c r="M31" s="785">
        <f t="shared" si="0"/>
        <v>0</v>
      </c>
      <c r="N31" s="785">
        <f t="shared" si="0"/>
        <v>5</v>
      </c>
      <c r="O31" s="791"/>
      <c r="P31" s="791"/>
      <c r="Q31" s="791"/>
      <c r="R31" s="791"/>
      <c r="S31" s="791"/>
      <c r="T31" s="785"/>
      <c r="U31" s="785"/>
      <c r="V31" s="785"/>
      <c r="W31" s="785"/>
      <c r="X31" s="789">
        <v>3.8999999999999986</v>
      </c>
      <c r="Y31" s="785"/>
      <c r="Z31" s="785"/>
      <c r="AA31" s="785"/>
      <c r="AB31" s="785"/>
      <c r="AC31" s="785"/>
      <c r="AD31" s="785"/>
      <c r="AE31" s="785"/>
    </row>
    <row r="32" spans="3:31">
      <c r="C32" s="698"/>
      <c r="D32" s="776"/>
      <c r="E32" s="698"/>
      <c r="F32" s="698"/>
      <c r="G32" s="776"/>
      <c r="H32" s="695" t="s">
        <v>76</v>
      </c>
      <c r="I32" s="685" t="s">
        <v>641</v>
      </c>
      <c r="J32" s="785">
        <f t="shared" si="0"/>
        <v>0.2696970706855023</v>
      </c>
      <c r="K32" s="785">
        <f t="shared" si="0"/>
        <v>0.27891075344752436</v>
      </c>
      <c r="L32" s="785">
        <f t="shared" si="0"/>
        <v>0.28637391908595872</v>
      </c>
      <c r="M32" s="785">
        <f t="shared" si="0"/>
        <v>0.29603566082786359</v>
      </c>
      <c r="N32" s="785">
        <f t="shared" si="0"/>
        <v>5</v>
      </c>
      <c r="O32" s="791"/>
      <c r="P32" s="791"/>
      <c r="Q32" s="791"/>
      <c r="R32" s="791"/>
      <c r="S32" s="791"/>
      <c r="T32" s="785"/>
      <c r="U32" s="785"/>
      <c r="V32" s="785"/>
      <c r="W32" s="785"/>
      <c r="X32" s="789">
        <v>17.599999999999998</v>
      </c>
      <c r="Y32" s="785"/>
      <c r="Z32" s="785"/>
      <c r="AA32" s="785"/>
      <c r="AB32" s="785"/>
      <c r="AC32" s="785"/>
      <c r="AD32" s="785"/>
      <c r="AE32" s="785"/>
    </row>
    <row r="33" spans="3:31">
      <c r="C33" s="698"/>
      <c r="D33" s="776"/>
      <c r="E33" s="698"/>
      <c r="F33" s="698"/>
      <c r="G33" s="776"/>
      <c r="H33" s="695" t="s">
        <v>45</v>
      </c>
      <c r="I33" s="685" t="s">
        <v>641</v>
      </c>
      <c r="J33" s="785">
        <f t="shared" si="0"/>
        <v>0.43576796306311161</v>
      </c>
      <c r="K33" s="785">
        <f t="shared" si="0"/>
        <v>0.46028380260382623</v>
      </c>
      <c r="L33" s="785">
        <f t="shared" si="0"/>
        <v>0.45368636257992911</v>
      </c>
      <c r="M33" s="785">
        <f t="shared" si="0"/>
        <v>0.46584911025833659</v>
      </c>
      <c r="N33" s="785">
        <f t="shared" si="0"/>
        <v>5</v>
      </c>
      <c r="O33" s="791"/>
      <c r="P33" s="791"/>
      <c r="Q33" s="791"/>
      <c r="R33" s="791"/>
      <c r="S33" s="791"/>
      <c r="T33" s="785"/>
      <c r="U33" s="785"/>
      <c r="V33" s="785"/>
      <c r="W33" s="785"/>
      <c r="X33" s="789">
        <v>16.5</v>
      </c>
      <c r="Y33" s="785"/>
      <c r="Z33" s="785"/>
      <c r="AA33" s="785"/>
      <c r="AB33" s="785"/>
      <c r="AC33" s="785"/>
      <c r="AD33" s="785"/>
      <c r="AE33" s="785"/>
    </row>
    <row r="34" spans="3:31">
      <c r="C34" s="698"/>
      <c r="D34" s="776"/>
      <c r="E34" s="698"/>
      <c r="F34" s="698"/>
      <c r="G34" s="776"/>
      <c r="H34" s="695" t="s">
        <v>44</v>
      </c>
      <c r="I34" s="685" t="s">
        <v>641</v>
      </c>
      <c r="J34" s="785">
        <f t="shared" si="0"/>
        <v>0.17344104153404361</v>
      </c>
      <c r="K34" s="785">
        <f t="shared" si="0"/>
        <v>0.16737868622201138</v>
      </c>
      <c r="L34" s="785">
        <f t="shared" si="0"/>
        <v>0.1770172656077752</v>
      </c>
      <c r="M34" s="785">
        <f t="shared" si="0"/>
        <v>0.15968620252941823</v>
      </c>
      <c r="N34" s="785">
        <f t="shared" si="0"/>
        <v>5</v>
      </c>
      <c r="O34" s="791"/>
      <c r="P34" s="791"/>
      <c r="Q34" s="791"/>
      <c r="R34" s="791"/>
      <c r="S34" s="791"/>
      <c r="T34" s="785"/>
      <c r="U34" s="785"/>
      <c r="V34" s="785"/>
      <c r="W34" s="785"/>
      <c r="X34" s="789">
        <v>-11.8</v>
      </c>
      <c r="Y34" s="785"/>
      <c r="Z34" s="785"/>
      <c r="AA34" s="785"/>
      <c r="AB34" s="785"/>
      <c r="AC34" s="785"/>
      <c r="AD34" s="785"/>
      <c r="AE34" s="785"/>
    </row>
    <row r="35" spans="3:31">
      <c r="C35" s="698"/>
      <c r="D35" s="776"/>
      <c r="E35" s="698"/>
      <c r="F35" s="698" t="s">
        <v>931</v>
      </c>
      <c r="G35" s="776"/>
      <c r="H35" s="695"/>
      <c r="I35" s="685"/>
      <c r="J35" s="785"/>
      <c r="K35" s="785"/>
      <c r="L35" s="785"/>
      <c r="M35" s="785"/>
      <c r="N35" s="785"/>
      <c r="O35" s="792">
        <f>O17</f>
        <v>9.6298967419466697E-2</v>
      </c>
      <c r="P35" s="785">
        <f>P17</f>
        <v>8.6298901529385741E-2</v>
      </c>
      <c r="Q35" s="785">
        <f>Q17</f>
        <v>8.7346144179462459E-2</v>
      </c>
      <c r="R35" s="785">
        <f>R17</f>
        <v>6.6368383286051491E-2</v>
      </c>
      <c r="S35" s="792">
        <f>AVERAGE(O35:R35)</f>
        <v>8.4078099103591597E-2</v>
      </c>
      <c r="T35" s="785"/>
      <c r="U35" s="785"/>
      <c r="V35" s="785"/>
      <c r="W35" s="785"/>
      <c r="X35" s="789"/>
      <c r="Y35" s="785"/>
      <c r="Z35" s="785"/>
      <c r="AA35" s="785"/>
      <c r="AB35" s="785"/>
      <c r="AC35" s="785"/>
      <c r="AD35" s="785"/>
      <c r="AE35" s="785"/>
    </row>
    <row r="36" spans="3:31">
      <c r="C36" s="698"/>
      <c r="D36" s="776"/>
      <c r="E36" s="698"/>
      <c r="F36" s="698" t="s">
        <v>216</v>
      </c>
      <c r="G36" s="776"/>
      <c r="H36" s="695"/>
      <c r="I36" s="685"/>
      <c r="J36" s="785"/>
      <c r="K36" s="785"/>
      <c r="L36" s="785"/>
      <c r="M36" s="785"/>
      <c r="N36" s="785"/>
      <c r="O36" s="792">
        <f>O18</f>
        <v>1.6757748528813531E-2</v>
      </c>
      <c r="P36" s="792">
        <f t="shared" ref="P36:S36" si="1">P18</f>
        <v>2.3704171422058575E-2</v>
      </c>
      <c r="Q36" s="792">
        <f t="shared" si="1"/>
        <v>2.2976717183332891E-2</v>
      </c>
      <c r="R36" s="792">
        <f t="shared" si="1"/>
        <v>3.7548661020578036E-2</v>
      </c>
      <c r="S36" s="792">
        <f t="shared" si="1"/>
        <v>2.5246824538695759E-2</v>
      </c>
      <c r="T36" s="785"/>
      <c r="U36" s="785"/>
      <c r="V36" s="785"/>
      <c r="W36" s="785"/>
      <c r="X36" s="789"/>
      <c r="Y36" s="785"/>
      <c r="Z36" s="785"/>
      <c r="AA36" s="785"/>
      <c r="AB36" s="785"/>
      <c r="AC36" s="785"/>
      <c r="AD36" s="785"/>
      <c r="AE36" s="695"/>
    </row>
    <row r="37" spans="3:31">
      <c r="C37" s="698"/>
      <c r="D37" s="776"/>
      <c r="E37" s="698"/>
      <c r="F37" s="698" t="s">
        <v>375</v>
      </c>
      <c r="G37" s="776"/>
      <c r="H37" s="695"/>
      <c r="I37" s="685"/>
      <c r="J37" s="785"/>
      <c r="K37" s="785"/>
      <c r="L37" s="785"/>
      <c r="M37" s="785"/>
      <c r="N37" s="785"/>
      <c r="O37" s="792">
        <f>O19</f>
        <v>7.3666953803676969E-3</v>
      </c>
      <c r="P37" s="792">
        <f t="shared" ref="P37:S37" si="2">P19</f>
        <v>1.0420338377203606E-2</v>
      </c>
      <c r="Q37" s="792">
        <f t="shared" si="2"/>
        <v>1.0100549965852572E-2</v>
      </c>
      <c r="R37" s="792">
        <f t="shared" si="2"/>
        <v>1.6506367022018392E-2</v>
      </c>
      <c r="S37" s="792">
        <f t="shared" si="2"/>
        <v>1.1098487686360566E-2</v>
      </c>
      <c r="T37" s="785"/>
      <c r="U37" s="785"/>
      <c r="V37" s="785"/>
      <c r="W37" s="785"/>
      <c r="X37" s="789"/>
      <c r="Y37" s="785"/>
      <c r="Z37" s="785"/>
      <c r="AA37" s="785"/>
      <c r="AB37" s="785"/>
      <c r="AC37" s="785"/>
      <c r="AD37" s="785"/>
      <c r="AE37" s="695"/>
    </row>
    <row r="38" spans="3:31">
      <c r="C38" s="698"/>
      <c r="D38" s="776"/>
      <c r="E38" s="698"/>
      <c r="F38" s="776" t="s">
        <v>1092</v>
      </c>
      <c r="G38" s="776"/>
      <c r="H38" s="776"/>
      <c r="I38" s="776"/>
      <c r="J38" s="785"/>
      <c r="K38" s="785"/>
      <c r="L38" s="785"/>
      <c r="M38" s="785"/>
      <c r="N38" s="785"/>
      <c r="O38" s="792">
        <f t="shared" ref="O38:S38" si="3">O20</f>
        <v>0</v>
      </c>
      <c r="P38" s="792">
        <f t="shared" si="3"/>
        <v>0</v>
      </c>
      <c r="Q38" s="792">
        <f t="shared" si="3"/>
        <v>0</v>
      </c>
      <c r="R38" s="792">
        <f t="shared" si="3"/>
        <v>0</v>
      </c>
      <c r="S38" s="792">
        <f t="shared" si="3"/>
        <v>0</v>
      </c>
      <c r="T38" s="785"/>
      <c r="U38" s="785"/>
      <c r="V38" s="785"/>
      <c r="W38" s="785"/>
      <c r="X38" s="790"/>
      <c r="Y38" s="785"/>
      <c r="Z38" s="785"/>
      <c r="AA38" s="785"/>
      <c r="AB38" s="785"/>
      <c r="AC38" s="785"/>
      <c r="AD38" s="785"/>
      <c r="AE38" s="785"/>
    </row>
    <row r="39" spans="3:31">
      <c r="C39" s="794"/>
      <c r="D39" s="793"/>
      <c r="E39" s="794"/>
      <c r="F39" s="794" t="s">
        <v>778</v>
      </c>
      <c r="G39" s="793"/>
      <c r="H39" s="793"/>
      <c r="I39" s="793"/>
      <c r="J39" s="795"/>
      <c r="K39" s="795"/>
      <c r="L39" s="795"/>
      <c r="M39" s="795"/>
      <c r="N39" s="795"/>
      <c r="O39" s="792">
        <f t="shared" ref="O39:S39" si="4">O21</f>
        <v>0</v>
      </c>
      <c r="P39" s="792">
        <f t="shared" si="4"/>
        <v>0</v>
      </c>
      <c r="Q39" s="792">
        <f t="shared" si="4"/>
        <v>0</v>
      </c>
      <c r="R39" s="792">
        <f t="shared" si="4"/>
        <v>0</v>
      </c>
      <c r="S39" s="792">
        <f t="shared" si="4"/>
        <v>0</v>
      </c>
      <c r="T39" s="795"/>
      <c r="U39" s="795"/>
      <c r="V39" s="795"/>
      <c r="W39" s="795"/>
      <c r="X39" s="797"/>
      <c r="Y39" s="795"/>
      <c r="Z39" s="795"/>
      <c r="AA39" s="795"/>
      <c r="AB39" s="795"/>
      <c r="AC39" s="795"/>
      <c r="AD39" s="795"/>
      <c r="AE39" s="795"/>
    </row>
    <row r="40" spans="3:31">
      <c r="C40" s="799"/>
      <c r="D40" s="800"/>
      <c r="E40" s="799"/>
      <c r="F40" s="799"/>
      <c r="G40" s="800"/>
      <c r="H40" s="800"/>
      <c r="I40" s="800"/>
      <c r="J40" s="801"/>
      <c r="K40" s="801"/>
      <c r="L40" s="801"/>
      <c r="M40" s="801"/>
      <c r="N40" s="801"/>
      <c r="O40" s="802"/>
      <c r="P40" s="802"/>
      <c r="Q40" s="802"/>
      <c r="R40" s="802"/>
      <c r="S40" s="792"/>
      <c r="T40" s="801"/>
      <c r="U40" s="801"/>
      <c r="V40" s="801"/>
      <c r="W40" s="801"/>
      <c r="X40" s="803"/>
      <c r="Y40" s="801"/>
      <c r="Z40" s="801"/>
      <c r="AA40" s="801"/>
      <c r="AB40" s="801"/>
      <c r="AC40" s="801"/>
      <c r="AD40" s="801"/>
      <c r="AE40" s="801"/>
    </row>
    <row r="41" spans="3:31">
      <c r="W41" s="200"/>
      <c r="X41" s="200"/>
      <c r="Y41" s="119"/>
      <c r="AC41" s="221"/>
    </row>
    <row r="42" spans="3:31">
      <c r="W42" s="200"/>
      <c r="X42" s="200"/>
      <c r="Y42" s="119"/>
      <c r="AC42" s="221"/>
    </row>
    <row r="43" spans="3:31">
      <c r="W43" s="200"/>
      <c r="X43" s="200"/>
      <c r="Y43" s="119"/>
      <c r="AC43" s="221"/>
    </row>
    <row r="44" spans="3:31" s="779" customFormat="1">
      <c r="W44" s="780"/>
      <c r="X44" s="780"/>
    </row>
    <row r="45" spans="3:31">
      <c r="W45" s="200"/>
      <c r="X45" s="200"/>
      <c r="Y45" s="119"/>
      <c r="AC45" s="221"/>
    </row>
    <row r="46" spans="3:31">
      <c r="C46" s="454" t="s">
        <v>1081</v>
      </c>
      <c r="W46" s="200"/>
      <c r="X46" s="200"/>
      <c r="Y46" s="119"/>
      <c r="AC46" s="221"/>
    </row>
    <row r="47" spans="3:31">
      <c r="W47" s="200"/>
      <c r="X47" s="200"/>
      <c r="Y47" s="119"/>
      <c r="AC47" s="221"/>
    </row>
    <row r="48" spans="3:31">
      <c r="I48" s="778" t="s">
        <v>1080</v>
      </c>
      <c r="T48" s="178"/>
      <c r="U48" s="178"/>
      <c r="Y48" s="119"/>
      <c r="AD48" s="221"/>
    </row>
    <row r="49" spans="3:34" ht="31.5" customHeight="1">
      <c r="C49" s="201" t="s">
        <v>0</v>
      </c>
      <c r="D49" s="201" t="s">
        <v>1</v>
      </c>
      <c r="E49" s="201" t="s">
        <v>2</v>
      </c>
      <c r="F49" s="201" t="s">
        <v>80</v>
      </c>
      <c r="G49" s="201" t="s">
        <v>81</v>
      </c>
      <c r="H49" s="201" t="s">
        <v>13</v>
      </c>
      <c r="I49" s="201" t="s">
        <v>209</v>
      </c>
      <c r="J49" s="201" t="s">
        <v>329</v>
      </c>
      <c r="K49" s="201" t="s">
        <v>330</v>
      </c>
      <c r="L49" s="201" t="s">
        <v>92</v>
      </c>
      <c r="M49" s="201" t="s">
        <v>932</v>
      </c>
      <c r="N49" s="201" t="s">
        <v>82</v>
      </c>
      <c r="O49" s="201" t="s">
        <v>147</v>
      </c>
      <c r="P49" s="201" t="s">
        <v>323</v>
      </c>
      <c r="Q49" s="201" t="s">
        <v>326</v>
      </c>
      <c r="R49" s="238" t="s">
        <v>325</v>
      </c>
      <c r="S49" s="238" t="s">
        <v>324</v>
      </c>
      <c r="T49" s="201" t="s">
        <v>83</v>
      </c>
      <c r="U49" s="201" t="s">
        <v>285</v>
      </c>
      <c r="V49" s="201" t="s">
        <v>265</v>
      </c>
      <c r="W49" s="202" t="s">
        <v>148</v>
      </c>
      <c r="X49" s="202" t="s">
        <v>150</v>
      </c>
      <c r="Y49" s="202" t="s">
        <v>160</v>
      </c>
      <c r="Z49" s="609" t="s">
        <v>773</v>
      </c>
      <c r="AA49" s="609" t="s">
        <v>774</v>
      </c>
      <c r="AB49" s="202" t="s">
        <v>328</v>
      </c>
      <c r="AC49" s="239" t="s">
        <v>327</v>
      </c>
      <c r="AD49" s="201" t="s">
        <v>163</v>
      </c>
      <c r="AE49" s="201" t="s">
        <v>84</v>
      </c>
      <c r="AF49" s="804"/>
      <c r="AG49" s="221"/>
      <c r="AH49" s="203" t="s">
        <v>161</v>
      </c>
    </row>
    <row r="50" spans="3:34" ht="41.4" thickBot="1">
      <c r="C50" s="204" t="s">
        <v>144</v>
      </c>
      <c r="D50" s="204"/>
      <c r="E50" s="204" t="s">
        <v>91</v>
      </c>
      <c r="F50" s="204" t="s">
        <v>85</v>
      </c>
      <c r="G50" s="204" t="s">
        <v>86</v>
      </c>
      <c r="H50" s="204" t="s">
        <v>87</v>
      </c>
      <c r="I50" s="204" t="s">
        <v>306</v>
      </c>
      <c r="J50" s="204" t="s">
        <v>146</v>
      </c>
      <c r="K50" s="204" t="s">
        <v>145</v>
      </c>
      <c r="L50" s="204" t="s">
        <v>88</v>
      </c>
      <c r="M50" s="610"/>
      <c r="N50" s="204" t="s">
        <v>164</v>
      </c>
      <c r="O50" s="204" t="s">
        <v>89</v>
      </c>
      <c r="P50" s="204" t="s">
        <v>317</v>
      </c>
      <c r="Q50" s="204" t="s">
        <v>318</v>
      </c>
      <c r="R50" s="204" t="s">
        <v>319</v>
      </c>
      <c r="S50" s="204" t="s">
        <v>320</v>
      </c>
      <c r="T50" s="204" t="s">
        <v>261</v>
      </c>
      <c r="U50" s="204" t="s">
        <v>286</v>
      </c>
      <c r="V50" s="204" t="s">
        <v>149</v>
      </c>
      <c r="W50" s="204" t="s">
        <v>151</v>
      </c>
      <c r="X50" s="204" t="s">
        <v>152</v>
      </c>
      <c r="Y50" s="204"/>
      <c r="Z50" s="610"/>
      <c r="AA50" s="610"/>
      <c r="AB50" s="204" t="s">
        <v>322</v>
      </c>
      <c r="AC50" s="204" t="s">
        <v>321</v>
      </c>
      <c r="AD50" s="204" t="s">
        <v>90</v>
      </c>
      <c r="AE50" s="204" t="s">
        <v>90</v>
      </c>
      <c r="AF50" s="805"/>
      <c r="AG50" s="221"/>
      <c r="AH50" s="222" t="s">
        <v>162</v>
      </c>
    </row>
    <row r="51" spans="3:34">
      <c r="C51" s="122"/>
      <c r="D51" s="205" t="str">
        <f>Processes!D154</f>
        <v>SREFDK1</v>
      </c>
      <c r="E51" s="205" t="str">
        <f>Processes!E154</f>
        <v>Refinery Denmark 1</v>
      </c>
      <c r="F51" s="205"/>
      <c r="G51" s="191" t="str">
        <f>Commodities!$E$14</f>
        <v>CRD</v>
      </c>
      <c r="J51" s="206"/>
      <c r="K51" s="206"/>
      <c r="L51" s="206"/>
      <c r="M51" s="206"/>
      <c r="N51" s="119">
        <v>1</v>
      </c>
      <c r="O51" s="119">
        <v>1</v>
      </c>
      <c r="P51" s="206">
        <f>Refinery_data!CR32*10^-6*Refinery_data!BF52</f>
        <v>178.6579968520968</v>
      </c>
      <c r="Q51" s="206">
        <f>Refinery_data!CT32*10^-6*Refinery_data!BF52</f>
        <v>205.14257889121345</v>
      </c>
      <c r="R51" s="206">
        <f>Refinery_data!CR32*10^-6*(1-Refinery_data!BF52)</f>
        <v>137.58368914790316</v>
      </c>
      <c r="S51" s="206">
        <f>Refinery_data!CT32*10^-6*(1-Refinery_data!BF52)</f>
        <v>157.97934210878654</v>
      </c>
      <c r="T51" s="235"/>
      <c r="U51" s="210"/>
      <c r="V51" s="207"/>
      <c r="W51" s="207"/>
      <c r="X51" s="206"/>
      <c r="Y51" s="206"/>
      <c r="Z51" s="206"/>
      <c r="AA51" s="206"/>
      <c r="AB51" s="206">
        <f>Refinery_data!DA30*(1+Refineries!AH51)*10^-6*Refinery_data!BF52</f>
        <v>211.78014264101495</v>
      </c>
      <c r="AC51" s="206">
        <f>Refinery_data!DA30*(1+$AH$51)*10^-6*(1-Refinery_data!BF52)</f>
        <v>163.09089895898506</v>
      </c>
      <c r="AD51" s="208">
        <v>5</v>
      </c>
      <c r="AE51" s="208">
        <v>5</v>
      </c>
      <c r="AF51" s="208"/>
      <c r="AG51" s="221"/>
      <c r="AH51" s="209">
        <v>0.1</v>
      </c>
    </row>
    <row r="52" spans="3:34">
      <c r="C52" s="122"/>
      <c r="D52" s="122"/>
      <c r="E52" s="205"/>
      <c r="H52" s="191" t="str">
        <f>Commodities!E15</f>
        <v>LPG</v>
      </c>
      <c r="I52" s="458" t="s">
        <v>641</v>
      </c>
      <c r="J52" s="206">
        <f>Refinery_data!CR21</f>
        <v>2.2963077063261395E-2</v>
      </c>
      <c r="K52" s="206">
        <f>Refinery_data!CT21</f>
        <v>2.1959855754299481E-2</v>
      </c>
      <c r="N52" s="211"/>
      <c r="O52" s="211"/>
      <c r="P52" s="211"/>
      <c r="Q52" s="211"/>
      <c r="R52" s="211"/>
      <c r="S52" s="211"/>
      <c r="T52" s="223"/>
      <c r="U52" s="234">
        <f>H95</f>
        <v>3.8999999999999986</v>
      </c>
      <c r="V52" s="212"/>
      <c r="W52" s="212"/>
      <c r="X52" s="206">
        <f>Refinery_data!DC21</f>
        <v>2.6209679369957096E-2</v>
      </c>
      <c r="Y52" s="206">
        <f>Refinery_data!DA21</f>
        <v>1.7177091872849815E-2</v>
      </c>
      <c r="Z52" s="206">
        <v>5</v>
      </c>
      <c r="AA52" s="206">
        <v>5</v>
      </c>
      <c r="AB52" s="211"/>
      <c r="AC52" s="211"/>
      <c r="AD52" s="211"/>
      <c r="AE52" s="211"/>
      <c r="AF52" s="211"/>
      <c r="AG52" s="221"/>
    </row>
    <row r="53" spans="3:34">
      <c r="C53" s="122"/>
      <c r="D53" s="205"/>
      <c r="E53" s="205"/>
      <c r="G53" s="191"/>
      <c r="H53" s="191" t="str">
        <f>Commodities!E16</f>
        <v>LVN</v>
      </c>
      <c r="I53" s="458" t="s">
        <v>641</v>
      </c>
      <c r="J53" s="206">
        <f>Refinery_data!CR22</f>
        <v>9.5723328931499145E-3</v>
      </c>
      <c r="K53" s="206">
        <f>Refinery_data!CT22</f>
        <v>3.7578979000014598E-2</v>
      </c>
      <c r="N53" s="212"/>
      <c r="O53" s="212"/>
      <c r="P53" s="212"/>
      <c r="Q53" s="212"/>
      <c r="R53" s="212"/>
      <c r="S53" s="212"/>
      <c r="T53" s="224"/>
      <c r="U53" s="234">
        <f t="shared" ref="U53:U57" si="5">H96</f>
        <v>3.8999999999999986</v>
      </c>
      <c r="V53" s="191"/>
      <c r="W53" s="191"/>
      <c r="X53" s="206">
        <f>Refinery_data!DC22</f>
        <v>3.7578979000014598E-2</v>
      </c>
      <c r="Y53" s="206">
        <f>Refinery_data!DA22</f>
        <v>7.8816209622916446E-3</v>
      </c>
      <c r="Z53" s="206">
        <v>5</v>
      </c>
      <c r="AA53" s="206">
        <v>5</v>
      </c>
      <c r="AB53" s="212"/>
      <c r="AC53" s="212"/>
      <c r="AD53" s="212"/>
      <c r="AE53" s="206"/>
      <c r="AF53" s="206"/>
      <c r="AG53" s="221"/>
    </row>
    <row r="54" spans="3:34">
      <c r="C54" s="122"/>
      <c r="D54" s="205"/>
      <c r="E54" s="205"/>
      <c r="F54" s="205"/>
      <c r="G54" s="191"/>
      <c r="H54" s="191" t="str">
        <f>Commodities!E17</f>
        <v>GSL</v>
      </c>
      <c r="I54" s="458" t="s">
        <v>641</v>
      </c>
      <c r="J54" s="206">
        <f>Refinery_data!CR23</f>
        <v>0.28768438137344149</v>
      </c>
      <c r="K54" s="206">
        <f>Refinery_data!CT23</f>
        <v>0.26567063269258406</v>
      </c>
      <c r="L54" s="213"/>
      <c r="M54" s="213"/>
      <c r="N54" s="212"/>
      <c r="O54" s="212"/>
      <c r="P54" s="212"/>
      <c r="Q54" s="212"/>
      <c r="R54" s="212"/>
      <c r="S54" s="212"/>
      <c r="T54" s="225"/>
      <c r="U54" s="234">
        <f t="shared" si="5"/>
        <v>17.599999999999998</v>
      </c>
      <c r="V54" s="191"/>
      <c r="W54" s="191"/>
      <c r="X54" s="206">
        <f>Refinery_data!DC23</f>
        <v>0.3032999624209245</v>
      </c>
      <c r="Y54" s="206">
        <f>Refinery_data!DA23</f>
        <v>0.25287884854956061</v>
      </c>
      <c r="Z54" s="206">
        <v>5</v>
      </c>
      <c r="AA54" s="206">
        <v>5</v>
      </c>
      <c r="AB54" s="212"/>
      <c r="AC54" s="212"/>
      <c r="AD54" s="212"/>
      <c r="AE54" s="206"/>
      <c r="AF54" s="206"/>
      <c r="AG54" s="221"/>
    </row>
    <row r="55" spans="3:34">
      <c r="C55" s="122"/>
      <c r="D55" s="205"/>
      <c r="E55" s="205"/>
      <c r="F55" s="205"/>
      <c r="G55" s="191"/>
      <c r="H55" s="191" t="str">
        <f>Commodities!E18</f>
        <v>KER</v>
      </c>
      <c r="I55" s="458" t="s">
        <v>641</v>
      </c>
      <c r="J55" s="206">
        <f>Refinery_data!CR24</f>
        <v>0.10953963139753704</v>
      </c>
      <c r="K55" s="206">
        <f>Refinery_data!CT24</f>
        <v>0.10111975211050818</v>
      </c>
      <c r="L55" s="213"/>
      <c r="M55" s="213"/>
      <c r="N55" s="212"/>
      <c r="O55" s="212"/>
      <c r="P55" s="212"/>
      <c r="Q55" s="212"/>
      <c r="R55" s="212"/>
      <c r="S55" s="212"/>
      <c r="T55" s="225"/>
      <c r="U55" s="234">
        <f t="shared" si="5"/>
        <v>13.7</v>
      </c>
      <c r="V55" s="191"/>
      <c r="W55" s="191"/>
      <c r="X55" s="206">
        <f>Refinery_data!DC24</f>
        <v>0.12513263625088755</v>
      </c>
      <c r="Y55" s="206">
        <f>Refinery_data!DA24</f>
        <v>5.5209833844451016E-2</v>
      </c>
      <c r="Z55" s="206">
        <v>5</v>
      </c>
      <c r="AA55" s="206">
        <v>5</v>
      </c>
      <c r="AB55" s="212"/>
      <c r="AC55" s="212"/>
      <c r="AD55" s="212"/>
      <c r="AE55" s="206"/>
      <c r="AF55" s="206"/>
      <c r="AG55" s="221"/>
    </row>
    <row r="56" spans="3:34">
      <c r="C56" s="122"/>
      <c r="D56" s="205"/>
      <c r="E56" s="205"/>
      <c r="F56" s="205"/>
      <c r="G56" s="191"/>
      <c r="H56" s="191" t="str">
        <f>Commodities!E19</f>
        <v>DSL</v>
      </c>
      <c r="I56" s="458" t="s">
        <v>641</v>
      </c>
      <c r="J56" s="206">
        <f>Refinery_data!CR25</f>
        <v>0.38762795666507732</v>
      </c>
      <c r="K56" s="206">
        <f>Refinery_data!CT25</f>
        <v>0.42727798049258547</v>
      </c>
      <c r="L56" s="213"/>
      <c r="M56" s="213"/>
      <c r="N56" s="212"/>
      <c r="O56" s="212"/>
      <c r="P56" s="212"/>
      <c r="Q56" s="212"/>
      <c r="R56" s="212"/>
      <c r="S56" s="212"/>
      <c r="T56" s="225"/>
      <c r="U56" s="234">
        <f t="shared" si="5"/>
        <v>16.5</v>
      </c>
      <c r="V56" s="191"/>
      <c r="W56" s="191"/>
      <c r="X56" s="214">
        <f>Refinery_data!DC25</f>
        <v>0.43563404842412246</v>
      </c>
      <c r="Y56" s="206">
        <f>Refinery_data!DA25</f>
        <v>0.37049313457542904</v>
      </c>
      <c r="Z56" s="206">
        <v>5</v>
      </c>
      <c r="AA56" s="206">
        <v>5</v>
      </c>
      <c r="AB56" s="212"/>
      <c r="AC56" s="212"/>
      <c r="AD56" s="212"/>
      <c r="AE56" s="206"/>
      <c r="AF56" s="206"/>
      <c r="AG56" s="221"/>
    </row>
    <row r="57" spans="3:34">
      <c r="C57" s="219"/>
      <c r="D57" s="205"/>
      <c r="E57" s="205"/>
      <c r="F57" s="205"/>
      <c r="G57" s="191"/>
      <c r="H57" s="191" t="str">
        <f>Commodities!E20</f>
        <v>HFO</v>
      </c>
      <c r="I57" s="458" t="s">
        <v>641</v>
      </c>
      <c r="J57" s="206">
        <f>Refinery_data!CR26</f>
        <v>0.18261262060753281</v>
      </c>
      <c r="K57" s="206">
        <f>Refinery_data!CT26</f>
        <v>0.1463927999500082</v>
      </c>
      <c r="L57" s="213"/>
      <c r="M57" s="213"/>
      <c r="N57" s="206"/>
      <c r="O57" s="206"/>
      <c r="P57" s="206"/>
      <c r="Q57" s="206"/>
      <c r="R57" s="206"/>
      <c r="S57" s="206"/>
      <c r="T57" s="225"/>
      <c r="U57" s="234">
        <f t="shared" si="5"/>
        <v>-11.8</v>
      </c>
      <c r="V57" s="191"/>
      <c r="W57" s="191"/>
      <c r="X57" s="206">
        <f>Refinery_data!DC26</f>
        <v>0.24117145085288647</v>
      </c>
      <c r="Y57" s="206">
        <f>Refinery_data!DA26</f>
        <v>0.1463927999500082</v>
      </c>
      <c r="Z57" s="206">
        <v>5</v>
      </c>
      <c r="AA57" s="206">
        <v>5</v>
      </c>
      <c r="AB57" s="206"/>
      <c r="AC57" s="206"/>
      <c r="AD57" s="206"/>
      <c r="AE57" s="206"/>
      <c r="AF57" s="206"/>
      <c r="AG57" s="221"/>
    </row>
    <row r="58" spans="3:34">
      <c r="C58" s="219"/>
      <c r="D58" s="205"/>
      <c r="E58" s="205"/>
      <c r="F58" s="699" t="s">
        <v>931</v>
      </c>
      <c r="G58" s="191"/>
      <c r="H58" s="191"/>
      <c r="I58" s="458"/>
      <c r="J58" s="206"/>
      <c r="K58" s="206"/>
      <c r="L58" s="206">
        <f>1/Refinery_data!CR35-N51</f>
        <v>4.6633481837070834E-2</v>
      </c>
      <c r="M58" s="206">
        <f>1/Refinery_data!CT35-O51</f>
        <v>6.5524057006808301E-2</v>
      </c>
      <c r="N58" s="206"/>
      <c r="O58" s="206"/>
      <c r="P58" s="206"/>
      <c r="Q58" s="206"/>
      <c r="R58" s="206"/>
      <c r="S58" s="206"/>
      <c r="T58" s="225"/>
      <c r="U58" s="234"/>
      <c r="V58" s="191"/>
      <c r="W58" s="191"/>
      <c r="X58" s="206"/>
      <c r="Y58" s="206"/>
      <c r="Z58" s="206"/>
      <c r="AA58" s="206"/>
      <c r="AB58" s="206"/>
      <c r="AC58" s="206"/>
      <c r="AD58" s="206"/>
      <c r="AE58" s="206"/>
      <c r="AF58" s="206"/>
      <c r="AG58" s="221"/>
    </row>
    <row r="59" spans="3:34">
      <c r="C59" s="219"/>
      <c r="D59" s="205"/>
      <c r="E59" s="205"/>
      <c r="F59" s="191" t="str">
        <f>Commodities!$E$80</f>
        <v>SUPCOA</v>
      </c>
      <c r="G59" s="191"/>
      <c r="H59" s="191"/>
      <c r="J59" s="206"/>
      <c r="K59" s="206"/>
      <c r="L59" s="210">
        <f>Refinery_data!$CR$29/Refineries!P51*10^-6*Refinery_data!BF52</f>
        <v>3.6994996289009163E-3</v>
      </c>
      <c r="M59" s="210"/>
      <c r="N59" s="206"/>
      <c r="O59" s="206"/>
      <c r="P59" s="206"/>
      <c r="Q59" s="206"/>
      <c r="R59" s="206"/>
      <c r="S59" s="206"/>
      <c r="T59" s="225"/>
      <c r="U59" s="225"/>
      <c r="V59" s="191"/>
      <c r="W59" s="191"/>
      <c r="X59" s="206"/>
      <c r="Y59" s="206"/>
      <c r="Z59" s="206"/>
      <c r="AA59" s="206"/>
      <c r="AB59" s="206"/>
      <c r="AC59" s="206"/>
      <c r="AD59" s="206"/>
      <c r="AE59" s="206"/>
      <c r="AF59" s="206"/>
      <c r="AG59" s="221"/>
    </row>
    <row r="60" spans="3:34">
      <c r="C60" s="215"/>
      <c r="D60" s="216"/>
      <c r="E60" s="216"/>
      <c r="F60" s="216" t="str">
        <f>Commodities!$E$81</f>
        <v>SUPNGA</v>
      </c>
      <c r="G60" s="199"/>
      <c r="H60" s="199"/>
      <c r="I60" s="218"/>
      <c r="J60" s="217"/>
      <c r="K60" s="217"/>
      <c r="L60" s="220">
        <f>(Refinery_data!$CR$30/Refineries!P51)*10^-6*Refinery_data!BF52</f>
        <v>1.846505460383866E-3</v>
      </c>
      <c r="M60" s="700"/>
      <c r="N60" s="217"/>
      <c r="O60" s="217"/>
      <c r="P60" s="217"/>
      <c r="Q60" s="217"/>
      <c r="R60" s="217"/>
      <c r="S60" s="217"/>
      <c r="T60" s="226"/>
      <c r="U60" s="226"/>
      <c r="V60" s="199"/>
      <c r="W60" s="199"/>
      <c r="X60" s="217"/>
      <c r="Y60" s="217"/>
      <c r="Z60" s="611"/>
      <c r="AA60" s="611"/>
      <c r="AB60" s="217"/>
      <c r="AC60" s="217"/>
      <c r="AD60" s="217"/>
      <c r="AE60" s="217"/>
      <c r="AF60" s="206"/>
      <c r="AG60" s="221"/>
      <c r="AH60" s="218"/>
    </row>
    <row r="61" spans="3:34">
      <c r="Y61" s="119"/>
      <c r="AD61" s="221"/>
    </row>
    <row r="62" spans="3:34">
      <c r="Y62" s="119"/>
      <c r="AC62" s="221"/>
    </row>
    <row r="63" spans="3:34" ht="14.4">
      <c r="J63" s="240"/>
      <c r="O63" s="52" t="s">
        <v>156</v>
      </c>
      <c r="P63" s="52"/>
      <c r="Y63" s="119"/>
      <c r="AA63" s="221"/>
    </row>
    <row r="64" spans="3:34" ht="14.4">
      <c r="O64" s="53">
        <f>P51+R51</f>
        <v>316.24168599999996</v>
      </c>
      <c r="P64" s="53">
        <f>Q51+S51</f>
        <v>363.12192099999999</v>
      </c>
      <c r="Y64" s="119"/>
      <c r="Z64" s="221"/>
    </row>
    <row r="65" spans="4:26" ht="14.4">
      <c r="O65" s="53">
        <f>(Refinery_data!CR32)*10^-6</f>
        <v>316.24168599999996</v>
      </c>
      <c r="P65" s="53">
        <f>Refinery_data!CT32*10^-6</f>
        <v>363.12192099999999</v>
      </c>
      <c r="Y65" s="119"/>
      <c r="Z65" s="221"/>
    </row>
    <row r="66" spans="4:26">
      <c r="Y66" s="119"/>
      <c r="Z66" s="221"/>
    </row>
    <row r="69" spans="4:26" ht="13.8">
      <c r="D69" s="459"/>
      <c r="E69" s="459"/>
      <c r="F69" s="459"/>
      <c r="G69" s="459"/>
      <c r="H69" s="459"/>
      <c r="I69" s="459"/>
      <c r="J69" s="459"/>
      <c r="K69" s="459"/>
      <c r="L69" s="459"/>
      <c r="M69" s="459"/>
      <c r="N69" s="459"/>
      <c r="O69" s="459"/>
      <c r="S69" s="201" t="s">
        <v>638</v>
      </c>
    </row>
    <row r="70" spans="4:26" ht="21" thickBot="1">
      <c r="D70" s="460" t="s">
        <v>287</v>
      </c>
      <c r="E70" s="459"/>
      <c r="F70" s="459"/>
      <c r="G70" s="459"/>
      <c r="H70" s="459"/>
      <c r="I70" s="459"/>
      <c r="J70" s="459"/>
      <c r="K70" s="459"/>
      <c r="L70" s="459"/>
      <c r="M70" s="459"/>
      <c r="N70" s="459"/>
      <c r="O70" s="459"/>
      <c r="S70" s="204" t="s">
        <v>286</v>
      </c>
    </row>
    <row r="71" spans="4:26">
      <c r="D71" s="460" t="s">
        <v>288</v>
      </c>
      <c r="E71" s="459"/>
      <c r="F71" s="459"/>
      <c r="G71" s="459"/>
      <c r="H71" s="459"/>
      <c r="I71" s="459"/>
      <c r="J71" s="459"/>
      <c r="K71" s="459"/>
      <c r="L71" s="459"/>
      <c r="M71" s="459"/>
      <c r="N71" s="459"/>
      <c r="O71" s="459"/>
      <c r="S71" s="210"/>
    </row>
    <row r="72" spans="4:26">
      <c r="D72" s="459" t="s">
        <v>289</v>
      </c>
      <c r="E72" s="459"/>
      <c r="F72" s="459"/>
      <c r="G72" s="459"/>
      <c r="H72" s="459"/>
      <c r="I72" s="459"/>
      <c r="J72" s="459"/>
      <c r="K72" s="459"/>
      <c r="L72" s="459"/>
      <c r="M72" s="459"/>
      <c r="N72" s="459"/>
      <c r="O72" s="459"/>
      <c r="S72" s="470" t="e">
        <f t="shared" ref="S72:S77" si="6">N76</f>
        <v>#REF!</v>
      </c>
    </row>
    <row r="73" spans="4:26">
      <c r="D73" s="461"/>
      <c r="E73" s="462"/>
      <c r="F73" s="462"/>
      <c r="G73" s="462">
        <v>2012</v>
      </c>
      <c r="H73" s="462">
        <v>2013</v>
      </c>
      <c r="I73" s="462">
        <v>2014</v>
      </c>
      <c r="J73" s="459"/>
      <c r="K73" s="459"/>
      <c r="L73" s="459"/>
      <c r="M73" s="459"/>
      <c r="N73" s="459"/>
      <c r="O73" s="459"/>
      <c r="S73" s="470" t="e">
        <f t="shared" si="6"/>
        <v>#REF!</v>
      </c>
    </row>
    <row r="74" spans="4:26">
      <c r="D74" s="463"/>
      <c r="E74" s="459" t="s">
        <v>290</v>
      </c>
      <c r="F74" s="459" t="s">
        <v>198</v>
      </c>
      <c r="G74" s="464">
        <v>111.44615518427899</v>
      </c>
      <c r="H74" s="464">
        <v>103.65681382359793</v>
      </c>
      <c r="I74" s="464">
        <v>104.42268916052714</v>
      </c>
      <c r="J74" s="459"/>
      <c r="K74" s="459"/>
      <c r="L74" s="459" t="s">
        <v>291</v>
      </c>
      <c r="M74" s="459"/>
      <c r="N74" s="459"/>
      <c r="O74" s="459"/>
      <c r="S74" s="470" t="e">
        <f t="shared" si="6"/>
        <v>#REF!</v>
      </c>
    </row>
    <row r="75" spans="4:26">
      <c r="D75" s="462"/>
      <c r="E75" s="462" t="s">
        <v>292</v>
      </c>
      <c r="F75" s="462" t="s">
        <v>198</v>
      </c>
      <c r="G75" s="465">
        <v>4.404676432664</v>
      </c>
      <c r="H75" s="465">
        <v>4.4046764326640027</v>
      </c>
      <c r="I75" s="465">
        <v>4.4046764326640027</v>
      </c>
      <c r="J75" s="459"/>
      <c r="K75" s="466" t="s">
        <v>629</v>
      </c>
      <c r="L75" s="459" t="s">
        <v>293</v>
      </c>
      <c r="M75" s="459"/>
      <c r="N75" s="459" t="s">
        <v>294</v>
      </c>
      <c r="O75" s="459"/>
      <c r="P75" s="454" t="s">
        <v>628</v>
      </c>
      <c r="Q75" s="471" t="s">
        <v>645</v>
      </c>
      <c r="S75" s="470" t="e">
        <f t="shared" si="6"/>
        <v>#REF!</v>
      </c>
    </row>
    <row r="76" spans="4:26">
      <c r="D76" s="459" t="s">
        <v>295</v>
      </c>
      <c r="E76" s="459" t="s">
        <v>296</v>
      </c>
      <c r="F76" s="459" t="s">
        <v>198</v>
      </c>
      <c r="G76" s="464">
        <v>115.850831616943</v>
      </c>
      <c r="H76" s="464">
        <v>108.06149025626195</v>
      </c>
      <c r="I76" s="464">
        <v>108.82736559319115</v>
      </c>
      <c r="J76" s="459"/>
      <c r="K76" s="467" t="s">
        <v>75</v>
      </c>
      <c r="L76" s="468" t="e">
        <f>#REF!</f>
        <v>#REF!</v>
      </c>
      <c r="M76" s="469" t="e">
        <f t="shared" ref="M76:M81" si="7">L76/$L$78</f>
        <v>#REF!</v>
      </c>
      <c r="N76" s="469" t="e">
        <f>M76*($I$77+$I$78)</f>
        <v>#REF!</v>
      </c>
      <c r="O76" s="459"/>
      <c r="P76" s="454"/>
      <c r="S76" s="470" t="e">
        <f t="shared" si="6"/>
        <v>#REF!</v>
      </c>
    </row>
    <row r="77" spans="4:26">
      <c r="D77" s="459"/>
      <c r="E77" s="459" t="s">
        <v>297</v>
      </c>
      <c r="F77" s="459" t="s">
        <v>198</v>
      </c>
      <c r="G77" s="464">
        <v>4.2361897349754107</v>
      </c>
      <c r="H77" s="464">
        <v>4.1920248874866539</v>
      </c>
      <c r="I77" s="464">
        <v>4.2006792787939542</v>
      </c>
      <c r="J77" s="459"/>
      <c r="K77" s="467" t="s">
        <v>100</v>
      </c>
      <c r="L77" s="468" t="e">
        <f>#REF!</f>
        <v>#REF!</v>
      </c>
      <c r="M77" s="469" t="e">
        <f t="shared" si="7"/>
        <v>#REF!</v>
      </c>
      <c r="N77" s="469" t="e">
        <f>M77*($I$77+$I$78)</f>
        <v>#REF!</v>
      </c>
      <c r="O77" s="459"/>
      <c r="S77" s="470" t="e">
        <f t="shared" si="6"/>
        <v>#REF!</v>
      </c>
    </row>
    <row r="78" spans="4:26">
      <c r="D78" s="459"/>
      <c r="E78" s="459" t="s">
        <v>298</v>
      </c>
      <c r="F78" s="459" t="s">
        <v>198</v>
      </c>
      <c r="G78" s="464">
        <v>7.9360467195305278</v>
      </c>
      <c r="H78" s="464">
        <v>7.7593873295755014</v>
      </c>
      <c r="I78" s="464">
        <v>7.7940048948047016</v>
      </c>
      <c r="J78" s="459"/>
      <c r="K78" s="467" t="s">
        <v>76</v>
      </c>
      <c r="L78" s="468" t="e">
        <f>#REF!</f>
        <v>#REF!</v>
      </c>
      <c r="M78" s="469" t="e">
        <f t="shared" si="7"/>
        <v>#REF!</v>
      </c>
      <c r="N78" s="469" t="e">
        <f>M78*($I$77+$I$78)</f>
        <v>#REF!</v>
      </c>
      <c r="O78" s="459"/>
      <c r="S78" s="225"/>
    </row>
    <row r="79" spans="4:26">
      <c r="D79" s="459"/>
      <c r="E79" s="459" t="s">
        <v>299</v>
      </c>
      <c r="F79" s="459" t="s">
        <v>198</v>
      </c>
      <c r="G79" s="464">
        <v>-24.0504159183232</v>
      </c>
      <c r="H79" s="464">
        <v>-24.050415918323171</v>
      </c>
      <c r="I79" s="464">
        <v>-24.050415918323171</v>
      </c>
      <c r="J79" s="459"/>
      <c r="K79" s="467" t="s">
        <v>79</v>
      </c>
      <c r="L79" s="468" t="e">
        <f>#REF!</f>
        <v>#REF!</v>
      </c>
      <c r="M79" s="469" t="e">
        <f t="shared" si="7"/>
        <v>#REF!</v>
      </c>
      <c r="N79" s="469" t="e">
        <f>M79*($I$77+$I$78)</f>
        <v>#REF!</v>
      </c>
      <c r="O79" s="459"/>
      <c r="S79" s="226"/>
    </row>
    <row r="80" spans="4:26">
      <c r="D80" s="462" t="s">
        <v>300</v>
      </c>
      <c r="E80" s="462" t="s">
        <v>301</v>
      </c>
      <c r="F80" s="462" t="s">
        <v>198</v>
      </c>
      <c r="G80" s="465">
        <v>103.97265215312601</v>
      </c>
      <c r="H80" s="465">
        <v>95.962486555000922</v>
      </c>
      <c r="I80" s="465">
        <v>96.771633848466635</v>
      </c>
      <c r="J80" s="459"/>
      <c r="K80" s="467" t="s">
        <v>45</v>
      </c>
      <c r="L80" s="468" t="e">
        <f>#REF!</f>
        <v>#REF!</v>
      </c>
      <c r="M80" s="469" t="e">
        <f t="shared" si="7"/>
        <v>#REF!</v>
      </c>
      <c r="N80" s="469" t="e">
        <f>M80*($I$77+$I$78)</f>
        <v>#REF!</v>
      </c>
      <c r="O80" s="459"/>
    </row>
    <row r="81" spans="4:38">
      <c r="D81" s="459" t="s">
        <v>302</v>
      </c>
      <c r="E81" s="459" t="s">
        <v>303</v>
      </c>
      <c r="F81" s="459" t="s">
        <v>198</v>
      </c>
      <c r="G81" s="464">
        <v>2.1662997269030217</v>
      </c>
      <c r="H81" s="464">
        <v>2.1662997269030217</v>
      </c>
      <c r="I81" s="464">
        <v>2.1662997269030217</v>
      </c>
      <c r="J81" s="459"/>
      <c r="K81" s="467" t="s">
        <v>44</v>
      </c>
      <c r="L81" s="468" t="e">
        <f>#REF!</f>
        <v>#REF!</v>
      </c>
      <c r="M81" s="469" t="e">
        <f t="shared" si="7"/>
        <v>#REF!</v>
      </c>
      <c r="N81" s="469" t="e">
        <f t="shared" ref="N81" si="8">M81*($I$77+$I$78)</f>
        <v>#REF!</v>
      </c>
      <c r="O81" s="459"/>
    </row>
    <row r="82" spans="4:38">
      <c r="D82" s="459" t="s">
        <v>295</v>
      </c>
      <c r="E82" s="459" t="s">
        <v>302</v>
      </c>
      <c r="F82" s="459" t="s">
        <v>198</v>
      </c>
      <c r="G82" s="464">
        <v>106.13895188002874</v>
      </c>
      <c r="H82" s="464">
        <v>98.128786281903928</v>
      </c>
      <c r="I82" s="464">
        <v>98.937933575369655</v>
      </c>
      <c r="J82" s="459"/>
      <c r="K82" s="459"/>
      <c r="L82" s="459"/>
      <c r="M82" s="459"/>
      <c r="N82" s="459"/>
      <c r="O82" s="459"/>
    </row>
    <row r="83" spans="4:38">
      <c r="D83" s="459"/>
      <c r="E83" s="459"/>
      <c r="F83" s="459"/>
      <c r="G83" s="459"/>
      <c r="H83" s="459"/>
      <c r="I83" s="459"/>
      <c r="J83" s="459"/>
      <c r="K83" s="459"/>
      <c r="L83" s="459"/>
      <c r="M83" s="459"/>
      <c r="N83" s="459"/>
      <c r="O83" s="459"/>
    </row>
    <row r="84" spans="4:38">
      <c r="D84" s="459" t="s">
        <v>304</v>
      </c>
      <c r="E84" s="459"/>
      <c r="F84" s="459"/>
      <c r="G84" s="459"/>
      <c r="H84" s="459"/>
      <c r="I84" s="459"/>
      <c r="J84" s="459"/>
      <c r="K84" s="459"/>
      <c r="L84" s="459"/>
      <c r="M84" s="459"/>
      <c r="N84" s="459"/>
      <c r="O84" s="459"/>
    </row>
    <row r="85" spans="4:38">
      <c r="D85" s="459" t="s">
        <v>305</v>
      </c>
      <c r="E85" s="459"/>
      <c r="F85" s="459"/>
      <c r="G85" s="459"/>
      <c r="H85" s="459"/>
      <c r="I85" s="459"/>
      <c r="J85" s="459"/>
      <c r="K85" s="459"/>
      <c r="L85" s="459"/>
      <c r="M85" s="459"/>
      <c r="N85" s="459"/>
      <c r="O85" s="459"/>
    </row>
    <row r="86" spans="4:38">
      <c r="D86" s="459"/>
      <c r="E86" s="459"/>
      <c r="F86" s="459"/>
      <c r="G86" s="459"/>
      <c r="H86" s="459"/>
      <c r="I86" s="459"/>
      <c r="J86" s="459"/>
      <c r="K86" s="459"/>
      <c r="L86" s="459"/>
      <c r="M86" s="459"/>
      <c r="N86" s="459"/>
      <c r="O86" s="459"/>
    </row>
    <row r="88" spans="4:38">
      <c r="AC88" s="454"/>
    </row>
    <row r="89" spans="4:38">
      <c r="D89" s="233" t="s">
        <v>287</v>
      </c>
    </row>
    <row r="90" spans="4:38">
      <c r="D90" s="233" t="s">
        <v>288</v>
      </c>
    </row>
    <row r="91" spans="4:38">
      <c r="D91" s="119" t="s">
        <v>289</v>
      </c>
    </row>
    <row r="92" spans="4:38" ht="13.8" thickBot="1"/>
    <row r="93" spans="4:38">
      <c r="D93" s="473"/>
      <c r="E93" s="474" t="s">
        <v>630</v>
      </c>
      <c r="F93" s="474" t="s">
        <v>631</v>
      </c>
      <c r="G93" s="474" t="s">
        <v>632</v>
      </c>
      <c r="H93" s="475" t="s">
        <v>633</v>
      </c>
    </row>
    <row r="94" spans="4:38">
      <c r="D94" s="476"/>
      <c r="E94" s="457" t="s">
        <v>637</v>
      </c>
      <c r="F94" s="457" t="s">
        <v>637</v>
      </c>
      <c r="G94" s="457" t="s">
        <v>637</v>
      </c>
      <c r="H94" s="477" t="s">
        <v>637</v>
      </c>
    </row>
    <row r="95" spans="4:38">
      <c r="D95" s="478" t="s">
        <v>75</v>
      </c>
      <c r="E95" s="472">
        <v>4.0999999999999996</v>
      </c>
      <c r="F95" s="472">
        <v>7.8</v>
      </c>
      <c r="G95" s="472">
        <v>-8</v>
      </c>
      <c r="H95" s="479">
        <f>SUM(E95:G95)</f>
        <v>3.8999999999999986</v>
      </c>
      <c r="S95" s="454"/>
      <c r="AL95" s="454"/>
    </row>
    <row r="96" spans="4:38">
      <c r="D96" s="478" t="s">
        <v>100</v>
      </c>
      <c r="E96" s="472">
        <v>4.0999999999999996</v>
      </c>
      <c r="F96" s="472">
        <v>7.8</v>
      </c>
      <c r="G96" s="472">
        <v>-8</v>
      </c>
      <c r="H96" s="479">
        <f>SUM(E96:G96)</f>
        <v>3.8999999999999986</v>
      </c>
    </row>
    <row r="97" spans="4:27">
      <c r="D97" s="478" t="s">
        <v>76</v>
      </c>
      <c r="E97" s="472">
        <v>4.0999999999999996</v>
      </c>
      <c r="F97" s="472">
        <v>7.8</v>
      </c>
      <c r="G97" s="472">
        <v>5.7</v>
      </c>
      <c r="H97" s="479">
        <f>SUM(E97:G97)</f>
        <v>17.599999999999998</v>
      </c>
    </row>
    <row r="98" spans="4:27">
      <c r="D98" s="478" t="s">
        <v>79</v>
      </c>
      <c r="E98" s="472">
        <v>4.0999999999999996</v>
      </c>
      <c r="F98" s="472">
        <v>7.8</v>
      </c>
      <c r="G98" s="472">
        <v>1.8</v>
      </c>
      <c r="H98" s="479">
        <f>SUM(E98:G98)</f>
        <v>13.7</v>
      </c>
    </row>
    <row r="99" spans="4:27">
      <c r="D99" s="478" t="s">
        <v>45</v>
      </c>
      <c r="E99" s="472">
        <v>4.0999999999999996</v>
      </c>
      <c r="F99" s="472">
        <v>7.8</v>
      </c>
      <c r="G99" s="472">
        <v>4.5999999999999996</v>
      </c>
      <c r="H99" s="479">
        <f t="shared" ref="H99:H100" si="9">SUM(E99:G99)</f>
        <v>16.5</v>
      </c>
    </row>
    <row r="100" spans="4:27" ht="13.8" thickBot="1">
      <c r="D100" s="480" t="s">
        <v>44</v>
      </c>
      <c r="E100" s="481">
        <v>4.0999999999999996</v>
      </c>
      <c r="F100" s="481">
        <v>7.8</v>
      </c>
      <c r="G100" s="481">
        <v>-23.7</v>
      </c>
      <c r="H100" s="482">
        <f t="shared" si="9"/>
        <v>-11.8</v>
      </c>
    </row>
    <row r="102" spans="4:27">
      <c r="D102" s="119" t="s">
        <v>304</v>
      </c>
    </row>
    <row r="103" spans="4:27">
      <c r="D103" s="454" t="s">
        <v>644</v>
      </c>
    </row>
    <row r="106" spans="4:27">
      <c r="Y106" s="119"/>
    </row>
    <row r="107" spans="4:27">
      <c r="Y107" s="159"/>
      <c r="Z107" s="200"/>
      <c r="AA107" s="200"/>
    </row>
    <row r="108" spans="4:27">
      <c r="Y108" s="159"/>
      <c r="Z108" s="200"/>
      <c r="AA108" s="200"/>
    </row>
    <row r="109" spans="4:27">
      <c r="Y109" s="159"/>
      <c r="Z109" s="200"/>
      <c r="AA109" s="200"/>
    </row>
    <row r="110" spans="4:27">
      <c r="Y110" s="159"/>
      <c r="Z110" s="200"/>
      <c r="AA110" s="200"/>
    </row>
    <row r="111" spans="4:27">
      <c r="Y111" s="159"/>
      <c r="Z111" s="200"/>
      <c r="AA111" s="200"/>
    </row>
    <row r="112" spans="4:27">
      <c r="Y112" s="159"/>
      <c r="Z112" s="200"/>
      <c r="AA112" s="200"/>
    </row>
    <row r="117" spans="11:12">
      <c r="K117" s="454" t="s">
        <v>636</v>
      </c>
      <c r="L117" s="454" t="s">
        <v>639</v>
      </c>
    </row>
    <row r="118" spans="11:12">
      <c r="K118" s="454" t="s">
        <v>634</v>
      </c>
      <c r="L118" s="119" t="s">
        <v>635</v>
      </c>
    </row>
    <row r="146" spans="10:15">
      <c r="J146" s="454" t="s">
        <v>344</v>
      </c>
      <c r="K146" s="454" t="s">
        <v>640</v>
      </c>
      <c r="O146" s="221"/>
    </row>
    <row r="147" spans="10:15">
      <c r="J147" s="454" t="s">
        <v>634</v>
      </c>
      <c r="K147" s="119" t="s">
        <v>635</v>
      </c>
    </row>
  </sheetData>
  <conditionalFormatting sqref="Z52:AA60 L51:M51">
    <cfRule type="cellIs" dxfId="52" priority="61" stopIfTrue="1" operator="equal">
      <formula>1</formula>
    </cfRule>
  </conditionalFormatting>
  <conditionalFormatting sqref="V51">
    <cfRule type="cellIs" dxfId="51" priority="62" stopIfTrue="1" operator="greaterThan">
      <formula>#REF!</formula>
    </cfRule>
  </conditionalFormatting>
  <conditionalFormatting sqref="M58">
    <cfRule type="cellIs" dxfId="50" priority="60" stopIfTrue="1" operator="equal">
      <formula>1</formula>
    </cfRule>
  </conditionalFormatting>
  <conditionalFormatting sqref="P51">
    <cfRule type="cellIs" dxfId="49" priority="58" stopIfTrue="1" operator="equal">
      <formula>1</formula>
    </cfRule>
  </conditionalFormatting>
  <conditionalFormatting sqref="Q51">
    <cfRule type="cellIs" dxfId="48" priority="56" stopIfTrue="1" operator="equal">
      <formula>1</formula>
    </cfRule>
  </conditionalFormatting>
  <conditionalFormatting sqref="R51:S51">
    <cfRule type="cellIs" dxfId="47" priority="52" stopIfTrue="1" operator="equal">
      <formula>1</formula>
    </cfRule>
  </conditionalFormatting>
  <conditionalFormatting sqref="X52:Y60">
    <cfRule type="cellIs" dxfId="46" priority="51" stopIfTrue="1" operator="equal">
      <formula>1</formula>
    </cfRule>
  </conditionalFormatting>
  <conditionalFormatting sqref="AB51">
    <cfRule type="cellIs" dxfId="45" priority="49" stopIfTrue="1" operator="equal">
      <formula>1</formula>
    </cfRule>
  </conditionalFormatting>
  <conditionalFormatting sqref="AC51">
    <cfRule type="cellIs" dxfId="44" priority="48" stopIfTrue="1" operator="equal">
      <formula>1</formula>
    </cfRule>
  </conditionalFormatting>
  <conditionalFormatting sqref="W51">
    <cfRule type="cellIs" dxfId="43" priority="47" stopIfTrue="1" operator="greaterThan">
      <formula>#REF!</formula>
    </cfRule>
  </conditionalFormatting>
  <conditionalFormatting sqref="L58">
    <cfRule type="cellIs" dxfId="42" priority="45" stopIfTrue="1" operator="equal">
      <formula>1</formula>
    </cfRule>
  </conditionalFormatting>
  <conditionalFormatting sqref="P51:Q51">
    <cfRule type="cellIs" dxfId="41" priority="63" stopIfTrue="1" operator="lessThan">
      <formula>#REF!</formula>
    </cfRule>
  </conditionalFormatting>
  <conditionalFormatting sqref="S39:S40">
    <cfRule type="cellIs" dxfId="40" priority="9" stopIfTrue="1" operator="equal">
      <formula>1</formula>
    </cfRule>
  </conditionalFormatting>
  <conditionalFormatting sqref="Y9:Z22 L9:N22 O8:S8 S26 S17:S19">
    <cfRule type="cellIs" dxfId="39" priority="41" stopIfTrue="1" operator="equal">
      <formula>1</formula>
    </cfRule>
  </conditionalFormatting>
  <conditionalFormatting sqref="Y8">
    <cfRule type="cellIs" dxfId="38" priority="40" stopIfTrue="1" operator="equal">
      <formula>1</formula>
    </cfRule>
  </conditionalFormatting>
  <conditionalFormatting sqref="Z8">
    <cfRule type="cellIs" dxfId="37" priority="39" stopIfTrue="1" operator="equal">
      <formula>1</formula>
    </cfRule>
  </conditionalFormatting>
  <conditionalFormatting sqref="O17:O19 P18:R19">
    <cfRule type="cellIs" dxfId="36" priority="38" stopIfTrue="1" operator="equal">
      <formula>1</formula>
    </cfRule>
  </conditionalFormatting>
  <conditionalFormatting sqref="Y8:Z8">
    <cfRule type="cellIs" dxfId="35" priority="43" stopIfTrue="1" operator="lessThan">
      <formula>#REF!</formula>
    </cfRule>
  </conditionalFormatting>
  <conditionalFormatting sqref="O35">
    <cfRule type="cellIs" dxfId="34" priority="35" stopIfTrue="1" operator="equal">
      <formula>1</formula>
    </cfRule>
  </conditionalFormatting>
  <conditionalFormatting sqref="Y27:AB35 O26:R26 L38:N40 Y38:AB40">
    <cfRule type="cellIs" dxfId="33" priority="36" stopIfTrue="1" operator="equal">
      <formula>1</formula>
    </cfRule>
  </conditionalFormatting>
  <conditionalFormatting sqref="AB8">
    <cfRule type="cellIs" dxfId="32" priority="27" stopIfTrue="1" operator="equal">
      <formula>1</formula>
    </cfRule>
  </conditionalFormatting>
  <conditionalFormatting sqref="AB26">
    <cfRule type="cellIs" dxfId="31" priority="19" stopIfTrue="1" operator="equal">
      <formula>1</formula>
    </cfRule>
  </conditionalFormatting>
  <conditionalFormatting sqref="P35">
    <cfRule type="cellIs" dxfId="30" priority="34" stopIfTrue="1" operator="equal">
      <formula>1</formula>
    </cfRule>
  </conditionalFormatting>
  <conditionalFormatting sqref="Z26">
    <cfRule type="cellIs" dxfId="29" priority="24" stopIfTrue="1" operator="lessThan">
      <formula>#REF!</formula>
    </cfRule>
  </conditionalFormatting>
  <conditionalFormatting sqref="AA26">
    <cfRule type="cellIs" dxfId="28" priority="21" stopIfTrue="1" operator="equal">
      <formula>1</formula>
    </cfRule>
  </conditionalFormatting>
  <conditionalFormatting sqref="Q35">
    <cfRule type="cellIs" dxfId="27" priority="33" stopIfTrue="1" operator="equal">
      <formula>1</formula>
    </cfRule>
  </conditionalFormatting>
  <conditionalFormatting sqref="R35">
    <cfRule type="cellIs" dxfId="26" priority="32" stopIfTrue="1" operator="equal">
      <formula>1</formula>
    </cfRule>
  </conditionalFormatting>
  <conditionalFormatting sqref="Z8">
    <cfRule type="cellIs" dxfId="25" priority="31" stopIfTrue="1" operator="equal">
      <formula>1</formula>
    </cfRule>
  </conditionalFormatting>
  <conditionalFormatting sqref="AA8">
    <cfRule type="cellIs" dxfId="24" priority="29" stopIfTrue="1" operator="equal">
      <formula>1</formula>
    </cfRule>
  </conditionalFormatting>
  <conditionalFormatting sqref="AA8">
    <cfRule type="cellIs" dxfId="23" priority="30" stopIfTrue="1" operator="lessThan">
      <formula>#REF!</formula>
    </cfRule>
  </conditionalFormatting>
  <conditionalFormatting sqref="AB8">
    <cfRule type="cellIs" dxfId="22" priority="28" stopIfTrue="1" operator="lessThan">
      <formula>#REF!</formula>
    </cfRule>
  </conditionalFormatting>
  <conditionalFormatting sqref="Y26">
    <cfRule type="cellIs" dxfId="21" priority="25" stopIfTrue="1" operator="equal">
      <formula>1</formula>
    </cfRule>
  </conditionalFormatting>
  <conditionalFormatting sqref="Y26">
    <cfRule type="cellIs" dxfId="20" priority="26" stopIfTrue="1" operator="lessThan">
      <formula>#REF!</formula>
    </cfRule>
  </conditionalFormatting>
  <conditionalFormatting sqref="Z26">
    <cfRule type="cellIs" dxfId="19" priority="23" stopIfTrue="1" operator="equal">
      <formula>1</formula>
    </cfRule>
  </conditionalFormatting>
  <conditionalFormatting sqref="AA26">
    <cfRule type="cellIs" dxfId="18" priority="22" stopIfTrue="1" operator="lessThan">
      <formula>#REF!</formula>
    </cfRule>
  </conditionalFormatting>
  <conditionalFormatting sqref="AB26">
    <cfRule type="cellIs" dxfId="17" priority="20" stopIfTrue="1" operator="lessThan">
      <formula>#REF!</formula>
    </cfRule>
  </conditionalFormatting>
  <conditionalFormatting sqref="P17">
    <cfRule type="cellIs" dxfId="16" priority="18" stopIfTrue="1" operator="equal">
      <formula>1</formula>
    </cfRule>
  </conditionalFormatting>
  <conditionalFormatting sqref="Q17">
    <cfRule type="cellIs" dxfId="15" priority="17" stopIfTrue="1" operator="equal">
      <formula>1</formula>
    </cfRule>
  </conditionalFormatting>
  <conditionalFormatting sqref="R17">
    <cfRule type="cellIs" dxfId="14" priority="16" stopIfTrue="1" operator="equal">
      <formula>1</formula>
    </cfRule>
  </conditionalFormatting>
  <conditionalFormatting sqref="S20">
    <cfRule type="cellIs" dxfId="13" priority="15" stopIfTrue="1" operator="equal">
      <formula>1</formula>
    </cfRule>
  </conditionalFormatting>
  <conditionalFormatting sqref="S21:S22">
    <cfRule type="cellIs" dxfId="12" priority="14" stopIfTrue="1" operator="equal">
      <formula>1</formula>
    </cfRule>
  </conditionalFormatting>
  <conditionalFormatting sqref="Y36:Z37 L36:N37">
    <cfRule type="cellIs" dxfId="11" priority="13" stopIfTrue="1" operator="equal">
      <formula>1</formula>
    </cfRule>
  </conditionalFormatting>
  <conditionalFormatting sqref="O36:S39">
    <cfRule type="cellIs" dxfId="10" priority="12" stopIfTrue="1" operator="equal">
      <formula>1</formula>
    </cfRule>
  </conditionalFormatting>
  <conditionalFormatting sqref="S35:S37">
    <cfRule type="cellIs" dxfId="9" priority="11" stopIfTrue="1" operator="equal">
      <formula>1</formula>
    </cfRule>
  </conditionalFormatting>
  <conditionalFormatting sqref="S38">
    <cfRule type="cellIs" dxfId="8" priority="10" stopIfTrue="1" operator="equal">
      <formula>1</formula>
    </cfRule>
  </conditionalFormatting>
  <conditionalFormatting sqref="AC26">
    <cfRule type="cellIs" dxfId="7" priority="7" stopIfTrue="1" operator="equal">
      <formula>1</formula>
    </cfRule>
  </conditionalFormatting>
  <conditionalFormatting sqref="AC26">
    <cfRule type="cellIs" dxfId="6" priority="8" stopIfTrue="1" operator="lessThan">
      <formula>#REF!</formula>
    </cfRule>
  </conditionalFormatting>
  <conditionalFormatting sqref="AC8">
    <cfRule type="cellIs" dxfId="5" priority="3" stopIfTrue="1" operator="equal">
      <formula>1</formula>
    </cfRule>
  </conditionalFormatting>
  <conditionalFormatting sqref="AC8">
    <cfRule type="cellIs" dxfId="4" priority="4" stopIfTrue="1" operator="lessThan">
      <formula>#REF!</formula>
    </cfRule>
  </conditionalFormatting>
  <conditionalFormatting sqref="AD8">
    <cfRule type="cellIs" dxfId="3" priority="1" stopIfTrue="1" operator="equal">
      <formula>1</formula>
    </cfRule>
  </conditionalFormatting>
  <conditionalFormatting sqref="AD8">
    <cfRule type="cellIs" dxfId="2" priority="2" stopIfTrue="1" operator="lessThan">
      <formula>#REF!</formula>
    </cfRule>
  </conditionalFormatting>
  <pageMargins left="0.7" right="0.7" top="0.75" bottom="0.75" header="0.3" footer="0.3"/>
  <pageSetup paperSize="9" orientation="portrait"/>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tabColor rgb="FF92D050"/>
  </sheetPr>
  <dimension ref="A1:O29"/>
  <sheetViews>
    <sheetView workbookViewId="0">
      <selection activeCell="F19" sqref="F19"/>
    </sheetView>
  </sheetViews>
  <sheetFormatPr defaultColWidth="8.6640625" defaultRowHeight="13.2"/>
  <cols>
    <col min="5" max="5" width="8.6640625" style="695"/>
  </cols>
  <sheetData>
    <row r="1" spans="1:15" ht="13.8">
      <c r="A1" s="593"/>
      <c r="B1" s="593"/>
      <c r="C1" s="593"/>
      <c r="D1" s="593"/>
      <c r="E1" s="593"/>
      <c r="F1" s="593"/>
      <c r="G1" s="593"/>
      <c r="H1" s="593"/>
      <c r="I1" s="593"/>
      <c r="J1" s="593"/>
    </row>
    <row r="2" spans="1:15" ht="13.8">
      <c r="A2" s="593"/>
      <c r="B2" s="594" t="s">
        <v>751</v>
      </c>
      <c r="C2" s="593"/>
      <c r="D2" s="593"/>
      <c r="E2" s="593"/>
      <c r="F2" s="593"/>
      <c r="G2" s="593"/>
      <c r="H2" s="593"/>
      <c r="I2" s="593"/>
      <c r="J2" s="593"/>
    </row>
    <row r="3" spans="1:15" ht="13.8">
      <c r="A3" s="593"/>
      <c r="B3" s="593"/>
      <c r="C3" s="593"/>
      <c r="D3" s="593"/>
      <c r="E3" s="593"/>
      <c r="F3" s="593"/>
      <c r="G3" s="593"/>
      <c r="H3" s="593"/>
      <c r="I3" s="593"/>
      <c r="J3" s="593"/>
    </row>
    <row r="4" spans="1:15" ht="13.8">
      <c r="A4" s="593"/>
      <c r="B4" s="595" t="s">
        <v>752</v>
      </c>
      <c r="C4" s="593"/>
      <c r="D4" s="593"/>
      <c r="E4" s="593"/>
      <c r="F4" s="593"/>
      <c r="G4" s="593"/>
      <c r="H4" s="593"/>
      <c r="I4" s="593"/>
      <c r="J4" s="593"/>
    </row>
    <row r="5" spans="1:15" ht="13.8">
      <c r="A5" s="593"/>
      <c r="B5" s="594" t="s">
        <v>753</v>
      </c>
      <c r="C5" s="593"/>
      <c r="D5" s="593"/>
      <c r="E5" s="593"/>
      <c r="F5" s="593"/>
      <c r="G5" s="593"/>
      <c r="H5" s="593"/>
      <c r="I5" s="593"/>
      <c r="J5" s="593"/>
    </row>
    <row r="6" spans="1:15" ht="13.8">
      <c r="A6" s="593"/>
      <c r="B6" s="594"/>
      <c r="C6" s="593"/>
      <c r="D6" s="593"/>
      <c r="E6" s="593"/>
      <c r="F6" s="593"/>
      <c r="G6" s="593"/>
      <c r="H6" s="593"/>
      <c r="I6" s="593"/>
      <c r="J6" s="593"/>
    </row>
    <row r="7" spans="1:15" ht="13.8">
      <c r="A7" s="593"/>
      <c r="B7" s="593"/>
      <c r="C7" s="593"/>
      <c r="D7" s="596" t="s">
        <v>754</v>
      </c>
      <c r="E7" s="596"/>
      <c r="F7" s="596" t="s">
        <v>49</v>
      </c>
      <c r="G7" s="596" t="s">
        <v>51</v>
      </c>
      <c r="H7" s="596" t="s">
        <v>50</v>
      </c>
      <c r="I7" s="596" t="s">
        <v>75</v>
      </c>
      <c r="J7" s="600" t="s">
        <v>56</v>
      </c>
      <c r="K7" s="627" t="s">
        <v>791</v>
      </c>
      <c r="L7" s="627" t="s">
        <v>792</v>
      </c>
    </row>
    <row r="8" spans="1:15" ht="14.4" thickBot="1">
      <c r="A8" s="593"/>
      <c r="B8" s="597" t="s">
        <v>755</v>
      </c>
      <c r="C8" s="598"/>
      <c r="D8" s="598" t="s">
        <v>413</v>
      </c>
      <c r="E8" s="825"/>
      <c r="F8" s="598" t="s">
        <v>413</v>
      </c>
      <c r="G8" s="598" t="s">
        <v>413</v>
      </c>
      <c r="H8" s="598" t="s">
        <v>413</v>
      </c>
      <c r="I8" s="598" t="s">
        <v>413</v>
      </c>
      <c r="J8" s="601" t="s">
        <v>413</v>
      </c>
      <c r="K8" s="623" t="s">
        <v>413</v>
      </c>
      <c r="L8" s="623" t="s">
        <v>413</v>
      </c>
    </row>
    <row r="9" spans="1:15" ht="13.8">
      <c r="A9" s="593"/>
      <c r="B9" s="593"/>
      <c r="C9" s="593"/>
      <c r="D9" s="593"/>
      <c r="E9" s="593"/>
      <c r="F9" s="593"/>
      <c r="G9" s="593"/>
      <c r="H9" s="593"/>
      <c r="I9" s="593"/>
      <c r="J9" s="602"/>
      <c r="K9" s="603"/>
      <c r="L9" s="603"/>
    </row>
    <row r="10" spans="1:15" ht="13.8">
      <c r="A10" s="593"/>
      <c r="B10" s="593"/>
      <c r="C10" s="599" t="s">
        <v>777</v>
      </c>
      <c r="D10" s="593"/>
      <c r="E10" s="593"/>
      <c r="F10" s="593"/>
      <c r="G10" s="593"/>
      <c r="H10" s="593"/>
      <c r="I10" s="593"/>
      <c r="J10" s="602"/>
      <c r="K10" s="603"/>
      <c r="L10" s="603"/>
      <c r="M10" s="569"/>
      <c r="N10" s="569"/>
    </row>
    <row r="11" spans="1:15" ht="27.6">
      <c r="A11" s="593"/>
      <c r="B11" s="616" t="s">
        <v>1</v>
      </c>
      <c r="C11" s="617" t="s">
        <v>3</v>
      </c>
      <c r="D11" s="618" t="s">
        <v>778</v>
      </c>
      <c r="E11" s="826" t="s">
        <v>931</v>
      </c>
      <c r="F11" s="618" t="s">
        <v>779</v>
      </c>
      <c r="G11" s="618" t="s">
        <v>780</v>
      </c>
      <c r="H11" s="618" t="s">
        <v>781</v>
      </c>
      <c r="I11" s="618" t="s">
        <v>782</v>
      </c>
      <c r="J11" s="619" t="s">
        <v>783</v>
      </c>
      <c r="K11" s="624" t="s">
        <v>784</v>
      </c>
      <c r="L11" s="624" t="s">
        <v>785</v>
      </c>
      <c r="M11" s="620"/>
      <c r="N11" s="620"/>
    </row>
    <row r="12" spans="1:15" ht="13.8">
      <c r="A12" s="593"/>
      <c r="B12" s="593"/>
      <c r="C12" s="593" t="s">
        <v>217</v>
      </c>
      <c r="D12" s="621">
        <v>56.95</v>
      </c>
      <c r="E12" s="621">
        <f>H12</f>
        <v>79.28</v>
      </c>
      <c r="F12" s="621">
        <v>94.6</v>
      </c>
      <c r="G12" s="621">
        <v>74</v>
      </c>
      <c r="H12" s="621">
        <v>79.28</v>
      </c>
      <c r="I12" s="622">
        <v>63.1</v>
      </c>
      <c r="J12" s="569"/>
      <c r="K12" s="603"/>
      <c r="L12" s="603"/>
      <c r="M12" s="569"/>
      <c r="N12" s="569"/>
    </row>
    <row r="13" spans="1:15" ht="13.8">
      <c r="A13" s="593"/>
      <c r="B13" s="593"/>
      <c r="C13" s="593" t="s">
        <v>756</v>
      </c>
      <c r="D13" s="593"/>
      <c r="E13" s="593"/>
      <c r="F13" s="593"/>
      <c r="G13" s="593"/>
      <c r="H13" s="593"/>
      <c r="I13" s="593"/>
      <c r="J13" s="621">
        <v>0</v>
      </c>
      <c r="K13" s="603"/>
      <c r="L13" s="603"/>
      <c r="M13" s="569"/>
      <c r="N13" s="569"/>
    </row>
    <row r="14" spans="1:15" ht="14.4">
      <c r="A14" s="593"/>
      <c r="B14" s="593"/>
      <c r="C14" s="626" t="s">
        <v>790</v>
      </c>
      <c r="L14" s="701">
        <f>'Table1.A(a)s1'!G38/('Produktion af primær energi'!AW9/1000)</f>
        <v>8.1233567318158926</v>
      </c>
      <c r="M14" s="695"/>
      <c r="N14" s="695"/>
      <c r="O14" s="685" t="s">
        <v>933</v>
      </c>
    </row>
    <row r="15" spans="1:15" ht="13.8">
      <c r="A15" s="593"/>
      <c r="B15" s="593"/>
      <c r="C15" s="593"/>
      <c r="D15" s="593"/>
      <c r="E15" s="593"/>
      <c r="F15" s="593"/>
      <c r="G15" s="593"/>
      <c r="H15" s="593"/>
      <c r="I15" s="593"/>
      <c r="J15" s="593"/>
      <c r="K15" s="603"/>
      <c r="L15" s="603"/>
      <c r="M15" s="569"/>
      <c r="N15" s="569"/>
    </row>
    <row r="16" spans="1:15" ht="14.4">
      <c r="A16" s="593"/>
      <c r="B16" s="593"/>
      <c r="D16" s="593"/>
      <c r="E16" s="593"/>
      <c r="F16" s="593"/>
      <c r="G16" s="593"/>
      <c r="H16" s="593"/>
      <c r="I16" s="593"/>
      <c r="J16" s="593"/>
      <c r="K16" s="625">
        <v>3.6323723359116955</v>
      </c>
      <c r="L16" s="625">
        <v>3.6323723359116955</v>
      </c>
    </row>
    <row r="17" spans="1:12" ht="14.4">
      <c r="A17" s="593"/>
      <c r="B17" s="593"/>
      <c r="C17" s="593"/>
      <c r="K17" s="625"/>
      <c r="L17" s="625"/>
    </row>
    <row r="18" spans="1:12" ht="13.8">
      <c r="A18" s="593"/>
      <c r="B18" s="593"/>
      <c r="C18" s="593"/>
    </row>
    <row r="19" spans="1:12" ht="13.8">
      <c r="A19" s="593"/>
      <c r="B19" s="593"/>
      <c r="C19" s="593"/>
    </row>
    <row r="20" spans="1:12" ht="13.8">
      <c r="A20" s="593"/>
      <c r="B20" s="593"/>
      <c r="C20" s="593"/>
    </row>
    <row r="21" spans="1:12" ht="13.8">
      <c r="A21" s="593"/>
      <c r="B21" s="593"/>
      <c r="C21" s="593"/>
    </row>
    <row r="22" spans="1:12" ht="13.8">
      <c r="A22" s="593"/>
      <c r="B22" s="593"/>
      <c r="C22" s="593"/>
    </row>
    <row r="23" spans="1:12" ht="13.8">
      <c r="A23" s="593"/>
      <c r="B23" s="593"/>
      <c r="C23" s="593"/>
    </row>
    <row r="24" spans="1:12" ht="13.8">
      <c r="A24" s="593"/>
      <c r="B24" s="593"/>
      <c r="C24" s="593"/>
    </row>
    <row r="25" spans="1:12" ht="13.8">
      <c r="A25" s="593"/>
      <c r="B25" s="593"/>
      <c r="C25" s="593"/>
    </row>
    <row r="26" spans="1:12" ht="13.8">
      <c r="A26" s="593"/>
      <c r="B26" s="593"/>
      <c r="C26" s="593"/>
    </row>
    <row r="27" spans="1:12" ht="13.8">
      <c r="A27" s="593"/>
    </row>
    <row r="28" spans="1:12" ht="13.8">
      <c r="A28" s="593"/>
    </row>
    <row r="29" spans="1:12" ht="13.8">
      <c r="A29" s="593"/>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tabColor rgb="FF92D050"/>
  </sheetPr>
  <dimension ref="B2:F58"/>
  <sheetViews>
    <sheetView topLeftCell="A25" zoomScaleNormal="100" workbookViewId="0">
      <selection activeCell="I56" sqref="I56"/>
    </sheetView>
  </sheetViews>
  <sheetFormatPr defaultColWidth="8.6640625" defaultRowHeight="13.2"/>
  <cols>
    <col min="2" max="2" width="12.44140625" bestFit="1" customWidth="1"/>
    <col min="5" max="5" width="13.44140625" customWidth="1"/>
  </cols>
  <sheetData>
    <row r="2" spans="2:6" ht="13.8">
      <c r="B2" s="9"/>
      <c r="C2" s="105"/>
      <c r="D2" s="105"/>
      <c r="E2" s="10" t="s">
        <v>7</v>
      </c>
      <c r="F2" s="105"/>
    </row>
    <row r="3" spans="2:6" ht="27.6">
      <c r="B3" s="11" t="s">
        <v>1</v>
      </c>
      <c r="C3" s="11" t="s">
        <v>21</v>
      </c>
      <c r="D3" s="11" t="s">
        <v>81</v>
      </c>
      <c r="E3" s="106" t="s">
        <v>13</v>
      </c>
      <c r="F3" s="56" t="s">
        <v>82</v>
      </c>
    </row>
    <row r="4" spans="2:6" ht="13.8" thickBot="1">
      <c r="B4" s="107" t="s">
        <v>218</v>
      </c>
      <c r="C4" s="108"/>
      <c r="D4" s="108"/>
      <c r="E4" s="109"/>
      <c r="F4" s="110"/>
    </row>
    <row r="5" spans="2:6" ht="13.8" thickBot="1">
      <c r="B5" s="111" t="s">
        <v>22</v>
      </c>
      <c r="C5" s="112"/>
      <c r="D5" s="112"/>
      <c r="E5" s="112"/>
      <c r="F5" s="113"/>
    </row>
    <row r="6" spans="2:6">
      <c r="B6" t="str">
        <f>Processes!D112</f>
        <v>FT-SUPELC</v>
      </c>
      <c r="D6" s="24" t="s">
        <v>219</v>
      </c>
      <c r="E6" s="24" t="str">
        <f>Commodities!E77</f>
        <v>SUPELC</v>
      </c>
      <c r="F6" s="114">
        <v>1</v>
      </c>
    </row>
    <row r="7" spans="2:6">
      <c r="B7" s="569" t="str">
        <f>Processes!D113</f>
        <v>FT-SUPHETC</v>
      </c>
      <c r="D7" s="24" t="s">
        <v>220</v>
      </c>
      <c r="E7" s="24" t="str">
        <f>Commodities!E78</f>
        <v>SUPHETC</v>
      </c>
      <c r="F7" s="115">
        <f>1-0.19</f>
        <v>0.81</v>
      </c>
    </row>
    <row r="8" spans="2:6">
      <c r="B8" s="614" t="str">
        <f>Processes!D114</f>
        <v>FT-SUPHETD</v>
      </c>
      <c r="C8" s="614"/>
      <c r="D8" s="684" t="s">
        <v>221</v>
      </c>
      <c r="E8" s="684" t="str">
        <f>Commodities!E79</f>
        <v>SUPHETD</v>
      </c>
      <c r="F8" s="687">
        <f>1-0.19</f>
        <v>0.81</v>
      </c>
    </row>
    <row r="9" spans="2:6">
      <c r="B9" s="569" t="str">
        <f>Processes!D115</f>
        <v>FT-SUPCOA</v>
      </c>
      <c r="C9" s="569"/>
      <c r="D9" s="569" t="str">
        <f>IF(LEN(E9)=6,RIGHT(E9,3),RIGHT(E9,4))</f>
        <v>COA</v>
      </c>
      <c r="E9" s="24" t="str">
        <f>Commodities!E80</f>
        <v>SUPCOA</v>
      </c>
      <c r="F9" s="569">
        <v>1</v>
      </c>
    </row>
    <row r="10" spans="2:6">
      <c r="B10" s="569" t="str">
        <f>Processes!D116</f>
        <v>FT-SUPNGA</v>
      </c>
      <c r="C10" s="569"/>
      <c r="D10" s="569" t="str">
        <f t="shared" ref="D10:D37" si="0">IF(LEN(E10)=6,RIGHT(E10,3),RIGHT(E10,4))</f>
        <v>NGA</v>
      </c>
      <c r="E10" s="24" t="str">
        <f>Commodities!E81</f>
        <v>SUPNGA</v>
      </c>
      <c r="F10" s="569">
        <v>1</v>
      </c>
    </row>
    <row r="11" spans="2:6">
      <c r="B11" s="569" t="str">
        <f>Processes!D117</f>
        <v>FT-SUPCRD</v>
      </c>
      <c r="D11" s="569" t="str">
        <f t="shared" si="0"/>
        <v>CRD</v>
      </c>
      <c r="E11" s="24" t="str">
        <f>Commodities!E82</f>
        <v>SUPCRD</v>
      </c>
      <c r="F11">
        <v>1</v>
      </c>
    </row>
    <row r="12" spans="2:6">
      <c r="B12" s="569" t="str">
        <f>Processes!D118</f>
        <v>FT-SUPLPG</v>
      </c>
      <c r="C12" s="569"/>
      <c r="D12" s="569" t="str">
        <f t="shared" si="0"/>
        <v>LPG</v>
      </c>
      <c r="E12" s="24" t="str">
        <f>Commodities!E83</f>
        <v>SUPLPG</v>
      </c>
      <c r="F12" s="569">
        <v>1</v>
      </c>
    </row>
    <row r="13" spans="2:6">
      <c r="B13" s="569" t="str">
        <f>Processes!D119</f>
        <v>FT-SUPLVN</v>
      </c>
      <c r="C13" s="569"/>
      <c r="D13" s="569" t="str">
        <f t="shared" si="0"/>
        <v>LVN</v>
      </c>
      <c r="E13" s="24" t="str">
        <f>Commodities!E84</f>
        <v>SUPLVN</v>
      </c>
      <c r="F13" s="569">
        <v>1</v>
      </c>
    </row>
    <row r="14" spans="2:6">
      <c r="B14" s="569" t="str">
        <f>Processes!D120</f>
        <v>FT-SUPGSL</v>
      </c>
      <c r="C14" s="569"/>
      <c r="D14" s="569" t="str">
        <f t="shared" si="0"/>
        <v>GSL</v>
      </c>
      <c r="E14" s="24" t="str">
        <f>Commodities!E85</f>
        <v>SUPGSL</v>
      </c>
      <c r="F14" s="569">
        <v>1</v>
      </c>
    </row>
    <row r="15" spans="2:6">
      <c r="B15" s="569" t="str">
        <f>Processes!D121</f>
        <v>FT-SUPKER</v>
      </c>
      <c r="C15" s="569"/>
      <c r="D15" s="569" t="str">
        <f t="shared" si="0"/>
        <v>KER</v>
      </c>
      <c r="E15" s="24" t="str">
        <f>Commodities!E86</f>
        <v>SUPKER</v>
      </c>
      <c r="F15" s="569">
        <v>1</v>
      </c>
    </row>
    <row r="16" spans="2:6">
      <c r="B16" s="569" t="str">
        <f>Processes!D122</f>
        <v>FT-SUPDSL</v>
      </c>
      <c r="C16" s="569"/>
      <c r="D16" s="569" t="str">
        <f t="shared" si="0"/>
        <v>DSL</v>
      </c>
      <c r="E16" s="24" t="str">
        <f>Commodities!E87</f>
        <v>SUPDSL</v>
      </c>
      <c r="F16" s="569">
        <v>1</v>
      </c>
    </row>
    <row r="17" spans="2:6">
      <c r="B17" s="569" t="str">
        <f>Processes!D123</f>
        <v>FT-SUPHFO</v>
      </c>
      <c r="C17" s="569"/>
      <c r="D17" s="569" t="str">
        <f t="shared" si="0"/>
        <v>HFO</v>
      </c>
      <c r="E17" s="24" t="str">
        <f>Commodities!E88</f>
        <v>SUPHFO</v>
      </c>
      <c r="F17" s="569">
        <v>1</v>
      </c>
    </row>
    <row r="18" spans="2:6">
      <c r="B18" s="569" t="str">
        <f>Processes!D124</f>
        <v>FT-SUPMGO</v>
      </c>
      <c r="C18" s="569"/>
      <c r="D18" s="569" t="str">
        <f t="shared" si="0"/>
        <v>MGO</v>
      </c>
      <c r="E18" s="24" t="str">
        <f>Commodities!E89</f>
        <v>SUPMGO</v>
      </c>
      <c r="F18" s="569">
        <v>1</v>
      </c>
    </row>
    <row r="19" spans="2:6">
      <c r="B19" s="569" t="str">
        <f>Processes!D125</f>
        <v>FT-SUPAGSL</v>
      </c>
      <c r="C19" s="569"/>
      <c r="D19" s="569" t="str">
        <f t="shared" si="0"/>
        <v>AGSL</v>
      </c>
      <c r="E19" s="24" t="str">
        <f>Commodities!E90</f>
        <v>SUPAGSL</v>
      </c>
      <c r="F19" s="569">
        <v>1</v>
      </c>
    </row>
    <row r="20" spans="2:6">
      <c r="B20" s="569" t="str">
        <f>Processes!D126</f>
        <v>FT-SUPWST</v>
      </c>
      <c r="C20" s="569"/>
      <c r="D20" s="569" t="str">
        <f t="shared" si="0"/>
        <v>WST</v>
      </c>
      <c r="E20" s="24" t="str">
        <f>Commodities!E91</f>
        <v>SUPWST</v>
      </c>
      <c r="F20" s="569">
        <v>1</v>
      </c>
    </row>
    <row r="21" spans="2:6">
      <c r="B21" s="569" t="str">
        <f>Processes!D127</f>
        <v>FT-SUPSTR</v>
      </c>
      <c r="C21" s="569"/>
      <c r="D21" s="569" t="str">
        <f t="shared" si="0"/>
        <v>STR</v>
      </c>
      <c r="E21" s="24" t="str">
        <f>Commodities!E92</f>
        <v>SUPSTR</v>
      </c>
      <c r="F21" s="569">
        <v>1</v>
      </c>
    </row>
    <row r="22" spans="2:6">
      <c r="B22" s="569" t="str">
        <f>Processes!D128</f>
        <v>FT-SUPGRS</v>
      </c>
      <c r="C22" s="569"/>
      <c r="D22" s="569" t="str">
        <f t="shared" si="0"/>
        <v>GRS</v>
      </c>
      <c r="E22" s="24" t="str">
        <f>Commodities!E93</f>
        <v>SUPGRS</v>
      </c>
      <c r="F22" s="569">
        <v>1</v>
      </c>
    </row>
    <row r="23" spans="2:6">
      <c r="B23" s="569" t="str">
        <f>Processes!D129</f>
        <v>FT-SUPWPE</v>
      </c>
      <c r="C23" s="569"/>
      <c r="D23" s="569" t="str">
        <f t="shared" si="0"/>
        <v>WPE</v>
      </c>
      <c r="E23" s="24" t="str">
        <f>Commodities!E94</f>
        <v>SUPWPE</v>
      </c>
      <c r="F23" s="569">
        <v>1</v>
      </c>
    </row>
    <row r="24" spans="2:6">
      <c r="B24" s="569" t="str">
        <f>Processes!D130</f>
        <v>FT-SUPWCH</v>
      </c>
      <c r="C24" s="569"/>
      <c r="D24" s="569" t="str">
        <f t="shared" si="0"/>
        <v>WCH</v>
      </c>
      <c r="E24" s="24" t="str">
        <f>Commodities!E95</f>
        <v>SUPWCH</v>
      </c>
      <c r="F24" s="569">
        <v>1</v>
      </c>
    </row>
    <row r="25" spans="2:6">
      <c r="B25" s="569" t="str">
        <f>Processes!D131</f>
        <v>FT-SUPFIW</v>
      </c>
      <c r="C25" s="569"/>
      <c r="D25" s="569" t="str">
        <f t="shared" si="0"/>
        <v>FIW</v>
      </c>
      <c r="E25" s="24" t="str">
        <f>Commodities!E96</f>
        <v>SUPFIW</v>
      </c>
      <c r="F25" s="569">
        <v>1</v>
      </c>
    </row>
    <row r="26" spans="2:6">
      <c r="B26" s="569" t="str">
        <f>Processes!D132</f>
        <v>FT-SUPCRN</v>
      </c>
      <c r="C26" s="569"/>
      <c r="D26" s="569" t="str">
        <f t="shared" si="0"/>
        <v>CRN</v>
      </c>
      <c r="E26" s="24" t="str">
        <f>Commodities!E97</f>
        <v>SUPCRN</v>
      </c>
      <c r="F26" s="569">
        <v>1</v>
      </c>
    </row>
    <row r="27" spans="2:6">
      <c r="B27" s="569" t="str">
        <f>Processes!D133</f>
        <v>FT-SUPRPS</v>
      </c>
      <c r="C27" s="569"/>
      <c r="D27" s="569" t="str">
        <f t="shared" si="0"/>
        <v>RPS</v>
      </c>
      <c r="E27" s="24" t="str">
        <f>Commodities!E98</f>
        <v>SUPRPS</v>
      </c>
      <c r="F27" s="569">
        <v>1</v>
      </c>
    </row>
    <row r="28" spans="2:6">
      <c r="B28" s="569" t="str">
        <f>Processes!D134</f>
        <v>FT-SUPSGB</v>
      </c>
      <c r="C28" s="569"/>
      <c r="D28" s="569" t="str">
        <f t="shared" si="0"/>
        <v>SGB</v>
      </c>
      <c r="E28" s="24" t="str">
        <f>Commodities!E99</f>
        <v>SUPSGB</v>
      </c>
      <c r="F28" s="569">
        <v>1</v>
      </c>
    </row>
    <row r="29" spans="2:6">
      <c r="B29" s="569" t="str">
        <f>Processes!D135</f>
        <v>FT-SUPDLI</v>
      </c>
      <c r="C29" s="569"/>
      <c r="D29" s="569" t="str">
        <f t="shared" si="0"/>
        <v>DLI</v>
      </c>
      <c r="E29" s="24" t="str">
        <f>Commodities!E100</f>
        <v>SUPDLI</v>
      </c>
      <c r="F29" s="569">
        <v>1</v>
      </c>
    </row>
    <row r="30" spans="2:6">
      <c r="B30" s="569" t="str">
        <f>Processes!D136</f>
        <v>FT-SUPMNR</v>
      </c>
      <c r="C30" s="569"/>
      <c r="D30" s="569" t="str">
        <f t="shared" si="0"/>
        <v>MNR</v>
      </c>
      <c r="E30" s="24" t="str">
        <f>Commodities!E101</f>
        <v>SUPMNR</v>
      </c>
      <c r="F30" s="569">
        <v>1</v>
      </c>
    </row>
    <row r="31" spans="2:6">
      <c r="B31" s="569" t="str">
        <f>Processes!D137</f>
        <v>FT-SUPBGA</v>
      </c>
      <c r="C31" s="569"/>
      <c r="D31" s="569" t="str">
        <f t="shared" si="0"/>
        <v>BGA</v>
      </c>
      <c r="E31" s="24" t="str">
        <f>Commodities!E102</f>
        <v>SUPBGA</v>
      </c>
      <c r="F31" s="569">
        <v>1</v>
      </c>
    </row>
    <row r="32" spans="2:6">
      <c r="B32" s="569" t="str">
        <f>Processes!D138</f>
        <v>FT-SUPHFB</v>
      </c>
      <c r="C32" s="569"/>
      <c r="D32" s="569" t="str">
        <f t="shared" si="0"/>
        <v>HFB</v>
      </c>
      <c r="E32" s="24" t="str">
        <f>Commodities!E103</f>
        <v>SUPHFB</v>
      </c>
      <c r="F32" s="569">
        <v>1</v>
      </c>
    </row>
    <row r="33" spans="2:6">
      <c r="B33" s="569" t="str">
        <f>Processes!D139</f>
        <v>FT-SUPDDGS</v>
      </c>
      <c r="C33" s="569"/>
      <c r="D33" s="569" t="str">
        <f t="shared" si="0"/>
        <v>DDGS</v>
      </c>
      <c r="E33" s="24" t="str">
        <f>Commodities!E104</f>
        <v>SUPDDGS</v>
      </c>
      <c r="F33" s="569">
        <v>1</v>
      </c>
    </row>
    <row r="34" spans="2:6">
      <c r="B34" s="569" t="str">
        <f>Processes!D140</f>
        <v>FT-SUPH2</v>
      </c>
      <c r="C34" s="569"/>
      <c r="D34" s="686" t="s">
        <v>804</v>
      </c>
      <c r="E34" s="24" t="str">
        <f>Commodities!E105</f>
        <v>SUPH2</v>
      </c>
      <c r="F34" s="569">
        <v>1</v>
      </c>
    </row>
    <row r="35" spans="2:6">
      <c r="B35" s="569" t="str">
        <f>Processes!D141</f>
        <v>FT-SUPH2G</v>
      </c>
      <c r="C35" s="569"/>
      <c r="D35" s="569" t="str">
        <f t="shared" si="0"/>
        <v>H2G</v>
      </c>
      <c r="E35" s="24" t="str">
        <f>Commodities!E106</f>
        <v>SUPH2G</v>
      </c>
      <c r="F35" s="569">
        <v>1</v>
      </c>
    </row>
    <row r="36" spans="2:6">
      <c r="B36" s="569" t="str">
        <f>Processes!D142</f>
        <v>FT-SUPAMM</v>
      </c>
      <c r="C36" s="569"/>
      <c r="D36" s="569" t="str">
        <f t="shared" si="0"/>
        <v>AMM</v>
      </c>
      <c r="E36" s="24" t="str">
        <f>Commodities!E107</f>
        <v>SUPAMM</v>
      </c>
      <c r="F36" s="569">
        <v>1</v>
      </c>
    </row>
    <row r="37" spans="2:6">
      <c r="B37" s="569" t="str">
        <f>Processes!D143</f>
        <v>FT-SUPDME</v>
      </c>
      <c r="C37" s="569"/>
      <c r="D37" s="569" t="str">
        <f t="shared" si="0"/>
        <v>DME</v>
      </c>
      <c r="E37" s="24" t="str">
        <f>Commodities!E108</f>
        <v>SUPDME</v>
      </c>
      <c r="F37" s="569">
        <v>1</v>
      </c>
    </row>
    <row r="38" spans="2:6">
      <c r="B38" s="569" t="str">
        <f>Processes!D144</f>
        <v>FT-SUPKRB</v>
      </c>
      <c r="C38" s="569"/>
      <c r="D38" s="569" t="str">
        <f>Commodities!E30</f>
        <v>KRB1</v>
      </c>
      <c r="E38" s="24" t="str">
        <f>Commodities!E109</f>
        <v>SUPKRB</v>
      </c>
      <c r="F38" s="569">
        <v>1</v>
      </c>
    </row>
    <row r="39" spans="2:6">
      <c r="B39" s="569"/>
      <c r="C39" s="569"/>
      <c r="D39" s="695" t="str">
        <f>Commodities!E31</f>
        <v>KRB2</v>
      </c>
      <c r="E39" s="24"/>
      <c r="F39" s="569">
        <v>1</v>
      </c>
    </row>
    <row r="40" spans="2:6">
      <c r="B40" s="569"/>
      <c r="C40" s="569"/>
      <c r="D40" s="695" t="str">
        <f>Commodities!E32</f>
        <v>KRE</v>
      </c>
      <c r="E40" s="24"/>
      <c r="F40" s="569">
        <v>1</v>
      </c>
    </row>
    <row r="41" spans="2:6">
      <c r="B41" s="569" t="str">
        <f>Processes!D145</f>
        <v>FT-SUPSNG</v>
      </c>
      <c r="C41" s="569"/>
      <c r="D41" s="695" t="str">
        <f>Commodities!E33</f>
        <v>SNG1</v>
      </c>
      <c r="E41" s="24" t="str">
        <f>Commodities!E110</f>
        <v>SUPSNG</v>
      </c>
      <c r="F41" s="569">
        <v>1</v>
      </c>
    </row>
    <row r="42" spans="2:6">
      <c r="B42" s="569"/>
      <c r="C42" s="569"/>
      <c r="D42" s="695" t="str">
        <f>Commodities!E34</f>
        <v>SNG2</v>
      </c>
      <c r="E42" s="24"/>
      <c r="F42" s="569">
        <v>1</v>
      </c>
    </row>
    <row r="43" spans="2:6">
      <c r="B43" s="569"/>
      <c r="C43" s="569"/>
      <c r="D43" s="695" t="str">
        <f>Commodities!E35</f>
        <v>SNE</v>
      </c>
      <c r="E43" s="24"/>
      <c r="F43" s="569">
        <v>1</v>
      </c>
    </row>
    <row r="44" spans="2:6">
      <c r="B44" s="569" t="str">
        <f>Processes!D146</f>
        <v>FT-SUPDSB</v>
      </c>
      <c r="C44" s="569"/>
      <c r="D44" s="695" t="str">
        <f>Commodities!E36</f>
        <v>DSB1</v>
      </c>
      <c r="E44" s="24" t="str">
        <f>Commodities!E111</f>
        <v>SUPDSB</v>
      </c>
      <c r="F44" s="569">
        <v>1</v>
      </c>
    </row>
    <row r="45" spans="2:6">
      <c r="B45" s="569"/>
      <c r="C45" s="569"/>
      <c r="D45" s="695" t="str">
        <f>Commodities!E37</f>
        <v>DSB2</v>
      </c>
      <c r="E45" s="24"/>
      <c r="F45" s="569">
        <v>1</v>
      </c>
    </row>
    <row r="46" spans="2:6">
      <c r="B46" s="569"/>
      <c r="C46" s="569"/>
      <c r="D46" s="695" t="str">
        <f>Commodities!E38</f>
        <v>DSE</v>
      </c>
      <c r="E46" s="24"/>
      <c r="F46" s="569">
        <v>1</v>
      </c>
    </row>
    <row r="47" spans="2:6">
      <c r="B47" s="569" t="str">
        <f>Processes!D147</f>
        <v>FT-SUPGSB</v>
      </c>
      <c r="C47" s="569"/>
      <c r="D47" s="695" t="str">
        <f>Commodities!E39</f>
        <v>GSB1</v>
      </c>
      <c r="E47" s="24" t="str">
        <f>Commodities!E112</f>
        <v>SUPGSB</v>
      </c>
      <c r="F47" s="569">
        <v>1</v>
      </c>
    </row>
    <row r="48" spans="2:6">
      <c r="B48" s="569"/>
      <c r="C48" s="569"/>
      <c r="D48" s="695" t="str">
        <f>Commodities!E40</f>
        <v>GSB2</v>
      </c>
      <c r="E48" s="24"/>
      <c r="F48" s="569">
        <v>1</v>
      </c>
    </row>
    <row r="49" spans="2:6">
      <c r="B49" s="569"/>
      <c r="C49" s="569"/>
      <c r="D49" s="695" t="str">
        <f>Commodities!E41</f>
        <v>GSE</v>
      </c>
      <c r="E49" s="24"/>
      <c r="F49" s="569">
        <v>1</v>
      </c>
    </row>
    <row r="50" spans="2:6">
      <c r="B50" s="569" t="str">
        <f>Processes!D148</f>
        <v>FT-SUPMOB</v>
      </c>
      <c r="C50" s="569"/>
      <c r="D50" s="695" t="str">
        <f>Commodities!E42</f>
        <v>MOB1</v>
      </c>
      <c r="E50" s="685" t="str">
        <f>RIGHT(B50,6)</f>
        <v>SUPMOB</v>
      </c>
      <c r="F50" s="569">
        <v>1</v>
      </c>
    </row>
    <row r="51" spans="2:6">
      <c r="B51" s="569"/>
      <c r="C51" s="569"/>
      <c r="D51" s="695" t="str">
        <f>Commodities!E43</f>
        <v>MOB2</v>
      </c>
      <c r="E51" s="24"/>
      <c r="F51" s="569">
        <v>1</v>
      </c>
    </row>
    <row r="52" spans="2:6">
      <c r="B52" s="614"/>
      <c r="C52" s="614"/>
      <c r="D52" s="695" t="str">
        <f>Commodities!E44</f>
        <v>MOE</v>
      </c>
      <c r="E52" s="684"/>
      <c r="F52" s="614">
        <v>1</v>
      </c>
    </row>
    <row r="53" spans="2:6">
      <c r="B53" s="569" t="str">
        <f>Processes!D149</f>
        <v>FT-MINNGA</v>
      </c>
      <c r="C53" s="569"/>
      <c r="D53" s="685" t="s">
        <v>785</v>
      </c>
      <c r="E53" s="685" t="s">
        <v>41</v>
      </c>
      <c r="F53" s="569">
        <v>1</v>
      </c>
    </row>
    <row r="54" spans="2:6">
      <c r="B54" s="569" t="str">
        <f>Processes!D150</f>
        <v>FT-MINCRD</v>
      </c>
      <c r="C54" s="569"/>
      <c r="D54" s="685" t="s">
        <v>784</v>
      </c>
      <c r="E54" s="685" t="s">
        <v>93</v>
      </c>
      <c r="F54" s="569">
        <v>1</v>
      </c>
    </row>
    <row r="55" spans="2:6">
      <c r="B55" s="569"/>
      <c r="C55" s="569"/>
      <c r="D55" s="569"/>
      <c r="E55" s="24"/>
      <c r="F55" s="569"/>
    </row>
    <row r="56" spans="2:6">
      <c r="B56" s="569"/>
      <c r="C56" s="569"/>
      <c r="D56" s="569"/>
      <c r="E56" s="24"/>
      <c r="F56" s="569"/>
    </row>
    <row r="57" spans="2:6">
      <c r="B57" s="569"/>
      <c r="C57" s="569"/>
      <c r="D57" s="569"/>
      <c r="E57" s="569"/>
      <c r="F57" s="569"/>
    </row>
    <row r="58" spans="2:6">
      <c r="B58" s="569"/>
      <c r="C58" s="569"/>
      <c r="D58" s="569"/>
      <c r="E58" s="569"/>
      <c r="F58" s="56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LOG</vt:lpstr>
      <vt:lpstr>Intro</vt:lpstr>
      <vt:lpstr>Commodities</vt:lpstr>
      <vt:lpstr>Processes</vt:lpstr>
      <vt:lpstr>MIN-IMP-EXP</vt:lpstr>
      <vt:lpstr>ETS_NETS_Prices</vt:lpstr>
      <vt:lpstr>Refineries</vt:lpstr>
      <vt:lpstr>Emis</vt:lpstr>
      <vt:lpstr>Fuel Tech</vt:lpstr>
      <vt:lpstr>BiomassCost</vt:lpstr>
      <vt:lpstr>MIN-IMP-EXP_Data</vt:lpstr>
      <vt:lpstr>Refinery_data</vt:lpstr>
      <vt:lpstr>Table1.A(a)s1</vt:lpstr>
      <vt:lpstr>Oversigt energibalance</vt:lpstr>
      <vt:lpstr>Produktion af primær energi</vt:lpstr>
      <vt:lpstr>CO2Price</vt:lpstr>
      <vt:lpstr>CRF_Table1.A_a_s1_Main</vt:lpstr>
      <vt:lpstr>Raggr4</vt:lpstr>
      <vt:lpstr>Raggr5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Mikkel Bosack</cp:lastModifiedBy>
  <cp:lastPrinted>2005-02-10T12:45:56Z</cp:lastPrinted>
  <dcterms:created xsi:type="dcterms:W3CDTF">2000-12-13T15:53:11Z</dcterms:created>
  <dcterms:modified xsi:type="dcterms:W3CDTF">2021-03-15T07:30:08Z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771495997905731</vt:r8>
  </property>
</Properties>
</file>